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sons" sheetId="1" r:id="rId3"/>
  </sheets>
  <definedNames>
    <definedName hidden="1" localSheetId="0" name="_xlnm._FilterDatabase">Persons!$A$1:$K$10000</definedName>
  </definedNames>
  <calcPr/>
</workbook>
</file>

<file path=xl/sharedStrings.xml><?xml version="1.0" encoding="utf-8"?>
<sst xmlns="http://schemas.openxmlformats.org/spreadsheetml/2006/main" count="70917" uniqueCount="17508">
  <si>
    <t>PersonId</t>
  </si>
  <si>
    <t>Name</t>
  </si>
  <si>
    <t>LastName</t>
  </si>
  <si>
    <t>CurrentRole</t>
  </si>
  <si>
    <t>GeographicArea</t>
  </si>
  <si>
    <t>NumberOfRecommendations</t>
  </si>
  <si>
    <t>NumberOfConnections</t>
  </si>
  <si>
    <t>PublicProfile</t>
  </si>
  <si>
    <t>Industry</t>
  </si>
  <si>
    <t>Country</t>
  </si>
  <si>
    <t>Rating</t>
  </si>
  <si>
    <t>ed</t>
  </si>
  <si>
    <t>dubrawski pmp</t>
  </si>
  <si>
    <t>NULL</t>
  </si>
  <si>
    <t>hawaiian islands</t>
  </si>
  <si>
    <t>Information Technology and Services</t>
  </si>
  <si>
    <t>Aruba</t>
  </si>
  <si>
    <t>5,83</t>
  </si>
  <si>
    <t>mauricio</t>
  </si>
  <si>
    <t>spinetti</t>
  </si>
  <si>
    <t>argentina</t>
  </si>
  <si>
    <t>Argentina</t>
  </si>
  <si>
    <t>9.00</t>
  </si>
  <si>
    <t>julio</t>
  </si>
  <si>
    <t>cepeda</t>
  </si>
  <si>
    <t>director general méxico</t>
  </si>
  <si>
    <t>naucalpan de juárez y alrededores, méxico</t>
  </si>
  <si>
    <t>Health, Wellness and Fitness</t>
  </si>
  <si>
    <t>Mexico</t>
  </si>
  <si>
    <t>5.00</t>
  </si>
  <si>
    <t>delson</t>
  </si>
  <si>
    <t>silveira</t>
  </si>
  <si>
    <t>it manager</t>
  </si>
  <si>
    <t>rio de janeiro area, brazil</t>
  </si>
  <si>
    <t>Brazil</t>
  </si>
  <si>
    <t>7.00</t>
  </si>
  <si>
    <t>adriana</t>
  </si>
  <si>
    <t>esmeraldo</t>
  </si>
  <si>
    <t>midmarket marketing program owner</t>
  </si>
  <si>
    <t>sao paulo area, brazil</t>
  </si>
  <si>
    <t>nowshade</t>
  </si>
  <si>
    <t>kabir</t>
  </si>
  <si>
    <t>owner</t>
  </si>
  <si>
    <t>woodbridge, ontario, canada</t>
  </si>
  <si>
    <t>Canada</t>
  </si>
  <si>
    <t>carlos</t>
  </si>
  <si>
    <t>rocha</t>
  </si>
  <si>
    <t>ceo</t>
  </si>
  <si>
    <t>Computer Software</t>
  </si>
  <si>
    <t>arnnei</t>
  </si>
  <si>
    <t>speiser</t>
  </si>
  <si>
    <t>ceo, entrepreneur &amp; innovator, pm expert, internet security, cellular technologies:: toplinked.com 8600+ contacts</t>
  </si>
  <si>
    <t>coventry, united kingdom</t>
  </si>
  <si>
    <t>United Kingdom</t>
  </si>
  <si>
    <t>gary l.</t>
  </si>
  <si>
    <t>melling</t>
  </si>
  <si>
    <t>burlington, ontario, canada</t>
  </si>
  <si>
    <t>Management Consulting</t>
  </si>
  <si>
    <t>2.00</t>
  </si>
  <si>
    <t>martin</t>
  </si>
  <si>
    <t>kryss</t>
  </si>
  <si>
    <t>abdallah</t>
  </si>
  <si>
    <t>hitti</t>
  </si>
  <si>
    <t>owner, hi-comm, and co-founder of result</t>
  </si>
  <si>
    <t>paris area, france</t>
  </si>
  <si>
    <t>France</t>
  </si>
  <si>
    <t>jacques</t>
  </si>
  <si>
    <t>varaschim</t>
  </si>
  <si>
    <t>operations &amp; technology director</t>
  </si>
  <si>
    <t>Internet</t>
  </si>
  <si>
    <t>gustavo</t>
  </si>
  <si>
    <t>caetano</t>
  </si>
  <si>
    <t>belo horizonte, minas gerais, brazil</t>
  </si>
  <si>
    <t>nivaldo</t>
  </si>
  <si>
    <t>santana pmp itil</t>
  </si>
  <si>
    <t>operations manager</t>
  </si>
  <si>
    <t>brasilia, distrito federal, brazil</t>
  </si>
  <si>
    <t>Telecommunications</t>
  </si>
  <si>
    <t>8,83</t>
  </si>
  <si>
    <t>tomás</t>
  </si>
  <si>
    <t>duarte</t>
  </si>
  <si>
    <t>ceo and founder</t>
  </si>
  <si>
    <t>sonia</t>
  </si>
  <si>
    <t>nigri</t>
  </si>
  <si>
    <t>deepak</t>
  </si>
  <si>
    <t>chandnani</t>
  </si>
  <si>
    <t>mumbai, maharashtra, india</t>
  </si>
  <si>
    <t>India</t>
  </si>
  <si>
    <t>luis filipe</t>
  </si>
  <si>
    <t>cavalcanti</t>
  </si>
  <si>
    <t>vice president / chief operating officer</t>
  </si>
  <si>
    <t>sao paulo, sao paulo, brazil</t>
  </si>
  <si>
    <t>carlos augusto</t>
  </si>
  <si>
    <t>oliveira</t>
  </si>
  <si>
    <t>representante comercial</t>
  </si>
  <si>
    <t>goiânia e região, brasil</t>
  </si>
  <si>
    <t>Retail</t>
  </si>
  <si>
    <t>4.00</t>
  </si>
  <si>
    <t>annetta</t>
  </si>
  <si>
    <t>coleman</t>
  </si>
  <si>
    <t>managing partner</t>
  </si>
  <si>
    <t>greater atlanta area, united states</t>
  </si>
  <si>
    <t>United States</t>
  </si>
  <si>
    <t>marina méndez.</t>
  </si>
  <si>
    <t>just a doer</t>
  </si>
  <si>
    <t>Marketing and Advertising</t>
  </si>
  <si>
    <t>eyal</t>
  </si>
  <si>
    <t>avner</t>
  </si>
  <si>
    <t>cto</t>
  </si>
  <si>
    <t>angola</t>
  </si>
  <si>
    <t>Angola</t>
  </si>
  <si>
    <t>8,33</t>
  </si>
  <si>
    <t>kopelipa</t>
  </si>
  <si>
    <t>vieira dias</t>
  </si>
  <si>
    <t>president</t>
  </si>
  <si>
    <t>Investment Management</t>
  </si>
  <si>
    <t>alex</t>
  </si>
  <si>
    <t>szapiro</t>
  </si>
  <si>
    <t>country manager</t>
  </si>
  <si>
    <t>Computer Hardware</t>
  </si>
  <si>
    <t>volodymyr</t>
  </si>
  <si>
    <t>nedashkivskyi</t>
  </si>
  <si>
    <t>london, united kingdom</t>
  </si>
  <si>
    <t>márcia</t>
  </si>
  <si>
    <t>primo costa  bespoke life</t>
  </si>
  <si>
    <t>regional sales manager</t>
  </si>
  <si>
    <t>newton</t>
  </si>
  <si>
    <t>homem</t>
  </si>
  <si>
    <t>owner and ceo</t>
  </si>
  <si>
    <t>germano</t>
  </si>
  <si>
    <t>ramlow</t>
  </si>
  <si>
    <t>general manager for latin america</t>
  </si>
  <si>
    <t>Mechanical or Industrial Engineering</t>
  </si>
  <si>
    <t>michael</t>
  </si>
  <si>
    <t>frick</t>
  </si>
  <si>
    <t>founder &amp; owner, speakers platform speakers bureau</t>
  </si>
  <si>
    <t>san francisco bay area, united states</t>
  </si>
  <si>
    <t>Events Services</t>
  </si>
  <si>
    <t>0.00</t>
  </si>
  <si>
    <t>james h.</t>
  </si>
  <si>
    <t>dargie</t>
  </si>
  <si>
    <t>art director</t>
  </si>
  <si>
    <t>san diego, california</t>
  </si>
  <si>
    <t>Computer Games</t>
  </si>
  <si>
    <t>Egypt</t>
  </si>
  <si>
    <t>3,83</t>
  </si>
  <si>
    <t>enrique</t>
  </si>
  <si>
    <t>novomisky</t>
  </si>
  <si>
    <t>entrepreneur, technology advisor.</t>
  </si>
  <si>
    <t>eldes</t>
  </si>
  <si>
    <t>mattiuzzo</t>
  </si>
  <si>
    <t>ceo &amp; co-founder na bidu.com.br</t>
  </si>
  <si>
    <t>eduardo</t>
  </si>
  <si>
    <t>frias</t>
  </si>
  <si>
    <t>vice president, engineering</t>
  </si>
  <si>
    <t>san francisco, california</t>
  </si>
  <si>
    <t>Apparel &amp; Fashion</t>
  </si>
  <si>
    <t>jonathan</t>
  </si>
  <si>
    <t>coupal cissp mcse</t>
  </si>
  <si>
    <t>buffalo/niagara, new york area, united states, United States</t>
  </si>
  <si>
    <t>Computer &amp; Network Security</t>
  </si>
  <si>
    <t>damian alejandro</t>
  </si>
  <si>
    <t>eiff</t>
  </si>
  <si>
    <t>jeffrey g. jeff</t>
  </si>
  <si>
    <t>hodgkinson</t>
  </si>
  <si>
    <t>position: pmo manager/sr. program/project manager/process coach</t>
  </si>
  <si>
    <t>phoenix, arizona area, united states</t>
  </si>
  <si>
    <t>Semiconductors</t>
  </si>
  <si>
    <t>8.00</t>
  </si>
  <si>
    <t>teresa</t>
  </si>
  <si>
    <t>sacchetta</t>
  </si>
  <si>
    <t>director - healthcare services</t>
  </si>
  <si>
    <t>Hospital &amp; Health Care</t>
  </si>
  <si>
    <t>carlos roberto</t>
  </si>
  <si>
    <t>katayama</t>
  </si>
  <si>
    <t>barueri, sao paulo, brazil</t>
  </si>
  <si>
    <t>arthur</t>
  </si>
  <si>
    <t>asnis</t>
  </si>
  <si>
    <t>joe</t>
  </si>
  <si>
    <t>rosenbaum</t>
  </si>
  <si>
    <t>vice president, general counsel &amp; corporate secretary</t>
  </si>
  <si>
    <t>greater new york city area, united states, United States</t>
  </si>
  <si>
    <t>Law Practice</t>
  </si>
  <si>
    <t>6,92</t>
  </si>
  <si>
    <t>celso</t>
  </si>
  <si>
    <t>cenotécnico</t>
  </si>
  <si>
    <t>socio</t>
  </si>
  <si>
    <t>rio de janeiro e região, brasil</t>
  </si>
  <si>
    <t>Motion Pictures and Film</t>
  </si>
  <si>
    <t>dean</t>
  </si>
  <si>
    <t>welch gphr sphr</t>
  </si>
  <si>
    <t>vice president of human resources</t>
  </si>
  <si>
    <t>madison, wisconsin area, united states</t>
  </si>
  <si>
    <t>guillermo</t>
  </si>
  <si>
    <t>pizzolo</t>
  </si>
  <si>
    <t>Broadcast Media</t>
  </si>
  <si>
    <t>3.00</t>
  </si>
  <si>
    <t>hector</t>
  </si>
  <si>
    <t>bajac</t>
  </si>
  <si>
    <t>uruguay</t>
  </si>
  <si>
    <t>Uruguay</t>
  </si>
  <si>
    <t>natalia</t>
  </si>
  <si>
    <t>gonzalez amato</t>
  </si>
  <si>
    <t>commercial &amp; marketing director</t>
  </si>
  <si>
    <t>ciudad de méxico y alrededores, méxico</t>
  </si>
  <si>
    <t>francisco de assis</t>
  </si>
  <si>
    <t>garcia</t>
  </si>
  <si>
    <t>santo andre, sao paulo, brazil</t>
  </si>
  <si>
    <t>raul jose mesquita</t>
  </si>
  <si>
    <t>parada</t>
  </si>
  <si>
    <t>head of business development</t>
  </si>
  <si>
    <t>susan</t>
  </si>
  <si>
    <t>bonowitz</t>
  </si>
  <si>
    <t>ceo, executive search consultant</t>
  </si>
  <si>
    <t>columbus, ohio area, united states</t>
  </si>
  <si>
    <t>anabella</t>
  </si>
  <si>
    <t>billece</t>
  </si>
  <si>
    <t>josep mª</t>
  </si>
  <si>
    <t>cos i riera</t>
  </si>
  <si>
    <t>barcelona area, spain</t>
  </si>
  <si>
    <t>Spain</t>
  </si>
  <si>
    <t>miguel</t>
  </si>
  <si>
    <t>herschberg</t>
  </si>
  <si>
    <t>phd student in economics</t>
  </si>
  <si>
    <t>newark, delaware</t>
  </si>
  <si>
    <t>Research</t>
  </si>
  <si>
    <t>3,45</t>
  </si>
  <si>
    <t>jorge</t>
  </si>
  <si>
    <t>facio</t>
  </si>
  <si>
    <t>branch manager</t>
  </si>
  <si>
    <t>zapopan y alrededores, méxico</t>
  </si>
  <si>
    <t>Logistics and Supply Chain</t>
  </si>
  <si>
    <t>garth</t>
  </si>
  <si>
    <t>knudson</t>
  </si>
  <si>
    <t>director, international sales &amp; alliances</t>
  </si>
  <si>
    <t>washington d.c. metro area, united states</t>
  </si>
  <si>
    <t>delto</t>
  </si>
  <si>
    <t>ribeiro</t>
  </si>
  <si>
    <t>juan</t>
  </si>
  <si>
    <t>hecht</t>
  </si>
  <si>
    <t>Higher Education</t>
  </si>
  <si>
    <t>5,92</t>
  </si>
  <si>
    <t>anna</t>
  </si>
  <si>
    <t>n schlegel</t>
  </si>
  <si>
    <t>director, globalization programs strategy office</t>
  </si>
  <si>
    <t>steven</t>
  </si>
  <si>
    <t>cooke</t>
  </si>
  <si>
    <t>ontario, canada</t>
  </si>
  <si>
    <t>Staffing and Recruiting</t>
  </si>
  <si>
    <t>melinda</t>
  </si>
  <si>
    <t>sandlin</t>
  </si>
  <si>
    <t>austin, texas</t>
  </si>
  <si>
    <t>Outsourcing/Offshoring</t>
  </si>
  <si>
    <t>fernando</t>
  </si>
  <si>
    <t>vice president cooling business</t>
  </si>
  <si>
    <t>miami, florida</t>
  </si>
  <si>
    <t>thubten</t>
  </si>
  <si>
    <t>comerford</t>
  </si>
  <si>
    <t>co-founder &amp; publisher</t>
  </si>
  <si>
    <t>portland, oregon</t>
  </si>
  <si>
    <t>albert moreira</t>
  </si>
  <si>
    <t>salvador, bahia, brazil</t>
  </si>
  <si>
    <t>tom debourcy</t>
  </si>
  <si>
    <t>albuquerque, new mexico, United States</t>
  </si>
  <si>
    <t>andres</t>
  </si>
  <si>
    <t>ruiz</t>
  </si>
  <si>
    <t>titular</t>
  </si>
  <si>
    <t>tlalnepantla y alrededores, méxico</t>
  </si>
  <si>
    <t>Architecture &amp; Planning</t>
  </si>
  <si>
    <t>vikramjit</t>
  </si>
  <si>
    <t>singh lion</t>
  </si>
  <si>
    <t>lead it recruiter|sr it recruiter | contract senior recruiter | social media recruiter | head hunter</t>
  </si>
  <si>
    <t>somerset, new jersey</t>
  </si>
  <si>
    <t>Jersey</t>
  </si>
  <si>
    <t>2,83</t>
  </si>
  <si>
    <t>mark</t>
  </si>
  <si>
    <t>coutts mba mark.couttsgmail.com</t>
  </si>
  <si>
    <t>is connecting w/ currency, mtn / bg and comm (gold, oil, diamonds, fuel (petroleum), etc.) buyers / sellers / mandates.</t>
  </si>
  <si>
    <t>albuquerque, new mexico area</t>
  </si>
  <si>
    <t>Financial Services</t>
  </si>
  <si>
    <t>rati</t>
  </si>
  <si>
    <t>mehrotra</t>
  </si>
  <si>
    <t>experienced technical recruiter open networker | tandon.rati@gmail.com toplinked | lion|2000+</t>
  </si>
  <si>
    <t>parsippany, new jersey</t>
  </si>
  <si>
    <t>4,83</t>
  </si>
  <si>
    <t>marc</t>
  </si>
  <si>
    <t>benioff</t>
  </si>
  <si>
    <t>paul</t>
  </si>
  <si>
    <t>davis</t>
  </si>
  <si>
    <t>director</t>
  </si>
  <si>
    <t>oxford, united kingdom</t>
  </si>
  <si>
    <t>gary</t>
  </si>
  <si>
    <t>smith</t>
  </si>
  <si>
    <t>owner &amp; president</t>
  </si>
  <si>
    <t>hartford, connecticut area, united states</t>
  </si>
  <si>
    <t>sean</t>
  </si>
  <si>
    <t>delaney</t>
  </si>
  <si>
    <t>sr. director</t>
  </si>
  <si>
    <t>krishna</t>
  </si>
  <si>
    <t>dereddy</t>
  </si>
  <si>
    <t>ceo and president</t>
  </si>
  <si>
    <t>greater new york city area, united states</t>
  </si>
  <si>
    <t>bill</t>
  </si>
  <si>
    <t>branstetter</t>
  </si>
  <si>
    <t>managing director</t>
  </si>
  <si>
    <t>san antonio, texas area, united states</t>
  </si>
  <si>
    <t>Defense &amp; Space</t>
  </si>
  <si>
    <t>reena</t>
  </si>
  <si>
    <t>gupta</t>
  </si>
  <si>
    <t>founder &amp; ceo</t>
  </si>
  <si>
    <t>rubiano</t>
  </si>
  <si>
    <t>senior account manager/ senior sales associate</t>
  </si>
  <si>
    <t>harrison d.</t>
  </si>
  <si>
    <t>lee</t>
  </si>
  <si>
    <t>marcos</t>
  </si>
  <si>
    <t>garcia calviño</t>
  </si>
  <si>
    <t>hirsch music</t>
  </si>
  <si>
    <t>calabasas, california</t>
  </si>
  <si>
    <t>Music</t>
  </si>
  <si>
    <t>valera (lion - open networker)</t>
  </si>
  <si>
    <t>entrepreneur, designer, hustler</t>
  </si>
  <si>
    <t>san francisco bay area, United States</t>
  </si>
  <si>
    <t>margo</t>
  </si>
  <si>
    <t>rose</t>
  </si>
  <si>
    <t>founder of hirefriday</t>
  </si>
  <si>
    <t>united states</t>
  </si>
  <si>
    <t>Online Media</t>
  </si>
  <si>
    <t>q it</t>
  </si>
  <si>
    <t>quadro martín.</t>
  </si>
  <si>
    <t>juan pablo</t>
  </si>
  <si>
    <t>romero lopez</t>
  </si>
  <si>
    <t>dominican republic</t>
  </si>
  <si>
    <t>Dominica</t>
  </si>
  <si>
    <t>dominic</t>
  </si>
  <si>
    <t>dufaur</t>
  </si>
  <si>
    <t>principal consultant</t>
  </si>
  <si>
    <t>sydney area, australia</t>
  </si>
  <si>
    <t>Australia</t>
  </si>
  <si>
    <t>leena</t>
  </si>
  <si>
    <t>jacob</t>
  </si>
  <si>
    <t>owner/ceo</t>
  </si>
  <si>
    <t>kevin</t>
  </si>
  <si>
    <t>jenkins</t>
  </si>
  <si>
    <t>vice-president of operations</t>
  </si>
  <si>
    <t>Mining &amp; Metals</t>
  </si>
  <si>
    <t>cynthya</t>
  </si>
  <si>
    <t>méndez torres</t>
  </si>
  <si>
    <t>project manager</t>
  </si>
  <si>
    <t>kim</t>
  </si>
  <si>
    <t>jan vangslev johansson</t>
  </si>
  <si>
    <t>scr freelance subcontractor - websphere specialist</t>
  </si>
  <si>
    <t>copenhagen area, denmark</t>
  </si>
  <si>
    <t>Denmark</t>
  </si>
  <si>
    <t>alejandro</t>
  </si>
  <si>
    <t>púlito</t>
  </si>
  <si>
    <t>mexico city area, mexico</t>
  </si>
  <si>
    <t>Facilities Services</t>
  </si>
  <si>
    <t>1.00</t>
  </si>
  <si>
    <t>marcelo</t>
  </si>
  <si>
    <t>jañez</t>
  </si>
  <si>
    <t>orli</t>
  </si>
  <si>
    <t>machado</t>
  </si>
  <si>
    <t>javier</t>
  </si>
  <si>
    <t>michelli</t>
  </si>
  <si>
    <t>peru</t>
  </si>
  <si>
    <t>Environmental Services</t>
  </si>
  <si>
    <t>Peru</t>
  </si>
  <si>
    <t>7,57</t>
  </si>
  <si>
    <t>ankur</t>
  </si>
  <si>
    <t>sharma</t>
  </si>
  <si>
    <t>chairman, president &amp; ceo</t>
  </si>
  <si>
    <t>cristina</t>
  </si>
  <si>
    <t>torres raimondkedilhac</t>
  </si>
  <si>
    <t>recursos humanos</t>
  </si>
  <si>
    <t>Pharmaceuticals</t>
  </si>
  <si>
    <t>salah</t>
  </si>
  <si>
    <t>nasri</t>
  </si>
  <si>
    <t>managing director, teachertool kit</t>
  </si>
  <si>
    <t>j.r.</t>
  </si>
  <si>
    <t>roman</t>
  </si>
  <si>
    <t>presidente</t>
  </si>
  <si>
    <t>orlando, florida</t>
  </si>
  <si>
    <t>Civic &amp; Social Organization</t>
  </si>
  <si>
    <t>marcus</t>
  </si>
  <si>
    <t>davage</t>
  </si>
  <si>
    <t>database administrator</t>
  </si>
  <si>
    <t>cardiff, cardiff, united kingdom</t>
  </si>
  <si>
    <t>maria iracema</t>
  </si>
  <si>
    <t>alambert</t>
  </si>
  <si>
    <t>josé</t>
  </si>
  <si>
    <t>zorzi</t>
  </si>
  <si>
    <t>opportunity manager - corporate accounts</t>
  </si>
  <si>
    <t>jess</t>
  </si>
  <si>
    <t>erickson</t>
  </si>
  <si>
    <t>key factory</t>
  </si>
  <si>
    <t>software</t>
  </si>
  <si>
    <t>armando castellano jr</t>
  </si>
  <si>
    <t>new york, new york, United States</t>
  </si>
  <si>
    <t>colin</t>
  </si>
  <si>
    <t>johnson</t>
  </si>
  <si>
    <t>founder</t>
  </si>
  <si>
    <t>lender</t>
  </si>
  <si>
    <t>woolley</t>
  </si>
  <si>
    <t>toronto, ontario, canada</t>
  </si>
  <si>
    <t>robin</t>
  </si>
  <si>
    <t>zygelman</t>
  </si>
  <si>
    <t>owner of pet affiliate network</t>
  </si>
  <si>
    <t>west palm beach, florida area, united states</t>
  </si>
  <si>
    <t>edward</t>
  </si>
  <si>
    <t>zapolsky</t>
  </si>
  <si>
    <t>vice president</t>
  </si>
  <si>
    <t>santa ana, california</t>
  </si>
  <si>
    <t>robert</t>
  </si>
  <si>
    <t>scola</t>
  </si>
  <si>
    <t>tom</t>
  </si>
  <si>
    <t>turchioe</t>
  </si>
  <si>
    <t>chief technology officer</t>
  </si>
  <si>
    <t>denver, colorado</t>
  </si>
  <si>
    <t>ivan</t>
  </si>
  <si>
    <t>frutos</t>
  </si>
  <si>
    <t>volunteer- event planner</t>
  </si>
  <si>
    <t>parís y alrededores, francia</t>
  </si>
  <si>
    <t>Nonprofit Organization Management</t>
  </si>
  <si>
    <t>carolina</t>
  </si>
  <si>
    <t>mendes folkertsma</t>
  </si>
  <si>
    <t>divisional contracts process owner (latin america)</t>
  </si>
  <si>
    <t>richmond, virginia</t>
  </si>
  <si>
    <t>fonseca</t>
  </si>
  <si>
    <t>business development</t>
  </si>
  <si>
    <t>costa rica</t>
  </si>
  <si>
    <t>Costa Rica</t>
  </si>
  <si>
    <t>rodrigo</t>
  </si>
  <si>
    <t>byrro</t>
  </si>
  <si>
    <t>andy</t>
  </si>
  <si>
    <t>isaac</t>
  </si>
  <si>
    <t>director, corporate services procurement</t>
  </si>
  <si>
    <t>whitehouse station, new jersey</t>
  </si>
  <si>
    <t>resende</t>
  </si>
  <si>
    <t>diretor executivo - ceo</t>
  </si>
  <si>
    <t>belo horizonte area, brazil</t>
  </si>
  <si>
    <t>E-Learning</t>
  </si>
  <si>
    <t>siffert</t>
  </si>
  <si>
    <t>professor de pós-graduação</t>
  </si>
  <si>
    <t>eschbacher</t>
  </si>
  <si>
    <t>director, business development</t>
  </si>
  <si>
    <t>randolph, new jersey</t>
  </si>
  <si>
    <t>Transportation/Trucking/Railroad</t>
  </si>
  <si>
    <t>moira</t>
  </si>
  <si>
    <t>kutz</t>
  </si>
  <si>
    <t>supervisor conventions &amp; traffic</t>
  </si>
  <si>
    <t>princeton, new jersey</t>
  </si>
  <si>
    <t>robert c c</t>
  </si>
  <si>
    <t>opara</t>
  </si>
  <si>
    <t>financial consultant</t>
  </si>
  <si>
    <t>baseemah</t>
  </si>
  <si>
    <t>gaither</t>
  </si>
  <si>
    <t>student at kaplan university</t>
  </si>
  <si>
    <t>greater philadelphia area, united states</t>
  </si>
  <si>
    <t>Human Resources</t>
  </si>
  <si>
    <t>8,98</t>
  </si>
  <si>
    <t>john</t>
  </si>
  <si>
    <t>kozel</t>
  </si>
  <si>
    <t>senior jde administrator</t>
  </si>
  <si>
    <t>manuela</t>
  </si>
  <si>
    <t>arnedo barreiro</t>
  </si>
  <si>
    <t>founder &amp; business development</t>
  </si>
  <si>
    <t>nathalie</t>
  </si>
  <si>
    <t>zanata</t>
  </si>
  <si>
    <t>supervisor de produção</t>
  </si>
  <si>
    <t>campinas e região, brasil</t>
  </si>
  <si>
    <t>Food &amp; Beverages</t>
  </si>
  <si>
    <t>dan</t>
  </si>
  <si>
    <t>stecher</t>
  </si>
  <si>
    <t>broker associate/office manager</t>
  </si>
  <si>
    <t>margate city, new jersey</t>
  </si>
  <si>
    <t>Real Estate</t>
  </si>
  <si>
    <t>ronda</t>
  </si>
  <si>
    <t>campbell    recruiter  sourcing expert</t>
  </si>
  <si>
    <t>karen</t>
  </si>
  <si>
    <t>vargas</t>
  </si>
  <si>
    <t>dir. medios digitales</t>
  </si>
  <si>
    <t>carlos eduardo</t>
  </si>
  <si>
    <t>matheus</t>
  </si>
  <si>
    <t>jairo</t>
  </si>
  <si>
    <t>cardoso de oliveira</t>
  </si>
  <si>
    <t>professor post graduation</t>
  </si>
  <si>
    <t>jean carlo</t>
  </si>
  <si>
    <t>klaumann</t>
  </si>
  <si>
    <t>ceo at linx sistemas</t>
  </si>
  <si>
    <t>carter</t>
  </si>
  <si>
    <t>nicholas</t>
  </si>
  <si>
    <t>madrid area, spain</t>
  </si>
  <si>
    <t>sergio</t>
  </si>
  <si>
    <t>anduaga</t>
  </si>
  <si>
    <t>technical support consultant</t>
  </si>
  <si>
    <t>monterrey y alrededores, méxico</t>
  </si>
  <si>
    <t>6,25</t>
  </si>
  <si>
    <t>alves</t>
  </si>
  <si>
    <t>general manager</t>
  </si>
  <si>
    <t>rio de janeiro, rio de janeiro, brazil</t>
  </si>
  <si>
    <t>savioli cavalcanti</t>
  </si>
  <si>
    <t>francisco</t>
  </si>
  <si>
    <t>de oliveira lopez</t>
  </si>
  <si>
    <t>tabachnik</t>
  </si>
  <si>
    <t>president, carrier packet services</t>
  </si>
  <si>
    <t>cleveland/akron, ohio area, united states</t>
  </si>
  <si>
    <t>jose</t>
  </si>
  <si>
    <t>siandre</t>
  </si>
  <si>
    <t>independant energy management consultant</t>
  </si>
  <si>
    <t>west milford, new jersey</t>
  </si>
  <si>
    <t>6,58</t>
  </si>
  <si>
    <t>mike</t>
  </si>
  <si>
    <t>england</t>
  </si>
  <si>
    <t>social media &amp; content director</t>
  </si>
  <si>
    <t>hersham, surrey, united kingdom</t>
  </si>
  <si>
    <t>juan ignacio</t>
  </si>
  <si>
    <t>serrot</t>
  </si>
  <si>
    <t>co-founder</t>
  </si>
  <si>
    <t>Gambling &amp; Casinos</t>
  </si>
  <si>
    <t>teixeira de souza</t>
  </si>
  <si>
    <t>coordenador de tecnologia</t>
  </si>
  <si>
    <t>belo horizonte e região, brasil</t>
  </si>
  <si>
    <t>6.00</t>
  </si>
  <si>
    <t>ignacio</t>
  </si>
  <si>
    <t>andreu</t>
  </si>
  <si>
    <t>méndez y m.</t>
  </si>
  <si>
    <t>lic. eduardo méndez y m.</t>
  </si>
  <si>
    <t>alok</t>
  </si>
  <si>
    <t>verma</t>
  </si>
  <si>
    <t>vice president, americas</t>
  </si>
  <si>
    <t>edith varhelyi</t>
  </si>
  <si>
    <t>ruben</t>
  </si>
  <si>
    <t>levcovitz</t>
  </si>
  <si>
    <t>international commercial director</t>
  </si>
  <si>
    <t>matthew</t>
  </si>
  <si>
    <t>barnett linkedintamarproperty.co.uk</t>
  </si>
  <si>
    <t>founder and ceo</t>
  </si>
  <si>
    <t>stella</t>
  </si>
  <si>
    <t>gimenez norfleet</t>
  </si>
  <si>
    <t>ceo - multicultural creative director</t>
  </si>
  <si>
    <t>christian</t>
  </si>
  <si>
    <t>desert</t>
  </si>
  <si>
    <t>san francisco, california, United States</t>
  </si>
  <si>
    <t>cesar</t>
  </si>
  <si>
    <t>castillo</t>
  </si>
  <si>
    <t>honduras</t>
  </si>
  <si>
    <t>Honduras</t>
  </si>
  <si>
    <t>geoff</t>
  </si>
  <si>
    <t>cook</t>
  </si>
  <si>
    <t>mario</t>
  </si>
  <si>
    <t>rietti</t>
  </si>
  <si>
    <t>president of consultores financieros internacionales s.a. (cofinsa)</t>
  </si>
  <si>
    <t>zara</t>
  </si>
  <si>
    <t>ohanjanyan</t>
  </si>
  <si>
    <t>armenia</t>
  </si>
  <si>
    <t>Armenia</t>
  </si>
  <si>
    <t>kinney</t>
  </si>
  <si>
    <t>sales director technology consulting &amp; integration services bu</t>
  </si>
  <si>
    <t>ted</t>
  </si>
  <si>
    <t>adams</t>
  </si>
  <si>
    <t>Publishing</t>
  </si>
  <si>
    <t>murray</t>
  </si>
  <si>
    <t>newlands</t>
  </si>
  <si>
    <t>werner</t>
  </si>
  <si>
    <t>dorfmeister</t>
  </si>
  <si>
    <t>sales manager outsourcing cee hq</t>
  </si>
  <si>
    <t>Austria</t>
  </si>
  <si>
    <t>susana</t>
  </si>
  <si>
    <t>rojas</t>
  </si>
  <si>
    <t>gerente de mercadotecnia</t>
  </si>
  <si>
    <t>ecatepec y alrededores, méxico</t>
  </si>
  <si>
    <t>yogesh</t>
  </si>
  <si>
    <t>kakar</t>
  </si>
  <si>
    <t>president - operations</t>
  </si>
  <si>
    <t>bengaluru area, india</t>
  </si>
  <si>
    <t>Other</t>
  </si>
  <si>
    <t>midón</t>
  </si>
  <si>
    <t>director de planificación y desarrollo cono sur</t>
  </si>
  <si>
    <t>rio de janeiro, rio de janeiro, brasil</t>
  </si>
  <si>
    <t>Oil &amp; Energy</t>
  </si>
  <si>
    <t>7,33</t>
  </si>
  <si>
    <t>hernandes</t>
  </si>
  <si>
    <t>alexandre</t>
  </si>
  <si>
    <t>zago</t>
  </si>
  <si>
    <t>service delivery director</t>
  </si>
  <si>
    <t>paulo f.</t>
  </si>
  <si>
    <t>gutmann</t>
  </si>
  <si>
    <t>claudio akira</t>
  </si>
  <si>
    <t>endo</t>
  </si>
  <si>
    <t>technology and alliance director</t>
  </si>
  <si>
    <t>eneko</t>
  </si>
  <si>
    <t>knorr</t>
  </si>
  <si>
    <t>barry</t>
  </si>
  <si>
    <t>weiss</t>
  </si>
  <si>
    <t>wrobel</t>
  </si>
  <si>
    <t>sales &amp; services director</t>
  </si>
  <si>
    <t>moreira</t>
  </si>
  <si>
    <t>financeiro e professor (tutor) universitário</t>
  </si>
  <si>
    <t>taubaté e região, brasil</t>
  </si>
  <si>
    <t>Accounting</t>
  </si>
  <si>
    <t>2,25</t>
  </si>
  <si>
    <t>leslie</t>
  </si>
  <si>
    <t>drechsler</t>
  </si>
  <si>
    <t>paid search specialist</t>
  </si>
  <si>
    <t>honolulu, hawaii</t>
  </si>
  <si>
    <t>roberto</t>
  </si>
  <si>
    <t>soto</t>
  </si>
  <si>
    <t>gm</t>
  </si>
  <si>
    <t>Food Production</t>
  </si>
  <si>
    <t>ricardo</t>
  </si>
  <si>
    <t>lopez gaytan</t>
  </si>
  <si>
    <t>gerente corporativo rrhh</t>
  </si>
  <si>
    <t>Consumer Goods</t>
  </si>
  <si>
    <t>erika</t>
  </si>
  <si>
    <t>arias bogarin</t>
  </si>
  <si>
    <t>propietario</t>
  </si>
  <si>
    <t>guadalajara y alrededores, méxico</t>
  </si>
  <si>
    <t>prof. luiz guerra.</t>
  </si>
  <si>
    <t>advogado. jurista  livros. palestrante</t>
  </si>
  <si>
    <t>presidente honorário do conselho editorial</t>
  </si>
  <si>
    <t>brasilia, distrito federal, brasil</t>
  </si>
  <si>
    <t>Legal Services</t>
  </si>
  <si>
    <t>antonio carlos</t>
  </si>
  <si>
    <t>freitas</t>
  </si>
  <si>
    <t>software sales rep</t>
  </si>
  <si>
    <t>tim</t>
  </si>
  <si>
    <t>sullivan</t>
  </si>
  <si>
    <t>president - board of directors</t>
  </si>
  <si>
    <t>greater chicago area, united states</t>
  </si>
  <si>
    <t>Construction</t>
  </si>
  <si>
    <t>6,17</t>
  </si>
  <si>
    <t>chris</t>
  </si>
  <si>
    <t>merchant</t>
  </si>
  <si>
    <t>co-founder and ceo</t>
  </si>
  <si>
    <t>flavio</t>
  </si>
  <si>
    <t>azevedo</t>
  </si>
  <si>
    <t>regional director</t>
  </si>
  <si>
    <t>leonardo</t>
  </si>
  <si>
    <t>avila</t>
  </si>
  <si>
    <t>account manager, north america region</t>
  </si>
  <si>
    <t>joshua</t>
  </si>
  <si>
    <t>costea</t>
  </si>
  <si>
    <t>director of business development</t>
  </si>
  <si>
    <t>shannon</t>
  </si>
  <si>
    <t>byrne</t>
  </si>
  <si>
    <t>global marketing program manager, networking</t>
  </si>
  <si>
    <t>0,83</t>
  </si>
  <si>
    <t>claudio</t>
  </si>
  <si>
    <t>rinnert</t>
  </si>
  <si>
    <t>bi account manager - indirect sales</t>
  </si>
  <si>
    <t>florianopolis, santa catarina, brazil</t>
  </si>
  <si>
    <t>nanda kumar</t>
  </si>
  <si>
    <t>k v</t>
  </si>
  <si>
    <t>sterling, virginia, United States</t>
  </si>
  <si>
    <t>udi</t>
  </si>
  <si>
    <t>shani</t>
  </si>
  <si>
    <t>vp</t>
  </si>
  <si>
    <t>gisela</t>
  </si>
  <si>
    <t>lópez</t>
  </si>
  <si>
    <t>coordinadora de reclutamiento y selección.</t>
  </si>
  <si>
    <t>contacts</t>
  </si>
  <si>
    <t>covarrubiasgil jacovargreensec.com</t>
  </si>
  <si>
    <t>mexico</t>
  </si>
  <si>
    <t>Renewables &amp; Environment</t>
  </si>
  <si>
    <t>gordon</t>
  </si>
  <si>
    <t>jaime</t>
  </si>
  <si>
    <t>ferreira</t>
  </si>
  <si>
    <t>it general manager</t>
  </si>
  <si>
    <t>portugal</t>
  </si>
  <si>
    <t>Electrical/Electronic Manufacturing</t>
  </si>
  <si>
    <t>Portugal</t>
  </si>
  <si>
    <t>mariana</t>
  </si>
  <si>
    <t>teixeira</t>
  </si>
  <si>
    <t>human resources manager</t>
  </si>
  <si>
    <t>guaratingueta area, brazil</t>
  </si>
  <si>
    <t>torres</t>
  </si>
  <si>
    <t>latam sales &amp; projects manager</t>
  </si>
  <si>
    <t>daniel</t>
  </si>
  <si>
    <t>gómez iñiguez</t>
  </si>
  <si>
    <t>fundador</t>
  </si>
  <si>
    <t>bateman</t>
  </si>
  <si>
    <t>Insurance</t>
  </si>
  <si>
    <t>varinder</t>
  </si>
  <si>
    <t>bains</t>
  </si>
  <si>
    <t>ashford, surrey, united kingdom</t>
  </si>
  <si>
    <t>dantas</t>
  </si>
  <si>
    <t>manager enterprise computing solutions</t>
  </si>
  <si>
    <t>amir</t>
  </si>
  <si>
    <t>quraishi</t>
  </si>
  <si>
    <t>sr. consultant for disaster recovery and data center design and planning</t>
  </si>
  <si>
    <t>saudi arabia</t>
  </si>
  <si>
    <t>Saudi Arabia</t>
  </si>
  <si>
    <t>manoel</t>
  </si>
  <si>
    <t>messias</t>
  </si>
  <si>
    <t>gerente corporativo de proteção a receita</t>
  </si>
  <si>
    <t>joão pessoa e região, brasil</t>
  </si>
  <si>
    <t>Utilities</t>
  </si>
  <si>
    <t>5,33</t>
  </si>
  <si>
    <t>armando</t>
  </si>
  <si>
    <t>peñafiel sáez</t>
  </si>
  <si>
    <t>quality assurance manager</t>
  </si>
  <si>
    <t>chile</t>
  </si>
  <si>
    <t>Chile</t>
  </si>
  <si>
    <t>rafael</t>
  </si>
  <si>
    <t>cristaldo</t>
  </si>
  <si>
    <t>comprador</t>
  </si>
  <si>
    <t>são paulo e região, brasil</t>
  </si>
  <si>
    <t>mayaud</t>
  </si>
  <si>
    <t>managing director | principal</t>
  </si>
  <si>
    <t>Venture Capital &amp; Private Equity</t>
  </si>
  <si>
    <t>jason</t>
  </si>
  <si>
    <t>neff</t>
  </si>
  <si>
    <t>volunteer patient escort</t>
  </si>
  <si>
    <t>greater boston area, united states</t>
  </si>
  <si>
    <t>Biotechnology</t>
  </si>
  <si>
    <t>vivek bhugra</t>
  </si>
  <si>
    <t>gurgaon, india</t>
  </si>
  <si>
    <t>felix</t>
  </si>
  <si>
    <t>dicamillo</t>
  </si>
  <si>
    <t>senior sales executive/account manager</t>
  </si>
  <si>
    <t>rochester, new york area, united states</t>
  </si>
  <si>
    <t>andrew</t>
  </si>
  <si>
    <t>brummer</t>
  </si>
  <si>
    <t>usa country manager (sales, resourcing, escalation, partnerships)</t>
  </si>
  <si>
    <t>alpharetta, georgia</t>
  </si>
  <si>
    <t>lynette</t>
  </si>
  <si>
    <t>dejean</t>
  </si>
  <si>
    <t>technical publications manager</t>
  </si>
  <si>
    <t>greater denver area, united states</t>
  </si>
  <si>
    <t>8,67</t>
  </si>
  <si>
    <t>julio cesar</t>
  </si>
  <si>
    <t>van vossen</t>
  </si>
  <si>
    <t>joinville area, brazil</t>
  </si>
  <si>
    <t>gottberg</t>
  </si>
  <si>
    <t>expert business manager</t>
  </si>
  <si>
    <t>são paulo y alrededores, brasil</t>
  </si>
  <si>
    <t>atracción</t>
  </si>
  <si>
    <t>de talento</t>
  </si>
  <si>
    <t>atracción de talento oat</t>
  </si>
  <si>
    <t>joao henrique</t>
  </si>
  <si>
    <t>silva</t>
  </si>
  <si>
    <t>operador de produção</t>
  </si>
  <si>
    <t>dwyer</t>
  </si>
  <si>
    <t>select account manager</t>
  </si>
  <si>
    <t>charlotte, north carolina area, united states</t>
  </si>
  <si>
    <t>harlan</t>
  </si>
  <si>
    <t>flint</t>
  </si>
  <si>
    <t>financial advisor</t>
  </si>
  <si>
    <t>santa fe, new mexico area</t>
  </si>
  <si>
    <t>gleb</t>
  </si>
  <si>
    <t>budman</t>
  </si>
  <si>
    <t>ceo and co-founder</t>
  </si>
  <si>
    <t>jim</t>
  </si>
  <si>
    <t>chadbourne</t>
  </si>
  <si>
    <t>greg</t>
  </si>
  <si>
    <t>walsh</t>
  </si>
  <si>
    <t>senior partner</t>
  </si>
  <si>
    <t>bill learning</t>
  </si>
  <si>
    <t>open networker</t>
  </si>
  <si>
    <t>barbara</t>
  </si>
  <si>
    <t>holden</t>
  </si>
  <si>
    <t>ceo of boost biz with video | author of &amp;quot;30 days to kick-butt video marketing&amp;quot;</t>
  </si>
  <si>
    <t>austin, texas area, united states</t>
  </si>
  <si>
    <t>earl</t>
  </si>
  <si>
    <t>mann</t>
  </si>
  <si>
    <t>las vegas, nevada</t>
  </si>
  <si>
    <t>7,83</t>
  </si>
  <si>
    <t>general-manager</t>
  </si>
  <si>
    <t>brazil</t>
  </si>
  <si>
    <t>phaedon</t>
  </si>
  <si>
    <t>stough</t>
  </si>
  <si>
    <t>jørgen</t>
  </si>
  <si>
    <t>larsen</t>
  </si>
  <si>
    <t>chief technology officer (cto)</t>
  </si>
  <si>
    <t>bruce</t>
  </si>
  <si>
    <t>hatz</t>
  </si>
  <si>
    <t>managing director, global staffing</t>
  </si>
  <si>
    <t>anadi</t>
  </si>
  <si>
    <t>sinha</t>
  </si>
  <si>
    <t>president - group hrm</t>
  </si>
  <si>
    <t>gurgaon, haryana, india</t>
  </si>
  <si>
    <t>shyam</t>
  </si>
  <si>
    <t>nadig</t>
  </si>
  <si>
    <t>bengaluru, karnataka, india</t>
  </si>
  <si>
    <t>jeff</t>
  </si>
  <si>
    <t>poole</t>
  </si>
  <si>
    <t>account manager (software sales)</t>
  </si>
  <si>
    <t>s. michael</t>
  </si>
  <si>
    <t>sam</t>
  </si>
  <si>
    <t>yaple</t>
  </si>
  <si>
    <t>regional sales manager document automation solutions</t>
  </si>
  <si>
    <t>other</t>
  </si>
  <si>
    <t>5,88</t>
  </si>
  <si>
    <t>ray</t>
  </si>
  <si>
    <t>beauchamp</t>
  </si>
  <si>
    <t>sales manager - owner</t>
  </si>
  <si>
    <t>simon</t>
  </si>
  <si>
    <t>taylor</t>
  </si>
  <si>
    <t>channel manager</t>
  </si>
  <si>
    <t>cambridge, united kingdom</t>
  </si>
  <si>
    <t>verges</t>
  </si>
  <si>
    <t>commercial operations manager</t>
  </si>
  <si>
    <t>roesch</t>
  </si>
  <si>
    <t>cto &amp; founder</t>
  </si>
  <si>
    <t>baltimore, maryland area, united states</t>
  </si>
  <si>
    <t>pascal</t>
  </si>
  <si>
    <t>houillon</t>
  </si>
  <si>
    <t>president and ceo sage north america</t>
  </si>
  <si>
    <t>orange county, california area, united states</t>
  </si>
  <si>
    <t>raj</t>
  </si>
  <si>
    <t>abhyanker</t>
  </si>
  <si>
    <t>angel investor</t>
  </si>
  <si>
    <t>vanina</t>
  </si>
  <si>
    <t>delobelle</t>
  </si>
  <si>
    <t>director, ecommerce product management</t>
  </si>
  <si>
    <t>aliza</t>
  </si>
  <si>
    <t>settecase</t>
  </si>
  <si>
    <t>catering sales manager</t>
  </si>
  <si>
    <t>8,17</t>
  </si>
  <si>
    <t>hywel</t>
  </si>
  <si>
    <t>moore</t>
  </si>
  <si>
    <t>motherwell, united kingdom</t>
  </si>
  <si>
    <t>watjen</t>
  </si>
  <si>
    <t>sales manager - workspace collaboration - uc saas</t>
  </si>
  <si>
    <t>nancy</t>
  </si>
  <si>
    <t>chou</t>
  </si>
  <si>
    <t>sr. director, customer success</t>
  </si>
  <si>
    <t>araluce</t>
  </si>
  <si>
    <t>milton</t>
  </si>
  <si>
    <t>stainle maester</t>
  </si>
  <si>
    <t>owner &amp; ceo</t>
  </si>
  <si>
    <t>marmash</t>
  </si>
  <si>
    <t>founder and managing partner</t>
  </si>
  <si>
    <t>sander</t>
  </si>
  <si>
    <t>spit</t>
  </si>
  <si>
    <t>partner</t>
  </si>
  <si>
    <t>amsterdam area, netherlands</t>
  </si>
  <si>
    <t>Netherlands</t>
  </si>
  <si>
    <t>turzo</t>
  </si>
  <si>
    <t>dave</t>
  </si>
  <si>
    <t>zinman</t>
  </si>
  <si>
    <t>chief operating officer</t>
  </si>
  <si>
    <t>stuart</t>
  </si>
  <si>
    <t>ceo, eame</t>
  </si>
  <si>
    <t>Public Relations and Communications</t>
  </si>
  <si>
    <t>david</t>
  </si>
  <si>
    <t>banko</t>
  </si>
  <si>
    <t>leatherhead, surrey, united kingdom</t>
  </si>
  <si>
    <t>daves</t>
  </si>
  <si>
    <t>souza</t>
  </si>
  <si>
    <t>diretor presidente</t>
  </si>
  <si>
    <t>louise</t>
  </si>
  <si>
    <t>alexander</t>
  </si>
  <si>
    <t>director of global sales</t>
  </si>
  <si>
    <t>francisco tony brixi</t>
  </si>
  <si>
    <t>cal</t>
  </si>
  <si>
    <t>lai</t>
  </si>
  <si>
    <t>stéphan</t>
  </si>
  <si>
    <t>viel</t>
  </si>
  <si>
    <t>izabel</t>
  </si>
  <si>
    <t>feijó</t>
  </si>
  <si>
    <t>cedar rapids, iowa area, United States</t>
  </si>
  <si>
    <t>gabriel</t>
  </si>
  <si>
    <t>vleisides</t>
  </si>
  <si>
    <t>kansas city, missouri area, united states, United States</t>
  </si>
  <si>
    <t>Medical Devices</t>
  </si>
  <si>
    <t>nicole</t>
  </si>
  <si>
    <t>donnelly</t>
  </si>
  <si>
    <t>finance</t>
  </si>
  <si>
    <t>schwartz</t>
  </si>
  <si>
    <t>manager, strategic sales and partner management</t>
  </si>
  <si>
    <t>san mateo, california</t>
  </si>
  <si>
    <t>john chino</t>
  </si>
  <si>
    <t>Computer Networking</t>
  </si>
  <si>
    <t>timothy</t>
  </si>
  <si>
    <t>daut</t>
  </si>
  <si>
    <t>branch sales manager</t>
  </si>
  <si>
    <t>mount laurel, new jersey</t>
  </si>
  <si>
    <t>hepner</t>
  </si>
  <si>
    <t>richard</t>
  </si>
  <si>
    <t>navarro</t>
  </si>
  <si>
    <t>regional sales manager, ny/nj, mid-atlantic &amp; southeast</t>
  </si>
  <si>
    <t>new york, new york</t>
  </si>
  <si>
    <t>diedrick</t>
  </si>
  <si>
    <t>sales executive</t>
  </si>
  <si>
    <t>tomahawk, wisconsin</t>
  </si>
  <si>
    <t>bartfai</t>
  </si>
  <si>
    <t>vice president of public relations</t>
  </si>
  <si>
    <t>tucson, arizona area, united states</t>
  </si>
  <si>
    <t>riccardo</t>
  </si>
  <si>
    <t>di blasio</t>
  </si>
  <si>
    <t>palo alto, california, United States</t>
  </si>
  <si>
    <t>gigi alexandra</t>
  </si>
  <si>
    <t>neuenfeldt</t>
  </si>
  <si>
    <t>lisette</t>
  </si>
  <si>
    <t>sens</t>
  </si>
  <si>
    <t>svp sales</t>
  </si>
  <si>
    <t>jamie</t>
  </si>
  <si>
    <t>haskins</t>
  </si>
  <si>
    <t>director of business development - enterprise sales</t>
  </si>
  <si>
    <t>pawleys island, south carolina</t>
  </si>
  <si>
    <t>lygia</t>
  </si>
  <si>
    <t>fritsch</t>
  </si>
  <si>
    <t>channel sales coordinator</t>
  </si>
  <si>
    <t>ori</t>
  </si>
  <si>
    <t>yacobi</t>
  </si>
  <si>
    <t>vice president - sales manager</t>
  </si>
  <si>
    <t>lori</t>
  </si>
  <si>
    <t>pleva</t>
  </si>
  <si>
    <t>jersey city, new jersey</t>
  </si>
  <si>
    <t>Entertainment</t>
  </si>
  <si>
    <t>rusel</t>
  </si>
  <si>
    <t>demaria</t>
  </si>
  <si>
    <t>board of directors</t>
  </si>
  <si>
    <t>greater seattle area, united states</t>
  </si>
  <si>
    <t>orcero</t>
  </si>
  <si>
    <t>director global fiber acquisition</t>
  </si>
  <si>
    <t>dr. cindy</t>
  </si>
  <si>
    <t>mariel</t>
  </si>
  <si>
    <t>clemensen</t>
  </si>
  <si>
    <t>fabrice</t>
  </si>
  <si>
    <t>prugnaud</t>
  </si>
  <si>
    <t>vice president emea</t>
  </si>
  <si>
    <t>tobias</t>
  </si>
  <si>
    <t>soppa</t>
  </si>
  <si>
    <t>leipzig area, germany</t>
  </si>
  <si>
    <t>Germany</t>
  </si>
  <si>
    <t>goiania, goias, brazil</t>
  </si>
  <si>
    <t>jens</t>
  </si>
  <si>
    <t>backes jensbackesgmail.com</t>
  </si>
  <si>
    <t>vp access services</t>
  </si>
  <si>
    <t>london, greater london, united kingdom</t>
  </si>
  <si>
    <t>garry</t>
  </si>
  <si>
    <t>veale</t>
  </si>
  <si>
    <t>weybridge, surrey, united kingdom</t>
  </si>
  <si>
    <t>belcher</t>
  </si>
  <si>
    <t>regional sales director</t>
  </si>
  <si>
    <t>danielle</t>
  </si>
  <si>
    <t>kieschnick</t>
  </si>
  <si>
    <t>recruiting strategy partner</t>
  </si>
  <si>
    <t>bob</t>
  </si>
  <si>
    <t>levitt</t>
  </si>
  <si>
    <t>perry</t>
  </si>
  <si>
    <t>ceo &amp; co-founder</t>
  </si>
  <si>
    <t>lazar</t>
  </si>
  <si>
    <t>general manager &amp; vp , international</t>
  </si>
  <si>
    <t>milton, massachusetts</t>
  </si>
  <si>
    <t>glenn</t>
  </si>
  <si>
    <t>weinstein</t>
  </si>
  <si>
    <t>riva</t>
  </si>
  <si>
    <t>sales manager</t>
  </si>
  <si>
    <t>lebanon, ohio</t>
  </si>
  <si>
    <t>Lebanon</t>
  </si>
  <si>
    <t>heidi</t>
  </si>
  <si>
    <t>popov</t>
  </si>
  <si>
    <t>founder/president</t>
  </si>
  <si>
    <t>reichert</t>
  </si>
  <si>
    <t>myles</t>
  </si>
  <si>
    <t>trachtenberg</t>
  </si>
  <si>
    <t>chief information officer</t>
  </si>
  <si>
    <t>peter t.</t>
  </si>
  <si>
    <t>golder</t>
  </si>
  <si>
    <t>founder, ceo and chairman</t>
  </si>
  <si>
    <t>co-founder, executive vice president, sales enablement</t>
  </si>
  <si>
    <t>albany, new york area, united states</t>
  </si>
  <si>
    <t>jordan</t>
  </si>
  <si>
    <t>hungerford, berkshire, united kingdom</t>
  </si>
  <si>
    <t>bregman</t>
  </si>
  <si>
    <t>anowar</t>
  </si>
  <si>
    <t>mark shahjahan</t>
  </si>
  <si>
    <t>chief marketing officer (cmo)</t>
  </si>
  <si>
    <t>houston, texas area, united states</t>
  </si>
  <si>
    <t>thurman</t>
  </si>
  <si>
    <t>executive director, columbia alliance for healthcare management</t>
  </si>
  <si>
    <t>-1.00</t>
  </si>
  <si>
    <t>melanie</t>
  </si>
  <si>
    <t>quandt</t>
  </si>
  <si>
    <t>hopton</t>
  </si>
  <si>
    <t>president - lms asia</t>
  </si>
  <si>
    <t>dongcheng district, beijing, china</t>
  </si>
  <si>
    <t>China</t>
  </si>
  <si>
    <t>8,19</t>
  </si>
  <si>
    <t>terry</t>
  </si>
  <si>
    <t>cave</t>
  </si>
  <si>
    <t>chairman</t>
  </si>
  <si>
    <t>pluschkell</t>
  </si>
  <si>
    <t>founder, ceo &amp; board member</t>
  </si>
  <si>
    <t>kevin c.</t>
  </si>
  <si>
    <t>cummins</t>
  </si>
  <si>
    <t>cincinnati area, united states</t>
  </si>
  <si>
    <t>gig</t>
  </si>
  <si>
    <t>graham</t>
  </si>
  <si>
    <t>washington d.c. metro area, united states, United States</t>
  </si>
  <si>
    <t>jon</t>
  </si>
  <si>
    <t>lloyd</t>
  </si>
  <si>
    <t>director, education services</t>
  </si>
  <si>
    <t>patrick murray</t>
  </si>
  <si>
    <t>mountain view, california, United States</t>
  </si>
  <si>
    <t>samir</t>
  </si>
  <si>
    <t>majumdar</t>
  </si>
  <si>
    <t>shel</t>
  </si>
  <si>
    <t>israel</t>
  </si>
  <si>
    <t>boardman</t>
  </si>
  <si>
    <t>recruitment director, emea</t>
  </si>
  <si>
    <t>scott</t>
  </si>
  <si>
    <t>connell</t>
  </si>
  <si>
    <t>anniston, alabama area, united states</t>
  </si>
  <si>
    <t>karin</t>
  </si>
  <si>
    <t>gorman  csp</t>
  </si>
  <si>
    <t>indianapolis, indiana</t>
  </si>
  <si>
    <t>raymond</t>
  </si>
  <si>
    <t>kudukis</t>
  </si>
  <si>
    <t>Executive Office</t>
  </si>
  <si>
    <t>billings</t>
  </si>
  <si>
    <t>adjunct professor</t>
  </si>
  <si>
    <t>brian</t>
  </si>
  <si>
    <t>kidder</t>
  </si>
  <si>
    <t>area vice president</t>
  </si>
  <si>
    <t>rockford, michigan</t>
  </si>
  <si>
    <t>matt</t>
  </si>
  <si>
    <t>mackenzie</t>
  </si>
  <si>
    <t>pesident &amp; ceo</t>
  </si>
  <si>
    <t>dieppe, new brunswick, canada</t>
  </si>
  <si>
    <t>cameron</t>
  </si>
  <si>
    <t>wolff</t>
  </si>
  <si>
    <t>vice president of product development</t>
  </si>
  <si>
    <t>akron, ohio</t>
  </si>
  <si>
    <t>george</t>
  </si>
  <si>
    <t>atlas</t>
  </si>
  <si>
    <t>logan</t>
  </si>
  <si>
    <t>coker</t>
  </si>
  <si>
    <t>strategic partnerships manager</t>
  </si>
  <si>
    <t>ravi</t>
  </si>
  <si>
    <t>venkatasubbaiah</t>
  </si>
  <si>
    <t>vp, planning and operations</t>
  </si>
  <si>
    <t>randal</t>
  </si>
  <si>
    <t>bouverat</t>
  </si>
  <si>
    <t>el segundo, california</t>
  </si>
  <si>
    <t>chen</t>
  </si>
  <si>
    <t>sloan faby</t>
  </si>
  <si>
    <t>owner and photographer</t>
  </si>
  <si>
    <t>raleigh-durham, north carolina area, united states</t>
  </si>
  <si>
    <t>marina</t>
  </si>
  <si>
    <t>tognetti</t>
  </si>
  <si>
    <t>cavaliere</t>
  </si>
  <si>
    <t>business manager</t>
  </si>
  <si>
    <t>poughkeepsie, new york</t>
  </si>
  <si>
    <t>Hong Kong</t>
  </si>
  <si>
    <t>1,33</t>
  </si>
  <si>
    <t>ann</t>
  </si>
  <si>
    <t>bergquist</t>
  </si>
  <si>
    <t>business analyst (consultant)</t>
  </si>
  <si>
    <t>morris plains, new jersey</t>
  </si>
  <si>
    <t>4,5</t>
  </si>
  <si>
    <t>vijay ramaswamy</t>
  </si>
  <si>
    <t>lofton mba pmp</t>
  </si>
  <si>
    <t>implementation project manager</t>
  </si>
  <si>
    <t>pradeep</t>
  </si>
  <si>
    <t>anand</t>
  </si>
  <si>
    <t>president/founder</t>
  </si>
  <si>
    <t>astrid</t>
  </si>
  <si>
    <t>amaya</t>
  </si>
  <si>
    <t>founder, ceo</t>
  </si>
  <si>
    <t>bangkok metropolitan area, thailand</t>
  </si>
  <si>
    <t>Thailand</t>
  </si>
  <si>
    <t>2,72</t>
  </si>
  <si>
    <t>gelie</t>
  </si>
  <si>
    <t>akhenblit</t>
  </si>
  <si>
    <t>jerry</t>
  </si>
  <si>
    <t>herrick</t>
  </si>
  <si>
    <t>mainz</t>
  </si>
  <si>
    <t>eric</t>
  </si>
  <si>
    <t>agrelius lion</t>
  </si>
  <si>
    <t>sales director</t>
  </si>
  <si>
    <t>sjoberg</t>
  </si>
  <si>
    <t>leawood, kansas</t>
  </si>
  <si>
    <t>jennifer</t>
  </si>
  <si>
    <t>manning</t>
  </si>
  <si>
    <t>thibault</t>
  </si>
  <si>
    <t>colcombet</t>
  </si>
  <si>
    <t>barratt</t>
  </si>
  <si>
    <t>managing consultant - uk, western europe and middle east</t>
  </si>
  <si>
    <t>manchester, united kingdom</t>
  </si>
  <si>
    <t>jurczyk</t>
  </si>
  <si>
    <t>race director</t>
  </si>
  <si>
    <t>carpes</t>
  </si>
  <si>
    <t>latin america business controller</t>
  </si>
  <si>
    <t>james</t>
  </si>
  <si>
    <t>roberts</t>
  </si>
  <si>
    <t>general manager  - (emea, usa &amp; apac) - travel &amp; hospitality recruitment</t>
  </si>
  <si>
    <t>ana victoria vicky</t>
  </si>
  <si>
    <t>ricaurte</t>
  </si>
  <si>
    <t>experienced operations executive and internet strategist. passionate entrepreneur.</t>
  </si>
  <si>
    <t>colombia</t>
  </si>
  <si>
    <t>Education Management</t>
  </si>
  <si>
    <t>Colombia</t>
  </si>
  <si>
    <t>tony</t>
  </si>
  <si>
    <t>detato</t>
  </si>
  <si>
    <t>director of sales</t>
  </si>
  <si>
    <t>state college, pennsylvania</t>
  </si>
  <si>
    <t>ram</t>
  </si>
  <si>
    <t>srinivasan</t>
  </si>
  <si>
    <t>director, client services &amp; strategic consulting</t>
  </si>
  <si>
    <t>hill</t>
  </si>
  <si>
    <t>jay</t>
  </si>
  <si>
    <t>shears</t>
  </si>
  <si>
    <t>co-founder &amp; board member</t>
  </si>
  <si>
    <t>Aviation &amp; Aerospace</t>
  </si>
  <si>
    <t>salih</t>
  </si>
  <si>
    <t>oztop</t>
  </si>
  <si>
    <t>founding board member</t>
  </si>
  <si>
    <t>tyk</t>
  </si>
  <si>
    <t>benjamin</t>
  </si>
  <si>
    <t>katz</t>
  </si>
  <si>
    <t>manager - consulting services</t>
  </si>
  <si>
    <t>dirose</t>
  </si>
  <si>
    <t>caio</t>
  </si>
  <si>
    <t>peres</t>
  </si>
  <si>
    <t>latam presales and business development director, technology solutions</t>
  </si>
  <si>
    <t>demont</t>
  </si>
  <si>
    <t>riz</t>
  </si>
  <si>
    <t>américo</t>
  </si>
  <si>
    <t>pereira filho</t>
  </si>
  <si>
    <t>diretor president (ceo)</t>
  </si>
  <si>
    <t>recife area, brazil</t>
  </si>
  <si>
    <t>Package/Freight Delivery</t>
  </si>
  <si>
    <t>yoshima</t>
  </si>
  <si>
    <t>ceo, trainer &amp; coach</t>
  </si>
  <si>
    <t>benedikt</t>
  </si>
  <si>
    <t>zacher</t>
  </si>
  <si>
    <t>munich area, germany</t>
  </si>
  <si>
    <t>jennings</t>
  </si>
  <si>
    <t>territory sales manager</t>
  </si>
  <si>
    <t>eugenio</t>
  </si>
  <si>
    <t>north americas sales and marketing manager</t>
  </si>
  <si>
    <t>Plastics</t>
  </si>
  <si>
    <t>hamilton</t>
  </si>
  <si>
    <t>sr. director, infrastructure &amp; it operations</t>
  </si>
  <si>
    <t>baudier</t>
  </si>
  <si>
    <t>european finance director</t>
  </si>
  <si>
    <t>hervé</t>
  </si>
  <si>
    <t>chavagnon</t>
  </si>
  <si>
    <t>operations director</t>
  </si>
  <si>
    <t>wade</t>
  </si>
  <si>
    <t>allen</t>
  </si>
  <si>
    <t>president &amp; ceo</t>
  </si>
  <si>
    <t>genske</t>
  </si>
  <si>
    <t>boca raton, florida</t>
  </si>
  <si>
    <t>mance</t>
  </si>
  <si>
    <t>harmon</t>
  </si>
  <si>
    <t>barretto</t>
  </si>
  <si>
    <t>marketing professional</t>
  </si>
  <si>
    <t>eric d.</t>
  </si>
  <si>
    <t>brown</t>
  </si>
  <si>
    <t>technology consultant</t>
  </si>
  <si>
    <t>tulsa, oklahoma area, united states</t>
  </si>
  <si>
    <t>koretz</t>
  </si>
  <si>
    <t>howard</t>
  </si>
  <si>
    <t>siow</t>
  </si>
  <si>
    <t>meredith</t>
  </si>
  <si>
    <t>vice president, executive partner</t>
  </si>
  <si>
    <t>alexandra</t>
  </si>
  <si>
    <t>saunders</t>
  </si>
  <si>
    <t>maria</t>
  </si>
  <si>
    <t>gomez del pozuelo</t>
  </si>
  <si>
    <t>arch</t>
  </si>
  <si>
    <t>crawford</t>
  </si>
  <si>
    <t>ben</t>
  </si>
  <si>
    <t>filsoof</t>
  </si>
  <si>
    <t>adele</t>
  </si>
  <si>
    <t>hopeurwin</t>
  </si>
  <si>
    <t>partner manager</t>
  </si>
  <si>
    <t>birmingham, united kingdom</t>
  </si>
  <si>
    <t>steve</t>
  </si>
  <si>
    <t>skaggs</t>
  </si>
  <si>
    <t>senior vice president, corporate strategy &amp; development</t>
  </si>
  <si>
    <t>8,5</t>
  </si>
  <si>
    <t>shaun</t>
  </si>
  <si>
    <t>co-founder/vice president of marketing &amp; products</t>
  </si>
  <si>
    <t>san jose, california</t>
  </si>
  <si>
    <t>ankit</t>
  </si>
  <si>
    <t>jain</t>
  </si>
  <si>
    <t>singapore</t>
  </si>
  <si>
    <t>Investment Banking</t>
  </si>
  <si>
    <t>Singapore</t>
  </si>
  <si>
    <t>xavier</t>
  </si>
  <si>
    <t>baars</t>
  </si>
  <si>
    <t>tania</t>
  </si>
  <si>
    <t>peck</t>
  </si>
  <si>
    <t>marketing and brand management consultant</t>
  </si>
  <si>
    <t>miami/fort lauderdale area, united states</t>
  </si>
  <si>
    <t>7,25</t>
  </si>
  <si>
    <t>deepa dee</t>
  </si>
  <si>
    <t>kumar</t>
  </si>
  <si>
    <t>global sales &amp; business development leader</t>
  </si>
  <si>
    <t>sarabia</t>
  </si>
  <si>
    <t>account manager</t>
  </si>
  <si>
    <t>bharat</t>
  </si>
  <si>
    <t>venkanagari</t>
  </si>
  <si>
    <t>team lead - business development</t>
  </si>
  <si>
    <t>newark, new jersey</t>
  </si>
  <si>
    <t>marco</t>
  </si>
  <si>
    <t>breeuwer</t>
  </si>
  <si>
    <t>sjaak</t>
  </si>
  <si>
    <t>koole msc mba</t>
  </si>
  <si>
    <t>chief support officer</t>
  </si>
  <si>
    <t>marcel</t>
  </si>
  <si>
    <t>heilijgers</t>
  </si>
  <si>
    <t>area lead platform strategy / competitive strategy</t>
  </si>
  <si>
    <t>palo alto, california</t>
  </si>
  <si>
    <t>kurella</t>
  </si>
  <si>
    <t>statistical analyst</t>
  </si>
  <si>
    <t>senkiw</t>
  </si>
  <si>
    <t>dayton, ohio area, united states</t>
  </si>
  <si>
    <t>sonali a.</t>
  </si>
  <si>
    <t>dixit</t>
  </si>
  <si>
    <t>program director</t>
  </si>
  <si>
    <t>ian</t>
  </si>
  <si>
    <t>murphy</t>
  </si>
  <si>
    <t>security architect consultant (contractor)</t>
  </si>
  <si>
    <t>farnborough, hampshire, united kingdom</t>
  </si>
  <si>
    <t>hakan</t>
  </si>
  <si>
    <t>dulge</t>
  </si>
  <si>
    <t>cremins</t>
  </si>
  <si>
    <t>little chesterford, essex, united kingdom</t>
  </si>
  <si>
    <t>nir</t>
  </si>
  <si>
    <t>moskovitch</t>
  </si>
  <si>
    <t>vp information technology</t>
  </si>
  <si>
    <t>philippe</t>
  </si>
  <si>
    <t>coupjambet</t>
  </si>
  <si>
    <t>alberto</t>
  </si>
  <si>
    <t>prieto</t>
  </si>
  <si>
    <t>roger</t>
  </si>
  <si>
    <t>collins</t>
  </si>
  <si>
    <t>orlando, florida area, united states</t>
  </si>
  <si>
    <t>ramon</t>
  </si>
  <si>
    <t>montclair, new jersey</t>
  </si>
  <si>
    <t>Information Services</t>
  </si>
  <si>
    <t>olivier</t>
  </si>
  <si>
    <t>bouzereau</t>
  </si>
  <si>
    <t>associate manager</t>
  </si>
  <si>
    <t>nice area, france</t>
  </si>
  <si>
    <t>el awadi</t>
  </si>
  <si>
    <t>ceo middle east &amp; north africa</t>
  </si>
  <si>
    <t>eindhoven area, netherlands</t>
  </si>
  <si>
    <t>taverner</t>
  </si>
  <si>
    <t>babar</t>
  </si>
  <si>
    <t>khan</t>
  </si>
  <si>
    <t>nuno</t>
  </si>
  <si>
    <t>patrício</t>
  </si>
  <si>
    <t>customer operations manager</t>
  </si>
  <si>
    <t>lisbon area, portugal</t>
  </si>
  <si>
    <t>clement</t>
  </si>
  <si>
    <t>richardson, texas</t>
  </si>
  <si>
    <t>rick</t>
  </si>
  <si>
    <t>lemieux</t>
  </si>
  <si>
    <t>providence, rhode island area, united states, United States</t>
  </si>
  <si>
    <t>drummond</t>
  </si>
  <si>
    <t>owner, robert drummond studio and fine art video consultant</t>
  </si>
  <si>
    <t>Fine Art</t>
  </si>
  <si>
    <t>darren</t>
  </si>
  <si>
    <t>crocker</t>
  </si>
  <si>
    <t>human resource sr. recruiter</t>
  </si>
  <si>
    <t>colonia, new jersey</t>
  </si>
  <si>
    <t>langley</t>
  </si>
  <si>
    <t>joanne</t>
  </si>
  <si>
    <t>stoner</t>
  </si>
  <si>
    <t>greece</t>
  </si>
  <si>
    <t>Greece</t>
  </si>
  <si>
    <t>comrie</t>
  </si>
  <si>
    <t>thal</t>
  </si>
  <si>
    <t>senior business development manager</t>
  </si>
  <si>
    <t>robert jan rj</t>
  </si>
  <si>
    <t>vissers</t>
  </si>
  <si>
    <t>vp, global field operations - sales operations &amp; enablement</t>
  </si>
  <si>
    <t>brad</t>
  </si>
  <si>
    <t>mcmonigle</t>
  </si>
  <si>
    <t>chief operations officer</t>
  </si>
  <si>
    <t>Mental Health Care</t>
  </si>
  <si>
    <t>ashley</t>
  </si>
  <si>
    <t>carman</t>
  </si>
  <si>
    <t>strategic account manager</t>
  </si>
  <si>
    <t>ruchit g</t>
  </si>
  <si>
    <t>garg</t>
  </si>
  <si>
    <t>anthony</t>
  </si>
  <si>
    <t>sr. marketing manager</t>
  </si>
  <si>
    <t>monkhouse</t>
  </si>
  <si>
    <t>account director - enterprise</t>
  </si>
  <si>
    <t>united kingdom</t>
  </si>
  <si>
    <t>cliff</t>
  </si>
  <si>
    <t>scobie</t>
  </si>
  <si>
    <t>santosh kumar</t>
  </si>
  <si>
    <t>deme</t>
  </si>
  <si>
    <t>sap system analyst lead</t>
  </si>
  <si>
    <t>iselin, new jersey</t>
  </si>
  <si>
    <t>jansen</t>
  </si>
  <si>
    <t>andrea</t>
  </si>
  <si>
    <t>founder/ceo</t>
  </si>
  <si>
    <t>jeanne</t>
  </si>
  <si>
    <t>barnett</t>
  </si>
  <si>
    <t>ross</t>
  </si>
  <si>
    <t>berkowitz</t>
  </si>
  <si>
    <t>division director</t>
  </si>
  <si>
    <t>piscopo</t>
  </si>
  <si>
    <t>sr. account manager/recruiter in oracle, sap and it contract staffing</t>
  </si>
  <si>
    <t>trenton, new jersey</t>
  </si>
  <si>
    <t>1,5</t>
  </si>
  <si>
    <t>wilkinson</t>
  </si>
  <si>
    <t>4,33</t>
  </si>
  <si>
    <t>alfredo</t>
  </si>
  <si>
    <t>angel</t>
  </si>
  <si>
    <t>founder and international director</t>
  </si>
  <si>
    <t>ecuador</t>
  </si>
  <si>
    <t>Ecuador</t>
  </si>
  <si>
    <t>sheridan</t>
  </si>
  <si>
    <t>tatsuno</t>
  </si>
  <si>
    <t>hemphill</t>
  </si>
  <si>
    <t>austin, texas area, united states, United States</t>
  </si>
  <si>
    <t>walt</t>
  </si>
  <si>
    <t>doyle</t>
  </si>
  <si>
    <t>president and ceo</t>
  </si>
  <si>
    <t>boston, massachusetts</t>
  </si>
  <si>
    <t>amar</t>
  </si>
  <si>
    <t>goel</t>
  </si>
  <si>
    <t>founder and chairman</t>
  </si>
  <si>
    <t>miller</t>
  </si>
  <si>
    <t>oconnor</t>
  </si>
  <si>
    <t>director strategic alliances</t>
  </si>
  <si>
    <t>slack</t>
  </si>
  <si>
    <t>chicago, illinois</t>
  </si>
  <si>
    <t>vikram r</t>
  </si>
  <si>
    <t>chari</t>
  </si>
  <si>
    <t>execunet c-suite &amp; international sustainability practices forum</t>
  </si>
  <si>
    <t>brearley</t>
  </si>
  <si>
    <t>lawrenceville, georgia</t>
  </si>
  <si>
    <t>jose a</t>
  </si>
  <si>
    <t>figueroa</t>
  </si>
  <si>
    <t>hong</t>
  </si>
  <si>
    <t>hou</t>
  </si>
  <si>
    <t>mani</t>
  </si>
  <si>
    <t>iyer</t>
  </si>
  <si>
    <t>mernit</t>
  </si>
  <si>
    <t>founder/ceo/ed</t>
  </si>
  <si>
    <t>filsuf</t>
  </si>
  <si>
    <t>renato</t>
  </si>
  <si>
    <t>ajauskas</t>
  </si>
  <si>
    <t>jo</t>
  </si>
  <si>
    <t>gardner</t>
  </si>
  <si>
    <t>rotherfield, east sussex, united kingdom</t>
  </si>
  <si>
    <t>gope</t>
  </si>
  <si>
    <t>nagdev</t>
  </si>
  <si>
    <t>united arab emirates</t>
  </si>
  <si>
    <t>Luxury Goods &amp; Jewelry</t>
  </si>
  <si>
    <t>United Arab Emirates</t>
  </si>
  <si>
    <t>igor</t>
  </si>
  <si>
    <t>stjepanovic</t>
  </si>
  <si>
    <t>founder / managing director</t>
  </si>
  <si>
    <t>brisbane area, australia</t>
  </si>
  <si>
    <t>marguerite</t>
  </si>
  <si>
    <t>beaty</t>
  </si>
  <si>
    <t>photographer, portrait photographer, owner crea8fotos, cheery marketing &amp; coffee person!</t>
  </si>
  <si>
    <t>Photography</t>
  </si>
  <si>
    <t>william</t>
  </si>
  <si>
    <t>grosso</t>
  </si>
  <si>
    <t>dennis</t>
  </si>
  <si>
    <t>vice president global market development</t>
  </si>
  <si>
    <t>peter</t>
  </si>
  <si>
    <t>went</t>
  </si>
  <si>
    <t>utrecht area, netherlands</t>
  </si>
  <si>
    <t>hayden</t>
  </si>
  <si>
    <t>ireland</t>
  </si>
  <si>
    <t>Ireland</t>
  </si>
  <si>
    <t>3,58</t>
  </si>
  <si>
    <t>spargo</t>
  </si>
  <si>
    <t>millstone township, new jersey</t>
  </si>
  <si>
    <t>suresh</t>
  </si>
  <si>
    <t>sambandam</t>
  </si>
  <si>
    <t>marty</t>
  </si>
  <si>
    <t>kacin</t>
  </si>
  <si>
    <t>los altos, california</t>
  </si>
  <si>
    <t>randy</t>
  </si>
  <si>
    <t>miller  ????????</t>
  </si>
  <si>
    <t>director it</t>
  </si>
  <si>
    <t>georgia</t>
  </si>
  <si>
    <t>tsao</t>
  </si>
  <si>
    <t>director product, marketing, analytics</t>
  </si>
  <si>
    <t>1,17</t>
  </si>
  <si>
    <t>john m.</t>
  </si>
  <si>
    <t>oconnor mfa ccm</t>
  </si>
  <si>
    <t>president (john@careerproinc.com and 919.787.2400)</t>
  </si>
  <si>
    <t>Professional Training &amp; Coaching</t>
  </si>
  <si>
    <t>santanu</t>
  </si>
  <si>
    <t>bhattacharya</t>
  </si>
  <si>
    <t>nessim</t>
  </si>
  <si>
    <t>mezrahi</t>
  </si>
  <si>
    <t>fowle</t>
  </si>
  <si>
    <t>digital oversight</t>
  </si>
  <si>
    <t>lawrence, kansas</t>
  </si>
  <si>
    <t>Newspapers</t>
  </si>
  <si>
    <t>bhushan</t>
  </si>
  <si>
    <t>patil</t>
  </si>
  <si>
    <t>vodafone global relationship manager and head of techtalenta</t>
  </si>
  <si>
    <t>amersham, buckinghamshire, united kingdom</t>
  </si>
  <si>
    <t>thorsteinson</t>
  </si>
  <si>
    <t>bj</t>
  </si>
  <si>
    <t>ron</t>
  </si>
  <si>
    <t>flynn lion ron.flynndynintl.com</t>
  </si>
  <si>
    <t>dallas/fort worth area, united states</t>
  </si>
  <si>
    <t>6,5</t>
  </si>
  <si>
    <t>ashvanni</t>
  </si>
  <si>
    <t>srivastava</t>
  </si>
  <si>
    <t>ged</t>
  </si>
  <si>
    <t>carroll</t>
  </si>
  <si>
    <t>business adviser</t>
  </si>
  <si>
    <t>hong kong</t>
  </si>
  <si>
    <t>muki</t>
  </si>
  <si>
    <t>regunathan</t>
  </si>
  <si>
    <t>kirk</t>
  </si>
  <si>
    <t>shorte</t>
  </si>
  <si>
    <t>photographer</t>
  </si>
  <si>
    <t>kailua kona, hawaii</t>
  </si>
  <si>
    <t>Leisure, Travel &amp; Tourism</t>
  </si>
  <si>
    <t>roni</t>
  </si>
  <si>
    <t>fontaine</t>
  </si>
  <si>
    <t>director, product marketing cloud computing</t>
  </si>
  <si>
    <t>lincoln     davedavelincoln.com</t>
  </si>
  <si>
    <t>director, worldwide operations</t>
  </si>
  <si>
    <t>imran</t>
  </si>
  <si>
    <t>mvp  ms crm</t>
  </si>
  <si>
    <t>dynamics crm &amp; sharepoint technical director</t>
  </si>
  <si>
    <t>pakistan</t>
  </si>
  <si>
    <t>Pakistan</t>
  </si>
  <si>
    <t>mccracken</t>
  </si>
  <si>
    <t>sr. partner</t>
  </si>
  <si>
    <t>las cruces, new mexico area</t>
  </si>
  <si>
    <t>armas</t>
  </si>
  <si>
    <t>managing director/founder</t>
  </si>
  <si>
    <t>al</t>
  </si>
  <si>
    <t>haslam</t>
  </si>
  <si>
    <t>vice president - southeast region</t>
  </si>
  <si>
    <t>kiwi</t>
  </si>
  <si>
    <t>founder and director</t>
  </si>
  <si>
    <t>artie</t>
  </si>
  <si>
    <t>kaloz</t>
  </si>
  <si>
    <t>vp of sales, mid atlantic region</t>
  </si>
  <si>
    <t>marko</t>
  </si>
  <si>
    <t>senior solutions consultant</t>
  </si>
  <si>
    <t>cary</t>
  </si>
  <si>
    <t>king</t>
  </si>
  <si>
    <t>business partner - solution principle - asset management</t>
  </si>
  <si>
    <t>leung</t>
  </si>
  <si>
    <t>co-founder / ceo</t>
  </si>
  <si>
    <t>Consumer Electronics</t>
  </si>
  <si>
    <t>-</t>
  </si>
  <si>
    <t>alan</t>
  </si>
  <si>
    <t>rothman</t>
  </si>
  <si>
    <t>anderson</t>
  </si>
  <si>
    <t>ceo - altran technologies brazil</t>
  </si>
  <si>
    <t>todd</t>
  </si>
  <si>
    <t>parkerjoseph</t>
  </si>
  <si>
    <t>wolverhampton, united kingdom</t>
  </si>
  <si>
    <t>rosemary</t>
  </si>
  <si>
    <t>fernandes</t>
  </si>
  <si>
    <t>roth</t>
  </si>
  <si>
    <t>longston</t>
  </si>
  <si>
    <t>director of applications</t>
  </si>
  <si>
    <t>seattle, washington, United States</t>
  </si>
  <si>
    <t>mathew</t>
  </si>
  <si>
    <t>dovens mdovenscox.net</t>
  </si>
  <si>
    <t>senior director of engineering</t>
  </si>
  <si>
    <t>torsten</t>
  </si>
  <si>
    <t>heinze</t>
  </si>
  <si>
    <t>owner &amp; managing partner</t>
  </si>
  <si>
    <t>sarasota, florida area, united states</t>
  </si>
  <si>
    <t>phelan</t>
  </si>
  <si>
    <t>lisa</t>
  </si>
  <si>
    <t>heck</t>
  </si>
  <si>
    <t>account manager inside sales</t>
  </si>
  <si>
    <t>fort myers, florida area, united states</t>
  </si>
  <si>
    <t>frank</t>
  </si>
  <si>
    <t>baia</t>
  </si>
  <si>
    <t>co-founder &amp; vp</t>
  </si>
  <si>
    <t>thimot</t>
  </si>
  <si>
    <t>trevor</t>
  </si>
  <si>
    <t>kennedy</t>
  </si>
  <si>
    <t>system integrator alliance director - uk &amp; europe</t>
  </si>
  <si>
    <t>amit</t>
  </si>
  <si>
    <t>babaria</t>
  </si>
  <si>
    <t>co-founder / vp - sales</t>
  </si>
  <si>
    <t>sherif</t>
  </si>
  <si>
    <t>danish</t>
  </si>
  <si>
    <t>platkin</t>
  </si>
  <si>
    <t>&amp;quot;director, eastern operations&amp;quot;</t>
  </si>
  <si>
    <t>raiyani</t>
  </si>
  <si>
    <t>gaynor</t>
  </si>
  <si>
    <t>phoenix, arizona</t>
  </si>
  <si>
    <t>Wireless</t>
  </si>
  <si>
    <t>roy</t>
  </si>
  <si>
    <t>notowitz</t>
  </si>
  <si>
    <t>adrian</t>
  </si>
  <si>
    <t>hodgson</t>
  </si>
  <si>
    <t>director of global channels &amp; alliances</t>
  </si>
  <si>
    <t>cohen</t>
  </si>
  <si>
    <t>mesones</t>
  </si>
  <si>
    <t>angulo</t>
  </si>
  <si>
    <t>linda</t>
  </si>
  <si>
    <t>rolle</t>
  </si>
  <si>
    <t>Cosmetics</t>
  </si>
  <si>
    <t>kraatz</t>
  </si>
  <si>
    <t>senior vice president of worldwide sales &amp; services</t>
  </si>
  <si>
    <t>luke</t>
  </si>
  <si>
    <t>davies</t>
  </si>
  <si>
    <t>melissa</t>
  </si>
  <si>
    <t>benedetti romero sphr airs</t>
  </si>
  <si>
    <t>president (talent acquisition &amp; hr consultant)</t>
  </si>
  <si>
    <t>santa fe, new mexico</t>
  </si>
  <si>
    <t>3,25</t>
  </si>
  <si>
    <t>carla</t>
  </si>
  <si>
    <t>dias bento</t>
  </si>
  <si>
    <t>southern emea staffing business partner</t>
  </si>
  <si>
    <t>reading, united kingdom</t>
  </si>
  <si>
    <t>jost pmp pmiacp dmjostgmail.com</t>
  </si>
  <si>
    <t>jacksonville, florida area, united states, United States</t>
  </si>
  <si>
    <t>phil</t>
  </si>
  <si>
    <t>susanne</t>
  </si>
  <si>
    <t>bowen</t>
  </si>
  <si>
    <t>dakin</t>
  </si>
  <si>
    <t>clark</t>
  </si>
  <si>
    <t>guido</t>
  </si>
  <si>
    <t>de simoni</t>
  </si>
  <si>
    <t>program director and leadership partner</t>
  </si>
  <si>
    <t>twickenham, united kingdom</t>
  </si>
  <si>
    <t>rohit</t>
  </si>
  <si>
    <t>choubey</t>
  </si>
  <si>
    <t>pune area, india</t>
  </si>
  <si>
    <t>marubio</t>
  </si>
  <si>
    <t>steffora</t>
  </si>
  <si>
    <t>cso, cio &amp; vp global network operations</t>
  </si>
  <si>
    <t>dominick</t>
  </si>
  <si>
    <t>como</t>
  </si>
  <si>
    <t>wachter</t>
  </si>
  <si>
    <t>president and chief ingenuity officer</t>
  </si>
  <si>
    <t>capstick</t>
  </si>
  <si>
    <t>owner &amp; director</t>
  </si>
  <si>
    <t>taunton, united kingdom</t>
  </si>
  <si>
    <t>patrick</t>
  </si>
  <si>
    <t>lilley</t>
  </si>
  <si>
    <t>orange county, california area, united states, United States</t>
  </si>
  <si>
    <t>nirav</t>
  </si>
  <si>
    <t>tolia</t>
  </si>
  <si>
    <t>co-founder and chief executive officer</t>
  </si>
  <si>
    <t>christiane</t>
  </si>
  <si>
    <t>biemann chrisbiemannconsulting.de</t>
  </si>
  <si>
    <t>mellen</t>
  </si>
  <si>
    <t>feldo</t>
  </si>
  <si>
    <t>nartapura</t>
  </si>
  <si>
    <t>ceo/ founder</t>
  </si>
  <si>
    <t>zelber  shaunnexva.com</t>
  </si>
  <si>
    <t>founder &amp; coo</t>
  </si>
  <si>
    <t>maryann</t>
  </si>
  <si>
    <t>massad</t>
  </si>
  <si>
    <t>mississauga, ontario, canada</t>
  </si>
  <si>
    <t>edwards</t>
  </si>
  <si>
    <t>wippich</t>
  </si>
  <si>
    <t>chairman, ceo</t>
  </si>
  <si>
    <t>gopal</t>
  </si>
  <si>
    <t>rangachary</t>
  </si>
  <si>
    <t>joris</t>
  </si>
  <si>
    <t>jonker</t>
  </si>
  <si>
    <t>cullingworth</t>
  </si>
  <si>
    <t>drew</t>
  </si>
  <si>
    <t>maginnis</t>
  </si>
  <si>
    <t>adjunct professor- finance</t>
  </si>
  <si>
    <t>burgoon</t>
  </si>
  <si>
    <t>pinto</t>
  </si>
  <si>
    <t>bernard</t>
  </si>
  <si>
    <t>omaha, nebraska</t>
  </si>
  <si>
    <t>dana</t>
  </si>
  <si>
    <t>dotoli</t>
  </si>
  <si>
    <t>managing attorney</t>
  </si>
  <si>
    <t>sonal</t>
  </si>
  <si>
    <t>chadha</t>
  </si>
  <si>
    <t>erin</t>
  </si>
  <si>
    <t>cannelli cresta</t>
  </si>
  <si>
    <t>jeff ragovin</t>
  </si>
  <si>
    <t>thomas</t>
  </si>
  <si>
    <t>hughes</t>
  </si>
  <si>
    <t>clifton, new jersey</t>
  </si>
  <si>
    <t>barnes</t>
  </si>
  <si>
    <t>girard</t>
  </si>
  <si>
    <t>yash</t>
  </si>
  <si>
    <t>k.s</t>
  </si>
  <si>
    <t>founder &amp; chief technology officer</t>
  </si>
  <si>
    <t>adam</t>
  </si>
  <si>
    <t>desanges</t>
  </si>
  <si>
    <t>company director</t>
  </si>
  <si>
    <t>birmingham, west midlands, united kingdom</t>
  </si>
  <si>
    <t>geno</t>
  </si>
  <si>
    <t>zaharie</t>
  </si>
  <si>
    <t>oliver</t>
  </si>
  <si>
    <t>schmid</t>
  </si>
  <si>
    <t>murali</t>
  </si>
  <si>
    <t>venkatesh</t>
  </si>
  <si>
    <t>practice lead/partner</t>
  </si>
  <si>
    <t>alex mccallum</t>
  </si>
  <si>
    <t>canada</t>
  </si>
  <si>
    <t>andras</t>
  </si>
  <si>
    <t>boross</t>
  </si>
  <si>
    <t>sr. director, software engineering</t>
  </si>
  <si>
    <t>cto and founder</t>
  </si>
  <si>
    <t>moses</t>
  </si>
  <si>
    <t>sureshkumar</t>
  </si>
  <si>
    <t>vice president - us equities</t>
  </si>
  <si>
    <t>glinter at magjudge.com</t>
  </si>
  <si>
    <t>author</t>
  </si>
  <si>
    <t>tampa/st. petersburg, florida area, united states</t>
  </si>
  <si>
    <t>treb</t>
  </si>
  <si>
    <t>ryan</t>
  </si>
  <si>
    <t>rahul</t>
  </si>
  <si>
    <t>gandhi</t>
  </si>
  <si>
    <t>co-founder &amp; director</t>
  </si>
  <si>
    <t>wharton</t>
  </si>
  <si>
    <t>mike najarian pmp</t>
  </si>
  <si>
    <t>pmo dcim infrastructure  cloud planning</t>
  </si>
  <si>
    <t>project manager - video engineering</t>
  </si>
  <si>
    <t>durga</t>
  </si>
  <si>
    <t>das</t>
  </si>
  <si>
    <t>cofounder / sr vp marketing and business development</t>
  </si>
  <si>
    <t>jubb</t>
  </si>
  <si>
    <t>senior interaction designer, creative director</t>
  </si>
  <si>
    <t>vancouver, british columbia, canada</t>
  </si>
  <si>
    <t>jocelyn</t>
  </si>
  <si>
    <t>reynolds</t>
  </si>
  <si>
    <t>kennesaw, georgia</t>
  </si>
  <si>
    <t>song</t>
  </si>
  <si>
    <t>marie</t>
  </si>
  <si>
    <t>longserre</t>
  </si>
  <si>
    <t>board chair</t>
  </si>
  <si>
    <t>koons jr. roykoonshotmail.com</t>
  </si>
  <si>
    <t>cto/cio</t>
  </si>
  <si>
    <t>webb</t>
  </si>
  <si>
    <t>partner / recruiter</t>
  </si>
  <si>
    <t>0,5</t>
  </si>
  <si>
    <t>mckay</t>
  </si>
  <si>
    <t>waltham, massachusetts</t>
  </si>
  <si>
    <t>belinda</t>
  </si>
  <si>
    <t>snyder</t>
  </si>
  <si>
    <t>business analyst</t>
  </si>
  <si>
    <t>cyndy</t>
  </si>
  <si>
    <t>davis sphr</t>
  </si>
  <si>
    <t>executive recruiter - information technology</t>
  </si>
  <si>
    <t>daren</t>
  </si>
  <si>
    <t>coudriet</t>
  </si>
  <si>
    <t>doug</t>
  </si>
  <si>
    <t>roper</t>
  </si>
  <si>
    <t>ott cpc cers</t>
  </si>
  <si>
    <t>green bay, wisconsin area, united states</t>
  </si>
  <si>
    <t>blanchot</t>
  </si>
  <si>
    <t>moukas</t>
  </si>
  <si>
    <t>jan</t>
  </si>
  <si>
    <t>laurence</t>
  </si>
  <si>
    <t>nathanson</t>
  </si>
  <si>
    <t>citrms, sbs, ebs</t>
  </si>
  <si>
    <t>legalshield - owner independent</t>
  </si>
  <si>
    <t>phoenix, arizona area, United States</t>
  </si>
  <si>
    <t>kathee</t>
  </si>
  <si>
    <t>vice president, co-founder</t>
  </si>
  <si>
    <t>business consultant</t>
  </si>
  <si>
    <t>belize</t>
  </si>
  <si>
    <t>Belize</t>
  </si>
  <si>
    <t>monalika</t>
  </si>
  <si>
    <t>bose</t>
  </si>
  <si>
    <t>leeds, united kingdom</t>
  </si>
  <si>
    <t>kerpen</t>
  </si>
  <si>
    <t>chief executive officer</t>
  </si>
  <si>
    <t>friday</t>
  </si>
  <si>
    <t>raul</t>
  </si>
  <si>
    <t>tenorio mba</t>
  </si>
  <si>
    <t>associate director of strategic management</t>
  </si>
  <si>
    <t>Banking</t>
  </si>
  <si>
    <t>sheila</t>
  </si>
  <si>
    <t>hobeck cert.apm pmp</t>
  </si>
  <si>
    <t>it project manager, enterprise information management</t>
  </si>
  <si>
    <t>oakville, ontario, canada</t>
  </si>
  <si>
    <t>eddie</t>
  </si>
  <si>
    <t>tuvin etuvaol.com</t>
  </si>
  <si>
    <t>vice president - business banking</t>
  </si>
  <si>
    <t>leif</t>
  </si>
  <si>
    <t>frykman</t>
  </si>
  <si>
    <t>in transition to europe</t>
  </si>
  <si>
    <t>stockholm, sweden</t>
  </si>
  <si>
    <t>Sweden</t>
  </si>
  <si>
    <t>6,83</t>
  </si>
  <si>
    <t>calderón de la barca</t>
  </si>
  <si>
    <t>director adjunto</t>
  </si>
  <si>
    <t>arora</t>
  </si>
  <si>
    <t>lopes</t>
  </si>
  <si>
    <t>president, andretti sports marketing llc &amp; cmo/svp, andretti autosport</t>
  </si>
  <si>
    <t>Sports</t>
  </si>
  <si>
    <t>prabhakar</t>
  </si>
  <si>
    <t>chitrapu</t>
  </si>
  <si>
    <t>qualified physics instructor for mcat</t>
  </si>
  <si>
    <t>king of prussia, pennsylvania</t>
  </si>
  <si>
    <t>Russian Federation</t>
  </si>
  <si>
    <t>parmila</t>
  </si>
  <si>
    <t>kaur</t>
  </si>
  <si>
    <t>recruiting manager</t>
  </si>
  <si>
    <t>emerson, new jersey</t>
  </si>
  <si>
    <t>ankit kumar</t>
  </si>
  <si>
    <t>shah    mba</t>
  </si>
  <si>
    <t>account/ project manager</t>
  </si>
  <si>
    <t>joice</t>
  </si>
  <si>
    <t>marília e região, brasil</t>
  </si>
  <si>
    <t>marte</t>
  </si>
  <si>
    <t>formico</t>
  </si>
  <si>
    <t>district owner</t>
  </si>
  <si>
    <t>lars</t>
  </si>
  <si>
    <t>bell</t>
  </si>
  <si>
    <t>anchorage, alaska area, united states, United States</t>
  </si>
  <si>
    <t>camilo</t>
  </si>
  <si>
    <t>bianchi</t>
  </si>
  <si>
    <t>vice president - latam local markets trading</t>
  </si>
  <si>
    <t>pessoa</t>
  </si>
  <si>
    <t>arquiteto e urbanista</t>
  </si>
  <si>
    <t>gabriel fernando</t>
  </si>
  <si>
    <t>yaginuma</t>
  </si>
  <si>
    <t>engenheiro júnior</t>
  </si>
  <si>
    <t>são paulo, são paulo, brasil</t>
  </si>
  <si>
    <t>Airlines/Aviation</t>
  </si>
  <si>
    <t>martinez</t>
  </si>
  <si>
    <t>lynn</t>
  </si>
  <si>
    <t>judice</t>
  </si>
  <si>
    <t>vice president &amp; chief information officer</t>
  </si>
  <si>
    <t>3,33</t>
  </si>
  <si>
    <t>ward</t>
  </si>
  <si>
    <t>henley-in-arden, warwickshire, united kingdom</t>
  </si>
  <si>
    <t>yassine</t>
  </si>
  <si>
    <t>benaddi</t>
  </si>
  <si>
    <t>project director</t>
  </si>
  <si>
    <t>france</t>
  </si>
  <si>
    <t>Media Production</t>
  </si>
  <si>
    <t>kanagalu manoj</t>
  </si>
  <si>
    <t>newman</t>
  </si>
  <si>
    <t>megan</t>
  </si>
  <si>
    <t>omalley hasak</t>
  </si>
  <si>
    <t>pittsburgh, pennsylvania, United States</t>
  </si>
  <si>
    <t>nash</t>
  </si>
  <si>
    <t>kiddell</t>
  </si>
  <si>
    <t>sandy</t>
  </si>
  <si>
    <t>malviya</t>
  </si>
  <si>
    <t>business development manager</t>
  </si>
  <si>
    <t>elliott</t>
  </si>
  <si>
    <t>darrell</t>
  </si>
  <si>
    <t>arne</t>
  </si>
  <si>
    <t>christine a</t>
  </si>
  <si>
    <t>wright mba</t>
  </si>
  <si>
    <t>kader</t>
  </si>
  <si>
    <t>hal</t>
  </si>
  <si>
    <t>stitt</t>
  </si>
  <si>
    <t>eugene, oregon</t>
  </si>
  <si>
    <t>burkett</t>
  </si>
  <si>
    <t>najera</t>
  </si>
  <si>
    <t>rn</t>
  </si>
  <si>
    <t>las cruces, new mexico</t>
  </si>
  <si>
    <t>olejniczak</t>
  </si>
  <si>
    <t>entrepreneur</t>
  </si>
  <si>
    <t>buffalo/niagara, new york area, united states</t>
  </si>
  <si>
    <t>erik</t>
  </si>
  <si>
    <t>buice</t>
  </si>
  <si>
    <t>healthcare systems management, vp</t>
  </si>
  <si>
    <t>adamshiett</t>
  </si>
  <si>
    <t>director of development</t>
  </si>
  <si>
    <t>iowa city, iowa area, united states</t>
  </si>
  <si>
    <t>rourke</t>
  </si>
  <si>
    <t>channel pr - consultant</t>
  </si>
  <si>
    <t>p</t>
  </si>
  <si>
    <t>wright</t>
  </si>
  <si>
    <t>co-founder / managing director</t>
  </si>
  <si>
    <t>shashi</t>
  </si>
  <si>
    <t>kaligotla</t>
  </si>
  <si>
    <t>account director</t>
  </si>
  <si>
    <t>sunnyvale, california</t>
  </si>
  <si>
    <t>coyle</t>
  </si>
  <si>
    <t>president &amp; co-founder</t>
  </si>
  <si>
    <t>mcbain</t>
  </si>
  <si>
    <t>co-founder and chief social officer</t>
  </si>
  <si>
    <t>marilyn</t>
  </si>
  <si>
    <t>carpenter</t>
  </si>
  <si>
    <t>Think Tanks</t>
  </si>
  <si>
    <t>wilson</t>
  </si>
  <si>
    <t>research &amp; conference director</t>
  </si>
  <si>
    <t>colchester, united kingdom</t>
  </si>
  <si>
    <t>gaurav</t>
  </si>
  <si>
    <t>zibbu</t>
  </si>
  <si>
    <t>rightshore sales lead (north americas) - cpg, retail, transportation, distribution sector</t>
  </si>
  <si>
    <t>dushyant</t>
  </si>
  <si>
    <t>thakker</t>
  </si>
  <si>
    <t>noida area, india</t>
  </si>
  <si>
    <t>seth</t>
  </si>
  <si>
    <t>tapper</t>
  </si>
  <si>
    <t>tarek</t>
  </si>
  <si>
    <t>elhadidi</t>
  </si>
  <si>
    <t>zurich area, switzerland</t>
  </si>
  <si>
    <t>Switzerland</t>
  </si>
  <si>
    <t>schuler</t>
  </si>
  <si>
    <t>vp of sales</t>
  </si>
  <si>
    <t>boise, idaho area, united states</t>
  </si>
  <si>
    <t>de souza</t>
  </si>
  <si>
    <t>global wealth advisor</t>
  </si>
  <si>
    <t>puja</t>
  </si>
  <si>
    <t>lakhlani</t>
  </si>
  <si>
    <t>michael scissons</t>
  </si>
  <si>
    <t>nic</t>
  </si>
  <si>
    <t>alicandri</t>
  </si>
  <si>
    <t>singh</t>
  </si>
  <si>
    <t>vice president, global transformation practice</t>
  </si>
  <si>
    <t>jeffrey</t>
  </si>
  <si>
    <t>fox</t>
  </si>
  <si>
    <t>tampa/st. petersburg, florida area, united states, United States</t>
  </si>
  <si>
    <t>cavender</t>
  </si>
  <si>
    <t>founder and managing director</t>
  </si>
  <si>
    <t>keith</t>
  </si>
  <si>
    <t>landers</t>
  </si>
  <si>
    <t>ira m.</t>
  </si>
  <si>
    <t>marks</t>
  </si>
  <si>
    <t>ceo/founder</t>
  </si>
  <si>
    <t>eliason</t>
  </si>
  <si>
    <t>seema</t>
  </si>
  <si>
    <t>handu</t>
  </si>
  <si>
    <t>boris</t>
  </si>
  <si>
    <t>bogatin</t>
  </si>
  <si>
    <t>wireless, mobile, internet</t>
  </si>
  <si>
    <t>greater new york city area, United States</t>
  </si>
  <si>
    <t>madhavan</t>
  </si>
  <si>
    <t>christina</t>
  </si>
  <si>
    <t>cheney</t>
  </si>
  <si>
    <t>frederic</t>
  </si>
  <si>
    <t>hougard</t>
  </si>
  <si>
    <t>bredin</t>
  </si>
  <si>
    <t>donato</t>
  </si>
  <si>
    <t>polignone</t>
  </si>
  <si>
    <t>Chemicals</t>
  </si>
  <si>
    <t>rupesh</t>
  </si>
  <si>
    <t>shah</t>
  </si>
  <si>
    <t>marissa</t>
  </si>
  <si>
    <t>keller outten</t>
  </si>
  <si>
    <t>walter l</t>
  </si>
  <si>
    <t>caudill</t>
  </si>
  <si>
    <t>vice president global services</t>
  </si>
  <si>
    <t>falsarella ricoy</t>
  </si>
  <si>
    <t>campinas, sao paulo, brazil</t>
  </si>
  <si>
    <t>omer</t>
  </si>
  <si>
    <t>gotlieb</t>
  </si>
  <si>
    <t>sylvia</t>
  </si>
  <si>
    <t>luneau</t>
  </si>
  <si>
    <t>maksim</t>
  </si>
  <si>
    <t>ioffe</t>
  </si>
  <si>
    <t>davoudzadeh</t>
  </si>
  <si>
    <t>vice president of critical reagents manufacturing</t>
  </si>
  <si>
    <t>funnell</t>
  </si>
  <si>
    <t>hardin</t>
  </si>
  <si>
    <t>owner and lead architect/developer</t>
  </si>
  <si>
    <t>birmingham, alabama area, united states</t>
  </si>
  <si>
    <t>konain</t>
  </si>
  <si>
    <t>moore mk.rebelsgmail.com</t>
  </si>
  <si>
    <t>manager</t>
  </si>
  <si>
    <t>panama city, florida area</t>
  </si>
  <si>
    <t>Panama</t>
  </si>
  <si>
    <t>jack</t>
  </si>
  <si>
    <t>myers</t>
  </si>
  <si>
    <t>treworgy</t>
  </si>
  <si>
    <t>lead developer</t>
  </si>
  <si>
    <t>biesczad jr.</t>
  </si>
  <si>
    <t>curitiba area, brazil</t>
  </si>
  <si>
    <t>calkins</t>
  </si>
  <si>
    <t>clinical professor of marketing</t>
  </si>
  <si>
    <t>darius</t>
  </si>
  <si>
    <t>dunlap</t>
  </si>
  <si>
    <t>shiraz</t>
  </si>
  <si>
    <t>hasan</t>
  </si>
  <si>
    <t>strategic partnerships lead</t>
  </si>
  <si>
    <t>middletown, delaware</t>
  </si>
  <si>
    <t>planejamento financeiro</t>
  </si>
  <si>
    <t>3,67</t>
  </si>
  <si>
    <t>stiling</t>
  </si>
  <si>
    <t>general manager, north america</t>
  </si>
  <si>
    <t>charleston, south carolina area, united states</t>
  </si>
  <si>
    <t>desai     pmp mba</t>
  </si>
  <si>
    <t>program management- for one of the top 5 consulting co.</t>
  </si>
  <si>
    <t>diehn</t>
  </si>
  <si>
    <t>senior systems administrator</t>
  </si>
  <si>
    <t>lebanon, new hampshire</t>
  </si>
  <si>
    <t>claudine</t>
  </si>
  <si>
    <t>vainrub</t>
  </si>
  <si>
    <t>eduplan founder, owner and principal - college and grad school admissions, career coaching</t>
  </si>
  <si>
    <t>6,67</t>
  </si>
  <si>
    <t>ehud</t>
  </si>
  <si>
    <t>rokach</t>
  </si>
  <si>
    <t>Israel</t>
  </si>
  <si>
    <t>raghu</t>
  </si>
  <si>
    <t>tirupatur</t>
  </si>
  <si>
    <t>director engineering</t>
  </si>
  <si>
    <t>mallory</t>
  </si>
  <si>
    <t>gil</t>
  </si>
  <si>
    <t>beyda</t>
  </si>
  <si>
    <t>founder &amp; managing partner</t>
  </si>
  <si>
    <t>karim</t>
  </si>
  <si>
    <t>abdel majid</t>
  </si>
  <si>
    <t>egypt</t>
  </si>
  <si>
    <t>chhatrapati</t>
  </si>
  <si>
    <t>co-founder and president</t>
  </si>
  <si>
    <t>feldman</t>
  </si>
  <si>
    <t>co-founder and partner</t>
  </si>
  <si>
    <t>chereau</t>
  </si>
  <si>
    <t>koefoot</t>
  </si>
  <si>
    <t>co-founder and managing partner</t>
  </si>
  <si>
    <t>benton</t>
  </si>
  <si>
    <t>sr. technical recruiter - sourcing</t>
  </si>
  <si>
    <t>greater san diego area, united states</t>
  </si>
  <si>
    <t>larry</t>
  </si>
  <si>
    <t>boettiger</t>
  </si>
  <si>
    <t>founder &amp; moderator</t>
  </si>
  <si>
    <t>workman</t>
  </si>
  <si>
    <t>murry</t>
  </si>
  <si>
    <t>iowa city, iowa area, united states, United States</t>
  </si>
  <si>
    <t>dr. tony</t>
  </si>
  <si>
    <t>alessandra</t>
  </si>
  <si>
    <t>partner &amp; co-founder</t>
  </si>
  <si>
    <t>mercy</t>
  </si>
  <si>
    <t>acostaquiroz</t>
  </si>
  <si>
    <t>catering manager</t>
  </si>
  <si>
    <t>Hospitality</t>
  </si>
  <si>
    <t>michelle</t>
  </si>
  <si>
    <t>kelowna, british columbia, canada</t>
  </si>
  <si>
    <t>kelly</t>
  </si>
  <si>
    <t>ceo &amp; president</t>
  </si>
  <si>
    <t>morato</t>
  </si>
  <si>
    <t>terrance the fixer</t>
  </si>
  <si>
    <t>knecht mba cissp pmp cgeit itil cobit</t>
  </si>
  <si>
    <t>cissp, pmp, cgeit, mba, cobit, itil, cio, solutions architect</t>
  </si>
  <si>
    <t>lucy</t>
  </si>
  <si>
    <t>jacobs werner</t>
  </si>
  <si>
    <t>ingrid</t>
  </si>
  <si>
    <t>kellyowens</t>
  </si>
  <si>
    <t>photography instructor/ owner</t>
  </si>
  <si>
    <t>5,5</t>
  </si>
  <si>
    <t>rahul m</t>
  </si>
  <si>
    <t>bhangay</t>
  </si>
  <si>
    <t>Consumer Services</t>
  </si>
  <si>
    <t>silverman</t>
  </si>
  <si>
    <t>president and managing partner</t>
  </si>
  <si>
    <t>amadeo</t>
  </si>
  <si>
    <t>flagstaff, arizona area, united states</t>
  </si>
  <si>
    <t>aya</t>
  </si>
  <si>
    <t>yamauratimms</t>
  </si>
  <si>
    <t>global brand director</t>
  </si>
  <si>
    <t>hoboken, new jersey</t>
  </si>
  <si>
    <t>steinfeld</t>
  </si>
  <si>
    <t>president at executive to executive, inc. leadership &amp; career coaching</t>
  </si>
  <si>
    <t>sérgio</t>
  </si>
  <si>
    <t>coordenador e professor</t>
  </si>
  <si>
    <t>vitoria, espirito santo, brazil</t>
  </si>
  <si>
    <t>goetz</t>
  </si>
  <si>
    <t>sardhaz</t>
  </si>
  <si>
    <t>mohamed</t>
  </si>
  <si>
    <t>laker</t>
  </si>
  <si>
    <t>ceo &amp; founder</t>
  </si>
  <si>
    <t>bramy</t>
  </si>
  <si>
    <t>montpellier area, france</t>
  </si>
  <si>
    <t>vince</t>
  </si>
  <si>
    <t>carmosino</t>
  </si>
  <si>
    <t>experienced it sales executive</t>
  </si>
  <si>
    <t>gaurav kumar</t>
  </si>
  <si>
    <t>sr technical recruiter</t>
  </si>
  <si>
    <t>4,67</t>
  </si>
  <si>
    <t>lankford</t>
  </si>
  <si>
    <t>tamosaitis</t>
  </si>
  <si>
    <t>joel</t>
  </si>
  <si>
    <t>leyden</t>
  </si>
  <si>
    <t>ceo / creative director</t>
  </si>
  <si>
    <t>trey</t>
  </si>
  <si>
    <t>mcintyre</t>
  </si>
  <si>
    <t>owner - imes imaging</t>
  </si>
  <si>
    <t>quintas</t>
  </si>
  <si>
    <t>anne</t>
  </si>
  <si>
    <t>karen l.</t>
  </si>
  <si>
    <t>parker</t>
  </si>
  <si>
    <t>owner/proprietor</t>
  </si>
  <si>
    <t>chairman / ceo</t>
  </si>
  <si>
    <t>peterson</t>
  </si>
  <si>
    <t>liu</t>
  </si>
  <si>
    <t>online communications director</t>
  </si>
  <si>
    <t>rota</t>
  </si>
  <si>
    <t>subar</t>
  </si>
  <si>
    <t>chicago, illinois, United States</t>
  </si>
  <si>
    <t>hemant</t>
  </si>
  <si>
    <t>nadakuditi</t>
  </si>
  <si>
    <t>archer</t>
  </si>
  <si>
    <t>president and chief executive officer</t>
  </si>
  <si>
    <t>reno, nevada area, united states</t>
  </si>
  <si>
    <t>Program Development</t>
  </si>
  <si>
    <t>pankaj</t>
  </si>
  <si>
    <t>mayor</t>
  </si>
  <si>
    <t>valerie</t>
  </si>
  <si>
    <t>larson</t>
  </si>
  <si>
    <t>senior talent acquisition partner</t>
  </si>
  <si>
    <t>gilbert</t>
  </si>
  <si>
    <t>director, digital strategy &amp; brand management</t>
  </si>
  <si>
    <t>dj</t>
  </si>
  <si>
    <t>winter</t>
  </si>
  <si>
    <t>sr. business development manager, sdl alterian campaign management &amp; analytics</t>
  </si>
  <si>
    <t>shawnee, kansas</t>
  </si>
  <si>
    <t>cannon</t>
  </si>
  <si>
    <t>ocean view, delaware</t>
  </si>
  <si>
    <t>ken</t>
  </si>
  <si>
    <t>malek</t>
  </si>
  <si>
    <t>president - executive recruiter</t>
  </si>
  <si>
    <t>wiemann</t>
  </si>
  <si>
    <t>jayam</t>
  </si>
  <si>
    <t>turner</t>
  </si>
  <si>
    <t>monte</t>
  </si>
  <si>
    <t>bailey</t>
  </si>
  <si>
    <t>carmel, indiana</t>
  </si>
  <si>
    <t>Industrial Automation</t>
  </si>
  <si>
    <t>conor</t>
  </si>
  <si>
    <t>mcgann</t>
  </si>
  <si>
    <t>founder, cto and vp of engineering</t>
  </si>
  <si>
    <t>dillon</t>
  </si>
  <si>
    <t>antoine e.</t>
  </si>
  <si>
    <t>pirson</t>
  </si>
  <si>
    <t>r.e.broker/investment adviser, management consultant</t>
  </si>
  <si>
    <t>5,67</t>
  </si>
  <si>
    <t>prasad raj</t>
  </si>
  <si>
    <t>lion</t>
  </si>
  <si>
    <t>it recruiter</t>
  </si>
  <si>
    <t>edison, new jersey</t>
  </si>
  <si>
    <t>anita</t>
  </si>
  <si>
    <t>li lion ebusinessproductgmail.com</t>
  </si>
  <si>
    <t>slough, united kingdom</t>
  </si>
  <si>
    <t>riddle</t>
  </si>
  <si>
    <t>ana sofia</t>
  </si>
  <si>
    <t>costa quintas</t>
  </si>
  <si>
    <t>jonathon</t>
  </si>
  <si>
    <t>solomons</t>
  </si>
  <si>
    <t>watford, united kingdom</t>
  </si>
  <si>
    <t>eaton</t>
  </si>
  <si>
    <t>Market Research</t>
  </si>
  <si>
    <t>norton</t>
  </si>
  <si>
    <t>president &amp; coo</t>
  </si>
  <si>
    <t>stephanie</t>
  </si>
  <si>
    <t>cistrunk</t>
  </si>
  <si>
    <t>accounting assistant</t>
  </si>
  <si>
    <t>chris fox</t>
  </si>
  <si>
    <t>gilson</t>
  </si>
  <si>
    <t>bud</t>
  </si>
  <si>
    <t>broomhead</t>
  </si>
  <si>
    <t>ceo/ president</t>
  </si>
  <si>
    <t>director/ photographer</t>
  </si>
  <si>
    <t>greater los angeles area, united states</t>
  </si>
  <si>
    <t>eades</t>
  </si>
  <si>
    <t>russ</t>
  </si>
  <si>
    <t>white</t>
  </si>
  <si>
    <t>2,33</t>
  </si>
  <si>
    <t>hayashi</t>
  </si>
  <si>
    <t>annemarie</t>
  </si>
  <si>
    <t>de lavison</t>
  </si>
  <si>
    <t>owner and managing director</t>
  </si>
  <si>
    <t>poirier</t>
  </si>
  <si>
    <t>network security engineer</t>
  </si>
  <si>
    <t>los alamos, new mexico</t>
  </si>
  <si>
    <t>stephan</t>
  </si>
  <si>
    <t>boutboul</t>
  </si>
  <si>
    <t>tolliver</t>
  </si>
  <si>
    <t>tappis marctoppsearch.com</t>
  </si>
  <si>
    <t>yuri</t>
  </si>
  <si>
    <t>porras</t>
  </si>
  <si>
    <t>especialista en cloud computing</t>
  </si>
  <si>
    <t>saul</t>
  </si>
  <si>
    <t>fineman</t>
  </si>
  <si>
    <t>co-owner</t>
  </si>
  <si>
    <t>bradenton, florida</t>
  </si>
  <si>
    <t>Graphic Design</t>
  </si>
  <si>
    <t>carrion</t>
  </si>
  <si>
    <t>noc engineer</t>
  </si>
  <si>
    <t>akshay</t>
  </si>
  <si>
    <t>hartalkar</t>
  </si>
  <si>
    <t>co founder &amp; ceo</t>
  </si>
  <si>
    <t>gui</t>
  </si>
  <si>
    <t>wong pmp cphimsca</t>
  </si>
  <si>
    <t>senior director of information technology</t>
  </si>
  <si>
    <t>toronto, canada area</t>
  </si>
  <si>
    <t>large</t>
  </si>
  <si>
    <t>levy</t>
  </si>
  <si>
    <t>head of sales, mobility services</t>
  </si>
  <si>
    <t>clayton</t>
  </si>
  <si>
    <t>reid</t>
  </si>
  <si>
    <t>president and ceo, mmgy global</t>
  </si>
  <si>
    <t>kansas city, missouri area, United States</t>
  </si>
  <si>
    <t>bucciero</t>
  </si>
  <si>
    <t>charles</t>
  </si>
  <si>
    <t>bennett cpa</t>
  </si>
  <si>
    <t>sanjeev</t>
  </si>
  <si>
    <t>malhotra</t>
  </si>
  <si>
    <t>products &amp; content</t>
  </si>
  <si>
    <t>burak</t>
  </si>
  <si>
    <t>gokturk</t>
  </si>
  <si>
    <t>facchinei</t>
  </si>
  <si>
    <t>peters</t>
  </si>
  <si>
    <t>partner, global technology practice</t>
  </si>
  <si>
    <t>rob</t>
  </si>
  <si>
    <t>gorlin</t>
  </si>
  <si>
    <t>jinks</t>
  </si>
  <si>
    <t>chawla</t>
  </si>
  <si>
    <t>sarahjane</t>
  </si>
  <si>
    <t>steinbeck</t>
  </si>
  <si>
    <t>research</t>
  </si>
  <si>
    <t>7,5</t>
  </si>
  <si>
    <t>cheryl</t>
  </si>
  <si>
    <t>baldwin</t>
  </si>
  <si>
    <t>director of continuing education</t>
  </si>
  <si>
    <t>gautam</t>
  </si>
  <si>
    <t>goswami</t>
  </si>
  <si>
    <t>sr.director &amp; general manager birt ondemand - smart saas</t>
  </si>
  <si>
    <t>technical recruiter</t>
  </si>
  <si>
    <t>jesse</t>
  </si>
  <si>
    <t>chenard</t>
  </si>
  <si>
    <t>loic</t>
  </si>
  <si>
    <t>fleury</t>
  </si>
  <si>
    <t>fondateur / ceo</t>
  </si>
  <si>
    <t>anurag</t>
  </si>
  <si>
    <t>khemka</t>
  </si>
  <si>
    <t>founder, president &amp; ceo</t>
  </si>
  <si>
    <t>maul</t>
  </si>
  <si>
    <t>founder and managing principal</t>
  </si>
  <si>
    <t>ginny</t>
  </si>
  <si>
    <t>gutierrez</t>
  </si>
  <si>
    <t>founder/owner</t>
  </si>
  <si>
    <t>kranson</t>
  </si>
  <si>
    <t>chief creative officer and chief executive officer</t>
  </si>
  <si>
    <t>niti</t>
  </si>
  <si>
    <t>agrawal</t>
  </si>
  <si>
    <t>niranjan</t>
  </si>
  <si>
    <t>rajaratnam</t>
  </si>
  <si>
    <t>haas</t>
  </si>
  <si>
    <t>vice president-technology</t>
  </si>
  <si>
    <t>adrienne</t>
  </si>
  <si>
    <t>fritze</t>
  </si>
  <si>
    <t>corvallis, oregon area, united states, United States</t>
  </si>
  <si>
    <t>nelson</t>
  </si>
  <si>
    <t>ipswich, united kingdom</t>
  </si>
  <si>
    <t>sanchez rael</t>
  </si>
  <si>
    <t>schweighoferjones</t>
  </si>
  <si>
    <t>vice president, marketing and business development</t>
  </si>
  <si>
    <t>nick</t>
  </si>
  <si>
    <t>price firp</t>
  </si>
  <si>
    <t>edinburgh, united kingdom</t>
  </si>
  <si>
    <t>sanjay</t>
  </si>
  <si>
    <t>sood</t>
  </si>
  <si>
    <t>ceo and director</t>
  </si>
  <si>
    <t>d.c.</t>
  </si>
  <si>
    <t>fawcett</t>
  </si>
  <si>
    <t>tampa, florida</t>
  </si>
  <si>
    <t>chrobak</t>
  </si>
  <si>
    <t>buzzard</t>
  </si>
  <si>
    <t>founder member, partner</t>
  </si>
  <si>
    <t>shaffer</t>
  </si>
  <si>
    <t>lora</t>
  </si>
  <si>
    <t>cecere</t>
  </si>
  <si>
    <t>louis</t>
  </si>
  <si>
    <t>hyman</t>
  </si>
  <si>
    <t>evp, chief technology officer</t>
  </si>
  <si>
    <t>martie</t>
  </si>
  <si>
    <t>bond</t>
  </si>
  <si>
    <t>ike</t>
  </si>
  <si>
    <t>brenner</t>
  </si>
  <si>
    <t>leedor</t>
  </si>
  <si>
    <t>agam</t>
  </si>
  <si>
    <t>lois</t>
  </si>
  <si>
    <t>plust</t>
  </si>
  <si>
    <t>volunteer</t>
  </si>
  <si>
    <t>succasunna, new jersey</t>
  </si>
  <si>
    <t>kessinger</t>
  </si>
  <si>
    <t>executive director quality &amp; continuous improvement</t>
  </si>
  <si>
    <t>Packaging and Containers</t>
  </si>
  <si>
    <t>yannick</t>
  </si>
  <si>
    <t>germain</t>
  </si>
  <si>
    <t>juliana</t>
  </si>
  <si>
    <t>carvalho</t>
  </si>
  <si>
    <t>fisioterapeuta ergonomista</t>
  </si>
  <si>
    <t>campo grande, mato grosso do sul, brasil</t>
  </si>
  <si>
    <t>bruna</t>
  </si>
  <si>
    <t>villela rosi</t>
  </si>
  <si>
    <t>fisioterapeuta</t>
  </si>
  <si>
    <t>poços de caldas e região, brasil</t>
  </si>
  <si>
    <t>robinson</t>
  </si>
  <si>
    <t>rajeev</t>
  </si>
  <si>
    <t>g.mavinkurve</t>
  </si>
  <si>
    <t>vice president / account director</t>
  </si>
  <si>
    <t>neil</t>
  </si>
  <si>
    <t>seeman</t>
  </si>
  <si>
    <t>sullivan coo msc global leadership</t>
  </si>
  <si>
    <t>8,92</t>
  </si>
  <si>
    <t>arun</t>
  </si>
  <si>
    <t>thakur</t>
  </si>
  <si>
    <t>partner, insurance</t>
  </si>
  <si>
    <t>henrik</t>
  </si>
  <si>
    <t>brinch</t>
  </si>
  <si>
    <t>cto / partner</t>
  </si>
  <si>
    <t>copenhagen area, capital region, denmark</t>
  </si>
  <si>
    <t>namerow</t>
  </si>
  <si>
    <t>general manager, aol music, aol radio &amp; shoutcast</t>
  </si>
  <si>
    <t>dvorkin</t>
  </si>
  <si>
    <t>manju</t>
  </si>
  <si>
    <t>rao</t>
  </si>
  <si>
    <t>director- opd</t>
  </si>
  <si>
    <t>donna</t>
  </si>
  <si>
    <t>amos</t>
  </si>
  <si>
    <t>business start-up expert for solo business owners</t>
  </si>
  <si>
    <t>vikram</t>
  </si>
  <si>
    <t>pisal</t>
  </si>
  <si>
    <t>sr.u.s.it recruiter at chenoa information services pvt.ltd</t>
  </si>
  <si>
    <t>4,55</t>
  </si>
  <si>
    <t>jeanpierre</t>
  </si>
  <si>
    <t>foehn</t>
  </si>
  <si>
    <t>president and founder</t>
  </si>
  <si>
    <t>leah young</t>
  </si>
  <si>
    <t>top recommended toplinkedlion</t>
  </si>
  <si>
    <t>founder, producer &amp; host</t>
  </si>
  <si>
    <t>eskridge, prc, cpc, cts, cers</t>
  </si>
  <si>
    <t>president at eskridge &amp; associates</t>
  </si>
  <si>
    <t>austin, texas area, United States</t>
  </si>
  <si>
    <t>van cleave</t>
  </si>
  <si>
    <t>director, service delivery</t>
  </si>
  <si>
    <t>buiocchi</t>
  </si>
  <si>
    <t>sterner</t>
  </si>
  <si>
    <t>sekhar</t>
  </si>
  <si>
    <t>bhattacharjee</t>
  </si>
  <si>
    <t>director of ecommerce merchandising - buybuy baby</t>
  </si>
  <si>
    <t>superhero</t>
  </si>
  <si>
    <t>russell</t>
  </si>
  <si>
    <t>lomauro</t>
  </si>
  <si>
    <t>Animation</t>
  </si>
  <si>
    <t>yoav</t>
  </si>
  <si>
    <t>shaham</t>
  </si>
  <si>
    <t>abbey</t>
  </si>
  <si>
    <t>dyck</t>
  </si>
  <si>
    <t>austin, texas, United States</t>
  </si>
  <si>
    <t>harish</t>
  </si>
  <si>
    <t>sarma</t>
  </si>
  <si>
    <t>arvind mishra agile</t>
  </si>
  <si>
    <t>coach certified scrum master pm</t>
  </si>
  <si>
    <t>new delhi area, india</t>
  </si>
  <si>
    <t>nason</t>
  </si>
  <si>
    <t>chief operating officer &amp; chief technology officer</t>
  </si>
  <si>
    <t>chapel hill, north carolina</t>
  </si>
  <si>
    <t>damiano</t>
  </si>
  <si>
    <t>airoldi</t>
  </si>
  <si>
    <t>milan area, italy</t>
  </si>
  <si>
    <t>Italy</t>
  </si>
  <si>
    <t>avery</t>
  </si>
  <si>
    <t>lyford</t>
  </si>
  <si>
    <t>sahni</t>
  </si>
  <si>
    <t>director, product management</t>
  </si>
  <si>
    <t>cupertino, california</t>
  </si>
  <si>
    <t>prasadd</t>
  </si>
  <si>
    <t>bartakke</t>
  </si>
  <si>
    <t>chief of experience design and research, co-founder of yuj designs</t>
  </si>
  <si>
    <t>pune, maharashtra, india</t>
  </si>
  <si>
    <t>Design</t>
  </si>
  <si>
    <t>mahesh</t>
  </si>
  <si>
    <t>hegade</t>
  </si>
  <si>
    <t>lead project manager</t>
  </si>
  <si>
    <t>raphi</t>
  </si>
  <si>
    <t>salem internet marketing guy</t>
  </si>
  <si>
    <t>principal</t>
  </si>
  <si>
    <t>Primary/Secondary Education</t>
  </si>
  <si>
    <t>7,92</t>
  </si>
  <si>
    <t>rene</t>
  </si>
  <si>
    <t>siegel</t>
  </si>
  <si>
    <t>president &amp; owner</t>
  </si>
  <si>
    <t>anders</t>
  </si>
  <si>
    <t>skjønaa</t>
  </si>
  <si>
    <t>barthold</t>
  </si>
  <si>
    <t>top pen</t>
  </si>
  <si>
    <t>millville, new jersey</t>
  </si>
  <si>
    <t>Writing and Editing</t>
  </si>
  <si>
    <t>amy</t>
  </si>
  <si>
    <t>anson</t>
  </si>
  <si>
    <t>toms river, new jersey</t>
  </si>
  <si>
    <t>abuaita</t>
  </si>
  <si>
    <t>director of network operations</t>
  </si>
  <si>
    <t>kak</t>
  </si>
  <si>
    <t>vice president, ecosystem marketing &amp; business development</t>
  </si>
  <si>
    <t>levit mcdonald</t>
  </si>
  <si>
    <t>senior vice president, business development (contractor)</t>
  </si>
  <si>
    <t>khauled</t>
  </si>
  <si>
    <t>tahhan</t>
  </si>
  <si>
    <t>gigu</t>
  </si>
  <si>
    <t>zachariah</t>
  </si>
  <si>
    <t>sr. production engineer</t>
  </si>
  <si>
    <t>carey</t>
  </si>
  <si>
    <t>lowrey</t>
  </si>
  <si>
    <t>cio</t>
  </si>
  <si>
    <t>egg harbor township, new jersey</t>
  </si>
  <si>
    <t>bates</t>
  </si>
  <si>
    <t>execuive vice president/coo</t>
  </si>
  <si>
    <t>ottawa, ontario, canada</t>
  </si>
  <si>
    <t>kocsis</t>
  </si>
  <si>
    <t>plainsboro, new jersey</t>
  </si>
  <si>
    <t>viet q. pho mba mpm</t>
  </si>
  <si>
    <t>third year law school student</t>
  </si>
  <si>
    <t>sameer</t>
  </si>
  <si>
    <t>garde</t>
  </si>
  <si>
    <t>http://www.linkedin.com/pub/sameer-garde/0/9a7/830?trk=pub-pbmap'&gt;&lt;img class=</t>
  </si>
  <si>
    <t>miles</t>
  </si>
  <si>
    <t>braffett</t>
  </si>
  <si>
    <t>svp &amp; chief information officer</t>
  </si>
  <si>
    <t>lopez donatt</t>
  </si>
  <si>
    <t>commercial, editorial, portraits, fashion photographer</t>
  </si>
  <si>
    <t>8,28</t>
  </si>
  <si>
    <t>gary 許璧光</t>
  </si>
  <si>
    <t>kho</t>
  </si>
  <si>
    <t>qingdao city, shandong, china</t>
  </si>
  <si>
    <t>lappen</t>
  </si>
  <si>
    <t>advisor</t>
  </si>
  <si>
    <t>melbourne area, australia</t>
  </si>
  <si>
    <t>reyespicknell</t>
  </si>
  <si>
    <t>barrie, ontario, canada</t>
  </si>
  <si>
    <t>ethan</t>
  </si>
  <si>
    <t>paulo</t>
  </si>
  <si>
    <t>lemgruber</t>
  </si>
  <si>
    <t>consultant</t>
  </si>
  <si>
    <t>faringdon, oxfordshire, united kingdom</t>
  </si>
  <si>
    <t>gloria</t>
  </si>
  <si>
    <t>coach job seekers in the &amp;quot;art of the job hunt.&amp;quot;  transforms resumes into powerful documents.  national practice.                 &lt;/p&gt;                             &lt;dl id="headline" class="demographic-info adr"&gt;     &lt;dt&gt;location&lt;/dt&gt;     &lt;dd&gt;     &lt;span class="locality"&gt;</t>
  </si>
  <si>
    <t>bruno</t>
  </si>
  <si>
    <t>muniz de almeida</t>
  </si>
  <si>
    <t>stephan chehab</t>
  </si>
  <si>
    <t>ph.d. eng pmp cipm mpm gsas</t>
  </si>
  <si>
    <t>qatar</t>
  </si>
  <si>
    <t>Qatar</t>
  </si>
  <si>
    <t>sethi</t>
  </si>
  <si>
    <t>mojica</t>
  </si>
  <si>
    <t>charlotte, north carolina area, united states, United States</t>
  </si>
  <si>
    <t>gibson</t>
  </si>
  <si>
    <t>senior project manager</t>
  </si>
  <si>
    <t>j.t.</t>
  </si>
  <si>
    <t>betty</t>
  </si>
  <si>
    <t>chomel bettychomelyahoo.com</t>
  </si>
  <si>
    <t>procurement manager</t>
  </si>
  <si>
    <t>fred</t>
  </si>
  <si>
    <t>sarkari</t>
  </si>
  <si>
    <t>british columbia, canada</t>
  </si>
  <si>
    <t>sarah</t>
  </si>
  <si>
    <t>thomson</t>
  </si>
  <si>
    <t>director of developer relations/business development</t>
  </si>
  <si>
    <t>badger</t>
  </si>
  <si>
    <t>enterprise business devt director</t>
  </si>
  <si>
    <t>garrison</t>
  </si>
  <si>
    <t>president &amp; gm of operations</t>
  </si>
  <si>
    <t>wilcoxetzel</t>
  </si>
  <si>
    <t>software product manager</t>
  </si>
  <si>
    <t>Business Supplies and Equipment</t>
  </si>
  <si>
    <t>venky</t>
  </si>
  <si>
    <t>cannell</t>
  </si>
  <si>
    <t>senior communications manager</t>
  </si>
  <si>
    <t>new brunswick, new jersey</t>
  </si>
  <si>
    <t>helen</t>
  </si>
  <si>
    <t>fuller</t>
  </si>
  <si>
    <t>vice president -- marketing</t>
  </si>
  <si>
    <t>tarundeep</t>
  </si>
  <si>
    <t>client relationship consultant- life sciences</t>
  </si>
  <si>
    <t>plainfield, new jersey</t>
  </si>
  <si>
    <t>8,25</t>
  </si>
  <si>
    <t>major general erika</t>
  </si>
  <si>
    <t>steuterman usaf ret</t>
  </si>
  <si>
    <t>vice president, strategic planning</t>
  </si>
  <si>
    <t>west lafayette, indiana</t>
  </si>
  <si>
    <t>venkata</t>
  </si>
  <si>
    <t>chekka</t>
  </si>
  <si>
    <t>sr. websphere message broker technical lead</t>
  </si>
  <si>
    <t>filiz</t>
  </si>
  <si>
    <t>tumer rcic</t>
  </si>
  <si>
    <t>shawn</t>
  </si>
  <si>
    <t>pacely</t>
  </si>
  <si>
    <t>director of engineering</t>
  </si>
  <si>
    <t>landon</t>
  </si>
  <si>
    <t>shefali</t>
  </si>
  <si>
    <t>rawat</t>
  </si>
  <si>
    <t>account/recruitment manager</t>
  </si>
  <si>
    <t>5,25</t>
  </si>
  <si>
    <t>jenna</t>
  </si>
  <si>
    <t>fleming</t>
  </si>
  <si>
    <t>adjunct lecturer, museum studies</t>
  </si>
  <si>
    <t>jamieson</t>
  </si>
  <si>
    <t>director of business intelligence</t>
  </si>
  <si>
    <t>anonimity setting</t>
  </si>
  <si>
    <t>confirmed applebrigade at gmail.com</t>
  </si>
  <si>
    <t>governor and charity fund raiser</t>
  </si>
  <si>
    <t>vincent</t>
  </si>
  <si>
    <t>systems administrator</t>
  </si>
  <si>
    <t>docherty</t>
  </si>
  <si>
    <t>sr. director, product management</t>
  </si>
  <si>
    <t>granite falls, north carolina</t>
  </si>
  <si>
    <t>jean jacques</t>
  </si>
  <si>
    <t>gauvin</t>
  </si>
  <si>
    <t>partner and itsm practice lead</t>
  </si>
  <si>
    <t>orleans, ontario, canada</t>
  </si>
  <si>
    <t>stremlaw</t>
  </si>
  <si>
    <t>laura d.</t>
  </si>
  <si>
    <t>brown mba pmp</t>
  </si>
  <si>
    <t>osmar</t>
  </si>
  <si>
    <t>alves de oliveira junior</t>
  </si>
  <si>
    <t>analista de crédito sênior</t>
  </si>
  <si>
    <t>becky</t>
  </si>
  <si>
    <t>desouza becky.desouzadreamworks.com</t>
  </si>
  <si>
    <t>senior recruiter</t>
  </si>
  <si>
    <t>pritchett</t>
  </si>
  <si>
    <t>seaford, delaware</t>
  </si>
  <si>
    <t>Machinery</t>
  </si>
  <si>
    <t>tien</t>
  </si>
  <si>
    <t>wong</t>
  </si>
  <si>
    <t>chairman &amp; ceo</t>
  </si>
  <si>
    <t>kurt a.</t>
  </si>
  <si>
    <t>conrath</t>
  </si>
  <si>
    <t>national recruiter - managerial and supervisory talent</t>
  </si>
  <si>
    <t>greater milwaukee area, united states</t>
  </si>
  <si>
    <t>raf</t>
  </si>
  <si>
    <t>keustermans</t>
  </si>
  <si>
    <t>phoenix, arizona area, united states, United States</t>
  </si>
  <si>
    <t>cline</t>
  </si>
  <si>
    <t>clinton, new jersey</t>
  </si>
  <si>
    <t>bhanu</t>
  </si>
  <si>
    <t>gottipati</t>
  </si>
  <si>
    <t>dickinson</t>
  </si>
  <si>
    <t>florham park, new jersey</t>
  </si>
  <si>
    <t>antonio</t>
  </si>
  <si>
    <t>brissa</t>
  </si>
  <si>
    <t>heidelberg, baden-wurttemberg, germany</t>
  </si>
  <si>
    <t>saurabh</t>
  </si>
  <si>
    <t>it consultant</t>
  </si>
  <si>
    <t>middletown, new jersey</t>
  </si>
  <si>
    <t>moonves lion</t>
  </si>
  <si>
    <t>Automotive</t>
  </si>
  <si>
    <t>charlotte</t>
  </si>
  <si>
    <t>sequeira</t>
  </si>
  <si>
    <t>team lead</t>
  </si>
  <si>
    <t>wilmington, delaware</t>
  </si>
  <si>
    <t>damon</t>
  </si>
  <si>
    <t>albano</t>
  </si>
  <si>
    <t>manager recruitment, sourcing at johnson &amp; johnson</t>
  </si>
  <si>
    <t>marcelino</t>
  </si>
  <si>
    <t>de santiago</t>
  </si>
  <si>
    <t>senior general manager</t>
  </si>
  <si>
    <t>providence, rhode island area, united states</t>
  </si>
  <si>
    <t>kanchan</t>
  </si>
  <si>
    <t>president - structured products &amp; cro</t>
  </si>
  <si>
    <t>stephen</t>
  </si>
  <si>
    <t>butcher</t>
  </si>
  <si>
    <t>principal consultant / owner</t>
  </si>
  <si>
    <t>lalita</t>
  </si>
  <si>
    <t>amos psy.d. cand. mhrm</t>
  </si>
  <si>
    <t>president and senior executive coach</t>
  </si>
  <si>
    <t>indianapolis, indiana area</t>
  </si>
  <si>
    <t>terrel</t>
  </si>
  <si>
    <t>transtrum</t>
  </si>
  <si>
    <t>president / founder</t>
  </si>
  <si>
    <t>pocatello, idaho area, united states</t>
  </si>
  <si>
    <t>triscoli</t>
  </si>
  <si>
    <t>camila</t>
  </si>
  <si>
    <t>stelzer</t>
  </si>
  <si>
    <t>caixa</t>
  </si>
  <si>
    <t>sorocaba e região, brasil</t>
  </si>
  <si>
    <t>michael w.</t>
  </si>
  <si>
    <t>karlowicz</t>
  </si>
  <si>
    <t>director of marketing &amp; sales</t>
  </si>
  <si>
    <t>vito</t>
  </si>
  <si>
    <t>bialla</t>
  </si>
  <si>
    <t>harr</t>
  </si>
  <si>
    <t>eran</t>
  </si>
  <si>
    <t>gefen</t>
  </si>
  <si>
    <t>evelin</t>
  </si>
  <si>
    <t>urena</t>
  </si>
  <si>
    <t>sqa analyst at medidata solutions worldwide</t>
  </si>
  <si>
    <t>contractor - data migration</t>
  </si>
  <si>
    <t>scotch plains, new jersey</t>
  </si>
  <si>
    <t>rottmayer</t>
  </si>
  <si>
    <t>diretoria</t>
  </si>
  <si>
    <t>manish</t>
  </si>
  <si>
    <t>ron r.</t>
  </si>
  <si>
    <t>browning</t>
  </si>
  <si>
    <t>founder / ceo</t>
  </si>
  <si>
    <t>bret</t>
  </si>
  <si>
    <t>winholtz</t>
  </si>
  <si>
    <t>jitesh</t>
  </si>
  <si>
    <t>madhwani</t>
  </si>
  <si>
    <t>vice president - sales &amp; business development</t>
  </si>
  <si>
    <t>brazinha cardoso</t>
  </si>
  <si>
    <t>it manager - analysis and systems design</t>
  </si>
  <si>
    <t>roddy</t>
  </si>
  <si>
    <t>rodstein</t>
  </si>
  <si>
    <t>nazish</t>
  </si>
  <si>
    <t>lutfi</t>
  </si>
  <si>
    <t>dermott</t>
  </si>
  <si>
    <t>reilly</t>
  </si>
  <si>
    <t>sallyjane</t>
  </si>
  <si>
    <t>kruger lion</t>
  </si>
  <si>
    <t>newbury, berkshire, united kingdom</t>
  </si>
  <si>
    <t>leo</t>
  </si>
  <si>
    <t>howes</t>
  </si>
  <si>
    <t>director/ head of financial services</t>
  </si>
  <si>
    <t>sherri</t>
  </si>
  <si>
    <t>lockridge</t>
  </si>
  <si>
    <t>owner / event planner</t>
  </si>
  <si>
    <t>hans</t>
  </si>
  <si>
    <t>diehl</t>
  </si>
  <si>
    <t>senior program manager</t>
  </si>
  <si>
    <t>besse</t>
  </si>
  <si>
    <t>founder, vp product &amp; marketing</t>
  </si>
  <si>
    <t>shameek</t>
  </si>
  <si>
    <t>basu</t>
  </si>
  <si>
    <t>vice president - mergers &amp; acquisitions</t>
  </si>
  <si>
    <t>lauren</t>
  </si>
  <si>
    <t>otterman</t>
  </si>
  <si>
    <t>blyth</t>
  </si>
  <si>
    <t>director of it service delivery</t>
  </si>
  <si>
    <t>sandhurst, berkshire, united kingdom</t>
  </si>
  <si>
    <t>boroff</t>
  </si>
  <si>
    <t>harper</t>
  </si>
  <si>
    <t>worcester, united kingdom</t>
  </si>
  <si>
    <t>omar</t>
  </si>
  <si>
    <t>chavez</t>
  </si>
  <si>
    <t>software test engineer</t>
  </si>
  <si>
    <t>3,5</t>
  </si>
  <si>
    <t>françois</t>
  </si>
  <si>
    <t>roux</t>
  </si>
  <si>
    <t>finland</t>
  </si>
  <si>
    <t>Finland</t>
  </si>
  <si>
    <t>annie laurie</t>
  </si>
  <si>
    <t>hall annie.hallyahoo.com</t>
  </si>
  <si>
    <t>plano, texas</t>
  </si>
  <si>
    <t>vallee</t>
  </si>
  <si>
    <t>founder and executive chairman</t>
  </si>
  <si>
    <t>don</t>
  </si>
  <si>
    <t>barber</t>
  </si>
  <si>
    <t>supply chain manager</t>
  </si>
  <si>
    <t>tiago</t>
  </si>
  <si>
    <t>franco</t>
  </si>
  <si>
    <t>g bunney</t>
  </si>
  <si>
    <t>ohearn</t>
  </si>
  <si>
    <t>communications consultant (6,100+)</t>
  </si>
  <si>
    <t>bridgewater, new jersey</t>
  </si>
  <si>
    <t>4,25</t>
  </si>
  <si>
    <t>sheldon</t>
  </si>
  <si>
    <t>north</t>
  </si>
  <si>
    <t>bert</t>
  </si>
  <si>
    <t>prusinski</t>
  </si>
  <si>
    <t>consulting engineer oracle subject matter expert (sme)</t>
  </si>
  <si>
    <t>ofer</t>
  </si>
  <si>
    <t>shoshan one hour translation</t>
  </si>
  <si>
    <t>co-founder &amp; ceo</t>
  </si>
  <si>
    <t>Translation and Localization</t>
  </si>
  <si>
    <t>rohan</t>
  </si>
  <si>
    <t>rakesh</t>
  </si>
  <si>
    <t>short</t>
  </si>
  <si>
    <t>carlsbad, california</t>
  </si>
  <si>
    <t>abraham</t>
  </si>
  <si>
    <t>christopher</t>
  </si>
  <si>
    <t>salars</t>
  </si>
  <si>
    <t>silver city, new mexico</t>
  </si>
  <si>
    <t>iuri</t>
  </si>
  <si>
    <t>andrade</t>
  </si>
  <si>
    <t>representante técnico de vendas</t>
  </si>
  <si>
    <t>vila velha e região, brasil</t>
  </si>
  <si>
    <t>Farming</t>
  </si>
  <si>
    <t>cardaropoli</t>
  </si>
  <si>
    <t>saari</t>
  </si>
  <si>
    <t>western area sales director</t>
  </si>
  <si>
    <t>philip</t>
  </si>
  <si>
    <t>ringrow</t>
  </si>
  <si>
    <t>practice director</t>
  </si>
  <si>
    <t>milton keynes, united kingdom</t>
  </si>
  <si>
    <t>chad m.</t>
  </si>
  <si>
    <t>knauss</t>
  </si>
  <si>
    <t>president, ceo at sapphire aviation inc</t>
  </si>
  <si>
    <t>washington d.c. metro area, United States</t>
  </si>
  <si>
    <t>lawrence</t>
  </si>
  <si>
    <t>suen</t>
  </si>
  <si>
    <t>leal e silva</t>
  </si>
  <si>
    <t>business division director</t>
  </si>
  <si>
    <t>gilfus</t>
  </si>
  <si>
    <t>daniel chu</t>
  </si>
  <si>
    <t>chu</t>
  </si>
  <si>
    <t>beijing city, china</t>
  </si>
  <si>
    <t>bahaudin</t>
  </si>
  <si>
    <t>mujtaba</t>
  </si>
  <si>
    <t>professor of management</t>
  </si>
  <si>
    <t>author, speaker and founder of the 60 second marketer</t>
  </si>
  <si>
    <t>greater atlanta area, United States</t>
  </si>
  <si>
    <t>lucretia</t>
  </si>
  <si>
    <t>pruitt</t>
  </si>
  <si>
    <t>rebecca</t>
  </si>
  <si>
    <t>kun  pmp</t>
  </si>
  <si>
    <t>Government Administration</t>
  </si>
  <si>
    <t>sharot</t>
  </si>
  <si>
    <t>leite</t>
  </si>
  <si>
    <t>denise</t>
  </si>
  <si>
    <t>cheng</t>
  </si>
  <si>
    <t>president and c.e.o.</t>
  </si>
  <si>
    <t>carl</t>
  </si>
  <si>
    <t>hall</t>
  </si>
  <si>
    <t>owner, directory of technology</t>
  </si>
  <si>
    <t>konchar mba</t>
  </si>
  <si>
    <t>cedar rapids, iowa area, united states</t>
  </si>
  <si>
    <t>shashank</t>
  </si>
  <si>
    <t>shwet</t>
  </si>
  <si>
    <t>product marketing</t>
  </si>
  <si>
    <t>welch</t>
  </si>
  <si>
    <t>manager, client services</t>
  </si>
  <si>
    <t>mccallum</t>
  </si>
  <si>
    <t>vice president, enterprise solutions</t>
  </si>
  <si>
    <t>fort wayne, indiana</t>
  </si>
  <si>
    <t>jessica</t>
  </si>
  <si>
    <t>powell</t>
  </si>
  <si>
    <t>vice president of marketing</t>
  </si>
  <si>
    <t>labry</t>
  </si>
  <si>
    <t>david j. van eck</t>
  </si>
  <si>
    <t>大卫</t>
  </si>
  <si>
    <t>jindal</t>
  </si>
  <si>
    <t>asim</t>
  </si>
  <si>
    <t>owner, atlantic software &amp; information management inc.; technology services consultant; certified scrummaster                 &lt;/p&gt;                             &lt;dl id="headline" class="demographic-info adr"&gt;     &lt;dt&gt;location&lt;/dt&gt;     &lt;dd&gt;     &lt;span class="locality"&gt;                                 gr</t>
  </si>
  <si>
    <t>mason</t>
  </si>
  <si>
    <t>independent consultant &amp; interim manager</t>
  </si>
  <si>
    <t>staines, surrey, united kingdom</t>
  </si>
  <si>
    <t>orna</t>
  </si>
  <si>
    <t>jackson</t>
  </si>
  <si>
    <t>friedberg properties -sales associate</t>
  </si>
  <si>
    <t>tenafly, new jersey</t>
  </si>
  <si>
    <t>sabins</t>
  </si>
  <si>
    <t>marketing operations manager</t>
  </si>
  <si>
    <t>alexandria</t>
  </si>
  <si>
    <t>melton</t>
  </si>
  <si>
    <t>sr. interactive producer</t>
  </si>
  <si>
    <t>venice, california</t>
  </si>
  <si>
    <t>coco</t>
  </si>
  <si>
    <t>angel investor; deal flow committee</t>
  </si>
  <si>
    <t>justin</t>
  </si>
  <si>
    <t>frankfurt am main area, germany</t>
  </si>
  <si>
    <t>norman</t>
  </si>
  <si>
    <t>offer</t>
  </si>
  <si>
    <t>kohen</t>
  </si>
  <si>
    <t>founder, ceo, creative director</t>
  </si>
  <si>
    <t>critchley</t>
  </si>
  <si>
    <t>managing director, commercial</t>
  </si>
  <si>
    <t>waltham st lawrence, berkshire, united kingdom</t>
  </si>
  <si>
    <t>founder/managing director</t>
  </si>
  <si>
    <t>jai</t>
  </si>
  <si>
    <t>menon</t>
  </si>
  <si>
    <t>ibm fellow, cto and vp of technical strategy</t>
  </si>
  <si>
    <t>peg</t>
  </si>
  <si>
    <t>olson</t>
  </si>
  <si>
    <t>co founder</t>
  </si>
  <si>
    <t>director technology</t>
  </si>
  <si>
    <t>plymouth, united kingdom</t>
  </si>
  <si>
    <t>board member &amp; corporate secretary</t>
  </si>
  <si>
    <t>kurt</t>
  </si>
  <si>
    <t>garbe</t>
  </si>
  <si>
    <t>gerard</t>
  </si>
  <si>
    <t>odonovan</t>
  </si>
  <si>
    <t>weymouth, dorset, united kingdom</t>
  </si>
  <si>
    <t>klein mcc</t>
  </si>
  <si>
    <t>executive coach (contractor)</t>
  </si>
  <si>
    <t>delray beach, florida</t>
  </si>
  <si>
    <t>curt</t>
  </si>
  <si>
    <t>finch</t>
  </si>
  <si>
    <t>kaczor sharepoint mvp</t>
  </si>
  <si>
    <t>sharepoint architect - consultant</t>
  </si>
  <si>
    <t>ravi rajagopal</t>
  </si>
  <si>
    <t>chennai, tamil nadu, india</t>
  </si>
  <si>
    <t>pramod</t>
  </si>
  <si>
    <t>gaur phd</t>
  </si>
  <si>
    <t>upendra</t>
  </si>
  <si>
    <t>giri  project management evangelist</t>
  </si>
  <si>
    <t>ceo | founder</t>
  </si>
  <si>
    <t>rogelio</t>
  </si>
  <si>
    <t>oliva</t>
  </si>
  <si>
    <t>bryan/college station, texas area, united states</t>
  </si>
  <si>
    <t>uttiya</t>
  </si>
  <si>
    <t>dasgupta</t>
  </si>
  <si>
    <t>vice president - business development</t>
  </si>
  <si>
    <t>cassandra</t>
  </si>
  <si>
    <t>babbington</t>
  </si>
  <si>
    <t>sr director, technology contract services</t>
  </si>
  <si>
    <t>wagenblast</t>
  </si>
  <si>
    <t>sparta, new jersey</t>
  </si>
  <si>
    <t>monteiro</t>
  </si>
  <si>
    <t>morris</t>
  </si>
  <si>
    <t>jessup</t>
  </si>
  <si>
    <t>vice president of operations</t>
  </si>
  <si>
    <t>petrie</t>
  </si>
  <si>
    <t>Commercial Real Estate</t>
  </si>
  <si>
    <t>gavin</t>
  </si>
  <si>
    <t>mlinar</t>
  </si>
  <si>
    <t>senior sourcing manager - the americas</t>
  </si>
  <si>
    <t>west cpc</t>
  </si>
  <si>
    <t>president/owner</t>
  </si>
  <si>
    <t>gidon</t>
  </si>
  <si>
    <t>coussin</t>
  </si>
  <si>
    <t>2,36</t>
  </si>
  <si>
    <t>arango</t>
  </si>
  <si>
    <t>sales manager at valpak of hawaii</t>
  </si>
  <si>
    <t>8,18</t>
  </si>
  <si>
    <t>balsam</t>
  </si>
  <si>
    <t>ceo and head trader</t>
  </si>
  <si>
    <t>managing director, emea</t>
  </si>
  <si>
    <t>quinn</t>
  </si>
  <si>
    <t>business development manager at jigsaw meeting, llc</t>
  </si>
  <si>
    <t>pratip</t>
  </si>
  <si>
    <t>dastidar</t>
  </si>
  <si>
    <t>vice president, global quality &amp; continuous improvement</t>
  </si>
  <si>
    <t>alexis</t>
  </si>
  <si>
    <t>levi</t>
  </si>
  <si>
    <t>hight</t>
  </si>
  <si>
    <t>executive director</t>
  </si>
  <si>
    <t>oklahoma city, oklahoma area, united states</t>
  </si>
  <si>
    <t>International Trade and Development</t>
  </si>
  <si>
    <t>levitan</t>
  </si>
  <si>
    <t>monica</t>
  </si>
  <si>
    <t>coleman massey mmasseydfamilk.com</t>
  </si>
  <si>
    <t>vice president, corporate communications and member relations</t>
  </si>
  <si>
    <t>kansas city, missouri area, united states</t>
  </si>
  <si>
    <t>Dairy</t>
  </si>
  <si>
    <t>pramode</t>
  </si>
  <si>
    <t>metre</t>
  </si>
  <si>
    <t>patti</t>
  </si>
  <si>
    <t>coulter</t>
  </si>
  <si>
    <t>simpson</t>
  </si>
  <si>
    <t>regional manager- carfax police crash assistance program (state and local government)</t>
  </si>
  <si>
    <t>1,83</t>
  </si>
  <si>
    <t>jamy</t>
  </si>
  <si>
    <t>stewart</t>
  </si>
  <si>
    <t>vijay</t>
  </si>
  <si>
    <t>nadkarni</t>
  </si>
  <si>
    <t>president and ceo, founder</t>
  </si>
  <si>
    <t>surya</t>
  </si>
  <si>
    <t>potharaju</t>
  </si>
  <si>
    <t>carlo</t>
  </si>
  <si>
    <t>lapadula</t>
  </si>
  <si>
    <t>ceo / founder shareholder</t>
  </si>
  <si>
    <t>berlin area, germany</t>
  </si>
  <si>
    <t>berman</t>
  </si>
  <si>
    <t>ceo, owner</t>
  </si>
  <si>
    <t>craig</t>
  </si>
  <si>
    <t>cockburn</t>
  </si>
  <si>
    <t>will</t>
  </si>
  <si>
    <t>egner</t>
  </si>
  <si>
    <t>founder and cto</t>
  </si>
  <si>
    <t>katherine</t>
  </si>
  <si>
    <t>bolman ed.d</t>
  </si>
  <si>
    <t>art history curriculum director</t>
  </si>
  <si>
    <t>márquez</t>
  </si>
  <si>
    <t>channel sales manager</t>
  </si>
  <si>
    <t>panama</t>
  </si>
  <si>
    <t>0,02</t>
  </si>
  <si>
    <t>hilbourne</t>
  </si>
  <si>
    <t>sr director emea on demand</t>
  </si>
  <si>
    <t>jennison</t>
  </si>
  <si>
    <t>asuncion</t>
  </si>
  <si>
    <t>it accessibility consultant, technology and operations</t>
  </si>
  <si>
    <t>nikos</t>
  </si>
  <si>
    <t>acuna</t>
  </si>
  <si>
    <t>dr. dan</t>
  </si>
  <si>
    <t>bhide</t>
  </si>
  <si>
    <t>jose roberto</t>
  </si>
  <si>
    <t>grilli junior</t>
  </si>
  <si>
    <t>senior procurement manager - corporate</t>
  </si>
  <si>
    <t>fortaleza e região, brasil</t>
  </si>
  <si>
    <t>mirto</t>
  </si>
  <si>
    <t>managing consultant</t>
  </si>
  <si>
    <t>cardo</t>
  </si>
  <si>
    <t>global marketing director</t>
  </si>
  <si>
    <t>beaverton, oregon</t>
  </si>
  <si>
    <t>michal szymanski</t>
  </si>
  <si>
    <t>is looking for a job.</t>
  </si>
  <si>
    <t>managing director (co-owner)</t>
  </si>
  <si>
    <t>noneman</t>
  </si>
  <si>
    <t>ernest</t>
  </si>
  <si>
    <t>huber</t>
  </si>
  <si>
    <t>cio, enterprise solutions</t>
  </si>
  <si>
    <t>prathap</t>
  </si>
  <si>
    <t>d</t>
  </si>
  <si>
    <t>sr. technical recruiter</t>
  </si>
  <si>
    <t>murtough</t>
  </si>
  <si>
    <t>connor</t>
  </si>
  <si>
    <t>monterrey area, mexico</t>
  </si>
  <si>
    <t>7,12</t>
  </si>
  <si>
    <t>griffiths</t>
  </si>
  <si>
    <t>santa rosa, california</t>
  </si>
  <si>
    <t>carter nick.carterhotmail.com</t>
  </si>
  <si>
    <t>zicker</t>
  </si>
  <si>
    <t>sisters, oregon</t>
  </si>
  <si>
    <t>koppelman</t>
  </si>
  <si>
    <t>president/ceo</t>
  </si>
  <si>
    <t>soromenho</t>
  </si>
  <si>
    <t>charlene</t>
  </si>
  <si>
    <t>clay</t>
  </si>
  <si>
    <t>motherwell, north lanarkshire, united kingdom</t>
  </si>
  <si>
    <t>lane</t>
  </si>
  <si>
    <t>patterson</t>
  </si>
  <si>
    <t>mux</t>
  </si>
  <si>
    <t>narasimhan</t>
  </si>
  <si>
    <t>luiz carlos</t>
  </si>
  <si>
    <t>camargo</t>
  </si>
  <si>
    <t>tecnico de segurança do trabalho</t>
  </si>
  <si>
    <t>são josé dos campos e região, brasil</t>
  </si>
  <si>
    <t>weidinger</t>
  </si>
  <si>
    <t>owner &amp; chairman/ceo</t>
  </si>
  <si>
    <t>antonio rogerio</t>
  </si>
  <si>
    <t>juliao</t>
  </si>
  <si>
    <t>médico coordenador</t>
  </si>
  <si>
    <t>director, marketplaces, client services</t>
  </si>
  <si>
    <t>everton</t>
  </si>
  <si>
    <t>helder</t>
  </si>
  <si>
    <t>tÉcnico de seguranÇa do trabalho e meio ambiente</t>
  </si>
  <si>
    <t>davide</t>
  </si>
  <si>
    <t>scialpi</t>
  </si>
  <si>
    <t>partner and chief executive officer</t>
  </si>
  <si>
    <t>misael</t>
  </si>
  <si>
    <t>machado.</t>
  </si>
  <si>
    <t>técnico em segurança do trabalho</t>
  </si>
  <si>
    <t>bragança paulista, são paulo, brasil</t>
  </si>
  <si>
    <t>Paper &amp; Forest Products</t>
  </si>
  <si>
    <t>bindu</t>
  </si>
  <si>
    <t>sagar</t>
  </si>
  <si>
    <t>sr.recruiting manager talent acquisition</t>
  </si>
  <si>
    <t>piscataway, new jersey</t>
  </si>
  <si>
    <t>santosh</t>
  </si>
  <si>
    <t>pillai</t>
  </si>
  <si>
    <t>resource manager</t>
  </si>
  <si>
    <t>galvache</t>
  </si>
  <si>
    <t>andré luis</t>
  </si>
  <si>
    <t>guimarães</t>
  </si>
  <si>
    <t>técnico de segurança do trabalho</t>
  </si>
  <si>
    <t>Building Materials</t>
  </si>
  <si>
    <t>andreia</t>
  </si>
  <si>
    <t>tierno</t>
  </si>
  <si>
    <t>auxiliar administrativa</t>
  </si>
  <si>
    <t>marcelo ricardo de</t>
  </si>
  <si>
    <t>lima</t>
  </si>
  <si>
    <t>tÉcnico em seguranÇa do trabalho sr</t>
  </si>
  <si>
    <t>resende, rio de janeiro, brasil</t>
  </si>
  <si>
    <t>manente</t>
  </si>
  <si>
    <t>administração de vendas</t>
  </si>
  <si>
    <t>danilo</t>
  </si>
  <si>
    <t>delgado</t>
  </si>
  <si>
    <t>analista de sistema</t>
  </si>
  <si>
    <t>derek</t>
  </si>
  <si>
    <t>bennett</t>
  </si>
  <si>
    <t>orangeville, ontario, canada</t>
  </si>
  <si>
    <t>blair</t>
  </si>
  <si>
    <t>albanese</t>
  </si>
  <si>
    <t>senior account manager</t>
  </si>
  <si>
    <t>bamberger</t>
  </si>
  <si>
    <t>founder/editor-in-chief</t>
  </si>
  <si>
    <t>margaret</t>
  </si>
  <si>
    <t>wislar</t>
  </si>
  <si>
    <t>professional travel counselor</t>
  </si>
  <si>
    <t>mikal</t>
  </si>
  <si>
    <t>jackson cpc</t>
  </si>
  <si>
    <t>marietta, georgia</t>
  </si>
  <si>
    <t>buffington</t>
  </si>
  <si>
    <t>staffing partner</t>
  </si>
  <si>
    <t>pavel</t>
  </si>
  <si>
    <t>reich</t>
  </si>
  <si>
    <t>erica a.</t>
  </si>
  <si>
    <t>zamora</t>
  </si>
  <si>
    <t>global accounts director ~ strategic account lead</t>
  </si>
  <si>
    <t>chuck</t>
  </si>
  <si>
    <t>franzetta</t>
  </si>
  <si>
    <t>boalsburg, pennsylvania</t>
  </si>
  <si>
    <t>klinker</t>
  </si>
  <si>
    <t>ottogalli</t>
  </si>
  <si>
    <t>alessandro</t>
  </si>
  <si>
    <t>roma, lazio, italy</t>
  </si>
  <si>
    <t>katie</t>
  </si>
  <si>
    <t>snapp</t>
  </si>
  <si>
    <t>founder and princess</t>
  </si>
  <si>
    <t>kravits</t>
  </si>
  <si>
    <t>monmouth junction, new jersey</t>
  </si>
  <si>
    <t>newgaard</t>
  </si>
  <si>
    <t>area director - federal</t>
  </si>
  <si>
    <t>seefried</t>
  </si>
  <si>
    <t>sousa</t>
  </si>
  <si>
    <t>director tecnico</t>
  </si>
  <si>
    <t>porto area, portugal</t>
  </si>
  <si>
    <t>kanter</t>
  </si>
  <si>
    <t>regional vp, sales</t>
  </si>
  <si>
    <t>william f</t>
  </si>
  <si>
    <t>mead mpp aicp pp</t>
  </si>
  <si>
    <t>executive director/adjutant</t>
  </si>
  <si>
    <t>willingboro, new jersey</t>
  </si>
  <si>
    <t>fisher roffer</t>
  </si>
  <si>
    <t>kathryn</t>
  </si>
  <si>
    <t>shantz</t>
  </si>
  <si>
    <t>fabiano</t>
  </si>
  <si>
    <t>lazzarini</t>
  </si>
  <si>
    <t>richelle</t>
  </si>
  <si>
    <t>rodgers</t>
  </si>
  <si>
    <t>author, motivational speaker, museum collections management consulting</t>
  </si>
  <si>
    <t>marshall</t>
  </si>
  <si>
    <t>director of product management</t>
  </si>
  <si>
    <t>rudolf d.</t>
  </si>
  <si>
    <t>roosli</t>
  </si>
  <si>
    <t>sr. director sales latam</t>
  </si>
  <si>
    <t>pimenta</t>
  </si>
  <si>
    <t>abbas</t>
  </si>
  <si>
    <t>amirichimeh</t>
  </si>
  <si>
    <t>technical director</t>
  </si>
  <si>
    <t>wolfgang</t>
  </si>
  <si>
    <t>kandek</t>
  </si>
  <si>
    <t>royall</t>
  </si>
  <si>
    <t>du</t>
  </si>
  <si>
    <t>markham, ontario, canada</t>
  </si>
  <si>
    <t>quentin</t>
  </si>
  <si>
    <t>fish</t>
  </si>
  <si>
    <t>salesforce developer</t>
  </si>
  <si>
    <t>president &amp; senior it partner, owner</t>
  </si>
  <si>
    <t>greenwood, indiana</t>
  </si>
  <si>
    <t>rabbi shmuley</t>
  </si>
  <si>
    <t>boteach</t>
  </si>
  <si>
    <t>englewood, new jersey</t>
  </si>
  <si>
    <t>Religious Institutions</t>
  </si>
  <si>
    <t>brian w</t>
  </si>
  <si>
    <t>bowdish</t>
  </si>
  <si>
    <t>sourcing director</t>
  </si>
  <si>
    <t>rush</t>
  </si>
  <si>
    <t>Printing</t>
  </si>
  <si>
    <t>romano</t>
  </si>
  <si>
    <t>gildea</t>
  </si>
  <si>
    <t>kanka</t>
  </si>
  <si>
    <t>coo &amp; founder</t>
  </si>
  <si>
    <t>indu</t>
  </si>
  <si>
    <t>kodukula</t>
  </si>
  <si>
    <t>bárbara</t>
  </si>
  <si>
    <t>barreira</t>
  </si>
  <si>
    <t>shaker</t>
  </si>
  <si>
    <t>general manager, publisher sales</t>
  </si>
  <si>
    <t>alexa</t>
  </si>
  <si>
    <t>foster</t>
  </si>
  <si>
    <t>luís fernando</t>
  </si>
  <si>
    <t>kaefer</t>
  </si>
  <si>
    <t>sócio-diretor</t>
  </si>
  <si>
    <t>kieft</t>
  </si>
  <si>
    <t>director, recruiting and business development</t>
  </si>
  <si>
    <t>puvvala</t>
  </si>
  <si>
    <t>niaz</t>
  </si>
  <si>
    <t>ahmad</t>
  </si>
  <si>
    <t>owner, ceo</t>
  </si>
  <si>
    <t>dmitry</t>
  </si>
  <si>
    <t>kovalev</t>
  </si>
  <si>
    <t>business development director</t>
  </si>
  <si>
    <t>russian federation</t>
  </si>
  <si>
    <t>gallenberger</t>
  </si>
  <si>
    <t>asheville, north carolina area, united states</t>
  </si>
  <si>
    <t>stapleton</t>
  </si>
  <si>
    <t>brontsema</t>
  </si>
  <si>
    <t>kocher  colorado springs business coach</t>
  </si>
  <si>
    <t>firm owner &amp; certified master &amp; executive business coach | colorado springs business coach</t>
  </si>
  <si>
    <t>colorado springs, colorado area, united states</t>
  </si>
  <si>
    <t>emea it manager</t>
  </si>
  <si>
    <t>northampton, united kingdom</t>
  </si>
  <si>
    <t>madan</t>
  </si>
  <si>
    <t>kondayyagari</t>
  </si>
  <si>
    <t>mulhall</t>
  </si>
  <si>
    <t>director, sales</t>
  </si>
  <si>
    <t>ambrosini</t>
  </si>
  <si>
    <t>co-founder @ opensky</t>
  </si>
  <si>
    <t>daulton</t>
  </si>
  <si>
    <t>ciw</t>
  </si>
  <si>
    <t>richmond, virginia area, united states, United States</t>
  </si>
  <si>
    <t>kibble</t>
  </si>
  <si>
    <t>graduate assistant</t>
  </si>
  <si>
    <t>pierce</t>
  </si>
  <si>
    <t>founder - vp</t>
  </si>
  <si>
    <t>park city, utah</t>
  </si>
  <si>
    <t>arsenault</t>
  </si>
  <si>
    <t>neng bing</t>
  </si>
  <si>
    <t>doh</t>
  </si>
  <si>
    <t>jana</t>
  </si>
  <si>
    <t>bayad</t>
  </si>
  <si>
    <t>director of strategic products</t>
  </si>
  <si>
    <t>bess</t>
  </si>
  <si>
    <t>spero li</t>
  </si>
  <si>
    <t>social studies teacher</t>
  </si>
  <si>
    <t>Import and Export</t>
  </si>
  <si>
    <t>villegas</t>
  </si>
  <si>
    <t>finance head oncology latam region</t>
  </si>
  <si>
    <t>vogue</t>
  </si>
  <si>
    <t>manisha</t>
  </si>
  <si>
    <t>thakkar</t>
  </si>
  <si>
    <t>manager, emerging markets</t>
  </si>
  <si>
    <t>louie</t>
  </si>
  <si>
    <t>holmes</t>
  </si>
  <si>
    <t>lakeland, florida</t>
  </si>
  <si>
    <t>hurley</t>
  </si>
  <si>
    <t>savannah, georgia area, united states</t>
  </si>
  <si>
    <t>gehlot</t>
  </si>
  <si>
    <t>melike</t>
  </si>
  <si>
    <t>fibiger</t>
  </si>
  <si>
    <t>northern region, denmark</t>
  </si>
  <si>
    <t>hayde</t>
  </si>
  <si>
    <t>ismail</t>
  </si>
  <si>
    <t>haritaoglu</t>
  </si>
  <si>
    <t>cto, co-founder</t>
  </si>
  <si>
    <t>bugbee</t>
  </si>
  <si>
    <t>luciano</t>
  </si>
  <si>
    <t>vaz</t>
  </si>
  <si>
    <t>gerente de operações</t>
  </si>
  <si>
    <t>curitiba e região, brasil</t>
  </si>
  <si>
    <t>tatiane</t>
  </si>
  <si>
    <t>veras</t>
  </si>
  <si>
    <t>analista de vendas</t>
  </si>
  <si>
    <t>santo andré, são paulo, brasil</t>
  </si>
  <si>
    <t>mehta</t>
  </si>
  <si>
    <t>cto and vp engineering</t>
  </si>
  <si>
    <t>noel</t>
  </si>
  <si>
    <t>cocca</t>
  </si>
  <si>
    <t>friedlander</t>
  </si>
  <si>
    <t>wallace</t>
  </si>
  <si>
    <t>rangam consultants</t>
  </si>
  <si>
    <t>inc.</t>
  </si>
  <si>
    <t>rangam consultants inc</t>
  </si>
  <si>
    <t>vp, managing partner</t>
  </si>
  <si>
    <t>frits</t>
  </si>
  <si>
    <t>besselaar</t>
  </si>
  <si>
    <t>co-president</t>
  </si>
  <si>
    <t>sara</t>
  </si>
  <si>
    <t>douglas</t>
  </si>
  <si>
    <t>user researcher</t>
  </si>
  <si>
    <t>lucas juvele</t>
  </si>
  <si>
    <t>passos</t>
  </si>
  <si>
    <t>projetista junior</t>
  </si>
  <si>
    <t>grout</t>
  </si>
  <si>
    <t>rallo</t>
  </si>
  <si>
    <t>Sporting Goods</t>
  </si>
  <si>
    <t>4,75</t>
  </si>
  <si>
    <t>maus</t>
  </si>
  <si>
    <t>director, pricing services</t>
  </si>
  <si>
    <t>prashant</t>
  </si>
  <si>
    <t>jawalikar</t>
  </si>
  <si>
    <t>senior project manager - kern cog traveler information system (511) project</t>
  </si>
  <si>
    <t>oakland, california</t>
  </si>
  <si>
    <t>kevin ahonu</t>
  </si>
  <si>
    <t>aingeal rose ogrady</t>
  </si>
  <si>
    <t>owner and founder</t>
  </si>
  <si>
    <t>fuentes alcedo</t>
  </si>
  <si>
    <t>shilpi</t>
  </si>
  <si>
    <t>johri cfp india</t>
  </si>
  <si>
    <t>head &amp; financial planner, arthashastra consulting</t>
  </si>
  <si>
    <t>isabel</t>
  </si>
  <si>
    <t>kallman</t>
  </si>
  <si>
    <t>hahn</t>
  </si>
  <si>
    <t>sandy, oregon</t>
  </si>
  <si>
    <t>thomas pietras</t>
  </si>
  <si>
    <t>executive vice president, qorvis geopolitical solutions (gps)</t>
  </si>
  <si>
    <t>geneva area, switzerland</t>
  </si>
  <si>
    <t>swati</t>
  </si>
  <si>
    <t>ramgopal</t>
  </si>
  <si>
    <t>technology lead</t>
  </si>
  <si>
    <t>imani</t>
  </si>
  <si>
    <t>laners</t>
  </si>
  <si>
    <t>ceo &amp; chief sales officer</t>
  </si>
  <si>
    <t>luis</t>
  </si>
  <si>
    <t>rasquilha</t>
  </si>
  <si>
    <t>cmo</t>
  </si>
  <si>
    <t>morgan</t>
  </si>
  <si>
    <t>benoit j.p.</t>
  </si>
  <si>
    <t>flammang</t>
  </si>
  <si>
    <t>kent</t>
  </si>
  <si>
    <t>iler</t>
  </si>
  <si>
    <t>marshak</t>
  </si>
  <si>
    <t>coon</t>
  </si>
  <si>
    <t>rajiv</t>
  </si>
  <si>
    <t>zutshi</t>
  </si>
  <si>
    <t>beyer</t>
  </si>
  <si>
    <t>homan</t>
  </si>
  <si>
    <t>shilling</t>
  </si>
  <si>
    <t>vice president, human resources</t>
  </si>
  <si>
    <t>weisberger</t>
  </si>
  <si>
    <t>moises</t>
  </si>
  <si>
    <t>eilemberg</t>
  </si>
  <si>
    <t>chintan</t>
  </si>
  <si>
    <t>patel</t>
  </si>
  <si>
    <t>jo ann</t>
  </si>
  <si>
    <t>executive director, marketing and communications</t>
  </si>
  <si>
    <t>thean</t>
  </si>
  <si>
    <t>van valkenburgh ms ccmc cjss csmcs</t>
  </si>
  <si>
    <t>owner &amp; certified executive career coach</t>
  </si>
  <si>
    <t>dowdle</t>
  </si>
  <si>
    <t>shalita</t>
  </si>
  <si>
    <t>vice president, marketing</t>
  </si>
  <si>
    <t>sujeet</t>
  </si>
  <si>
    <t>eiserling</t>
  </si>
  <si>
    <t>robert blake</t>
  </si>
  <si>
    <t>trainersdirect</t>
  </si>
  <si>
    <t>burlington, vermont area, united states</t>
  </si>
  <si>
    <t>marker</t>
  </si>
  <si>
    <t>louisville, kentucky area, united states</t>
  </si>
  <si>
    <t>zarb</t>
  </si>
  <si>
    <t>tyler</t>
  </si>
  <si>
    <t>shada</t>
  </si>
  <si>
    <t>director of market development</t>
  </si>
  <si>
    <t>birley</t>
  </si>
  <si>
    <t>limoges area, france</t>
  </si>
  <si>
    <t>lembo</t>
  </si>
  <si>
    <t>fort lee, new jersey</t>
  </si>
  <si>
    <t>mallardi</t>
  </si>
  <si>
    <t>nacsin</t>
  </si>
  <si>
    <t>vice president of sales</t>
  </si>
  <si>
    <t>snedaker</t>
  </si>
  <si>
    <t>young</t>
  </si>
  <si>
    <t>cio &amp; executive director of north asia</t>
  </si>
  <si>
    <t>sowmya</t>
  </si>
  <si>
    <t>shree</t>
  </si>
  <si>
    <t>sardis</t>
  </si>
  <si>
    <t>demuro johnson</t>
  </si>
  <si>
    <t>winter park, florida, United States</t>
  </si>
  <si>
    <t>netrabile</t>
  </si>
  <si>
    <t>a</t>
  </si>
  <si>
    <t>rahman mba pmp csm</t>
  </si>
  <si>
    <t>washington, district of columbia</t>
  </si>
  <si>
    <t>fitzgerald</t>
  </si>
  <si>
    <t>vice president,  worldwide sales</t>
  </si>
  <si>
    <t>sawyer</t>
  </si>
  <si>
    <t>owner/ talent</t>
  </si>
  <si>
    <t>tivey</t>
  </si>
  <si>
    <t>founder &amp; president</t>
  </si>
  <si>
    <t>herrmann mbapmp</t>
  </si>
  <si>
    <t>1,67</t>
  </si>
  <si>
    <t>holliday</t>
  </si>
  <si>
    <t>chief strategy officer and advisor to chairman &amp; ceo</t>
  </si>
  <si>
    <t>mongolia</t>
  </si>
  <si>
    <t>Mongolia</t>
  </si>
  <si>
    <t>miriam</t>
  </si>
  <si>
    <t>internal recruiter</t>
  </si>
  <si>
    <t>northvale, new jersey</t>
  </si>
  <si>
    <t>sinderson</t>
  </si>
  <si>
    <t>technical proposal writer at upmc health plan</t>
  </si>
  <si>
    <t>greater pittsburgh area, united states</t>
  </si>
  <si>
    <t>eldred</t>
  </si>
  <si>
    <t>global buddy program networking focal point</t>
  </si>
  <si>
    <t>tyagi</t>
  </si>
  <si>
    <t>brooks</t>
  </si>
  <si>
    <t>founder || vice president market research</t>
  </si>
  <si>
    <t>paupst</t>
  </si>
  <si>
    <t>interim ceo, quality consultant, contract executive, president, trainer, founder</t>
  </si>
  <si>
    <t>wasaga beach, ontario, canada</t>
  </si>
  <si>
    <t>raja</t>
  </si>
  <si>
    <t>chellappa</t>
  </si>
  <si>
    <t>research associate</t>
  </si>
  <si>
    <t>baly</t>
  </si>
  <si>
    <t>ambegaoker</t>
  </si>
  <si>
    <t>vikas</t>
  </si>
  <si>
    <t>grover</t>
  </si>
  <si>
    <t>portsmouth, united kingdom</t>
  </si>
  <si>
    <t>luciana</t>
  </si>
  <si>
    <t>kamiyama</t>
  </si>
  <si>
    <t>supervisora de distribuição</t>
  </si>
  <si>
    <t>Tobacco</t>
  </si>
  <si>
    <t>6,33</t>
  </si>
  <si>
    <t>otelino</t>
  </si>
  <si>
    <t>s. rocha júnior</t>
  </si>
  <si>
    <t>registration and regulatory affairs consultant</t>
  </si>
  <si>
    <t>cotia, são paulo, brasil</t>
  </si>
  <si>
    <t>1,25</t>
  </si>
  <si>
    <t>daniela</t>
  </si>
  <si>
    <t>epe</t>
  </si>
  <si>
    <t>assessor</t>
  </si>
  <si>
    <t>lucas</t>
  </si>
  <si>
    <t>figueiredo</t>
  </si>
  <si>
    <t>geólogo pleno</t>
  </si>
  <si>
    <t>ouro preto e região, brasil</t>
  </si>
  <si>
    <t>gojko</t>
  </si>
  <si>
    <t>adzic</t>
  </si>
  <si>
    <t>ilya</t>
  </si>
  <si>
    <t>welfeld</t>
  </si>
  <si>
    <t>owner, chief pr officer</t>
  </si>
  <si>
    <t>Maritime</t>
  </si>
  <si>
    <t>schugart</t>
  </si>
  <si>
    <t>managing director, global marketing</t>
  </si>
  <si>
    <t>henry</t>
  </si>
  <si>
    <t>london</t>
  </si>
  <si>
    <t>bookkeeper</t>
  </si>
  <si>
    <t>dhandapani</t>
  </si>
  <si>
    <t>bahadur</t>
  </si>
  <si>
    <t>wayne l.</t>
  </si>
  <si>
    <t>wright jr. pmp</t>
  </si>
  <si>
    <t>director, strategy execution office</t>
  </si>
  <si>
    <t>oshkosh, wisconsin</t>
  </si>
  <si>
    <t>lasse</t>
  </si>
  <si>
    <t>jensen</t>
  </si>
  <si>
    <t>sebastian</t>
  </si>
  <si>
    <t>mitch</t>
  </si>
  <si>
    <t>breines</t>
  </si>
  <si>
    <t>executive consutant, unix and linux isv solutions</t>
  </si>
  <si>
    <t>smyth</t>
  </si>
  <si>
    <t>it and software engineering search consultant</t>
  </si>
  <si>
    <t>siraj</t>
  </si>
  <si>
    <t>dowla</t>
  </si>
  <si>
    <t>resourcing &amp; operations (hr)</t>
  </si>
  <si>
    <t>fremont, california</t>
  </si>
  <si>
    <t>om</t>
  </si>
  <si>
    <t>giri</t>
  </si>
  <si>
    <t>mumbai area, india</t>
  </si>
  <si>
    <t>michael j</t>
  </si>
  <si>
    <t>hogan</t>
  </si>
  <si>
    <t>duffy</t>
  </si>
  <si>
    <t>gregory</t>
  </si>
  <si>
    <t>senior sales representative, math &amp; science</t>
  </si>
  <si>
    <t>marlton, new jersey</t>
  </si>
  <si>
    <t>flachsmann</t>
  </si>
  <si>
    <t>wagner</t>
  </si>
  <si>
    <t>hershberger</t>
  </si>
  <si>
    <t>laura</t>
  </si>
  <si>
    <t>mcguire</t>
  </si>
  <si>
    <t>ceo, founder, chairman</t>
  </si>
  <si>
    <t>perlson</t>
  </si>
  <si>
    <t>chad</t>
  </si>
  <si>
    <t>laws</t>
  </si>
  <si>
    <t>kuala lumpur, kuala lumpur, malaysia</t>
  </si>
  <si>
    <t>Malaysia</t>
  </si>
  <si>
    <t>kia</t>
  </si>
  <si>
    <t>behnia</t>
  </si>
  <si>
    <t>naren</t>
  </si>
  <si>
    <t>nachiappan</t>
  </si>
  <si>
    <t>co-founder and managing director</t>
  </si>
  <si>
    <t>vice president - strategy</t>
  </si>
  <si>
    <t>samantha w.</t>
  </si>
  <si>
    <t>prevost</t>
  </si>
  <si>
    <t>president and co-founder</t>
  </si>
  <si>
    <t>sarro</t>
  </si>
  <si>
    <t>founder | healthcare sales representative, manager</t>
  </si>
  <si>
    <t>kendrall</t>
  </si>
  <si>
    <t>travis</t>
  </si>
  <si>
    <t>wendy</t>
  </si>
  <si>
    <t>tan mba</t>
  </si>
  <si>
    <t>senior vice president at citicards</t>
  </si>
  <si>
    <t>goldberg</t>
  </si>
  <si>
    <t>contributing editor</t>
  </si>
  <si>
    <t>walker</t>
  </si>
  <si>
    <t>brandon</t>
  </si>
  <si>
    <t>dupsky</t>
  </si>
  <si>
    <t>lincoln, nebraska area, united states</t>
  </si>
  <si>
    <t>jeanluc</t>
  </si>
  <si>
    <t>amagat</t>
  </si>
  <si>
    <t>bas</t>
  </si>
  <si>
    <t>ten hoeve</t>
  </si>
  <si>
    <t>enschede area, netherlands</t>
  </si>
  <si>
    <t>piero</t>
  </si>
  <si>
    <t>rossi</t>
  </si>
  <si>
    <t>associato e fondatore</t>
  </si>
  <si>
    <t>bologna area, italy</t>
  </si>
  <si>
    <t>joy</t>
  </si>
  <si>
    <t>celebre</t>
  </si>
  <si>
    <t>orlando, florida area, united states, United States</t>
  </si>
  <si>
    <t>hyder</t>
  </si>
  <si>
    <t>bilgrami</t>
  </si>
  <si>
    <t>filmmaker</t>
  </si>
  <si>
    <t>patricia</t>
  </si>
  <si>
    <t>louison</t>
  </si>
  <si>
    <t>7,98</t>
  </si>
  <si>
    <t>conway</t>
  </si>
  <si>
    <t>seeking a new opportunity</t>
  </si>
  <si>
    <t>8,45</t>
  </si>
  <si>
    <t>brandt</t>
  </si>
  <si>
    <t>giffin</t>
  </si>
  <si>
    <t>marketing director, us cattle &amp; equine</t>
  </si>
  <si>
    <t>madison, new jersey</t>
  </si>
  <si>
    <t>baker</t>
  </si>
  <si>
    <t>senior director product design - kre-o</t>
  </si>
  <si>
    <t>pawtucket, rhode island</t>
  </si>
  <si>
    <t>jayasimha</t>
  </si>
  <si>
    <t>ananth</t>
  </si>
  <si>
    <t>todd h.</t>
  </si>
  <si>
    <t>owens</t>
  </si>
  <si>
    <t>lukyanchyk mba</t>
  </si>
  <si>
    <t>business analyst - market risk management</t>
  </si>
  <si>
    <t>nadia</t>
  </si>
  <si>
    <t>gruzd</t>
  </si>
  <si>
    <t>ceo; recruiting and retention expert</t>
  </si>
  <si>
    <t>weidner</t>
  </si>
  <si>
    <t>gutnick</t>
  </si>
  <si>
    <t>founder || sr. qa manual tester</t>
  </si>
  <si>
    <t>wakefield</t>
  </si>
  <si>
    <t>founder / owner</t>
  </si>
  <si>
    <t>kathy</t>
  </si>
  <si>
    <t>laquadra</t>
  </si>
  <si>
    <t>senior technology specialist</t>
  </si>
  <si>
    <t>president &amp; founder</t>
  </si>
  <si>
    <t>fabian</t>
  </si>
  <si>
    <t>lapresa</t>
  </si>
  <si>
    <t>vice president of internal audit and chief audit officer</t>
  </si>
  <si>
    <t>cindy</t>
  </si>
  <si>
    <t>monroe</t>
  </si>
  <si>
    <t>7,17</t>
  </si>
  <si>
    <t>ana</t>
  </si>
  <si>
    <t>account sales manager at bmc software</t>
  </si>
  <si>
    <t>cunningham</t>
  </si>
  <si>
    <t>ang</t>
  </si>
  <si>
    <t>kappler</t>
  </si>
  <si>
    <t>mekala</t>
  </si>
  <si>
    <t>phd candidate</t>
  </si>
  <si>
    <t>7,67</t>
  </si>
  <si>
    <t>luiz</t>
  </si>
  <si>
    <t>candreva</t>
  </si>
  <si>
    <t>anto</t>
  </si>
  <si>
    <t>budiardjo</t>
  </si>
  <si>
    <t>vitor</t>
  </si>
  <si>
    <t>domingos</t>
  </si>
  <si>
    <t>independent technology consultant</t>
  </si>
  <si>
    <t>roger w.</t>
  </si>
  <si>
    <t>vp of global services</t>
  </si>
  <si>
    <t>wu</t>
  </si>
  <si>
    <t>lovens</t>
  </si>
  <si>
    <t>vp culture of innovation</t>
  </si>
  <si>
    <t>falconeri</t>
  </si>
  <si>
    <t>matteo</t>
  </si>
  <si>
    <t>cocciardo</t>
  </si>
  <si>
    <t>co-founder, president and ceo</t>
  </si>
  <si>
    <t>turin area, italy</t>
  </si>
  <si>
    <t>cavi lars.cavibtinternet.com</t>
  </si>
  <si>
    <t>beisler</t>
  </si>
  <si>
    <t>gulati</t>
  </si>
  <si>
    <t>chief of staff: office of the chairman &amp; ceo</t>
  </si>
  <si>
    <t>sacramento, california area, united states</t>
  </si>
  <si>
    <t>edmilson</t>
  </si>
  <si>
    <t>magalhaes</t>
  </si>
  <si>
    <t>profissional na area de logística</t>
  </si>
  <si>
    <t>americana, são paulo, brasil</t>
  </si>
  <si>
    <t>jalmir</t>
  </si>
  <si>
    <t>engenheiro eletricista/eletrônica</t>
  </si>
  <si>
    <t>volta redonda e região, brasil</t>
  </si>
  <si>
    <t>fabiola</t>
  </si>
  <si>
    <t>aircraft maintenance planner</t>
  </si>
  <si>
    <t>new castle, delaware</t>
  </si>
  <si>
    <t>gopi krishna</t>
  </si>
  <si>
    <t>akula</t>
  </si>
  <si>
    <t>asst. general manager/ resource delivary manager/ sr. account manager</t>
  </si>
  <si>
    <t>dvorin</t>
  </si>
  <si>
    <t>accounting consultant</t>
  </si>
  <si>
    <t>8,08</t>
  </si>
  <si>
    <t>daryl</t>
  </si>
  <si>
    <t>zapoticzny</t>
  </si>
  <si>
    <t>vice president, global talent acquisition &amp; hr operations</t>
  </si>
  <si>
    <t>willmott</t>
  </si>
  <si>
    <t>mcnaney</t>
  </si>
  <si>
    <t>executive vice president solutions</t>
  </si>
  <si>
    <t>pearman</t>
  </si>
  <si>
    <t>director (co-owner)</t>
  </si>
  <si>
    <t>mio</t>
  </si>
  <si>
    <t>babic</t>
  </si>
  <si>
    <t>andrey</t>
  </si>
  <si>
    <t>dobrynin</t>
  </si>
  <si>
    <t>vilma</t>
  </si>
  <si>
    <t>schonwetter</t>
  </si>
  <si>
    <t>associate director of career &amp; alumni services</t>
  </si>
  <si>
    <t>kimberly</t>
  </si>
  <si>
    <t>coletti</t>
  </si>
  <si>
    <t>westport, connecticut, United States</t>
  </si>
  <si>
    <t>dias</t>
  </si>
  <si>
    <t>spedick</t>
  </si>
  <si>
    <t>vp sales and marketing</t>
  </si>
  <si>
    <t>bend, oregon</t>
  </si>
  <si>
    <t>1,22</t>
  </si>
  <si>
    <t>marcy d.</t>
  </si>
  <si>
    <t>rubin</t>
  </si>
  <si>
    <t>pisipati</t>
  </si>
  <si>
    <t>senior .net developer</t>
  </si>
  <si>
    <t>julia</t>
  </si>
  <si>
    <t>demichelis</t>
  </si>
  <si>
    <t>senior governance advisor</t>
  </si>
  <si>
    <t>6,88</t>
  </si>
  <si>
    <t>dey</t>
  </si>
  <si>
    <t>nj field network engineer (consultant)</t>
  </si>
  <si>
    <t>monroe township, new jersey</t>
  </si>
  <si>
    <t>carrie</t>
  </si>
  <si>
    <t>lamson</t>
  </si>
  <si>
    <t>yeap</t>
  </si>
  <si>
    <t>iacona</t>
  </si>
  <si>
    <t>manoj</t>
  </si>
  <si>
    <t>ranaweera</t>
  </si>
  <si>
    <t>jean marc</t>
  </si>
  <si>
    <t>lopez</t>
  </si>
  <si>
    <t>kinari</t>
  </si>
  <si>
    <t>pachani</t>
  </si>
  <si>
    <t>senior technical recruiter</t>
  </si>
  <si>
    <t>north bergen, new jersey</t>
  </si>
  <si>
    <t>4,31</t>
  </si>
  <si>
    <t>grubb mba</t>
  </si>
  <si>
    <t>meyer</t>
  </si>
  <si>
    <t>sutton</t>
  </si>
  <si>
    <t>it technology division director</t>
  </si>
  <si>
    <t>raker</t>
  </si>
  <si>
    <t>millicent</t>
  </si>
  <si>
    <t>montoya</t>
  </si>
  <si>
    <t>lucey</t>
  </si>
  <si>
    <t>jamal</t>
  </si>
  <si>
    <t>ramdani</t>
  </si>
  <si>
    <t>webber</t>
  </si>
  <si>
    <t>judy</t>
  </si>
  <si>
    <t>radan</t>
  </si>
  <si>
    <t>willem</t>
  </si>
  <si>
    <t>boom</t>
  </si>
  <si>
    <t>vice president - partner solutions</t>
  </si>
  <si>
    <t>fairholme</t>
  </si>
  <si>
    <t>eoin</t>
  </si>
  <si>
    <t>sales manager uk and ireland</t>
  </si>
  <si>
    <t>ojeda sánchez</t>
  </si>
  <si>
    <t>niru</t>
  </si>
  <si>
    <t>hayes</t>
  </si>
  <si>
    <t>international consultant</t>
  </si>
  <si>
    <t>5,46</t>
  </si>
  <si>
    <t>murthy</t>
  </si>
  <si>
    <t>gudipati</t>
  </si>
  <si>
    <t>hyderabad, andhra pradesh, india</t>
  </si>
  <si>
    <t>robin manley</t>
  </si>
  <si>
    <t>greensboro/winston-salem, north carolina area, united states, United States</t>
  </si>
  <si>
    <t>trangmar</t>
  </si>
  <si>
    <t>vice president of european sales</t>
  </si>
  <si>
    <t>brighton, united kingdom</t>
  </si>
  <si>
    <t>audette</t>
  </si>
  <si>
    <t>campos dos goytacazes, rio de janeiro, brazil</t>
  </si>
  <si>
    <t>joseph</t>
  </si>
  <si>
    <t>bonocore</t>
  </si>
  <si>
    <t>revuri</t>
  </si>
  <si>
    <t>recruiter</t>
  </si>
  <si>
    <t>kitchener, ontario, canada</t>
  </si>
  <si>
    <t>brassington</t>
  </si>
  <si>
    <t>stockport, united kingdom</t>
  </si>
  <si>
    <t>levon</t>
  </si>
  <si>
    <t>creative director</t>
  </si>
  <si>
    <t>elizabeth</t>
  </si>
  <si>
    <t>founder chief creative officer</t>
  </si>
  <si>
    <t>diane</t>
  </si>
  <si>
    <t>havelock</t>
  </si>
  <si>
    <t>anthony j</t>
  </si>
  <si>
    <t>dublino</t>
  </si>
  <si>
    <t>executive vice president group sales</t>
  </si>
  <si>
    <t>hopkins</t>
  </si>
  <si>
    <t>kay</t>
  </si>
  <si>
    <t>sasson</t>
  </si>
  <si>
    <t>dylan</t>
  </si>
  <si>
    <t>jones</t>
  </si>
  <si>
    <t>data quality expert/ data quality pro.com community manager</t>
  </si>
  <si>
    <t>stratford-upon-avon, warwickshire, united kingdom</t>
  </si>
  <si>
    <t>harry</t>
  </si>
  <si>
    <t>corless</t>
  </si>
  <si>
    <t>g. thomas</t>
  </si>
  <si>
    <t>furgerson</t>
  </si>
  <si>
    <t>des moines, iowa area, united states</t>
  </si>
  <si>
    <t>kratchman</t>
  </si>
  <si>
    <t>beverly hills, california, United States</t>
  </si>
  <si>
    <t>troy</t>
  </si>
  <si>
    <t>mckaskle</t>
  </si>
  <si>
    <t>kamuela, hawaii</t>
  </si>
  <si>
    <t>crowley</t>
  </si>
  <si>
    <t>board member</t>
  </si>
  <si>
    <t>co-founder &amp; general partner</t>
  </si>
  <si>
    <t>jacobs mhacphimss fhimss</t>
  </si>
  <si>
    <t>kelsall</t>
  </si>
  <si>
    <t>barnsley, south yorkshire, united kingdom</t>
  </si>
  <si>
    <t>saynor</t>
  </si>
  <si>
    <t>sandeep</t>
  </si>
  <si>
    <t>kurne</t>
  </si>
  <si>
    <t>executive director - coo productivity &amp; efficiency group</t>
  </si>
  <si>
    <t>britt</t>
  </si>
  <si>
    <t>founder/director</t>
  </si>
  <si>
    <t>josh</t>
  </si>
  <si>
    <t>cagwin</t>
  </si>
  <si>
    <t>gia</t>
  </si>
  <si>
    <t>rose invites welcome</t>
  </si>
  <si>
    <t>corporate virtual recruiter for a well known staffing agency</t>
  </si>
  <si>
    <t>zefferys</t>
  </si>
  <si>
    <t>ceo / co-founder</t>
  </si>
  <si>
    <t>garrett</t>
  </si>
  <si>
    <t>stephenson</t>
  </si>
  <si>
    <t>mcgough</t>
  </si>
  <si>
    <t>computer science student</t>
  </si>
  <si>
    <t>lakeland, florida area, united states, United States</t>
  </si>
  <si>
    <t>damion</t>
  </si>
  <si>
    <t>hickman</t>
  </si>
  <si>
    <t>savio</t>
  </si>
  <si>
    <t>dcunha</t>
  </si>
  <si>
    <t>talent acquisition specialist</t>
  </si>
  <si>
    <t>south plainfield, new jersey</t>
  </si>
  <si>
    <t>lal</t>
  </si>
  <si>
    <t>human resources business partner</t>
  </si>
  <si>
    <t>rathi</t>
  </si>
  <si>
    <t>ceo &amp; founding partner</t>
  </si>
  <si>
    <t>izharprato</t>
  </si>
  <si>
    <t>modesto, california area, united states</t>
  </si>
  <si>
    <t>masaki</t>
  </si>
  <si>
    <t>kawamura</t>
  </si>
  <si>
    <t>cusomer business development associate director. global customers japan</t>
  </si>
  <si>
    <t>kobe, hyogo, japón</t>
  </si>
  <si>
    <t>Japan</t>
  </si>
  <si>
    <t>curtis</t>
  </si>
  <si>
    <t>oreilly</t>
  </si>
  <si>
    <t>provo, utah area, united states</t>
  </si>
  <si>
    <t>oringer</t>
  </si>
  <si>
    <t>clarence</t>
  </si>
  <si>
    <t>augustin</t>
  </si>
  <si>
    <t>intern</t>
  </si>
  <si>
    <t>malky</t>
  </si>
  <si>
    <t>schlesinger</t>
  </si>
  <si>
    <t>thompson</t>
  </si>
  <si>
    <t>houston, texas area, united states, United States</t>
  </si>
  <si>
    <t>rajender</t>
  </si>
  <si>
    <t>r</t>
  </si>
  <si>
    <t>sr talent accuqsition consultant</t>
  </si>
  <si>
    <t>kurian</t>
  </si>
  <si>
    <t>zylka</t>
  </si>
  <si>
    <t>wilkesboro, north carolina, United States</t>
  </si>
  <si>
    <t>lefon</t>
  </si>
  <si>
    <t>point mugu nawc, california</t>
  </si>
  <si>
    <t>Military</t>
  </si>
  <si>
    <t>kobayashi cfa</t>
  </si>
  <si>
    <t>managing director, investment strategy</t>
  </si>
  <si>
    <t>stentz lion itil</t>
  </si>
  <si>
    <t>technical program manager</t>
  </si>
  <si>
    <t>sasha</t>
  </si>
  <si>
    <t>froyland  providing technical leadership</t>
  </si>
  <si>
    <t>vp/cto</t>
  </si>
  <si>
    <t>giordano</t>
  </si>
  <si>
    <t>dunn</t>
  </si>
  <si>
    <t>owner &amp; custom furniture maker: deep river studio</t>
  </si>
  <si>
    <t>bellingham, washington area, United States</t>
  </si>
  <si>
    <t>cio &amp; founder</t>
  </si>
  <si>
    <t>arenas</t>
  </si>
  <si>
    <t>barclay</t>
  </si>
  <si>
    <t>mcfadden</t>
  </si>
  <si>
    <t>charleston, south carolina area, united states, United States</t>
  </si>
  <si>
    <t>scherman</t>
  </si>
  <si>
    <t>marketing director at experience hawaii</t>
  </si>
  <si>
    <t>kailua, hawaii</t>
  </si>
  <si>
    <t>chiboucas</t>
  </si>
  <si>
    <t>vice president sales</t>
  </si>
  <si>
    <t>sloan</t>
  </si>
  <si>
    <t>director - professional services, us east and canada</t>
  </si>
  <si>
    <t>martin tomburchmartingmail.com</t>
  </si>
  <si>
    <t>nicolas</t>
  </si>
  <si>
    <t>ladoucette</t>
  </si>
  <si>
    <t>dillion</t>
  </si>
  <si>
    <t>assurance associate</t>
  </si>
  <si>
    <t>bushkill, pennsylvania</t>
  </si>
  <si>
    <t>naishou</t>
  </si>
  <si>
    <t>varazslo</t>
  </si>
  <si>
    <t>vinayak</t>
  </si>
  <si>
    <t>joshi</t>
  </si>
  <si>
    <t>research scientist</t>
  </si>
  <si>
    <t>albuquerque, new mexico</t>
  </si>
  <si>
    <t>kumar  a.</t>
  </si>
  <si>
    <t>Capital Markets</t>
  </si>
  <si>
    <t>manuel</t>
  </si>
  <si>
    <t>fragoso</t>
  </si>
  <si>
    <t>analysis &amp; design manager</t>
  </si>
  <si>
    <t>sánchez</t>
  </si>
  <si>
    <t>founder / sales &amp; content</t>
  </si>
  <si>
    <t>legatie</t>
  </si>
  <si>
    <t>sr. business analyst</t>
  </si>
  <si>
    <t>audubon, new jersey</t>
  </si>
  <si>
    <t>tadeu</t>
  </si>
  <si>
    <t>contador</t>
  </si>
  <si>
    <t>burch</t>
  </si>
  <si>
    <t>heinstein</t>
  </si>
  <si>
    <t>founder and director (allposters.com and art.com)</t>
  </si>
  <si>
    <t>kellee</t>
  </si>
  <si>
    <t>vernon</t>
  </si>
  <si>
    <t>human resources generalist</t>
  </si>
  <si>
    <t>sabyasachi sky</t>
  </si>
  <si>
    <t>cto &amp; vice president</t>
  </si>
  <si>
    <t>gentile</t>
  </si>
  <si>
    <t>sales executive, channel partner management</t>
  </si>
  <si>
    <t>jarvis</t>
  </si>
  <si>
    <t>hugh</t>
  </si>
  <si>
    <t>hayman</t>
  </si>
  <si>
    <t>milkey</t>
  </si>
  <si>
    <t>director of marketing</t>
  </si>
  <si>
    <t>harm</t>
  </si>
  <si>
    <t>rietmeijer</t>
  </si>
  <si>
    <t>coo</t>
  </si>
  <si>
    <t>rotterdam area, netherlands</t>
  </si>
  <si>
    <t>casey</t>
  </si>
  <si>
    <t>bridgeford</t>
  </si>
  <si>
    <t>artem</t>
  </si>
  <si>
    <t>orange cfa</t>
  </si>
  <si>
    <t>president operations</t>
  </si>
  <si>
    <t>belarus</t>
  </si>
  <si>
    <t>Belarus</t>
  </si>
  <si>
    <t>shydlo</t>
  </si>
  <si>
    <t>dawson sdawsonlucasgroup.com</t>
  </si>
  <si>
    <t>managing partner - sales &amp; marketing</t>
  </si>
  <si>
    <t>falcigno</t>
  </si>
  <si>
    <t>slater</t>
  </si>
  <si>
    <t>service management specialist</t>
  </si>
  <si>
    <t>meldreth, cambridgeshire, united kingdom</t>
  </si>
  <si>
    <t>tracy</t>
  </si>
  <si>
    <t>obrien</t>
  </si>
  <si>
    <t>watchung, new jersey</t>
  </si>
  <si>
    <t>ana viviane</t>
  </si>
  <si>
    <t>f.</t>
  </si>
  <si>
    <t>analista de recursos humanos sr.</t>
  </si>
  <si>
    <t>belém, pará, brasil</t>
  </si>
  <si>
    <t>fennewald</t>
  </si>
  <si>
    <t>founder &amp; director</t>
  </si>
  <si>
    <t>staiano</t>
  </si>
  <si>
    <t>national advertising manager</t>
  </si>
  <si>
    <t>joel yoav</t>
  </si>
  <si>
    <t>burger</t>
  </si>
  <si>
    <t>antonella</t>
  </si>
  <si>
    <t>de cristofaro</t>
  </si>
  <si>
    <t>hr director</t>
  </si>
  <si>
    <t>evaldo</t>
  </si>
  <si>
    <t>kuiava</t>
  </si>
  <si>
    <t>pró-reitor</t>
  </si>
  <si>
    <t>caxias do sul e região, brasil</t>
  </si>
  <si>
    <t>beatriz</t>
  </si>
  <si>
    <t>savastano</t>
  </si>
  <si>
    <t>gerente de contas</t>
  </si>
  <si>
    <t>abdala</t>
  </si>
  <si>
    <t>gerente administrativo financeiro na farmoterapica - porto alegre</t>
  </si>
  <si>
    <t>porto alegre e região, brasil</t>
  </si>
  <si>
    <t>singareddy</t>
  </si>
  <si>
    <t>otto</t>
  </si>
  <si>
    <t>seijas</t>
  </si>
  <si>
    <t>customer service &amp; logistics director for latinamerica</t>
  </si>
  <si>
    <t>panteri martins dos santos</t>
  </si>
  <si>
    <t>coordenador de suprimentos</t>
  </si>
  <si>
    <t>sap sales</t>
  </si>
  <si>
    <t>coomer mba</t>
  </si>
  <si>
    <t>fern</t>
  </si>
  <si>
    <t>bassow</t>
  </si>
  <si>
    <t>on "sabbatical" until november 2013</t>
  </si>
  <si>
    <t>leigh</t>
  </si>
  <si>
    <t>byblow</t>
  </si>
  <si>
    <t>Museums and Institutions</t>
  </si>
  <si>
    <t>emsley</t>
  </si>
  <si>
    <t>cwmbran, torfaen, united kingdom</t>
  </si>
  <si>
    <t>ict server support officer</t>
  </si>
  <si>
    <t>cleveland, united kingdom</t>
  </si>
  <si>
    <t>bouygues</t>
  </si>
  <si>
    <t>member</t>
  </si>
  <si>
    <t>angers area, france</t>
  </si>
  <si>
    <t>ulrich</t>
  </si>
  <si>
    <t>peggy</t>
  </si>
  <si>
    <t>harrington</t>
  </si>
  <si>
    <t>director of global education programmes</t>
  </si>
  <si>
    <t>finegold</t>
  </si>
  <si>
    <t>niva</t>
  </si>
  <si>
    <t>vilela</t>
  </si>
  <si>
    <t>vila velha area, brazil</t>
  </si>
  <si>
    <t>laufran</t>
  </si>
  <si>
    <t>wosniak</t>
  </si>
  <si>
    <t>ohara</t>
  </si>
  <si>
    <t>christine</t>
  </si>
  <si>
    <t>bergey</t>
  </si>
  <si>
    <t>senior hse business process specialist</t>
  </si>
  <si>
    <t>anil</t>
  </si>
  <si>
    <t>valluri</t>
  </si>
  <si>
    <t>president - india &amp; saarc operations</t>
  </si>
  <si>
    <t>gross</t>
  </si>
  <si>
    <t>edwards mba</t>
  </si>
  <si>
    <t>ceo &amp; founding principal</t>
  </si>
  <si>
    <t>averskog</t>
  </si>
  <si>
    <t>senior director, solution management scm - supply chain execution</t>
  </si>
  <si>
    <t>kosik</t>
  </si>
  <si>
    <t>petkar</t>
  </si>
  <si>
    <t>lauer</t>
  </si>
  <si>
    <t>colorado springs, colorado</t>
  </si>
  <si>
    <t>edwin</t>
  </si>
  <si>
    <t>de jonge</t>
  </si>
  <si>
    <t>the hague area, netherlands</t>
  </si>
  <si>
    <t>anubhuti</t>
  </si>
  <si>
    <t>technical manager</t>
  </si>
  <si>
    <t>walter</t>
  </si>
  <si>
    <t>van den bosch</t>
  </si>
  <si>
    <t>brennan</t>
  </si>
  <si>
    <t>managing director &amp; coo</t>
  </si>
  <si>
    <t>krochalis</t>
  </si>
  <si>
    <t>barmettler</t>
  </si>
  <si>
    <t>npi director</t>
  </si>
  <si>
    <t>senior</t>
  </si>
  <si>
    <t>federico</t>
  </si>
  <si>
    <t>diprima</t>
  </si>
  <si>
    <t>vicenza area, italy</t>
  </si>
  <si>
    <t>andre</t>
  </si>
  <si>
    <t>lomonaco</t>
  </si>
  <si>
    <t>spaloss</t>
  </si>
  <si>
    <t>senior field service technician - owner</t>
  </si>
  <si>
    <t>wilmott</t>
  </si>
  <si>
    <t>director, health education outreach</t>
  </si>
  <si>
    <t>morse</t>
  </si>
  <si>
    <t>cto, sp video technology group</t>
  </si>
  <si>
    <t>duston</t>
  </si>
  <si>
    <t>principal / owner</t>
  </si>
  <si>
    <t>portsmouth, new hampshire</t>
  </si>
  <si>
    <t>pallatta</t>
  </si>
  <si>
    <t>g hutton</t>
  </si>
  <si>
    <t>strategic account director</t>
  </si>
  <si>
    <t>guildford, united kingdom</t>
  </si>
  <si>
    <t>eduard</t>
  </si>
  <si>
    <t>cherednik</t>
  </si>
  <si>
    <t>director of oil and gas, europe at aecom</t>
  </si>
  <si>
    <t>moscow, russian federation</t>
  </si>
  <si>
    <t>diaz</t>
  </si>
  <si>
    <t>health informatics director</t>
  </si>
  <si>
    <t>day</t>
  </si>
  <si>
    <t>emea security cto &amp; director of security strategy</t>
  </si>
  <si>
    <t>fusek</t>
  </si>
  <si>
    <t>rajasekhar</t>
  </si>
  <si>
    <t>bhavaraju</t>
  </si>
  <si>
    <t>sr. resource manager</t>
  </si>
  <si>
    <t>dayton, new jersey</t>
  </si>
  <si>
    <t>mulcahy</t>
  </si>
  <si>
    <t>coop/disaster recovery engineer/manager</t>
  </si>
  <si>
    <t>aisha</t>
  </si>
  <si>
    <t>chiappetta</t>
  </si>
  <si>
    <t>esposito</t>
  </si>
  <si>
    <t>co-founder, president and chief technology officer at beach.com</t>
  </si>
  <si>
    <t>dr s.</t>
  </si>
  <si>
    <t>said</t>
  </si>
  <si>
    <t>hertel</t>
  </si>
  <si>
    <t>vice president, product solutions</t>
  </si>
  <si>
    <t>web application developer</t>
  </si>
  <si>
    <t>j. n.</t>
  </si>
  <si>
    <t>pereira</t>
  </si>
  <si>
    <t>harvey</t>
  </si>
  <si>
    <t>flather</t>
  </si>
  <si>
    <t>chaturvedi</t>
  </si>
  <si>
    <t>strategy &amp; governance lead</t>
  </si>
  <si>
    <t>binsfeld</t>
  </si>
  <si>
    <t>regional director row</t>
  </si>
  <si>
    <t>beaconsfield, buckinghamshire, united kingdom</t>
  </si>
  <si>
    <t>bergman</t>
  </si>
  <si>
    <t>director, eastern u.s. sales and business development</t>
  </si>
  <si>
    <t>malartre</t>
  </si>
  <si>
    <t>montreal, quebec, canada</t>
  </si>
  <si>
    <t>chris topher</t>
  </si>
  <si>
    <t>overstreet</t>
  </si>
  <si>
    <t>collin</t>
  </si>
  <si>
    <t>chan</t>
  </si>
  <si>
    <t>lubna</t>
  </si>
  <si>
    <t>umer</t>
  </si>
  <si>
    <t>sheikh</t>
  </si>
  <si>
    <t>liz</t>
  </si>
  <si>
    <t>friedland</t>
  </si>
  <si>
    <t>staffing specialist</t>
  </si>
  <si>
    <t>teterboro, new jersey</t>
  </si>
  <si>
    <t>saris</t>
  </si>
  <si>
    <t>founder and co-owner</t>
  </si>
  <si>
    <t>sorin g.</t>
  </si>
  <si>
    <t>popa</t>
  </si>
  <si>
    <t>customer service and sales specialist iii (psc)</t>
  </si>
  <si>
    <t>dirk</t>
  </si>
  <si>
    <t>zondag jr</t>
  </si>
  <si>
    <t>svp of technical recruitment</t>
  </si>
  <si>
    <t>talick</t>
  </si>
  <si>
    <t>freelance writer at deutsch advertising</t>
  </si>
  <si>
    <t>1,78</t>
  </si>
  <si>
    <t>ledbury</t>
  </si>
  <si>
    <t>delamar</t>
  </si>
  <si>
    <t>evp &amp; general manager of totalmovie.com</t>
  </si>
  <si>
    <t>pinizzotto realtor</t>
  </si>
  <si>
    <t>founder, president ceo</t>
  </si>
  <si>
    <t>rees</t>
  </si>
  <si>
    <t>morrison</t>
  </si>
  <si>
    <t>pedro</t>
  </si>
  <si>
    <t>cepeda herreros</t>
  </si>
  <si>
    <t>matos</t>
  </si>
  <si>
    <t>shobhit</t>
  </si>
  <si>
    <t>mohan</t>
  </si>
  <si>
    <t>director of enterprise services</t>
  </si>
  <si>
    <t>ronaldo</t>
  </si>
  <si>
    <t>caldas caetano</t>
  </si>
  <si>
    <t>especialista de suprimentos</t>
  </si>
  <si>
    <t>hashmi</t>
  </si>
  <si>
    <t>brierfield, lancashire, united kingdom</t>
  </si>
  <si>
    <t>terry g.</t>
  </si>
  <si>
    <t>brand</t>
  </si>
  <si>
    <t>claudio rogerio</t>
  </si>
  <si>
    <t>guimaraes</t>
  </si>
  <si>
    <t>gerente</t>
  </si>
  <si>
    <t>são carlos e região, brasil</t>
  </si>
  <si>
    <t>jill</t>
  </si>
  <si>
    <t>baldauf</t>
  </si>
  <si>
    <t>2,67</t>
  </si>
  <si>
    <t>steinberg</t>
  </si>
  <si>
    <t>troels</t>
  </si>
  <si>
    <t>smit</t>
  </si>
  <si>
    <t>regional vice president</t>
  </si>
  <si>
    <t>moll</t>
  </si>
  <si>
    <t>rubens h</t>
  </si>
  <si>
    <t>murasse</t>
  </si>
  <si>
    <t>demaro</t>
  </si>
  <si>
    <t>penn state university regional job and internship developer in western pa</t>
  </si>
  <si>
    <t>mannaert</t>
  </si>
  <si>
    <t>dawn</t>
  </si>
  <si>
    <t>coughlin</t>
  </si>
  <si>
    <t>exec asst to executive chair/ceo/cfo</t>
  </si>
  <si>
    <t>0,25</t>
  </si>
  <si>
    <t>tyndale</t>
  </si>
  <si>
    <t>business applications manager (it programme manager)</t>
  </si>
  <si>
    <t>higby</t>
  </si>
  <si>
    <t>product owner - adaptive payments</t>
  </si>
  <si>
    <t>murielle</t>
  </si>
  <si>
    <t>lacombled</t>
  </si>
  <si>
    <t>business accelerator</t>
  </si>
  <si>
    <t>marseille area, france</t>
  </si>
  <si>
    <t>maureen</t>
  </si>
  <si>
    <t>oregan</t>
  </si>
  <si>
    <t>senior consultant</t>
  </si>
  <si>
    <t>bedminster, new jersey</t>
  </si>
  <si>
    <t>vick</t>
  </si>
  <si>
    <t>naila</t>
  </si>
  <si>
    <t>chowdhury</t>
  </si>
  <si>
    <t>board director in charge</t>
  </si>
  <si>
    <t>severn, maryland</t>
  </si>
  <si>
    <t>prof. solival</t>
  </si>
  <si>
    <t>menezes ph.d</t>
  </si>
  <si>
    <t>greenville, south carolina area, united states</t>
  </si>
  <si>
    <t>biswajit</t>
  </si>
  <si>
    <t>patnaik</t>
  </si>
  <si>
    <t>alain</t>
  </si>
  <si>
    <t>strickerkrongrad</t>
  </si>
  <si>
    <t>adjunct professor of pharmacology</t>
  </si>
  <si>
    <t>padmini</t>
  </si>
  <si>
    <t>bhaskar</t>
  </si>
  <si>
    <t>manager, global business operations, it infrastructure services</t>
  </si>
  <si>
    <t>loetz</t>
  </si>
  <si>
    <t>dunham</t>
  </si>
  <si>
    <t>vice president and co-founder</t>
  </si>
  <si>
    <t>twila</t>
  </si>
  <si>
    <t>hoffman</t>
  </si>
  <si>
    <t>secaucus, new jersey</t>
  </si>
  <si>
    <t>greenbaum</t>
  </si>
  <si>
    <t>cracow, lesser poland district, poland</t>
  </si>
  <si>
    <t>Poland</t>
  </si>
  <si>
    <t>victor</t>
  </si>
  <si>
    <t>schmedding</t>
  </si>
  <si>
    <t>solera</t>
  </si>
  <si>
    <t>senior manager - it enterprise services &amp; pmo</t>
  </si>
  <si>
    <t>wayne</t>
  </si>
  <si>
    <t>biernacki</t>
  </si>
  <si>
    <t>enterprise program / project management</t>
  </si>
  <si>
    <t>0,33</t>
  </si>
  <si>
    <t>executive vp</t>
  </si>
  <si>
    <t>cliffside park, new jersey</t>
  </si>
  <si>
    <t>Wholesale</t>
  </si>
  <si>
    <t>rothbard</t>
  </si>
  <si>
    <t>security consultant---small business</t>
  </si>
  <si>
    <t>6,78</t>
  </si>
  <si>
    <t>kucic</t>
  </si>
  <si>
    <t>senior vice president, us retail it - rainbow usa</t>
  </si>
  <si>
    <t>mandi</t>
  </si>
  <si>
    <t>bishop</t>
  </si>
  <si>
    <t>jacksonville, florida area, united states</t>
  </si>
  <si>
    <t>roskowski</t>
  </si>
  <si>
    <t>middleton</t>
  </si>
  <si>
    <t>brownsboro, alabama</t>
  </si>
  <si>
    <t>williams</t>
  </si>
  <si>
    <t>jeffery</t>
  </si>
  <si>
    <t>goddard</t>
  </si>
  <si>
    <t>ceo/executive producer</t>
  </si>
  <si>
    <t>studio city, california</t>
  </si>
  <si>
    <t>zekeriya</t>
  </si>
  <si>
    <t>arslan</t>
  </si>
  <si>
    <t>owner / ceo</t>
  </si>
  <si>
    <t>turkey</t>
  </si>
  <si>
    <t>Turkey</t>
  </si>
  <si>
    <t>dirk r.</t>
  </si>
  <si>
    <t>smet miod</t>
  </si>
  <si>
    <t>canterbury, united kingdom</t>
  </si>
  <si>
    <t>lussier</t>
  </si>
  <si>
    <t>vice president of sales &amp; distribution</t>
  </si>
  <si>
    <t>blue</t>
  </si>
  <si>
    <t>sr. manager, customer quality &amp; audits</t>
  </si>
  <si>
    <t>c. michael</t>
  </si>
  <si>
    <t>croston</t>
  </si>
  <si>
    <t>owner/general manager</t>
  </si>
  <si>
    <t>schofield</t>
  </si>
  <si>
    <t>Civil Engineering</t>
  </si>
  <si>
    <t>veronica</t>
  </si>
  <si>
    <t>lovesy</t>
  </si>
  <si>
    <t>sr. marketing manager and retail buyer</t>
  </si>
  <si>
    <t>koloa, hawaii</t>
  </si>
  <si>
    <t>janet</t>
  </si>
  <si>
    <t>labay</t>
  </si>
  <si>
    <t>vice president &amp; director, digital delivery for global education</t>
  </si>
  <si>
    <t>chandra</t>
  </si>
  <si>
    <t>bodapati</t>
  </si>
  <si>
    <t>ceo / founder /  b2b research expert &amp; inventor</t>
  </si>
  <si>
    <t>saratoga, california</t>
  </si>
  <si>
    <t>scottsdale, arizona</t>
  </si>
  <si>
    <t>vaughn</t>
  </si>
  <si>
    <t>kirchhoff</t>
  </si>
  <si>
    <t>ceo &amp; convergence engineer</t>
  </si>
  <si>
    <t>shelly</t>
  </si>
  <si>
    <t>francis</t>
  </si>
  <si>
    <t>duffey</t>
  </si>
  <si>
    <t>hewlett-packard specialist</t>
  </si>
  <si>
    <t>tindle</t>
  </si>
  <si>
    <t>svp sales and business development, north america</t>
  </si>
  <si>
    <t>kobat</t>
  </si>
  <si>
    <t>platt</t>
  </si>
  <si>
    <t>tara</t>
  </si>
  <si>
    <t>beardsley</t>
  </si>
  <si>
    <t>university supervisor for mat program</t>
  </si>
  <si>
    <t>sela</t>
  </si>
  <si>
    <t>cofounder</t>
  </si>
  <si>
    <t>farhan</t>
  </si>
  <si>
    <t>saleem</t>
  </si>
  <si>
    <t>assistant manager</t>
  </si>
  <si>
    <t>east brunswick, new jersey</t>
  </si>
  <si>
    <t>7,58</t>
  </si>
  <si>
    <t>mercier</t>
  </si>
  <si>
    <t>author and blogger</t>
  </si>
  <si>
    <t>swords</t>
  </si>
  <si>
    <t>tina</t>
  </si>
  <si>
    <t>sprague</t>
  </si>
  <si>
    <t>solar energy specialist</t>
  </si>
  <si>
    <t>prince</t>
  </si>
  <si>
    <t>paulina</t>
  </si>
  <si>
    <t>del río</t>
  </si>
  <si>
    <t>coordinador de marketing</t>
  </si>
  <si>
    <t>mungo</t>
  </si>
  <si>
    <t>vice president, b2b services</t>
  </si>
  <si>
    <t>schnepp</t>
  </si>
  <si>
    <t>vice president of new business &amp; marketing</t>
  </si>
  <si>
    <t>asad aftab</t>
  </si>
  <si>
    <t>iqbal</t>
  </si>
  <si>
    <t>cludia</t>
  </si>
  <si>
    <t>beilinson</t>
  </si>
  <si>
    <t>amelia</t>
  </si>
  <si>
    <t>rodriguez</t>
  </si>
  <si>
    <t>f</t>
  </si>
  <si>
    <t>trendler</t>
  </si>
  <si>
    <t>johnson city, tennessee area, united states, United States</t>
  </si>
  <si>
    <t>stravitz</t>
  </si>
  <si>
    <t>les</t>
  </si>
  <si>
    <t>dossey multiplier coach</t>
  </si>
  <si>
    <t>tanya</t>
  </si>
  <si>
    <t>strauss</t>
  </si>
  <si>
    <t>life sciences solutions manager</t>
  </si>
  <si>
    <t>san diego, california, United States</t>
  </si>
  <si>
    <t>dana shaw</t>
  </si>
  <si>
    <t>shaw</t>
  </si>
  <si>
    <t>lonny</t>
  </si>
  <si>
    <t>bardash</t>
  </si>
  <si>
    <t>aquilina</t>
  </si>
  <si>
    <t>senior director, e-commerce and e-marketing programs</t>
  </si>
  <si>
    <t>rodenhi</t>
  </si>
  <si>
    <t>asa</t>
  </si>
  <si>
    <t>cox thepharmapartner</t>
  </si>
  <si>
    <t>wellington &amp; wairarapa, new zealand</t>
  </si>
  <si>
    <t>New Zealand</t>
  </si>
  <si>
    <t>ive</t>
  </si>
  <si>
    <t>head of alliances and partner go-to-market initiatives</t>
  </si>
  <si>
    <t>townes</t>
  </si>
  <si>
    <t>davorin</t>
  </si>
  <si>
    <t>gabrovec</t>
  </si>
  <si>
    <t>steen e.</t>
  </si>
  <si>
    <t>rahbek</t>
  </si>
  <si>
    <t>central region, denmark</t>
  </si>
  <si>
    <t>dev</t>
  </si>
  <si>
    <t>ramnane</t>
  </si>
  <si>
    <t>director, sales and partnerships</t>
  </si>
  <si>
    <t>michael a.</t>
  </si>
  <si>
    <t>bonventre</t>
  </si>
  <si>
    <t>owego, new york</t>
  </si>
  <si>
    <t>saman</t>
  </si>
  <si>
    <t>nathan</t>
  </si>
  <si>
    <t>advisory board member</t>
  </si>
  <si>
    <t>kalpesh</t>
  </si>
  <si>
    <t>morristown, new jersey</t>
  </si>
  <si>
    <t>seifert</t>
  </si>
  <si>
    <t>brumfield itil v</t>
  </si>
  <si>
    <t>executive director - bhi</t>
  </si>
  <si>
    <t>naperville, illinois</t>
  </si>
  <si>
    <t>nimar</t>
  </si>
  <si>
    <t>executive vice president</t>
  </si>
  <si>
    <t>brig arun</t>
  </si>
  <si>
    <t>director business developement</t>
  </si>
  <si>
    <t>7,76</t>
  </si>
  <si>
    <t>sivaprashanth</t>
  </si>
  <si>
    <t>danturthy</t>
  </si>
  <si>
    <t>sr. advisory consultant/service delivery manager</t>
  </si>
  <si>
    <t>woodbridge, new jersey</t>
  </si>
  <si>
    <t>8,75</t>
  </si>
  <si>
    <t>larendee roos</t>
  </si>
  <si>
    <t>strategic business advisor</t>
  </si>
  <si>
    <t>brooklyn, new york</t>
  </si>
  <si>
    <t>swiszcz</t>
  </si>
  <si>
    <t>senior manager, recruitment and business development</t>
  </si>
  <si>
    <t>worsley</t>
  </si>
  <si>
    <t>coach linda</t>
  </si>
  <si>
    <t>simms lions</t>
  </si>
  <si>
    <t>beyond12steps, llc</t>
  </si>
  <si>
    <t>north brunswick, new jersey</t>
  </si>
  <si>
    <t>alberson</t>
  </si>
  <si>
    <t>principal and general manager</t>
  </si>
  <si>
    <t>fayetteville, arkansas area, united states</t>
  </si>
  <si>
    <t>churchill</t>
  </si>
  <si>
    <t>evans</t>
  </si>
  <si>
    <t>lorella</t>
  </si>
  <si>
    <t>pedinotti</t>
  </si>
  <si>
    <t>raffetto</t>
  </si>
  <si>
    <t>massimiliano</t>
  </si>
  <si>
    <t>squillace</t>
  </si>
  <si>
    <t>..</t>
  </si>
  <si>
    <t>hunter</t>
  </si>
  <si>
    <t>zak</t>
  </si>
  <si>
    <t>krusemark</t>
  </si>
  <si>
    <t>owner/agency principal</t>
  </si>
  <si>
    <t>fragua</t>
  </si>
  <si>
    <t>bart denny</t>
  </si>
  <si>
    <t>arauz</t>
  </si>
  <si>
    <t>founder and president</t>
  </si>
  <si>
    <t>ayda</t>
  </si>
  <si>
    <t>sanver mba cfre</t>
  </si>
  <si>
    <t>potomac, maryland, United States</t>
  </si>
  <si>
    <t>red bank, new jersey</t>
  </si>
  <si>
    <t>kokkonis</t>
  </si>
  <si>
    <t>azerbaijan</t>
  </si>
  <si>
    <t>yan</t>
  </si>
  <si>
    <t>chow</t>
  </si>
  <si>
    <t>director, innovation &amp; advanced technology group</t>
  </si>
  <si>
    <t>yara</t>
  </si>
  <si>
    <t>matsuyama poli</t>
  </si>
  <si>
    <t>consultor senior - representação de ocupantes</t>
  </si>
  <si>
    <t>rorick</t>
  </si>
  <si>
    <t>utica, new york area, united states</t>
  </si>
  <si>
    <t>chuck copin</t>
  </si>
  <si>
    <t>leadership driving sustainable growth</t>
  </si>
  <si>
    <t>guerra</t>
  </si>
  <si>
    <t>marcia</t>
  </si>
  <si>
    <t>gamba</t>
  </si>
  <si>
    <t>psicologa</t>
  </si>
  <si>
    <t>vancuren</t>
  </si>
  <si>
    <t>vice president of business development</t>
  </si>
  <si>
    <t>rupp</t>
  </si>
  <si>
    <t>cubas</t>
  </si>
  <si>
    <t>legal director</t>
  </si>
  <si>
    <t>brandt k connections</t>
  </si>
  <si>
    <t>irvine, california</t>
  </si>
  <si>
    <t>robertson</t>
  </si>
  <si>
    <t>ashutosh</t>
  </si>
  <si>
    <t>dutt</t>
  </si>
  <si>
    <t>technical sales engineer</t>
  </si>
  <si>
    <t>kassuhn lion</t>
  </si>
  <si>
    <t>is recruiter of human capital</t>
  </si>
  <si>
    <t>greater nashville area, united states</t>
  </si>
  <si>
    <t>vice president, financial services and legal</t>
  </si>
  <si>
    <t>zierten mba pmp</t>
  </si>
  <si>
    <t>nilay</t>
  </si>
  <si>
    <t>parikh</t>
  </si>
  <si>
    <t>technology evangelist, director</t>
  </si>
  <si>
    <t>svajian</t>
  </si>
  <si>
    <t>jeremy</t>
  </si>
  <si>
    <t>moncur</t>
  </si>
  <si>
    <t>papa kai co-owner</t>
  </si>
  <si>
    <t>kaneohe, hawaii</t>
  </si>
  <si>
    <t>hedian</t>
  </si>
  <si>
    <t>it manager enterprise master data management</t>
  </si>
  <si>
    <t>wayne, new jersey</t>
  </si>
  <si>
    <t>jaya</t>
  </si>
  <si>
    <t>gali</t>
  </si>
  <si>
    <t>wainwright</t>
  </si>
  <si>
    <t>vice president, fusion middeware emea</t>
  </si>
  <si>
    <t>kingston upon thames, united kingdom</t>
  </si>
  <si>
    <t>elson</t>
  </si>
  <si>
    <t>vice president, business development</t>
  </si>
  <si>
    <t>butler</t>
  </si>
  <si>
    <t>manager, financial planning &amp; analysis</t>
  </si>
  <si>
    <t>reymer</t>
  </si>
  <si>
    <t>richmond, virginia area, united states</t>
  </si>
  <si>
    <t>agnes</t>
  </si>
  <si>
    <t>galecka</t>
  </si>
  <si>
    <t>little rock, arkansas area, united states</t>
  </si>
  <si>
    <t>guidi</t>
  </si>
  <si>
    <t>head, navigation and applied sciences dept.</t>
  </si>
  <si>
    <t>weddell</t>
  </si>
  <si>
    <t>gerhard, hcs, swp</t>
  </si>
  <si>
    <t>recruiting lead @ dun &amp; bradstreet</t>
  </si>
  <si>
    <t>whittle</t>
  </si>
  <si>
    <t>electronic engineer</t>
  </si>
  <si>
    <t>call</t>
  </si>
  <si>
    <t>kelley</t>
  </si>
  <si>
    <t>brock</t>
  </si>
  <si>
    <t>chief operating officer at the sunshine house</t>
  </si>
  <si>
    <t>baldwin, georgia</t>
  </si>
  <si>
    <t>bigang</t>
  </si>
  <si>
    <t>min</t>
  </si>
  <si>
    <t>chippewa falls, wisconsin</t>
  </si>
  <si>
    <t>schneller</t>
  </si>
  <si>
    <t>berns bernsmoptonline.net</t>
  </si>
  <si>
    <t>brunette</t>
  </si>
  <si>
    <t>0,42</t>
  </si>
  <si>
    <t>halbeck</t>
  </si>
  <si>
    <t>account executive data capture/point of sale division</t>
  </si>
  <si>
    <t>ravi kant</t>
  </si>
  <si>
    <t>3,08</t>
  </si>
  <si>
    <t>asoka</t>
  </si>
  <si>
    <t>chief executive officer/founder</t>
  </si>
  <si>
    <t>milla</t>
  </si>
  <si>
    <t>president/ founder</t>
  </si>
  <si>
    <t>toschin</t>
  </si>
  <si>
    <t>aquino</t>
  </si>
  <si>
    <t>area operations manager</t>
  </si>
  <si>
    <t>wes</t>
  </si>
  <si>
    <t>gately hall</t>
  </si>
  <si>
    <t>legal</t>
  </si>
  <si>
    <t>greater new orleans area, united states</t>
  </si>
  <si>
    <t>strategic vendor manager, cio vendor management and procurement</t>
  </si>
  <si>
    <t>cambridge, ontario, canada</t>
  </si>
  <si>
    <t>machado solorzano</t>
  </si>
  <si>
    <t>sales and account manager mxs</t>
  </si>
  <si>
    <t>villahermosa y alrededores, méxico</t>
  </si>
  <si>
    <t>vales</t>
  </si>
  <si>
    <t>project manager for higher education</t>
  </si>
  <si>
    <t>mabunay</t>
  </si>
  <si>
    <t>manager of broadcast technical services</t>
  </si>
  <si>
    <t>bauhan</t>
  </si>
  <si>
    <t>International Affairs</t>
  </si>
  <si>
    <t>labiba</t>
  </si>
  <si>
    <t>boyd</t>
  </si>
  <si>
    <t>research director and senior ict industry analyst</t>
  </si>
  <si>
    <t>farnsworth</t>
  </si>
  <si>
    <t>buchanan eroi</t>
  </si>
  <si>
    <t>wallis</t>
  </si>
  <si>
    <t>ceo www.costdrivers.com</t>
  </si>
  <si>
    <t>piotr</t>
  </si>
  <si>
    <t>kozlowski</t>
  </si>
  <si>
    <t>warsaw, masovian district, poland</t>
  </si>
  <si>
    <t>david m.</t>
  </si>
  <si>
    <t>chaney</t>
  </si>
  <si>
    <t>storms</t>
  </si>
  <si>
    <t>madison, wisconsin area, united states, United States</t>
  </si>
  <si>
    <t>venkat</t>
  </si>
  <si>
    <t>konda</t>
  </si>
  <si>
    <t>knowlton cio  cto mba</t>
  </si>
  <si>
    <t>first vice president, chief technology officer (cto) &amp; information security officer (iso)</t>
  </si>
  <si>
    <t>oberry</t>
  </si>
  <si>
    <t>ceo, product leader</t>
  </si>
  <si>
    <t>senior manager, digital analytics</t>
  </si>
  <si>
    <t>erico</t>
  </si>
  <si>
    <t>rabanea</t>
  </si>
  <si>
    <t>brazilian board member</t>
  </si>
  <si>
    <t>mary</t>
  </si>
  <si>
    <t>sieck</t>
  </si>
  <si>
    <t>president- financial services division</t>
  </si>
  <si>
    <t>jalona</t>
  </si>
  <si>
    <t>eisner</t>
  </si>
  <si>
    <t>washington, district of columbia, United States</t>
  </si>
  <si>
    <t>rogers</t>
  </si>
  <si>
    <t>ceo/cto &amp; founder</t>
  </si>
  <si>
    <t>hood river, oregon</t>
  </si>
  <si>
    <t>6,38</t>
  </si>
  <si>
    <t>mindy</t>
  </si>
  <si>
    <t>littman holland</t>
  </si>
  <si>
    <t>midwest business/accounting/psychology/is market consultant</t>
  </si>
  <si>
    <t>corey</t>
  </si>
  <si>
    <t>sommers</t>
  </si>
  <si>
    <t>co-founder &amp; principal</t>
  </si>
  <si>
    <t>kofman</t>
  </si>
  <si>
    <t>sunnyvale, california, United States</t>
  </si>
  <si>
    <t>win</t>
  </si>
  <si>
    <t>lammers</t>
  </si>
  <si>
    <t>gersten</t>
  </si>
  <si>
    <t>vice president of sales &amp; operations - north america</t>
  </si>
  <si>
    <t>weber</t>
  </si>
  <si>
    <t>morgan stanley</t>
  </si>
  <si>
    <t>allan</t>
  </si>
  <si>
    <t>beaufour</t>
  </si>
  <si>
    <t>kenneth</t>
  </si>
  <si>
    <t>lutz</t>
  </si>
  <si>
    <t>cori</t>
  </si>
  <si>
    <t>rosoff</t>
  </si>
  <si>
    <t>executive assistant to marc cenedella, founder &amp; ceo</t>
  </si>
  <si>
    <t>sonny</t>
  </si>
  <si>
    <t>cesarano</t>
  </si>
  <si>
    <t>grégory</t>
  </si>
  <si>
    <t>herbé</t>
  </si>
  <si>
    <t>perlman</t>
  </si>
  <si>
    <t>gehring</t>
  </si>
  <si>
    <t>hunaid</t>
  </si>
  <si>
    <t>baliwala</t>
  </si>
  <si>
    <t>lodovico</t>
  </si>
  <si>
    <t>marenco</t>
  </si>
  <si>
    <t>de sha</t>
  </si>
  <si>
    <t>owner/ managing member</t>
  </si>
  <si>
    <t>collier</t>
  </si>
  <si>
    <t>reggio</t>
  </si>
  <si>
    <t>procurement director - closures and assemblies</t>
  </si>
  <si>
    <t>zurich y alrededores, suiza</t>
  </si>
  <si>
    <t>barragan</t>
  </si>
  <si>
    <t>system analyst i</t>
  </si>
  <si>
    <t>molloy</t>
  </si>
  <si>
    <t>habib</t>
  </si>
  <si>
    <t>director, wireless sales - lebanon, jordan, north africa &amp;  west africa</t>
  </si>
  <si>
    <t>vijaya</t>
  </si>
  <si>
    <t>nakkala</t>
  </si>
  <si>
    <t>bower</t>
  </si>
  <si>
    <t>lucarini</t>
  </si>
  <si>
    <t>isr cisco bu southern territory</t>
  </si>
  <si>
    <t>north tonawanda, new york</t>
  </si>
  <si>
    <t>cantrell</t>
  </si>
  <si>
    <t>vp marketing &amp; consulting services</t>
  </si>
  <si>
    <t>polanco v seccion, distrito federal, mexico</t>
  </si>
  <si>
    <t>younkle</t>
  </si>
  <si>
    <t>cofounder and ceo</t>
  </si>
  <si>
    <t>caniff</t>
  </si>
  <si>
    <t>senior managing director</t>
  </si>
  <si>
    <t>muhammad ali</t>
  </si>
  <si>
    <t>ansari pmp</t>
  </si>
  <si>
    <t>program manager</t>
  </si>
  <si>
    <t>Nanotechnology</t>
  </si>
  <si>
    <t>hilary</t>
  </si>
  <si>
    <t>coman</t>
  </si>
  <si>
    <t>ob</t>
  </si>
  <si>
    <t>rawls</t>
  </si>
  <si>
    <t>senior vice president - tasq sales, leasing and strategic sales</t>
  </si>
  <si>
    <t>cathy</t>
  </si>
  <si>
    <t>balestriere</t>
  </si>
  <si>
    <t>gonzalez</t>
  </si>
  <si>
    <t>hsu</t>
  </si>
  <si>
    <t>chief marketing officer</t>
  </si>
  <si>
    <t>josiah</t>
  </si>
  <si>
    <t>oneil</t>
  </si>
  <si>
    <t>Law Enforcement</t>
  </si>
  <si>
    <t>berner</t>
  </si>
  <si>
    <t>ceo / president / cofounder</t>
  </si>
  <si>
    <t>thierry</t>
  </si>
  <si>
    <t>pointe-claire, quebec, canada</t>
  </si>
  <si>
    <t>dany</t>
  </si>
  <si>
    <t>doueiri</t>
  </si>
  <si>
    <t>professor</t>
  </si>
  <si>
    <t>matheny</t>
  </si>
  <si>
    <t>independent consultant</t>
  </si>
  <si>
    <t>charlyne</t>
  </si>
  <si>
    <t>schaub</t>
  </si>
  <si>
    <t>delray beach, florida, United States</t>
  </si>
  <si>
    <t>parker praneeth kumar</t>
  </si>
  <si>
    <t>recruitment lead</t>
  </si>
  <si>
    <t>5,08</t>
  </si>
  <si>
    <t>nunn</t>
  </si>
  <si>
    <t>cto/coo</t>
  </si>
  <si>
    <t>ballinger common, buckinghamshire, united kingdom</t>
  </si>
  <si>
    <t>bartek</t>
  </si>
  <si>
    <t>indianapolis, indiana area, united states, United States</t>
  </si>
  <si>
    <t>edimara</t>
  </si>
  <si>
    <t>m. luciano</t>
  </si>
  <si>
    <t>coordenadora do programa de pós-graduação em administração</t>
  </si>
  <si>
    <t>president/ceo/co-founder</t>
  </si>
  <si>
    <t>melba</t>
  </si>
  <si>
    <t>gonzález</t>
  </si>
  <si>
    <t>consultor</t>
  </si>
  <si>
    <t>bollin</t>
  </si>
  <si>
    <t>naucalpan de juarez area, mexico</t>
  </si>
  <si>
    <t>ritter</t>
  </si>
  <si>
    <t>underwriter lead i, avp</t>
  </si>
  <si>
    <t>adel</t>
  </si>
  <si>
    <t>elmaghraby</t>
  </si>
  <si>
    <t>Education</t>
  </si>
  <si>
    <t>brinkerhoff</t>
  </si>
  <si>
    <t>editor and owner</t>
  </si>
  <si>
    <t>greater grand rapids, michigan area, united states</t>
  </si>
  <si>
    <t>sohel</t>
  </si>
  <si>
    <t>kazi</t>
  </si>
  <si>
    <t>kendall park, new jersey</t>
  </si>
  <si>
    <t>eby</t>
  </si>
  <si>
    <t>lebanon, pennsylvania</t>
  </si>
  <si>
    <t>thor wood</t>
  </si>
  <si>
    <t>director of agent development</t>
  </si>
  <si>
    <t>naples, florida area, united states</t>
  </si>
  <si>
    <t>cristiane</t>
  </si>
  <si>
    <t>pina</t>
  </si>
  <si>
    <t>coordenadora de treinamento e desenvolvimento</t>
  </si>
  <si>
    <t>sherra</t>
  </si>
  <si>
    <t>sewell</t>
  </si>
  <si>
    <t>heather michele</t>
  </si>
  <si>
    <t>chapman</t>
  </si>
  <si>
    <t>director of product development</t>
  </si>
  <si>
    <t>langerock</t>
  </si>
  <si>
    <t>nerurkar</t>
  </si>
  <si>
    <t>owner - chief technology officer</t>
  </si>
  <si>
    <t>geheb</t>
  </si>
  <si>
    <t>chief technology officer, partner</t>
  </si>
  <si>
    <t>mathias</t>
  </si>
  <si>
    <t>engenheiro quimico</t>
  </si>
  <si>
    <t>nutting</t>
  </si>
  <si>
    <t>senior vice president, prepaid cards</t>
  </si>
  <si>
    <t>mcnally</t>
  </si>
  <si>
    <t>senior usability consultant, design and usability center</t>
  </si>
  <si>
    <t>emerson</t>
  </si>
  <si>
    <t>leandro</t>
  </si>
  <si>
    <t>adm &amp; finanças</t>
  </si>
  <si>
    <t>imperatriz, maranhão, brasil</t>
  </si>
  <si>
    <t>jed</t>
  </si>
  <si>
    <t>levinson</t>
  </si>
  <si>
    <t>consumer anthropologist/new products and concepts guidance/district manager</t>
  </si>
  <si>
    <t>tiffany</t>
  </si>
  <si>
    <t>johnson mba pmp csp cspo</t>
  </si>
  <si>
    <t>manager, project management office</t>
  </si>
  <si>
    <t>folger</t>
  </si>
  <si>
    <t>holterman</t>
  </si>
  <si>
    <t>mothersole</t>
  </si>
  <si>
    <t>stanley</t>
  </si>
  <si>
    <t>wang</t>
  </si>
  <si>
    <t>vp of research</t>
  </si>
  <si>
    <t>polly</t>
  </si>
  <si>
    <t>friend</t>
  </si>
  <si>
    <t>director, solution sales</t>
  </si>
  <si>
    <t>elaine</t>
  </si>
  <si>
    <t>diretora</t>
  </si>
  <si>
    <t>pippi</t>
  </si>
  <si>
    <t>perugia area, italy</t>
  </si>
  <si>
    <t>abernathy</t>
  </si>
  <si>
    <t>Public Policy</t>
  </si>
  <si>
    <t>sleigh</t>
  </si>
  <si>
    <t>co-founder and project lead</t>
  </si>
  <si>
    <t>Arts and Crafts</t>
  </si>
  <si>
    <t>yaobin</t>
  </si>
  <si>
    <t>kuppersmith</t>
  </si>
  <si>
    <t>keri</t>
  </si>
  <si>
    <t>disch</t>
  </si>
  <si>
    <t>schiller</t>
  </si>
  <si>
    <t>sr. collections specialist</t>
  </si>
  <si>
    <t>lawrence, massachusetts</t>
  </si>
  <si>
    <t>lisa c.</t>
  </si>
  <si>
    <t>clark mba</t>
  </si>
  <si>
    <t>northborough, massachusetts</t>
  </si>
  <si>
    <t>baxter</t>
  </si>
  <si>
    <t>halifax, united kingdom</t>
  </si>
  <si>
    <t>chin</t>
  </si>
  <si>
    <t>lead qa consultant - fix protocol</t>
  </si>
  <si>
    <t>barry j.</t>
  </si>
  <si>
    <t>falcon cfe</t>
  </si>
  <si>
    <t>malenga</t>
  </si>
  <si>
    <t>analista de infra estrutura</t>
  </si>
  <si>
    <t>erfan</t>
  </si>
  <si>
    <t>ibrahim</t>
  </si>
  <si>
    <t>golden, colorado</t>
  </si>
  <si>
    <t>renier</t>
  </si>
  <si>
    <t>eugene</t>
  </si>
  <si>
    <t>puerto rico area</t>
  </si>
  <si>
    <t>http://hhtp://www.linkedin.com/in/eugenefranco</t>
  </si>
  <si>
    <t>Puerto Rico</t>
  </si>
  <si>
    <t>lafayette</t>
  </si>
  <si>
    <t>catherine</t>
  </si>
  <si>
    <t>mclean</t>
  </si>
  <si>
    <t>tonbridge, united kingdom</t>
  </si>
  <si>
    <t>freitag</t>
  </si>
  <si>
    <t>charlie thomas</t>
  </si>
  <si>
    <t>missoula, montana area, united states</t>
  </si>
  <si>
    <t>martha</t>
  </si>
  <si>
    <t>stark</t>
  </si>
  <si>
    <t>senior vice president &amp; group director</t>
  </si>
  <si>
    <t>mitchell</t>
  </si>
  <si>
    <t>finney</t>
  </si>
  <si>
    <t>wu b.eng</t>
  </si>
  <si>
    <t>rockwell</t>
  </si>
  <si>
    <t>neeraj</t>
  </si>
  <si>
    <t>bansal</t>
  </si>
  <si>
    <t>co founder and executive vice president</t>
  </si>
  <si>
    <t>barney</t>
  </si>
  <si>
    <t>sene</t>
  </si>
  <si>
    <t>vallieres</t>
  </si>
  <si>
    <t>quebec, canada</t>
  </si>
  <si>
    <t>gearhart</t>
  </si>
  <si>
    <t>senior strategic account manager - service cloud</t>
  </si>
  <si>
    <t>relich pmp</t>
  </si>
  <si>
    <t>project manager of global ebusiness development group</t>
  </si>
  <si>
    <t>guiomar a.</t>
  </si>
  <si>
    <t>vergara cqe</t>
  </si>
  <si>
    <t>process engineer</t>
  </si>
  <si>
    <t>shelke</t>
  </si>
  <si>
    <t>co-founder, coo &amp; cto</t>
  </si>
  <si>
    <t>jeanfrancois</t>
  </si>
  <si>
    <t>jezequel</t>
  </si>
  <si>
    <t>dorfman</t>
  </si>
  <si>
    <t>jake</t>
  </si>
  <si>
    <t>villarreal</t>
  </si>
  <si>
    <t>gianni</t>
  </si>
  <si>
    <t>founder/ ceo</t>
  </si>
  <si>
    <t>Restaurants</t>
  </si>
  <si>
    <t>yariv</t>
  </si>
  <si>
    <t>lerner</t>
  </si>
  <si>
    <t>avi</t>
  </si>
  <si>
    <t>kwitel</t>
  </si>
  <si>
    <t>jung</t>
  </si>
  <si>
    <t>director, product management sap hana - sap data and analytics engine product management</t>
  </si>
  <si>
    <t>jasper, indiana</t>
  </si>
  <si>
    <t>giorgio</t>
  </si>
  <si>
    <t>natili</t>
  </si>
  <si>
    <t>ceo and technical leader</t>
  </si>
  <si>
    <t>rome area, italy</t>
  </si>
  <si>
    <t>brockmann</t>
  </si>
  <si>
    <t>raleigh-durham, north carolina area, united states, United States</t>
  </si>
  <si>
    <t>fenstermacher</t>
  </si>
  <si>
    <t>louisa j.</t>
  </si>
  <si>
    <t>owner and president</t>
  </si>
  <si>
    <t>fink</t>
  </si>
  <si>
    <t>evp managed services</t>
  </si>
  <si>
    <t>kari</t>
  </si>
  <si>
    <t>honkaniemi</t>
  </si>
  <si>
    <t>founder, managing partner</t>
  </si>
  <si>
    <t>dalmer</t>
  </si>
  <si>
    <t>sr. software architect - owner</t>
  </si>
  <si>
    <t>jag</t>
  </si>
  <si>
    <t>auckland, new zealand</t>
  </si>
  <si>
    <t>jags</t>
  </si>
  <si>
    <t>vazirani</t>
  </si>
  <si>
    <t>director - strategy</t>
  </si>
  <si>
    <t>ceo, school group</t>
  </si>
  <si>
    <t>vennestrom</t>
  </si>
  <si>
    <t>oslo area, norway</t>
  </si>
  <si>
    <t>Norway</t>
  </si>
  <si>
    <t>schick</t>
  </si>
  <si>
    <t>managing director, co ceo</t>
  </si>
  <si>
    <t>saddle river, new jersey</t>
  </si>
  <si>
    <t>ittmann</t>
  </si>
  <si>
    <t>aubri</t>
  </si>
  <si>
    <t>balk</t>
  </si>
  <si>
    <t>owner / agent</t>
  </si>
  <si>
    <t>mcgruther</t>
  </si>
  <si>
    <t>team manager - software development</t>
  </si>
  <si>
    <t>quick</t>
  </si>
  <si>
    <t>vp enterprise solutions group</t>
  </si>
  <si>
    <t>shara</t>
  </si>
  <si>
    <t>sokol</t>
  </si>
  <si>
    <t>owner &amp; principal</t>
  </si>
  <si>
    <t>dayton</t>
  </si>
  <si>
    <t>taos, new mexico</t>
  </si>
  <si>
    <t>ayten</t>
  </si>
  <si>
    <t>desktop pc business unit manager for acer rosee (rest of south eastern europe)</t>
  </si>
  <si>
    <t>ashok</t>
  </si>
  <si>
    <t>kapoor</t>
  </si>
  <si>
    <t>chief scientist (formerly chief technology officer at dsm solutions inc.)</t>
  </si>
  <si>
    <t>trevisani</t>
  </si>
  <si>
    <t>woodcliff lake, new jersey</t>
  </si>
  <si>
    <t>caraballo</t>
  </si>
  <si>
    <t>adjunct professor- school of business</t>
  </si>
  <si>
    <t>jacques p.</t>
  </si>
  <si>
    <t>derouen</t>
  </si>
  <si>
    <t>grano</t>
  </si>
  <si>
    <t>jackson, new jersey</t>
  </si>
  <si>
    <t>sutton, united kingdom</t>
  </si>
  <si>
    <t>pariza</t>
  </si>
  <si>
    <t>marketing, product management and strategic planning</t>
  </si>
  <si>
    <t>peter weiping</t>
  </si>
  <si>
    <t>shi</t>
  </si>
  <si>
    <t>engineering director</t>
  </si>
  <si>
    <t>college station, texas</t>
  </si>
  <si>
    <t>edgar</t>
  </si>
  <si>
    <t>engenheiro civil</t>
  </si>
  <si>
    <t>rio das ostras, rio de janeiro, brasil</t>
  </si>
  <si>
    <t>marcia cristina</t>
  </si>
  <si>
    <t>motta</t>
  </si>
  <si>
    <t>secretÁria</t>
  </si>
  <si>
    <t>kerstein</t>
  </si>
  <si>
    <t>founder || trade floor | technology support</t>
  </si>
  <si>
    <t>joyce</t>
  </si>
  <si>
    <t>gilson marçal</t>
  </si>
  <si>
    <t>marçal</t>
  </si>
  <si>
    <t>profissional independente de imóveis</t>
  </si>
  <si>
    <t>pieretti</t>
  </si>
  <si>
    <t>assistant vice president, international communications</t>
  </si>
  <si>
    <t>nitin</t>
  </si>
  <si>
    <t>thakor</t>
  </si>
  <si>
    <t>santa monica, california</t>
  </si>
  <si>
    <t>juliete</t>
  </si>
  <si>
    <t>villar</t>
  </si>
  <si>
    <t>accountant</t>
  </si>
  <si>
    <t>ferreira santos filho</t>
  </si>
  <si>
    <t>comercial perecíveis</t>
  </si>
  <si>
    <t>salvador e região, brasil</t>
  </si>
  <si>
    <t>fernandez</t>
  </si>
  <si>
    <t>seidle</t>
  </si>
  <si>
    <t>heather</t>
  </si>
  <si>
    <t>harwood</t>
  </si>
  <si>
    <t>ventura</t>
  </si>
  <si>
    <t>coordenadora do depto de logística &amp; agenciamento de cargas</t>
  </si>
  <si>
    <t>caracciolo culhane</t>
  </si>
  <si>
    <t>administrative assistant to director</t>
  </si>
  <si>
    <t>warren, new jersey</t>
  </si>
  <si>
    <t>lira</t>
  </si>
  <si>
    <t>cfa</t>
  </si>
  <si>
    <t>vice president, private asset management</t>
  </si>
  <si>
    <t>milwaukee, wisconsin, United States</t>
  </si>
  <si>
    <t>demetri</t>
  </si>
  <si>
    <t>karagas</t>
  </si>
  <si>
    <t>parmanand</t>
  </si>
  <si>
    <t>doctoral candidate | teaching assistant</t>
  </si>
  <si>
    <t>fernanda</t>
  </si>
  <si>
    <t>brienza dos santos</t>
  </si>
  <si>
    <t>analista de relações com investidores</t>
  </si>
  <si>
    <t>donahue mba edd</t>
  </si>
  <si>
    <t>chadron, nebraska</t>
  </si>
  <si>
    <t>Chad</t>
  </si>
  <si>
    <t>caron</t>
  </si>
  <si>
    <t>flahive</t>
  </si>
  <si>
    <t>partnerships and alliances</t>
  </si>
  <si>
    <t>peter koldgaard</t>
  </si>
  <si>
    <t>eriksen</t>
  </si>
  <si>
    <t>santa barbara, california area, united states</t>
  </si>
  <si>
    <t>w. randy</t>
  </si>
  <si>
    <t>hitchens</t>
  </si>
  <si>
    <t>svp business development</t>
  </si>
  <si>
    <t>pelella</t>
  </si>
  <si>
    <t>vice president of engineering</t>
  </si>
  <si>
    <t>tatyana</t>
  </si>
  <si>
    <t>de oliveira lima</t>
  </si>
  <si>
    <t>global head of career and sucession planning and management (general manager)</t>
  </si>
  <si>
    <t>ditlev</t>
  </si>
  <si>
    <t>bredahl</t>
  </si>
  <si>
    <t>zagursky</t>
  </si>
  <si>
    <t>senior director, business development &amp; strategy</t>
  </si>
  <si>
    <t>brianna</t>
  </si>
  <si>
    <t>rooney</t>
  </si>
  <si>
    <t>corti</t>
  </si>
  <si>
    <t>co-founder, ceo &amp; development director (social music games)</t>
  </si>
  <si>
    <t>coventry, west midlands, united kingdom</t>
  </si>
  <si>
    <t>zetter</t>
  </si>
  <si>
    <t>redmond, oregon</t>
  </si>
  <si>
    <t>labeau</t>
  </si>
  <si>
    <t>maurice</t>
  </si>
  <si>
    <t>dawson</t>
  </si>
  <si>
    <t>saint louis, missouri, United States</t>
  </si>
  <si>
    <t>5,17</t>
  </si>
  <si>
    <t>sherol</t>
  </si>
  <si>
    <t>zuniga cts</t>
  </si>
  <si>
    <t>robyn</t>
  </si>
  <si>
    <t>alison</t>
  </si>
  <si>
    <t>ashcraft</t>
  </si>
  <si>
    <t>account manager for new jersey</t>
  </si>
  <si>
    <t>summit, new jersey</t>
  </si>
  <si>
    <t>durgesh</t>
  </si>
  <si>
    <t>it analyst</t>
  </si>
  <si>
    <t>noe</t>
  </si>
  <si>
    <t>vivar</t>
  </si>
  <si>
    <t>director de proyectos</t>
  </si>
  <si>
    <t>marcio</t>
  </si>
  <si>
    <t>trevisan</t>
  </si>
  <si>
    <t>billy</t>
  </si>
  <si>
    <t>franks</t>
  </si>
  <si>
    <t>coe/cfo</t>
  </si>
  <si>
    <t>kaitlin</t>
  </si>
  <si>
    <t>student affairs officer - educational leadership program</t>
  </si>
  <si>
    <t>whittaker</t>
  </si>
  <si>
    <t>salem, oregon</t>
  </si>
  <si>
    <t>ronald</t>
  </si>
  <si>
    <t>wood</t>
  </si>
  <si>
    <t>project coordinator</t>
  </si>
  <si>
    <t>hightstown, new jersey</t>
  </si>
  <si>
    <t>siva kumar</t>
  </si>
  <si>
    <t>senior recruiter- talent acquisition</t>
  </si>
  <si>
    <t>brockhoff</t>
  </si>
  <si>
    <t>director of technology</t>
  </si>
  <si>
    <t>lawrence, kansas area, united states</t>
  </si>
  <si>
    <t>samantha</t>
  </si>
  <si>
    <t>executive recruiter (finance and accounting)</t>
  </si>
  <si>
    <t>macpherson</t>
  </si>
  <si>
    <t>owner/journalist</t>
  </si>
  <si>
    <t>gabriele</t>
  </si>
  <si>
    <t>ruffatti</t>
  </si>
  <si>
    <t>architectures &amp; consulting director, founder of spagoworld initiative</t>
  </si>
  <si>
    <t>italy</t>
  </si>
  <si>
    <t>regino</t>
  </si>
  <si>
    <t>cavagnaro</t>
  </si>
  <si>
    <t>srinivas</t>
  </si>
  <si>
    <t>ov</t>
  </si>
  <si>
    <t>pettinelli</t>
  </si>
  <si>
    <t>client relations/operations manager</t>
  </si>
  <si>
    <t>totowa, new jersey</t>
  </si>
  <si>
    <t>wathiney</t>
  </si>
  <si>
    <t>teodoro</t>
  </si>
  <si>
    <t>distribuidor</t>
  </si>
  <si>
    <t>são mateus, espírito santo, brasil</t>
  </si>
  <si>
    <t>heavern</t>
  </si>
  <si>
    <t>licensed real estate agent at halstead property</t>
  </si>
  <si>
    <t>eileen</t>
  </si>
  <si>
    <t>woods</t>
  </si>
  <si>
    <t>tyear</t>
  </si>
  <si>
    <t>middleton, esq.</t>
  </si>
  <si>
    <t>fiona</t>
  </si>
  <si>
    <t>jenvey</t>
  </si>
  <si>
    <t>southampton, united kingdom</t>
  </si>
  <si>
    <t>weingarten</t>
  </si>
  <si>
    <t>vp of products</t>
  </si>
  <si>
    <t>san ramon, california</t>
  </si>
  <si>
    <t>flynn</t>
  </si>
  <si>
    <t>sterling</t>
  </si>
  <si>
    <t>ayad</t>
  </si>
  <si>
    <t>al basha</t>
  </si>
  <si>
    <t>founder, co-owner and ceo</t>
  </si>
  <si>
    <t>root</t>
  </si>
  <si>
    <t>carton  rjcarcamresources.com</t>
  </si>
  <si>
    <t>director   ( rjc@arcamresources.com )</t>
  </si>
  <si>
    <t>west</t>
  </si>
  <si>
    <t>burns</t>
  </si>
  <si>
    <t>gelb</t>
  </si>
  <si>
    <t>independent management consulting professional</t>
  </si>
  <si>
    <t>de la lamanoriega pfrimmer</t>
  </si>
  <si>
    <t>weisbeck</t>
  </si>
  <si>
    <t>director of shopper marketing</t>
  </si>
  <si>
    <t>khirodra</t>
  </si>
  <si>
    <t>mishra</t>
  </si>
  <si>
    <t>susan l.</t>
  </si>
  <si>
    <t>cto council administrator</t>
  </si>
  <si>
    <t>shanti</t>
  </si>
  <si>
    <t>sosienski</t>
  </si>
  <si>
    <t>braga area, portugal</t>
  </si>
  <si>
    <t>subramanyam</t>
  </si>
  <si>
    <t>doguparthi</t>
  </si>
  <si>
    <t>alvarenga</t>
  </si>
  <si>
    <t>it manager (portfolio and projects)</t>
  </si>
  <si>
    <t>boscu</t>
  </si>
  <si>
    <t>owner , sales director</t>
  </si>
  <si>
    <t>cummings</t>
  </si>
  <si>
    <t>bhabani</t>
  </si>
  <si>
    <t>sahu</t>
  </si>
  <si>
    <t>head of key account sales</t>
  </si>
  <si>
    <t>louden</t>
  </si>
  <si>
    <t>weissinger lupowitz</t>
  </si>
  <si>
    <t>virtual staffing specialist</t>
  </si>
  <si>
    <t>marti</t>
  </si>
  <si>
    <t>founder || major training organization | instructor</t>
  </si>
  <si>
    <t>ninad</t>
  </si>
  <si>
    <t>khirwadkar</t>
  </si>
  <si>
    <t>it solutions architect</t>
  </si>
  <si>
    <t>martino</t>
  </si>
  <si>
    <t>owner, general manager &amp; asst. instructor</t>
  </si>
  <si>
    <t>grenada</t>
  </si>
  <si>
    <t>Grenada</t>
  </si>
  <si>
    <t>eman emmanuel</t>
  </si>
  <si>
    <t>conde</t>
  </si>
  <si>
    <t>ccie agent</t>
  </si>
  <si>
    <t>jarmila</t>
  </si>
  <si>
    <t>halovskyyu fidm mcim</t>
  </si>
  <si>
    <t>senior director channel marketing western europe</t>
  </si>
  <si>
    <t>hoggard</t>
  </si>
  <si>
    <t>tarot reader, author, teacher</t>
  </si>
  <si>
    <t>wanderley</t>
  </si>
  <si>
    <t>corrêa de almeida jr</t>
  </si>
  <si>
    <t>software factory technical manager</t>
  </si>
  <si>
    <t>campinas area, brazil</t>
  </si>
  <si>
    <t>woodrow</t>
  </si>
  <si>
    <t>chip</t>
  </si>
  <si>
    <t>bumgardner</t>
  </si>
  <si>
    <t>executive producer / co-founder</t>
  </si>
  <si>
    <t>ashith</t>
  </si>
  <si>
    <t>hegde</t>
  </si>
  <si>
    <t>strategic global  account manager</t>
  </si>
  <si>
    <t>titus</t>
  </si>
  <si>
    <t>santa barbara, california</t>
  </si>
  <si>
    <t>gregg</t>
  </si>
  <si>
    <t>sgambati</t>
  </si>
  <si>
    <t>clifford</t>
  </si>
  <si>
    <t>heckman pmp</t>
  </si>
  <si>
    <t>operations manager, dale carnegie digital</t>
  </si>
  <si>
    <t>massone</t>
  </si>
  <si>
    <t>new boston, new hampshire</t>
  </si>
  <si>
    <t>alexandre tardif</t>
  </si>
  <si>
    <t>président du conseil d'administration</t>
  </si>
  <si>
    <t>saint-hyacinthe, quebec, canada</t>
  </si>
  <si>
    <t>wille</t>
  </si>
  <si>
    <t>faler</t>
  </si>
  <si>
    <t>pete</t>
  </si>
  <si>
    <t>joiner</t>
  </si>
  <si>
    <t>horrocks</t>
  </si>
  <si>
    <t>marketing communications manager</t>
  </si>
  <si>
    <t>kenney</t>
  </si>
  <si>
    <t>psychologist</t>
  </si>
  <si>
    <t>chantel</t>
  </si>
  <si>
    <t>heesen</t>
  </si>
  <si>
    <t>johannesburg area, south africa</t>
  </si>
  <si>
    <t>South Africa</t>
  </si>
  <si>
    <t>dombrowski</t>
  </si>
  <si>
    <t>managing member</t>
  </si>
  <si>
    <t>joão</t>
  </si>
  <si>
    <t>milner</t>
  </si>
  <si>
    <t>founder || vp mortgage operations and risk management</t>
  </si>
  <si>
    <t>rence</t>
  </si>
  <si>
    <t>winetrout</t>
  </si>
  <si>
    <t>executive director, marketing &amp; commerce consulting</t>
  </si>
  <si>
    <t>pimentel</t>
  </si>
  <si>
    <t>radiographic technologist</t>
  </si>
  <si>
    <t>riley</t>
  </si>
  <si>
    <t>harrow, united kingdom</t>
  </si>
  <si>
    <t>blackwell</t>
  </si>
  <si>
    <t>flamand</t>
  </si>
  <si>
    <t>michaël michael.flamandcomenews.com</t>
  </si>
  <si>
    <t>yarbrough</t>
  </si>
  <si>
    <t>cepinko</t>
  </si>
  <si>
    <t>per mikael</t>
  </si>
  <si>
    <t>ceo, president</t>
  </si>
  <si>
    <t>bertram</t>
  </si>
  <si>
    <t>dts lead tech</t>
  </si>
  <si>
    <t>draper</t>
  </si>
  <si>
    <t>owner/director</t>
  </si>
  <si>
    <t>alec</t>
  </si>
  <si>
    <t>smith  cpa pmp</t>
  </si>
  <si>
    <t>director of consulting</t>
  </si>
  <si>
    <t>tomas</t>
  </si>
  <si>
    <t>valasek</t>
  </si>
  <si>
    <t>slovak republic</t>
  </si>
  <si>
    <t>Slovak Republic</t>
  </si>
  <si>
    <t>sivaraman</t>
  </si>
  <si>
    <t>n  lion</t>
  </si>
  <si>
    <t>us/canada staffing</t>
  </si>
  <si>
    <t>broyles</t>
  </si>
  <si>
    <t>evp/cfo</t>
  </si>
  <si>
    <t>trail, oregon</t>
  </si>
  <si>
    <t>hand</t>
  </si>
  <si>
    <t>wiener msia pmp</t>
  </si>
  <si>
    <t>hamby mba novar</t>
  </si>
  <si>
    <t>greenville, north carolina area, united states</t>
  </si>
  <si>
    <t>Supermarkets</t>
  </si>
  <si>
    <t>ozzie</t>
  </si>
  <si>
    <t>perez</t>
  </si>
  <si>
    <t>urban market manager</t>
  </si>
  <si>
    <t>little falls, new jersey</t>
  </si>
  <si>
    <t>thomsen</t>
  </si>
  <si>
    <t>norway</t>
  </si>
  <si>
    <t>sell</t>
  </si>
  <si>
    <t>koji</t>
  </si>
  <si>
    <t>kodama mba pmp????</t>
  </si>
  <si>
    <t>japan</t>
  </si>
  <si>
    <t>amitabh</t>
  </si>
  <si>
    <t>lahiri</t>
  </si>
  <si>
    <t>president &amp; quality leader</t>
  </si>
  <si>
    <t>chas l.</t>
  </si>
  <si>
    <t>perry ii</t>
  </si>
  <si>
    <t>business development specialist-contractor</t>
  </si>
  <si>
    <t>grimes</t>
  </si>
  <si>
    <t>palella</t>
  </si>
  <si>
    <t>frank j.</t>
  </si>
  <si>
    <t>segarra iii</t>
  </si>
  <si>
    <t>rosenberg</t>
  </si>
  <si>
    <t>senior vp &amp; cio</t>
  </si>
  <si>
    <t>manish rai</t>
  </si>
  <si>
    <t>nigam</t>
  </si>
  <si>
    <t>mendonça</t>
  </si>
  <si>
    <t>engenheiro civil planejamento e orcamento</t>
  </si>
  <si>
    <t>kyle</t>
  </si>
  <si>
    <t>silk</t>
  </si>
  <si>
    <t>jody</t>
  </si>
  <si>
    <t>gouge</t>
  </si>
  <si>
    <t>principal and managing partner</t>
  </si>
  <si>
    <t>mount pleasant, south carolina</t>
  </si>
  <si>
    <t>berryman</t>
  </si>
  <si>
    <t>scott c.</t>
  </si>
  <si>
    <t>strategic programs manager- kaiser permanente-hawaii region</t>
  </si>
  <si>
    <t>santillo</t>
  </si>
  <si>
    <t>sales engineer</t>
  </si>
  <si>
    <t>mcclellan</t>
  </si>
  <si>
    <t>c michael</t>
  </si>
  <si>
    <t>depew</t>
  </si>
  <si>
    <t>andrew n.</t>
  </si>
  <si>
    <t>ferenci</t>
  </si>
  <si>
    <t>biz</t>
  </si>
  <si>
    <t>arrays</t>
  </si>
  <si>
    <t>gittel</t>
  </si>
  <si>
    <t>price</t>
  </si>
  <si>
    <t>regev reggie</t>
  </si>
  <si>
    <t>yativ</t>
  </si>
  <si>
    <t>tilford</t>
  </si>
  <si>
    <t>lighting specialist</t>
  </si>
  <si>
    <t>albarano</t>
  </si>
  <si>
    <t>execution manager</t>
  </si>
  <si>
    <t>paramus, new jersey</t>
  </si>
  <si>
    <t>leader</t>
  </si>
  <si>
    <t>executive vice president, americas sales</t>
  </si>
  <si>
    <t>silverberg</t>
  </si>
  <si>
    <t>h. ward</t>
  </si>
  <si>
    <t>camp</t>
  </si>
  <si>
    <t>vestuto esq.</t>
  </si>
  <si>
    <t>vice president - client advisory services</t>
  </si>
  <si>
    <t>brion</t>
  </si>
  <si>
    <t>cofounder / ceo</t>
  </si>
  <si>
    <t>gabe</t>
  </si>
  <si>
    <t>gomez</t>
  </si>
  <si>
    <t>bondelevitch</t>
  </si>
  <si>
    <t>gilles</t>
  </si>
  <si>
    <t>director of learning and development (is)</t>
  </si>
  <si>
    <t>redpath</t>
  </si>
  <si>
    <t>durham, united kingdom</t>
  </si>
  <si>
    <t>shane</t>
  </si>
  <si>
    <t>mullane</t>
  </si>
  <si>
    <t>darryl</t>
  </si>
  <si>
    <t>dodsonedgars</t>
  </si>
  <si>
    <t>landscape and water system engineering/installation</t>
  </si>
  <si>
    <t>consulting services director</t>
  </si>
  <si>
    <t>bogart bo</t>
  </si>
  <si>
    <t>cambridge, massachusetts</t>
  </si>
  <si>
    <t>navar</t>
  </si>
  <si>
    <t>orr</t>
  </si>
  <si>
    <t>shakked</t>
  </si>
  <si>
    <t>dearborn</t>
  </si>
  <si>
    <t>leonid</t>
  </si>
  <si>
    <t>rosenboim</t>
  </si>
  <si>
    <t>lindon</t>
  </si>
  <si>
    <t>founder and managing member</t>
  </si>
  <si>
    <t>jacksonville beach, florida</t>
  </si>
  <si>
    <t>jimroglou</t>
  </si>
  <si>
    <t>beach haven, new jersey</t>
  </si>
  <si>
    <t>cossler</t>
  </si>
  <si>
    <t>youngstown, ohio area, united states</t>
  </si>
  <si>
    <t>muhannad</t>
  </si>
  <si>
    <t>agha</t>
  </si>
  <si>
    <t>director, voice of customer and business analytics at autodesk</t>
  </si>
  <si>
    <t>larussia</t>
  </si>
  <si>
    <t>delivery consultant – talent acquisition</t>
  </si>
  <si>
    <t>atlantic city, new jersey</t>
  </si>
  <si>
    <t>5,42</t>
  </si>
  <si>
    <t>mcneilly ctp</t>
  </si>
  <si>
    <t>senior vice president and manager</t>
  </si>
  <si>
    <t>diginomicworld</t>
  </si>
  <si>
    <t>news</t>
  </si>
  <si>
    <t>bauer</t>
  </si>
  <si>
    <t>stone</t>
  </si>
  <si>
    <t>3,17</t>
  </si>
  <si>
    <t>geert</t>
  </si>
  <si>
    <t>warlop</t>
  </si>
  <si>
    <t>all round telecom expert</t>
  </si>
  <si>
    <t>cambodia</t>
  </si>
  <si>
    <t>Cambodia</t>
  </si>
  <si>
    <t>8,22</t>
  </si>
  <si>
    <t>zarick</t>
  </si>
  <si>
    <t>nicolò</t>
  </si>
  <si>
    <t>michetti</t>
  </si>
  <si>
    <t>ramsey</t>
  </si>
  <si>
    <t>prasanna</t>
  </si>
  <si>
    <t>gundi</t>
  </si>
  <si>
    <t>ceo europe</t>
  </si>
  <si>
    <t>borruso</t>
  </si>
  <si>
    <t>josildo</t>
  </si>
  <si>
    <t>melo</t>
  </si>
  <si>
    <t>gerente en andrade gutierrez s.a.</t>
  </si>
  <si>
    <t>3,78</t>
  </si>
  <si>
    <t>rachin</t>
  </si>
  <si>
    <t>negi</t>
  </si>
  <si>
    <t>sr sales/recruitment manager</t>
  </si>
  <si>
    <t>findley</t>
  </si>
  <si>
    <t>vice president, sales</t>
  </si>
  <si>
    <t>giovanni</t>
  </si>
  <si>
    <t>migotto</t>
  </si>
  <si>
    <t>deborah</t>
  </si>
  <si>
    <t>davidson pmp</t>
  </si>
  <si>
    <t>founder | senior it release manager</t>
  </si>
  <si>
    <t>stefano</t>
  </si>
  <si>
    <t>seghetto</t>
  </si>
  <si>
    <t>novara area, italy</t>
  </si>
  <si>
    <t>nimpee</t>
  </si>
  <si>
    <t>kaul</t>
  </si>
  <si>
    <t>chenel</t>
  </si>
  <si>
    <t>architecte</t>
  </si>
  <si>
    <t>albert</t>
  </si>
  <si>
    <t>engelhardt</t>
  </si>
  <si>
    <t>jaye</t>
  </si>
  <si>
    <t>english</t>
  </si>
  <si>
    <t>delma quintanilha</t>
  </si>
  <si>
    <t>vianna</t>
  </si>
  <si>
    <t>fawkes</t>
  </si>
  <si>
    <t>norwich, united kingdom</t>
  </si>
  <si>
    <t>hutchinson</t>
  </si>
  <si>
    <t>garry lee</t>
  </si>
  <si>
    <t>abbs ii mba</t>
  </si>
  <si>
    <t>madgaon area, india</t>
  </si>
  <si>
    <t>naval</t>
  </si>
  <si>
    <t>k</t>
  </si>
  <si>
    <t>ppc management, seo services, social media marketing, &amp; online pr</t>
  </si>
  <si>
    <t>haley</t>
  </si>
  <si>
    <t>economaki</t>
  </si>
  <si>
    <t>director, global marketing &amp; ecommerce</t>
  </si>
  <si>
    <t>lake oswego, oregon</t>
  </si>
  <si>
    <t>lejeune</t>
  </si>
  <si>
    <t>president: national life sciences</t>
  </si>
  <si>
    <t>thawani</t>
  </si>
  <si>
    <t>cushing</t>
  </si>
  <si>
    <t>novak</t>
  </si>
  <si>
    <t>banda open networker</t>
  </si>
  <si>
    <t>saskatchewan, canada</t>
  </si>
  <si>
    <t>natasha</t>
  </si>
  <si>
    <t>friis saxberg</t>
  </si>
  <si>
    <t>tower</t>
  </si>
  <si>
    <t>managing director, brand strategy</t>
  </si>
  <si>
    <t>desiree leigh</t>
  </si>
  <si>
    <t>thompson r.p.c</t>
  </si>
  <si>
    <t>dr. pratap</t>
  </si>
  <si>
    <t>chillakanti</t>
  </si>
  <si>
    <t>pacino</t>
  </si>
  <si>
    <t>hossein</t>
  </si>
  <si>
    <t>kazemi</t>
  </si>
  <si>
    <t>vp of power systems</t>
  </si>
  <si>
    <t>colleen</t>
  </si>
  <si>
    <t>riegel</t>
  </si>
  <si>
    <t>office assistant</t>
  </si>
  <si>
    <t>luca merlini</t>
  </si>
  <si>
    <t>vivian</t>
  </si>
  <si>
    <t>metz mba</t>
  </si>
  <si>
    <t>assistant to group president</t>
  </si>
  <si>
    <t>katronetsky</t>
  </si>
  <si>
    <t>ieee-hkn executive director and staff director, eab administration</t>
  </si>
  <si>
    <t>praful</t>
  </si>
  <si>
    <t>sr. recruiter</t>
  </si>
  <si>
    <t>seun</t>
  </si>
  <si>
    <t>moses abimbola</t>
  </si>
  <si>
    <t>founder &amp; executive director</t>
  </si>
  <si>
    <t>stacia</t>
  </si>
  <si>
    <t>parseghian</t>
  </si>
  <si>
    <t>john bennett</t>
  </si>
  <si>
    <t>debra</t>
  </si>
  <si>
    <t>sotland stillman</t>
  </si>
  <si>
    <t>casper</t>
  </si>
  <si>
    <t>urhammer</t>
  </si>
  <si>
    <t>managing director denmark</t>
  </si>
  <si>
    <t>ashwini</t>
  </si>
  <si>
    <t>kolekar</t>
  </si>
  <si>
    <t>senior manager - account management at southern california edison</t>
  </si>
  <si>
    <t>alina</t>
  </si>
  <si>
    <t>koos</t>
  </si>
  <si>
    <t>zwiener</t>
  </si>
  <si>
    <t>gyan</t>
  </si>
  <si>
    <t>consulting program manager</t>
  </si>
  <si>
    <t>cary, north carolina</t>
  </si>
  <si>
    <t>barton</t>
  </si>
  <si>
    <t>sr. technical recruiting consultant</t>
  </si>
  <si>
    <t>6,08</t>
  </si>
  <si>
    <t>yarmchuk</t>
  </si>
  <si>
    <t>cooke  p.e.</t>
  </si>
  <si>
    <t>area manager: outbound and customer returns</t>
  </si>
  <si>
    <t>ryerson</t>
  </si>
  <si>
    <t>oniell</t>
  </si>
  <si>
    <t>j t tom</t>
  </si>
  <si>
    <t>reale</t>
  </si>
  <si>
    <t>laurie</t>
  </si>
  <si>
    <t>sigillito</t>
  </si>
  <si>
    <t>bufalino</t>
  </si>
  <si>
    <t>deering</t>
  </si>
  <si>
    <t>international marketing and recruitment manager</t>
  </si>
  <si>
    <t>portland, oregon area, united states</t>
  </si>
  <si>
    <t>dion</t>
  </si>
  <si>
    <t>lachenaie, quebec, canada</t>
  </si>
  <si>
    <t>carolyn</t>
  </si>
  <si>
    <t>simi</t>
  </si>
  <si>
    <t>rodney</t>
  </si>
  <si>
    <t>sophie</t>
  </si>
  <si>
    <t>eden</t>
  </si>
  <si>
    <t>director - technology &amp; digital search practice</t>
  </si>
  <si>
    <t>ley</t>
  </si>
  <si>
    <t>fresno, california area, united states</t>
  </si>
  <si>
    <t>sharp</t>
  </si>
  <si>
    <t>probstein</t>
  </si>
  <si>
    <t>district vice president of sales</t>
  </si>
  <si>
    <t>pomper</t>
  </si>
  <si>
    <t>firth</t>
  </si>
  <si>
    <t>nottingham, united kingdom</t>
  </si>
  <si>
    <t>lévesque</t>
  </si>
  <si>
    <t>owner - président</t>
  </si>
  <si>
    <t>saint-lambert, quebec, canada</t>
  </si>
  <si>
    <t>ashish</t>
  </si>
  <si>
    <t>nainwal</t>
  </si>
  <si>
    <t>project lead</t>
  </si>
  <si>
    <t>germaine</t>
  </si>
  <si>
    <t>moody</t>
  </si>
  <si>
    <t>bodien</t>
  </si>
  <si>
    <t>proprietor</t>
  </si>
  <si>
    <t>hawi, hawaii</t>
  </si>
  <si>
    <t>wheaton</t>
  </si>
  <si>
    <t>deputy ceo/vp americas</t>
  </si>
  <si>
    <t>harrison</t>
  </si>
  <si>
    <t>vp global services</t>
  </si>
  <si>
    <t>lam</t>
  </si>
  <si>
    <t>senior software development director</t>
  </si>
  <si>
    <t>ortner</t>
  </si>
  <si>
    <t>julien</t>
  </si>
  <si>
    <t>gargowitsch</t>
  </si>
  <si>
    <t>director, software division</t>
  </si>
  <si>
    <t>byxbee</t>
  </si>
  <si>
    <t>green</t>
  </si>
  <si>
    <t>telecommunications consultant: delaware, maryland, washington dc</t>
  </si>
  <si>
    <t>milford, delaware</t>
  </si>
  <si>
    <t>caleb</t>
  </si>
  <si>
    <t>elston</t>
  </si>
  <si>
    <t>meer van der</t>
  </si>
  <si>
    <t>hp account cto public sector netherlands</t>
  </si>
  <si>
    <t>black</t>
  </si>
  <si>
    <t>vice president of membership and marketing</t>
  </si>
  <si>
    <t>vicki</t>
  </si>
  <si>
    <t>pollman</t>
  </si>
  <si>
    <t>managing director, talent and organizational effectiveness</t>
  </si>
  <si>
    <t>zadotti</t>
  </si>
  <si>
    <t>Individual &amp; Family Services</t>
  </si>
  <si>
    <t>vadim</t>
  </si>
  <si>
    <t>geshel</t>
  </si>
  <si>
    <t>co-founder/cto</t>
  </si>
  <si>
    <t>arnell</t>
  </si>
  <si>
    <t>milhouse</t>
  </si>
  <si>
    <t>ceo / founder</t>
  </si>
  <si>
    <t>donaldson</t>
  </si>
  <si>
    <t>co-founder, managing director</t>
  </si>
  <si>
    <t>quirion</t>
  </si>
  <si>
    <t>christiansted, vi, virgin islands (u.s.)</t>
  </si>
  <si>
    <t>Virgin Islands (U.S.)</t>
  </si>
  <si>
    <t>elmer</t>
  </si>
  <si>
    <t>eubanksarchbold</t>
  </si>
  <si>
    <t>kulesa</t>
  </si>
  <si>
    <t>eddy m.</t>
  </si>
  <si>
    <t>micich emicich at gmail.com</t>
  </si>
  <si>
    <t>brandi</t>
  </si>
  <si>
    <t>paik</t>
  </si>
  <si>
    <t>buchanan</t>
  </si>
  <si>
    <t>hill street studios</t>
  </si>
  <si>
    <t>track</t>
  </si>
  <si>
    <t>co-owners</t>
  </si>
  <si>
    <t>wheeler</t>
  </si>
  <si>
    <t>registration and housing coordinator/convention manager</t>
  </si>
  <si>
    <t>janoni</t>
  </si>
  <si>
    <t>analista fiscal sr.</t>
  </si>
  <si>
    <t>director, creative &amp; digital strategy</t>
  </si>
  <si>
    <t>kimura</t>
  </si>
  <si>
    <t>oncology sales manager</t>
  </si>
  <si>
    <t>Security and Investigations</t>
  </si>
  <si>
    <t>alterio</t>
  </si>
  <si>
    <t>advogado tributarista</t>
  </si>
  <si>
    <t>Judiciary</t>
  </si>
  <si>
    <t>b. menezes de lima</t>
  </si>
  <si>
    <t>analista de atratividade &amp; seleção jr</t>
  </si>
  <si>
    <t>rodolfo</t>
  </si>
  <si>
    <t>marques monegatto</t>
  </si>
  <si>
    <t>encarregado técnico</t>
  </si>
  <si>
    <t>veeral</t>
  </si>
  <si>
    <t>lakhani</t>
  </si>
  <si>
    <t>ram mohan</t>
  </si>
  <si>
    <t>vedantham</t>
  </si>
  <si>
    <t>owner, fugen it solutions and</t>
  </si>
  <si>
    <t>ungar</t>
  </si>
  <si>
    <t>converso</t>
  </si>
  <si>
    <t>engenheiro civil pleno</t>
  </si>
  <si>
    <t>merill</t>
  </si>
  <si>
    <t>vice president-staffing-director of it recruiting-operations/ staffing search firm</t>
  </si>
  <si>
    <t>torrente</t>
  </si>
  <si>
    <t>gerente de produtos e aprovações</t>
  </si>
  <si>
    <t>santana</t>
  </si>
  <si>
    <t>coordenador de infraestrutura de ti</t>
  </si>
  <si>
    <t>castro pereira</t>
  </si>
  <si>
    <t>production supervisor</t>
  </si>
  <si>
    <t>agnaldo</t>
  </si>
  <si>
    <t>gerente industrial</t>
  </si>
  <si>
    <t>lins e região, brasil</t>
  </si>
  <si>
    <t>santorini</t>
  </si>
  <si>
    <t>client services manager/program manager</t>
  </si>
  <si>
    <t>asbury park, new jersey</t>
  </si>
  <si>
    <t>sachin</t>
  </si>
  <si>
    <t>a. nimonkar</t>
  </si>
  <si>
    <t>senior manager</t>
  </si>
  <si>
    <t>lurie</t>
  </si>
  <si>
    <t>president + founder</t>
  </si>
  <si>
    <t>crass</t>
  </si>
  <si>
    <t>director, clinical operations</t>
  </si>
  <si>
    <t>baskowski cpc</t>
  </si>
  <si>
    <t>hartford, connecticut area, united states, United States</t>
  </si>
  <si>
    <t>daniele</t>
  </si>
  <si>
    <t>analista de recursos humanos pleno</t>
  </si>
  <si>
    <t>spice</t>
  </si>
  <si>
    <t>ladva</t>
  </si>
  <si>
    <t>saad</t>
  </si>
  <si>
    <t>diego</t>
  </si>
  <si>
    <t>aureliano</t>
  </si>
  <si>
    <t>correspondente</t>
  </si>
  <si>
    <t>thawyo</t>
  </si>
  <si>
    <t>rosenthal</t>
  </si>
  <si>
    <t>analista judiciÁrio</t>
  </si>
  <si>
    <t>brasília e região, brasil</t>
  </si>
  <si>
    <t>market vice president</t>
  </si>
  <si>
    <t>mad hatter</t>
  </si>
  <si>
    <t>débora</t>
  </si>
  <si>
    <t>santos</t>
  </si>
  <si>
    <t>assistente de recursos humanos</t>
  </si>
  <si>
    <t>piracicaba, são paulo, brasil</t>
  </si>
  <si>
    <t>haelysan</t>
  </si>
  <si>
    <t>lins</t>
  </si>
  <si>
    <t>software test analyst</t>
  </si>
  <si>
    <t>recife e região, brasil</t>
  </si>
  <si>
    <t>kersty</t>
  </si>
  <si>
    <t>bletso</t>
  </si>
  <si>
    <t>head of practice - cio</t>
  </si>
  <si>
    <t>leeds, west yorkshire, united kingdom</t>
  </si>
  <si>
    <t>mona</t>
  </si>
  <si>
    <t>akhavi</t>
  </si>
  <si>
    <t>lebanon, tennessee</t>
  </si>
  <si>
    <t>melodie</t>
  </si>
  <si>
    <t>tao</t>
  </si>
  <si>
    <t>owner / yoga instructor</t>
  </si>
  <si>
    <t>emily</t>
  </si>
  <si>
    <t>lin</t>
  </si>
  <si>
    <t>eichten</t>
  </si>
  <si>
    <t>senior vice president, sales &amp; marketing</t>
  </si>
  <si>
    <t>georgetown, delaware</t>
  </si>
  <si>
    <t>didek</t>
  </si>
  <si>
    <t>vendedora</t>
  </si>
  <si>
    <t>specialist consultant - oil &amp; gas</t>
  </si>
  <si>
    <t>knott</t>
  </si>
  <si>
    <t>diretor</t>
  </si>
  <si>
    <t>maltby</t>
  </si>
  <si>
    <t>director - us operations</t>
  </si>
  <si>
    <t>walton</t>
  </si>
  <si>
    <t>jaun</t>
  </si>
  <si>
    <t>rizvi</t>
  </si>
  <si>
    <t>avp &amp; branch head</t>
  </si>
  <si>
    <t>leisa</t>
  </si>
  <si>
    <t>crescent, pennsylvania, United States</t>
  </si>
  <si>
    <t>s arnie</t>
  </si>
  <si>
    <t>vice president - engineering</t>
  </si>
  <si>
    <t>muskegon, michigan</t>
  </si>
  <si>
    <t>paulocastanheira</t>
  </si>
  <si>
    <t>.</t>
  </si>
  <si>
    <t>asad</t>
  </si>
  <si>
    <t>bokhari</t>
  </si>
  <si>
    <t>thomas mba fbcs</t>
  </si>
  <si>
    <t>ernstjan</t>
  </si>
  <si>
    <t>managing partner technology france &amp; benelux</t>
  </si>
  <si>
    <t>belville</t>
  </si>
  <si>
    <t>director of carrier relations</t>
  </si>
  <si>
    <t>maria josé</t>
  </si>
  <si>
    <t>mayor torres</t>
  </si>
  <si>
    <t>guynn</t>
  </si>
  <si>
    <t>founder || specialty pharmaceutical sales</t>
  </si>
  <si>
    <t>sr business process consultant/ sr pm</t>
  </si>
  <si>
    <t>sin</t>
  </si>
  <si>
    <t>bosier</t>
  </si>
  <si>
    <t>pinak</t>
  </si>
  <si>
    <t>vp, sourcing</t>
  </si>
  <si>
    <t>adelaide, south australia, australia</t>
  </si>
  <si>
    <t>matz</t>
  </si>
  <si>
    <t>owner/coach</t>
  </si>
  <si>
    <t>manzi</t>
  </si>
  <si>
    <t>independent contractor</t>
  </si>
  <si>
    <t>7,46</t>
  </si>
  <si>
    <t>pierre</t>
  </si>
  <si>
    <t>savignac</t>
  </si>
  <si>
    <t>rod</t>
  </si>
  <si>
    <t>brylawski rbrylawskilucasgroup.com</t>
  </si>
  <si>
    <t>senior partner and team lead - tampa information technology</t>
  </si>
  <si>
    <t>barlevav</t>
  </si>
  <si>
    <t>steinberg pmp</t>
  </si>
  <si>
    <t>manager, scientific systems</t>
  </si>
  <si>
    <t>ringwood, new jersey</t>
  </si>
  <si>
    <t>kistner</t>
  </si>
  <si>
    <t>stefan</t>
  </si>
  <si>
    <t>matthews</t>
  </si>
  <si>
    <t>philippines</t>
  </si>
  <si>
    <t>Philippines</t>
  </si>
  <si>
    <t>omae</t>
  </si>
  <si>
    <t>golwala</t>
  </si>
  <si>
    <t>co-founder and cto</t>
  </si>
  <si>
    <t>astarita</t>
  </si>
  <si>
    <t>bradley</t>
  </si>
  <si>
    <t>maggiotto</t>
  </si>
  <si>
    <t>ioschpe</t>
  </si>
  <si>
    <t>suzanne</t>
  </si>
  <si>
    <t>heinrichs</t>
  </si>
  <si>
    <t>rich</t>
  </si>
  <si>
    <t>sauser pmpcpa</t>
  </si>
  <si>
    <t>vp - senior technology project manager</t>
  </si>
  <si>
    <t>mount holly, north carolina</t>
  </si>
  <si>
    <t>mcdonough</t>
  </si>
  <si>
    <t>senior vice president and chief information officer</t>
  </si>
  <si>
    <t>killcommons</t>
  </si>
  <si>
    <t>jonyt</t>
  </si>
  <si>
    <t>cio and staff vp</t>
  </si>
  <si>
    <t>shailesh</t>
  </si>
  <si>
    <t>tc</t>
  </si>
  <si>
    <t>kong</t>
  </si>
  <si>
    <t>giuliano</t>
  </si>
  <si>
    <t>stiglitz</t>
  </si>
  <si>
    <t>key biscayne, florida, United States</t>
  </si>
  <si>
    <t>hummel</t>
  </si>
  <si>
    <t>val</t>
  </si>
  <si>
    <t>lawton, oklahoma</t>
  </si>
  <si>
    <t>jakki</t>
  </si>
  <si>
    <t>glivicky geiger</t>
  </si>
  <si>
    <t>senior director, global marketing campaigns</t>
  </si>
  <si>
    <t>coleen</t>
  </si>
  <si>
    <t>mosher</t>
  </si>
  <si>
    <t>managing director, staffing</t>
  </si>
  <si>
    <t>praveen</t>
  </si>
  <si>
    <t>ramakrishnan</t>
  </si>
  <si>
    <t>odery</t>
  </si>
  <si>
    <t>cynthia</t>
  </si>
  <si>
    <t>wrasman</t>
  </si>
  <si>
    <t>president and owner</t>
  </si>
  <si>
    <t>griego</t>
  </si>
  <si>
    <t>aki</t>
  </si>
  <si>
    <t>fujimura</t>
  </si>
  <si>
    <t>chairman and ceo</t>
  </si>
  <si>
    <t>renard j.</t>
  </si>
  <si>
    <t>steele</t>
  </si>
  <si>
    <t>deana</t>
  </si>
  <si>
    <t>guedes</t>
  </si>
  <si>
    <t>bernstein</t>
  </si>
  <si>
    <t>vice-president</t>
  </si>
  <si>
    <t>boston, massachusetts, United States</t>
  </si>
  <si>
    <t>player lion</t>
  </si>
  <si>
    <t>glenda g.</t>
  </si>
  <si>
    <t>eicher dougeicher.com</t>
  </si>
  <si>
    <t>vp sales</t>
  </si>
  <si>
    <t>traversi kovaleski</t>
  </si>
  <si>
    <t>general manager &amp; co-founder</t>
  </si>
  <si>
    <t>dodenhoff</t>
  </si>
  <si>
    <t>arvind</t>
  </si>
  <si>
    <t>lindsey</t>
  </si>
  <si>
    <t>notary joe - owner</t>
  </si>
  <si>
    <t>livolsi</t>
  </si>
  <si>
    <t>abbott</t>
  </si>
  <si>
    <t>prasant</t>
  </si>
  <si>
    <t>potuluri</t>
  </si>
  <si>
    <t>Public Safety</t>
  </si>
  <si>
    <t>henning</t>
  </si>
  <si>
    <t>seip</t>
  </si>
  <si>
    <t>founder, president</t>
  </si>
  <si>
    <t>issa g.</t>
  </si>
  <si>
    <t>yattassaye</t>
  </si>
  <si>
    <t>international account manager</t>
  </si>
  <si>
    <t>daniel j.</t>
  </si>
  <si>
    <t>oakes</t>
  </si>
  <si>
    <t>vice president, operations</t>
  </si>
  <si>
    <t>arjen j.</t>
  </si>
  <si>
    <t>pront</t>
  </si>
  <si>
    <t>cumming</t>
  </si>
  <si>
    <t>bykowski</t>
  </si>
  <si>
    <t>lewis</t>
  </si>
  <si>
    <t>partner/ director of strategy</t>
  </si>
  <si>
    <t>dick</t>
  </si>
  <si>
    <t>hoogland</t>
  </si>
  <si>
    <t>netherlands</t>
  </si>
  <si>
    <t>ruth</t>
  </si>
  <si>
    <t>cayler</t>
  </si>
  <si>
    <t>executive assistant</t>
  </si>
  <si>
    <t>duke</t>
  </si>
  <si>
    <t>cio and evp</t>
  </si>
  <si>
    <t>costanza</t>
  </si>
  <si>
    <t>co-founder, executive creative director</t>
  </si>
  <si>
    <t>gillespie</t>
  </si>
  <si>
    <t>director, enterprise client computing</t>
  </si>
  <si>
    <t>barnstable/yarmouth, massachusetts area, united states</t>
  </si>
  <si>
    <t>heitner</t>
  </si>
  <si>
    <t>devon</t>
  </si>
  <si>
    <t>wylie</t>
  </si>
  <si>
    <t>sue</t>
  </si>
  <si>
    <t>flood</t>
  </si>
  <si>
    <t>co-founder, vp, pr manager</t>
  </si>
  <si>
    <t>t.j.</t>
  </si>
  <si>
    <t>oslund</t>
  </si>
  <si>
    <t>lance</t>
  </si>
  <si>
    <t>wolf</t>
  </si>
  <si>
    <t>crs</t>
  </si>
  <si>
    <t>panzera</t>
  </si>
  <si>
    <t>uniacke</t>
  </si>
  <si>
    <t>ceo and top dog</t>
  </si>
  <si>
    <t>kristin</t>
  </si>
  <si>
    <t>stancato</t>
  </si>
  <si>
    <t>jyotirmoy</t>
  </si>
  <si>
    <t>dutta</t>
  </si>
  <si>
    <t>isc solutions lead/project manager</t>
  </si>
  <si>
    <t>milwaukee, wisconsin</t>
  </si>
  <si>
    <t>edwards lion</t>
  </si>
  <si>
    <t>tring, hertfordshire, united kingdom</t>
  </si>
  <si>
    <t>palleschi</t>
  </si>
  <si>
    <t>delivery manager</t>
  </si>
  <si>
    <t>nisha</t>
  </si>
  <si>
    <t>kurien</t>
  </si>
  <si>
    <t>technical architect/project manager</t>
  </si>
  <si>
    <t>miaoqi</t>
  </si>
  <si>
    <t>zhu</t>
  </si>
  <si>
    <t>research/teaching assistant</t>
  </si>
  <si>
    <t>kireina</t>
  </si>
  <si>
    <t>tay</t>
  </si>
  <si>
    <t>director, apac recruiting</t>
  </si>
  <si>
    <t>routhier</t>
  </si>
  <si>
    <t>newburyport, massachusetts, United States</t>
  </si>
  <si>
    <t>pierannunzi</t>
  </si>
  <si>
    <t>enterprise account manager - cdia+, apsc</t>
  </si>
  <si>
    <t>greensboro/winston-salem, north carolina area, united states</t>
  </si>
  <si>
    <t>goldner</t>
  </si>
  <si>
    <t>abadia</t>
  </si>
  <si>
    <t>assistant vice president, business development officer</t>
  </si>
  <si>
    <t>reza</t>
  </si>
  <si>
    <t>ahmadi</t>
  </si>
  <si>
    <t>coo / co-founder</t>
  </si>
  <si>
    <t>raphael</t>
  </si>
  <si>
    <t>mestieri</t>
  </si>
  <si>
    <t>representante propagandista linha dermato</t>
  </si>
  <si>
    <t>hardeep</t>
  </si>
  <si>
    <t>randhava</t>
  </si>
  <si>
    <t>annmarie</t>
  </si>
  <si>
    <t>kennedy pmp</t>
  </si>
  <si>
    <t>pmo manager at wyndham worldwide</t>
  </si>
  <si>
    <t>hillsborough, new jersey</t>
  </si>
  <si>
    <t>dustin</t>
  </si>
  <si>
    <t>hufford chcio</t>
  </si>
  <si>
    <t>toledo, ohio area, united states, United States</t>
  </si>
  <si>
    <t>studio technical leader</t>
  </si>
  <si>
    <t>west orange, new jersey</t>
  </si>
  <si>
    <t>clausen</t>
  </si>
  <si>
    <t>wojcik</t>
  </si>
  <si>
    <t>co-founder/managing partner</t>
  </si>
  <si>
    <t>pieter</t>
  </si>
  <si>
    <t>bedaux</t>
  </si>
  <si>
    <t>neuroscience account manager</t>
  </si>
  <si>
    <t>ocean city, new jersey</t>
  </si>
  <si>
    <t>amber</t>
  </si>
  <si>
    <t>schoepp</t>
  </si>
  <si>
    <t>obermeier</t>
  </si>
  <si>
    <t>managing director - banking &amp; financial services practice</t>
  </si>
  <si>
    <t>bheem</t>
  </si>
  <si>
    <t>reedy t</t>
  </si>
  <si>
    <t>sap project manager</t>
  </si>
  <si>
    <t>analese</t>
  </si>
  <si>
    <t>director - recruitment/talent acquisition</t>
  </si>
  <si>
    <t>6,61</t>
  </si>
  <si>
    <t>mercedes</t>
  </si>
  <si>
    <t>executive recruiting professional</t>
  </si>
  <si>
    <t>springfield, new jersey</t>
  </si>
  <si>
    <t>harris</t>
  </si>
  <si>
    <t>senior editor</t>
  </si>
  <si>
    <t>brent</t>
  </si>
  <si>
    <t>belzberg</t>
  </si>
  <si>
    <t>vice president - energy &amp; utilities practice</t>
  </si>
  <si>
    <t>davidson</t>
  </si>
  <si>
    <t>vice president &amp; managing director boeing defense saudi arabia</t>
  </si>
  <si>
    <t>hamilton.. pmpitilsfca</t>
  </si>
  <si>
    <t>director of corporate development</t>
  </si>
  <si>
    <t>a. berzinski</t>
  </si>
  <si>
    <t>andriy</t>
  </si>
  <si>
    <t>ostapyshyn</t>
  </si>
  <si>
    <t>treasurer</t>
  </si>
  <si>
    <t>loughlin</t>
  </si>
  <si>
    <t>technology prognosticator &amp; ceo</t>
  </si>
  <si>
    <t>neely</t>
  </si>
  <si>
    <t>founder/senior technical recruiter</t>
  </si>
  <si>
    <t>deloach</t>
  </si>
  <si>
    <t>fellow</t>
  </si>
  <si>
    <t>miami beach, florida</t>
  </si>
  <si>
    <t>pietro</t>
  </si>
  <si>
    <t>marino</t>
  </si>
  <si>
    <t>bellingham, washington area, united states</t>
  </si>
  <si>
    <t>knapp</t>
  </si>
  <si>
    <t>settle</t>
  </si>
  <si>
    <t>hartje</t>
  </si>
  <si>
    <t>phoenix, arizona, United States</t>
  </si>
  <si>
    <t>jayanth</t>
  </si>
  <si>
    <t>kygonhalli</t>
  </si>
  <si>
    <t>di benedetto</t>
  </si>
  <si>
    <t>pisa area, italy</t>
  </si>
  <si>
    <t>j.</t>
  </si>
  <si>
    <t>zac</t>
  </si>
  <si>
    <t>benke</t>
  </si>
  <si>
    <t>founder &amp; managing director</t>
  </si>
  <si>
    <t>livingston</t>
  </si>
  <si>
    <t>curry</t>
  </si>
  <si>
    <t>saif</t>
  </si>
  <si>
    <t>islam</t>
  </si>
  <si>
    <t>worldwide business unit leader - services transformation - ibm cio office</t>
  </si>
  <si>
    <t>gong</t>
  </si>
  <si>
    <t>szeto</t>
  </si>
  <si>
    <t>greta</t>
  </si>
  <si>
    <t>weiner</t>
  </si>
  <si>
    <t>owner and jewelry junkie</t>
  </si>
  <si>
    <t>neale</t>
  </si>
  <si>
    <t>tonbridge, kent, united kingdom</t>
  </si>
  <si>
    <t>karen m.</t>
  </si>
  <si>
    <t>lucero</t>
  </si>
  <si>
    <t>ulepic</t>
  </si>
  <si>
    <t>account manager dhs/doj</t>
  </si>
  <si>
    <t>oather</t>
  </si>
  <si>
    <t>tolar, texas</t>
  </si>
  <si>
    <t>odato</t>
  </si>
  <si>
    <t>paula</t>
  </si>
  <si>
    <t>caligiuri</t>
  </si>
  <si>
    <t>1,92</t>
  </si>
  <si>
    <t>sangam</t>
  </si>
  <si>
    <t>kessler</t>
  </si>
  <si>
    <t>president, ceo</t>
  </si>
  <si>
    <t>vice president operations usa</t>
  </si>
  <si>
    <t>greater detroit area, united states</t>
  </si>
  <si>
    <t>kaplan pmp</t>
  </si>
  <si>
    <t>wexelbaum</t>
  </si>
  <si>
    <t>jason r.</t>
  </si>
  <si>
    <t>denny</t>
  </si>
  <si>
    <t>executive search director</t>
  </si>
  <si>
    <t>logsdon</t>
  </si>
  <si>
    <t>owner / developer</t>
  </si>
  <si>
    <t>neary</t>
  </si>
  <si>
    <t>bart</t>
  </si>
  <si>
    <t>childers</t>
  </si>
  <si>
    <t>operations manager and director</t>
  </si>
  <si>
    <t>aaron</t>
  </si>
  <si>
    <t>cathey</t>
  </si>
  <si>
    <t>writer/storyteller</t>
  </si>
  <si>
    <t>setness</t>
  </si>
  <si>
    <t>western region marketing manager, microsoft windows embedded business</t>
  </si>
  <si>
    <t>sharon</t>
  </si>
  <si>
    <t>hart</t>
  </si>
  <si>
    <t>cristian</t>
  </si>
  <si>
    <t>maties</t>
  </si>
  <si>
    <t>technical account manager emerging markets</t>
  </si>
  <si>
    <t>romania</t>
  </si>
  <si>
    <t>Romania</t>
  </si>
  <si>
    <t>villacastin</t>
  </si>
  <si>
    <t>software program manager</t>
  </si>
  <si>
    <t>breault</t>
  </si>
  <si>
    <t>warren</t>
  </si>
  <si>
    <t>vice president, ecotality north america</t>
  </si>
  <si>
    <t>slaven</t>
  </si>
  <si>
    <t>director of sales &amp; marketing</t>
  </si>
  <si>
    <t>founder and chief executive officer</t>
  </si>
  <si>
    <t>hostetter</t>
  </si>
  <si>
    <t>knoxville, tennessee area, united states</t>
  </si>
  <si>
    <t>shilpa</t>
  </si>
  <si>
    <t>director sistemas de informação</t>
  </si>
  <si>
    <t>farmer</t>
  </si>
  <si>
    <t>lakeland, florida area, united states</t>
  </si>
  <si>
    <t>injae</t>
  </si>
  <si>
    <t>jeong</t>
  </si>
  <si>
    <t>co-founder &amp; cto</t>
  </si>
  <si>
    <t>madge</t>
  </si>
  <si>
    <t>sales &amp; recruiting professional with mhsa/mph</t>
  </si>
  <si>
    <t>6,63</t>
  </si>
  <si>
    <t>dag</t>
  </si>
  <si>
    <t>liodden</t>
  </si>
  <si>
    <t>hoover</t>
  </si>
  <si>
    <t>petra</t>
  </si>
  <si>
    <t>jakobskrueger</t>
  </si>
  <si>
    <t>america's empowerment coach for women, author, founder 'women empowerment network'</t>
  </si>
  <si>
    <t>trevor b.</t>
  </si>
  <si>
    <t>adey</t>
  </si>
  <si>
    <t>roshitsh</t>
  </si>
  <si>
    <t>guse cguseastcorporation.com</t>
  </si>
  <si>
    <t>scott d.</t>
  </si>
  <si>
    <t>saslow</t>
  </si>
  <si>
    <t>conry</t>
  </si>
  <si>
    <t>chico, california area, united states</t>
  </si>
  <si>
    <t>vigrass</t>
  </si>
  <si>
    <t>pape</t>
  </si>
  <si>
    <t>wendel</t>
  </si>
  <si>
    <t>general manager, commercial iron ore</t>
  </si>
  <si>
    <t>venson</t>
  </si>
  <si>
    <t>kuchipudi</t>
  </si>
  <si>
    <t>cmo &amp; founder</t>
  </si>
  <si>
    <t>edmondson</t>
  </si>
  <si>
    <t>reuven</t>
  </si>
  <si>
    <t>fair lawn, new jersey</t>
  </si>
  <si>
    <t>fabrizio</t>
  </si>
  <si>
    <t>sicilia</t>
  </si>
  <si>
    <t>vice president - global cash management</t>
  </si>
  <si>
    <t>kazan</t>
  </si>
  <si>
    <t>starling</t>
  </si>
  <si>
    <t>glen</t>
  </si>
  <si>
    <t>surles</t>
  </si>
  <si>
    <t>annapolis, maryland</t>
  </si>
  <si>
    <t>aksana</t>
  </si>
  <si>
    <t>navumenka</t>
  </si>
  <si>
    <t>it consulting, it augmentation, it staffing, it outsourcing</t>
  </si>
  <si>
    <t>sall</t>
  </si>
  <si>
    <t>carol</t>
  </si>
  <si>
    <t>politi</t>
  </si>
  <si>
    <t>david l</t>
  </si>
  <si>
    <t>lesesne ra ncarb cid</t>
  </si>
  <si>
    <t>south orange, new jersey</t>
  </si>
  <si>
    <t>pool</t>
  </si>
  <si>
    <t>vice president sales, americas</t>
  </si>
  <si>
    <t>anibal</t>
  </si>
  <si>
    <t>damião</t>
  </si>
  <si>
    <t>trisha</t>
  </si>
  <si>
    <t>morris tmorris at braxtoncooper.com</t>
  </si>
  <si>
    <t>novich</t>
  </si>
  <si>
    <t>feigenbaum</t>
  </si>
  <si>
    <t>santharam</t>
  </si>
  <si>
    <t>bassem pierre</t>
  </si>
  <si>
    <t>daher ll.m.</t>
  </si>
  <si>
    <t>sally</t>
  </si>
  <si>
    <t>franz</t>
  </si>
  <si>
    <t>noah</t>
  </si>
  <si>
    <t>fabio</t>
  </si>
  <si>
    <t>ishii</t>
  </si>
  <si>
    <t>floris</t>
  </si>
  <si>
    <t>tóth</t>
  </si>
  <si>
    <t>buy | sell | trade-in | spares | used | refurb | avaya | cisco | brocade | juniper | hp</t>
  </si>
  <si>
    <t>melvin</t>
  </si>
  <si>
    <t>nelson lion gonowyahoo.com</t>
  </si>
  <si>
    <t>recruiter, talent acquisition</t>
  </si>
  <si>
    <t>greater st. louis area, united states</t>
  </si>
  <si>
    <t>sanor</t>
  </si>
  <si>
    <t>tirri</t>
  </si>
  <si>
    <t>eid</t>
  </si>
  <si>
    <t>thorp</t>
  </si>
  <si>
    <t>quality assurance professional searching for new opportunities</t>
  </si>
  <si>
    <t>chippsmith</t>
  </si>
  <si>
    <t>calgary, alberta, canada</t>
  </si>
  <si>
    <t>lohnes</t>
  </si>
  <si>
    <t>managing director | global wireless recruitment</t>
  </si>
  <si>
    <t>niccolls</t>
  </si>
  <si>
    <t>executive director pmo &amp; process improvement</t>
  </si>
  <si>
    <t>priyanka</t>
  </si>
  <si>
    <t>pawar</t>
  </si>
  <si>
    <t>information technology and services professional</t>
  </si>
  <si>
    <t>croll</t>
  </si>
  <si>
    <t>ko</t>
  </si>
  <si>
    <t>architectural &amp; interior design &amp; 3d visualization</t>
  </si>
  <si>
    <t>bernardini</t>
  </si>
  <si>
    <t>gwen</t>
  </si>
  <si>
    <t>drake</t>
  </si>
  <si>
    <t>darrin</t>
  </si>
  <si>
    <t>skinner</t>
  </si>
  <si>
    <t>overbeck</t>
  </si>
  <si>
    <t>utility information technology consultant</t>
  </si>
  <si>
    <t>account executive, financial services</t>
  </si>
  <si>
    <t>klimczuk</t>
  </si>
  <si>
    <t>senior adviser, a.t. kearney global business policy council</t>
  </si>
  <si>
    <t>baillieul</t>
  </si>
  <si>
    <t>territory manager</t>
  </si>
  <si>
    <t>maggie</t>
  </si>
  <si>
    <t>macswiney</t>
  </si>
  <si>
    <t>rickmansworth, hertfordshire, united kingdom</t>
  </si>
  <si>
    <t>cosby</t>
  </si>
  <si>
    <t>khurana</t>
  </si>
  <si>
    <t>business/market research analyst</t>
  </si>
  <si>
    <t>jamaica, new york</t>
  </si>
  <si>
    <t>Jamaica</t>
  </si>
  <si>
    <t>ewen</t>
  </si>
  <si>
    <t>partnership manager</t>
  </si>
  <si>
    <t>jaclyn</t>
  </si>
  <si>
    <t>craddock</t>
  </si>
  <si>
    <t>senior vice president - member services</t>
  </si>
  <si>
    <t>baton rouge, louisiana</t>
  </si>
  <si>
    <t>daniel l.</t>
  </si>
  <si>
    <t>president and executive recruiter</t>
  </si>
  <si>
    <t>greater memphis area, united states</t>
  </si>
  <si>
    <t>schoen</t>
  </si>
  <si>
    <t>ramesh</t>
  </si>
  <si>
    <t>lolugu</t>
  </si>
  <si>
    <t>associate vice president</t>
  </si>
  <si>
    <t>gorczynski</t>
  </si>
  <si>
    <t>costa</t>
  </si>
  <si>
    <t>gerente de planejamento de produtos</t>
  </si>
  <si>
    <t>associate director - it infrastructure services</t>
  </si>
  <si>
    <t>pamela</t>
  </si>
  <si>
    <t>nagesh</t>
  </si>
  <si>
    <t>vice president, delivery and operations</t>
  </si>
  <si>
    <t>reade</t>
  </si>
  <si>
    <t>chairman and founder</t>
  </si>
  <si>
    <t>ashland, oregon</t>
  </si>
  <si>
    <t>bitter</t>
  </si>
  <si>
    <t>senior coach, vice president - business development</t>
  </si>
  <si>
    <t>scharf</t>
  </si>
  <si>
    <t>moorestown, new jersey</t>
  </si>
  <si>
    <t>lewin</t>
  </si>
  <si>
    <t>merryman</t>
  </si>
  <si>
    <t>manager - substation engineering</t>
  </si>
  <si>
    <t>newel</t>
  </si>
  <si>
    <t>frame</t>
  </si>
  <si>
    <t>giampauli</t>
  </si>
  <si>
    <t>engenheiro de produto</t>
  </si>
  <si>
    <t>indaiatuba, são paulo, brasil</t>
  </si>
  <si>
    <t>brand evangelist</t>
  </si>
  <si>
    <t>karthik</t>
  </si>
  <si>
    <t>lakshminarayanan</t>
  </si>
  <si>
    <t>director of emerging technologies, including upcoming enterprise data offering from appsense</t>
  </si>
  <si>
    <t>shenoy</t>
  </si>
  <si>
    <t>co-founder and chief executive</t>
  </si>
  <si>
    <t>sandra</t>
  </si>
  <si>
    <t>barnard sphr</t>
  </si>
  <si>
    <t>coordenador subcontratos</t>
  </si>
  <si>
    <t>julie</t>
  </si>
  <si>
    <t>swain</t>
  </si>
  <si>
    <t>mcqueen</t>
  </si>
  <si>
    <t>vice president, international business development, roadway sensors</t>
  </si>
  <si>
    <t>lihue, hawaii</t>
  </si>
  <si>
    <t>blessinger</t>
  </si>
  <si>
    <t>co-founder and executive editor</t>
  </si>
  <si>
    <t>kendra</t>
  </si>
  <si>
    <t>phelps</t>
  </si>
  <si>
    <t>owner / marketing / promotional products sales / graphics</t>
  </si>
  <si>
    <t>silverstein</t>
  </si>
  <si>
    <t>mansukhani pmp</t>
  </si>
  <si>
    <t>caroline</t>
  </si>
  <si>
    <t>andressa</t>
  </si>
  <si>
    <t>sócia gestora</t>
  </si>
  <si>
    <t>fortaleza, ceará, brasil</t>
  </si>
  <si>
    <t>jariwala</t>
  </si>
  <si>
    <t>director of solutions and technology, india</t>
  </si>
  <si>
    <t>lange</t>
  </si>
  <si>
    <t>ghost hunter and writer</t>
  </si>
  <si>
    <t>s. liong</t>
  </si>
  <si>
    <t>manager, partner solutions team</t>
  </si>
  <si>
    <t>picking</t>
  </si>
  <si>
    <t>director of information technology</t>
  </si>
  <si>
    <t>mow cop, staffordshire, united kingdom</t>
  </si>
  <si>
    <t>christian orta</t>
  </si>
  <si>
    <t>hanks</t>
  </si>
  <si>
    <t>vice president human resources</t>
  </si>
  <si>
    <t>arun kumar</t>
  </si>
  <si>
    <t>schippers</t>
  </si>
  <si>
    <t>co founder / partner</t>
  </si>
  <si>
    <t>döring</t>
  </si>
  <si>
    <t>agar</t>
  </si>
  <si>
    <t>michelle k.</t>
  </si>
  <si>
    <t>miller m.s.</t>
  </si>
  <si>
    <t>ceo (sole proprietor)</t>
  </si>
  <si>
    <t>macwan</t>
  </si>
  <si>
    <t>sr technical recruiter/mentor</t>
  </si>
  <si>
    <t>maria e.</t>
  </si>
  <si>
    <t>ferran</t>
  </si>
  <si>
    <t>charlotte, north carolina, United States</t>
  </si>
  <si>
    <t>hermann</t>
  </si>
  <si>
    <t>mazard</t>
  </si>
  <si>
    <t>ceo, co-founder</t>
  </si>
  <si>
    <t>trivedi</t>
  </si>
  <si>
    <t>business head</t>
  </si>
  <si>
    <t>flaischaker</t>
  </si>
  <si>
    <t>pdg &amp; fondateur (ceo &amp; founder)</t>
  </si>
  <si>
    <t>loren</t>
  </si>
  <si>
    <t>pomerantz</t>
  </si>
  <si>
    <t>founder &amp; principal</t>
  </si>
  <si>
    <t>mcgregor</t>
  </si>
  <si>
    <t>chief technical officer &amp; co-founder</t>
  </si>
  <si>
    <t>rassul</t>
  </si>
  <si>
    <t>fazelat</t>
  </si>
  <si>
    <t>ramakrishna</t>
  </si>
  <si>
    <t>manchana</t>
  </si>
  <si>
    <t>lead architect consultant</t>
  </si>
  <si>
    <t>damman</t>
  </si>
  <si>
    <t>syiek msyiekandovercg.com</t>
  </si>
  <si>
    <t>sr. consultant</t>
  </si>
  <si>
    <t>cranford, new jersey</t>
  </si>
  <si>
    <t>founder &amp; program director</t>
  </si>
  <si>
    <t>pethick ca</t>
  </si>
  <si>
    <t>vp, investment controller</t>
  </si>
  <si>
    <t>bermuda</t>
  </si>
  <si>
    <t>Bermuda</t>
  </si>
  <si>
    <t>precise</t>
  </si>
  <si>
    <t>edit</t>
  </si>
  <si>
    <t>good writing always matters</t>
  </si>
  <si>
    <t>mougeotte</t>
  </si>
  <si>
    <t>hartenstein</t>
  </si>
  <si>
    <t>manhattan, kansas</t>
  </si>
  <si>
    <t>satish</t>
  </si>
  <si>
    <t>matcha itil expert pmp csm</t>
  </si>
  <si>
    <t>hyderabad area, india</t>
  </si>
  <si>
    <t>baronofsky</t>
  </si>
  <si>
    <t>kail</t>
  </si>
  <si>
    <t>assistant vice president for marketing communications</t>
  </si>
  <si>
    <t>rosemarie roe</t>
  </si>
  <si>
    <t>couture desaro</t>
  </si>
  <si>
    <t>vacation benefits director</t>
  </si>
  <si>
    <t>bhoosthali</t>
  </si>
  <si>
    <t>tech lead</t>
  </si>
  <si>
    <t>8,77</t>
  </si>
  <si>
    <t>evarts gardner</t>
  </si>
  <si>
    <t>alden</t>
  </si>
  <si>
    <t>senior program support assistant</t>
  </si>
  <si>
    <t>maldjian esq.</t>
  </si>
  <si>
    <t>rumson, new jersey</t>
  </si>
  <si>
    <t>elissa</t>
  </si>
  <si>
    <t>klaver</t>
  </si>
  <si>
    <t>rushi</t>
  </si>
  <si>
    <t>patel lion</t>
  </si>
  <si>
    <t>hinton</t>
  </si>
  <si>
    <t>cto, security &amp; compliance ssa, ibm global technology services</t>
  </si>
  <si>
    <t>damian</t>
  </si>
  <si>
    <t>general manager - portland</t>
  </si>
  <si>
    <t>housser</t>
  </si>
  <si>
    <t>founder/co-ceo</t>
  </si>
  <si>
    <t>clyde</t>
  </si>
  <si>
    <t>leverett</t>
  </si>
  <si>
    <t>small businesses get deep principal reductions on business loans | current funding over $200m</t>
  </si>
  <si>
    <t>smyrna, delaware</t>
  </si>
  <si>
    <t>cristóbal</t>
  </si>
  <si>
    <t>moreno martínez</t>
  </si>
  <si>
    <t>director outsourcing brasil</t>
  </si>
  <si>
    <t>mikolaj jan</t>
  </si>
  <si>
    <t>piskorski</t>
  </si>
  <si>
    <t>associate professor of business administration and richard hodgson fellow</t>
  </si>
  <si>
    <t>phillip</t>
  </si>
  <si>
    <t>marketing director</t>
  </si>
  <si>
    <t>Veterinary</t>
  </si>
  <si>
    <t>gorman</t>
  </si>
  <si>
    <t>frechette</t>
  </si>
  <si>
    <t>vice president sales, service providers &amp; oems</t>
  </si>
  <si>
    <t>shalu</t>
  </si>
  <si>
    <t>scientist</t>
  </si>
  <si>
    <t>pelkonen</t>
  </si>
  <si>
    <t>greenlawn, new york</t>
  </si>
  <si>
    <t>k.c.</t>
  </si>
  <si>
    <t>hopson</t>
  </si>
  <si>
    <t>hsueh</t>
  </si>
  <si>
    <t>kåre</t>
  </si>
  <si>
    <t>lindahl</t>
  </si>
  <si>
    <t>vandagriff</t>
  </si>
  <si>
    <t>chattanooga, tennessee area, united states, United States</t>
  </si>
  <si>
    <t>8,58</t>
  </si>
  <si>
    <t>corbett</t>
  </si>
  <si>
    <t>arron</t>
  </si>
  <si>
    <t>berry</t>
  </si>
  <si>
    <t>bristol, united kingdom</t>
  </si>
  <si>
    <t>jailton</t>
  </si>
  <si>
    <t>gerente administrativo financeiro</t>
  </si>
  <si>
    <t>campos dos goytacazes, rio de janeiro, brasil</t>
  </si>
  <si>
    <t>singleton</t>
  </si>
  <si>
    <t>hashim ali</t>
  </si>
  <si>
    <t>senior it recruiter</t>
  </si>
  <si>
    <t>pablo</t>
  </si>
  <si>
    <t>kraan</t>
  </si>
  <si>
    <t>18</t>
  </si>
  <si>
    <t>umaran</t>
  </si>
  <si>
    <t>14</t>
  </si>
  <si>
    <t>maximiliano</t>
  </si>
  <si>
    <t>marasso</t>
  </si>
  <si>
    <t>functional analyst &amp; java application developer</t>
  </si>
  <si>
    <t>16,33</t>
  </si>
  <si>
    <t>martín</t>
  </si>
  <si>
    <t>herrero</t>
  </si>
  <si>
    <t>17</t>
  </si>
  <si>
    <t>german</t>
  </si>
  <si>
    <t>anatomista</t>
  </si>
  <si>
    <t>magdalena</t>
  </si>
  <si>
    <t>castro feijóo</t>
  </si>
  <si>
    <t>recruitment team leader</t>
  </si>
  <si>
    <t>alberto gabriel</t>
  </si>
  <si>
    <t>sirvent</t>
  </si>
  <si>
    <t>manager of strategic project office (gerente de oficina de proyectos estratégica)</t>
  </si>
  <si>
    <t>16</t>
  </si>
  <si>
    <t>diego alejandro</t>
  </si>
  <si>
    <t>otero</t>
  </si>
  <si>
    <t>it director</t>
  </si>
  <si>
    <t>14,5</t>
  </si>
  <si>
    <t>achtig</t>
  </si>
  <si>
    <t>systems engineer</t>
  </si>
  <si>
    <t>capati</t>
  </si>
  <si>
    <t>programador senior</t>
  </si>
  <si>
    <t>lobalzo</t>
  </si>
  <si>
    <t>jefe de gestión funcional de sistemas</t>
  </si>
  <si>
    <t>mayle</t>
  </si>
  <si>
    <t>maria eugenia</t>
  </si>
  <si>
    <t>aldinio</t>
  </si>
  <si>
    <t>software qa engineer</t>
  </si>
  <si>
    <t>carbone</t>
  </si>
  <si>
    <t>borja lópez</t>
  </si>
  <si>
    <t>lifespace business product manager</t>
  </si>
  <si>
    <t>maria florencia</t>
  </si>
  <si>
    <t>sardi</t>
  </si>
  <si>
    <t>ezequiel</t>
  </si>
  <si>
    <t>vázquez</t>
  </si>
  <si>
    <t>vp of product development</t>
  </si>
  <si>
    <t>schulman</t>
  </si>
  <si>
    <t>dba</t>
  </si>
  <si>
    <t>palliotto</t>
  </si>
  <si>
    <t>rado</t>
  </si>
  <si>
    <t>dba sr</t>
  </si>
  <si>
    <t>scalesciani</t>
  </si>
  <si>
    <t>industrializador de aplicaciones - coordinador de proyectos en aplicaciones de mktg. - ref. técnico</t>
  </si>
  <si>
    <t>oneto</t>
  </si>
  <si>
    <t>talentum ® managing director</t>
  </si>
  <si>
    <t>centeno</t>
  </si>
  <si>
    <t>sap fi consultant</t>
  </si>
  <si>
    <t>16,08</t>
  </si>
  <si>
    <t>tous</t>
  </si>
  <si>
    <t>programador plsql</t>
  </si>
  <si>
    <t>villagra</t>
  </si>
  <si>
    <t>gis specialist</t>
  </si>
  <si>
    <t>regional online marketing director</t>
  </si>
  <si>
    <t>goncalves</t>
  </si>
  <si>
    <t>site manager</t>
  </si>
  <si>
    <t>15</t>
  </si>
  <si>
    <t>diaz gonzalez</t>
  </si>
  <si>
    <t>coordinator - it profile</t>
  </si>
  <si>
    <t>ahmed</t>
  </si>
  <si>
    <t>fahmy</t>
  </si>
  <si>
    <t>technical account manager</t>
  </si>
  <si>
    <t>matías</t>
  </si>
  <si>
    <t>langellotti</t>
  </si>
  <si>
    <t>qa engineer - tester</t>
  </si>
  <si>
    <t>silvina</t>
  </si>
  <si>
    <t>el barri</t>
  </si>
  <si>
    <t>office manager en r/ga</t>
  </si>
  <si>
    <t>bosoms</t>
  </si>
  <si>
    <t>coordinador</t>
  </si>
  <si>
    <t>carlos gustavo</t>
  </si>
  <si>
    <t>merolla</t>
  </si>
  <si>
    <t>time away</t>
  </si>
  <si>
    <t>vigna</t>
  </si>
  <si>
    <t>mariano</t>
  </si>
  <si>
    <t>sosa</t>
  </si>
  <si>
    <t>systems sales director latin america</t>
  </si>
  <si>
    <t>del boca</t>
  </si>
  <si>
    <t>technical consultant</t>
  </si>
  <si>
    <t>matias</t>
  </si>
  <si>
    <t>pedretti</t>
  </si>
  <si>
    <t>moral</t>
  </si>
  <si>
    <t>vp engineering europe</t>
  </si>
  <si>
    <t>10</t>
  </si>
  <si>
    <t>emanuel</t>
  </si>
  <si>
    <t>carambia</t>
  </si>
  <si>
    <t>muzio</t>
  </si>
  <si>
    <t>wintel administrator sr.</t>
  </si>
  <si>
    <t>marchesano</t>
  </si>
  <si>
    <t>dba adabas mainframe/unix</t>
  </si>
  <si>
    <t>15,83</t>
  </si>
  <si>
    <t>elena</t>
  </si>
  <si>
    <t>tortorici</t>
  </si>
  <si>
    <t>it specialist / database administrator / security focal</t>
  </si>
  <si>
    <t>17,25</t>
  </si>
  <si>
    <t>alejandra</t>
  </si>
  <si>
    <t>daiez</t>
  </si>
  <si>
    <t>maria cecilia</t>
  </si>
  <si>
    <t>collazo</t>
  </si>
  <si>
    <t>silvia</t>
  </si>
  <si>
    <t>andino</t>
  </si>
  <si>
    <t>arrojo</t>
  </si>
  <si>
    <t>it architect</t>
  </si>
  <si>
    <t>pellegrini</t>
  </si>
  <si>
    <t>consulting director</t>
  </si>
  <si>
    <t>flavia</t>
  </si>
  <si>
    <t>de miranda</t>
  </si>
  <si>
    <t>international sales / market development / strategic alliances</t>
  </si>
  <si>
    <t>são paulo area, brazil</t>
  </si>
  <si>
    <t>marisa</t>
  </si>
  <si>
    <t>viola</t>
  </si>
  <si>
    <t>hr snr manager</t>
  </si>
  <si>
    <t>chaia</t>
  </si>
  <si>
    <t>senior architect &amp; project manager</t>
  </si>
  <si>
    <t>volpi werkmann</t>
  </si>
  <si>
    <t>técnico especializado en tecnologías ip</t>
  </si>
  <si>
    <t>16,6384615384615</t>
  </si>
  <si>
    <t>horacio</t>
  </si>
  <si>
    <t>lider de proyecto</t>
  </si>
  <si>
    <t>15,33</t>
  </si>
  <si>
    <t>facundo</t>
  </si>
  <si>
    <t>baez</t>
  </si>
  <si>
    <t>graupen</t>
  </si>
  <si>
    <t>senior developer .net</t>
  </si>
  <si>
    <t>pein</t>
  </si>
  <si>
    <t>.net developer</t>
  </si>
  <si>
    <t>carletti</t>
  </si>
  <si>
    <t>infraestructure and networking support for all argentina offices</t>
  </si>
  <si>
    <t>santiago manuel</t>
  </si>
  <si>
    <t>bustelo</t>
  </si>
  <si>
    <t>change management coordinator</t>
  </si>
  <si>
    <t>martínez solla</t>
  </si>
  <si>
    <t>consultor sr. sap hr, pm, capacitación consultores y usuarios</t>
  </si>
  <si>
    <t>candelieri</t>
  </si>
  <si>
    <t>system engineer</t>
  </si>
  <si>
    <t>pages</t>
  </si>
  <si>
    <t>14,17</t>
  </si>
  <si>
    <t>integration leader</t>
  </si>
  <si>
    <t>jiménez</t>
  </si>
  <si>
    <t>it regional change manager</t>
  </si>
  <si>
    <t>ventre</t>
  </si>
  <si>
    <t>sap sd ssr. consultant</t>
  </si>
  <si>
    <t>sabrina</t>
  </si>
  <si>
    <t>roupnikian</t>
  </si>
  <si>
    <t>analista senior de recursos humanos</t>
  </si>
  <si>
    <t>juan carlos</t>
  </si>
  <si>
    <t>gonzález pmp itil</t>
  </si>
  <si>
    <t>project management executive program</t>
  </si>
  <si>
    <t>vannini</t>
  </si>
  <si>
    <t>jefe de sistemas y tecnología</t>
  </si>
  <si>
    <t>boria jborialiveware.com</t>
  </si>
  <si>
    <t>vp intl process improvement</t>
  </si>
  <si>
    <t>schiappapietra</t>
  </si>
  <si>
    <t>it client rep</t>
  </si>
  <si>
    <t>ariel</t>
  </si>
  <si>
    <t>giussani</t>
  </si>
  <si>
    <t>business developer manager - education services</t>
  </si>
  <si>
    <t>iusef</t>
  </si>
  <si>
    <t>maddalena</t>
  </si>
  <si>
    <t>gastón</t>
  </si>
  <si>
    <t>cozzo</t>
  </si>
  <si>
    <t>pablo daniel</t>
  </si>
  <si>
    <t>herrera</t>
  </si>
  <si>
    <t>network operation support engineer</t>
  </si>
  <si>
    <t>folch</t>
  </si>
  <si>
    <t>network analyst</t>
  </si>
  <si>
    <t>khalil</t>
  </si>
  <si>
    <t>network specialist</t>
  </si>
  <si>
    <t>nahum</t>
  </si>
  <si>
    <t>eam application support</t>
  </si>
  <si>
    <t>maría agustina</t>
  </si>
  <si>
    <t>campana</t>
  </si>
  <si>
    <t>barutta</t>
  </si>
  <si>
    <t>human resources team leader</t>
  </si>
  <si>
    <t>gayoso</t>
  </si>
  <si>
    <t>director of systems</t>
  </si>
  <si>
    <t>del frate</t>
  </si>
  <si>
    <t>telephony operations chief</t>
  </si>
  <si>
    <t>calvert de bohun</t>
  </si>
  <si>
    <t>katilius</t>
  </si>
  <si>
    <t>jefe de recursos humanos</t>
  </si>
  <si>
    <t>dra. mariana</t>
  </si>
  <si>
    <t>de luca</t>
  </si>
  <si>
    <t>walczak</t>
  </si>
  <si>
    <t>13,33</t>
  </si>
  <si>
    <t>sanabria</t>
  </si>
  <si>
    <t>cecilia</t>
  </si>
  <si>
    <t>perez sibille</t>
  </si>
  <si>
    <t>sznaidman</t>
  </si>
  <si>
    <t>selectora sr mandos medios</t>
  </si>
  <si>
    <t>network technical manager</t>
  </si>
  <si>
    <t>lemos satue</t>
  </si>
  <si>
    <t>especialista siebel crm</t>
  </si>
  <si>
    <t>gabriela</t>
  </si>
  <si>
    <t>martinez .</t>
  </si>
  <si>
    <t>alonso</t>
  </si>
  <si>
    <t>responsable de administracion rr.hh internos</t>
  </si>
  <si>
    <t>yesica</t>
  </si>
  <si>
    <t>dos santos</t>
  </si>
  <si>
    <t>recruiter it en itproviders</t>
  </si>
  <si>
    <t>14,6916666666667</t>
  </si>
  <si>
    <t>pizarro</t>
  </si>
  <si>
    <t>ralph</t>
  </si>
  <si>
    <t>de la mota</t>
  </si>
  <si>
    <t>sr. talent acquisition business partner | account executive</t>
  </si>
  <si>
    <t>antonelli</t>
  </si>
  <si>
    <t>operations director @ baker hughes</t>
  </si>
  <si>
    <t>martinez castro</t>
  </si>
  <si>
    <t>staffing and recruiting analyst</t>
  </si>
  <si>
    <t>15,6916666666667</t>
  </si>
  <si>
    <t>constanza</t>
  </si>
  <si>
    <t>estefanell translation studio</t>
  </si>
  <si>
    <t>directora y coordinadora general en constanza estefanell translation studio</t>
  </si>
  <si>
    <t>rey itil v mba</t>
  </si>
  <si>
    <t>papaianni</t>
  </si>
  <si>
    <t>head of accounting</t>
  </si>
  <si>
    <t>roxana</t>
  </si>
  <si>
    <t>molinari</t>
  </si>
  <si>
    <t>asistente bilingüe de dirección</t>
  </si>
  <si>
    <t>ines</t>
  </si>
  <si>
    <t>brito</t>
  </si>
  <si>
    <t>bilingual assistant to director in central international resources .</t>
  </si>
  <si>
    <t>14,0891891891892</t>
  </si>
  <si>
    <t>tarico</t>
  </si>
  <si>
    <t>analista sr. associate</t>
  </si>
  <si>
    <t>fornieles</t>
  </si>
  <si>
    <t>brand manager</t>
  </si>
  <si>
    <t>alejandro josé</t>
  </si>
  <si>
    <t>yankilevich</t>
  </si>
  <si>
    <t>responsable de marketing</t>
  </si>
  <si>
    <t>clara</t>
  </si>
  <si>
    <t>beltran</t>
  </si>
  <si>
    <t>ipm</t>
  </si>
  <si>
    <t>alexis javier</t>
  </si>
  <si>
    <t>guastavino</t>
  </si>
  <si>
    <t>analista de sistemas – soporte aplicaciones – gestión.</t>
  </si>
  <si>
    <t>canteloup</t>
  </si>
  <si>
    <t>chemicals consultant and contractor</t>
  </si>
  <si>
    <t>grabelli</t>
  </si>
  <si>
    <t>consultor sap mm</t>
  </si>
  <si>
    <t>narducci</t>
  </si>
  <si>
    <t>eugenio gabriel</t>
  </si>
  <si>
    <t>bassignani</t>
  </si>
  <si>
    <t>ejecutivo de grandes clientes</t>
  </si>
  <si>
    <t>bustos cisa crisc</t>
  </si>
  <si>
    <t>responsable de control de riesgos</t>
  </si>
  <si>
    <t>colombo</t>
  </si>
  <si>
    <t>coordinador de sistemas colegio univeristario</t>
  </si>
  <si>
    <t>16,5</t>
  </si>
  <si>
    <t>lipchak</t>
  </si>
  <si>
    <t>lead software engineer java</t>
  </si>
  <si>
    <t>guemes</t>
  </si>
  <si>
    <t>development architect</t>
  </si>
  <si>
    <t>16,83</t>
  </si>
  <si>
    <t>monserrat</t>
  </si>
  <si>
    <t>design engineer/manager</t>
  </si>
  <si>
    <t>adolfo ernesto</t>
  </si>
  <si>
    <t>custidiano secchi</t>
  </si>
  <si>
    <t>java developer senior</t>
  </si>
  <si>
    <t>vega</t>
  </si>
  <si>
    <t>enterprise business director</t>
  </si>
  <si>
    <t>giordana</t>
  </si>
  <si>
    <t>silvana verónica</t>
  </si>
  <si>
    <t>bravo</t>
  </si>
  <si>
    <t>sr. oracle pl/sql developer</t>
  </si>
  <si>
    <t>17,83</t>
  </si>
  <si>
    <t>benevento</t>
  </si>
  <si>
    <t>gerente de marketing en managementpress</t>
  </si>
  <si>
    <t>arias</t>
  </si>
  <si>
    <t>product development manager</t>
  </si>
  <si>
    <t>lopez braulinese</t>
  </si>
  <si>
    <t>sydney, new south wales, australia</t>
  </si>
  <si>
    <t>piombino</t>
  </si>
  <si>
    <t>systems director</t>
  </si>
  <si>
    <t>configuration manager</t>
  </si>
  <si>
    <t>juan manuel</t>
  </si>
  <si>
    <t>application team manager</t>
  </si>
  <si>
    <t>rapallini</t>
  </si>
  <si>
    <t>analista de seguridad de la información</t>
  </si>
  <si>
    <t>martín alejandro</t>
  </si>
  <si>
    <t>morono</t>
  </si>
  <si>
    <t>dba oracle</t>
  </si>
  <si>
    <t>guelman</t>
  </si>
  <si>
    <t>hernán</t>
  </si>
  <si>
    <t>benedetti</t>
  </si>
  <si>
    <t>solution manager</t>
  </si>
  <si>
    <t>verónica inés</t>
  </si>
  <si>
    <t>garcía</t>
  </si>
  <si>
    <t>ilustradora</t>
  </si>
  <si>
    <t>lucio</t>
  </si>
  <si>
    <t>account executive for procter &amp; gamble, brand ariel latin america.</t>
  </si>
  <si>
    <t>patricia marcela</t>
  </si>
  <si>
    <t>pirola</t>
  </si>
  <si>
    <t>dm riesgo crédito</t>
  </si>
  <si>
    <t>truppia</t>
  </si>
  <si>
    <t>alm analyst</t>
  </si>
  <si>
    <t>hernan</t>
  </si>
  <si>
    <t>gastaud</t>
  </si>
  <si>
    <t>project leader and java sr. developer</t>
  </si>
  <si>
    <t>galvan</t>
  </si>
  <si>
    <t>professional team leader</t>
  </si>
  <si>
    <t>simón</t>
  </si>
  <si>
    <t>diseñadora gráfica - web - multimedia</t>
  </si>
  <si>
    <t>victoria</t>
  </si>
  <si>
    <t>teloni</t>
  </si>
  <si>
    <t>global web project manager</t>
  </si>
  <si>
    <t>tallarico</t>
  </si>
  <si>
    <t>responsable de network operations center (noc)</t>
  </si>
  <si>
    <t>cuffia</t>
  </si>
  <si>
    <t>joaquin</t>
  </si>
  <si>
    <t>cabal</t>
  </si>
  <si>
    <t>java developer</t>
  </si>
  <si>
    <t>valeriani</t>
  </si>
  <si>
    <t>líder de proyecto</t>
  </si>
  <si>
    <t>sofia</t>
  </si>
  <si>
    <t>ludueña</t>
  </si>
  <si>
    <t>supervisora de sucursales</t>
  </si>
  <si>
    <t>15,17</t>
  </si>
  <si>
    <t>daniela cufari</t>
  </si>
  <si>
    <t>cufari</t>
  </si>
  <si>
    <t>siri</t>
  </si>
  <si>
    <t>lead software developer</t>
  </si>
  <si>
    <t>montone</t>
  </si>
  <si>
    <t>iaría</t>
  </si>
  <si>
    <t>manager &amp; co-founder</t>
  </si>
  <si>
    <t>jorgelina v.</t>
  </si>
  <si>
    <t>schmutz</t>
  </si>
  <si>
    <t>m. graciela</t>
  </si>
  <si>
    <t>aparicio</t>
  </si>
  <si>
    <t>wurzel</t>
  </si>
  <si>
    <t>rositto</t>
  </si>
  <si>
    <t>hr professional</t>
  </si>
  <si>
    <t>agustin</t>
  </si>
  <si>
    <t>alvarez reynolds</t>
  </si>
  <si>
    <t>facility manager</t>
  </si>
  <si>
    <t>romina</t>
  </si>
  <si>
    <t>rubiño</t>
  </si>
  <si>
    <t>juan elias perez bay</t>
  </si>
  <si>
    <t>bay</t>
  </si>
  <si>
    <t>quinteros</t>
  </si>
  <si>
    <t>analista funcional</t>
  </si>
  <si>
    <t>antonio ariel</t>
  </si>
  <si>
    <t>developer webmethods softwareag</t>
  </si>
  <si>
    <t>limay</t>
  </si>
  <si>
    <t>fortunato</t>
  </si>
  <si>
    <t>responsable de sistemas</t>
  </si>
  <si>
    <t>14,83</t>
  </si>
  <si>
    <t>bello</t>
  </si>
  <si>
    <t>vp sales &amp; advisory - latin america</t>
  </si>
  <si>
    <t>abella</t>
  </si>
  <si>
    <t>líder ehs</t>
  </si>
  <si>
    <t>de piano</t>
  </si>
  <si>
    <t>gerente comercial</t>
  </si>
  <si>
    <t>regner</t>
  </si>
  <si>
    <t>mariela</t>
  </si>
  <si>
    <t>da graca guerra</t>
  </si>
  <si>
    <t>r+d developer</t>
  </si>
  <si>
    <t>falvo</t>
  </si>
  <si>
    <t>muracciole</t>
  </si>
  <si>
    <t>qa project lead</t>
  </si>
  <si>
    <t>alicia</t>
  </si>
  <si>
    <t>echeverria</t>
  </si>
  <si>
    <t>billingurst</t>
  </si>
  <si>
    <t>sap team leader is</t>
  </si>
  <si>
    <t>nicolás</t>
  </si>
  <si>
    <t>passerini</t>
  </si>
  <si>
    <t>docente</t>
  </si>
  <si>
    <t>17,17</t>
  </si>
  <si>
    <t>guggisberg</t>
  </si>
  <si>
    <t>developer</t>
  </si>
  <si>
    <t>lider de desarrollo</t>
  </si>
  <si>
    <t>moisés</t>
  </si>
  <si>
    <t>qa consultant</t>
  </si>
  <si>
    <t>architect lead</t>
  </si>
  <si>
    <t>díaz país</t>
  </si>
  <si>
    <t>product development &amp; software engineering</t>
  </si>
  <si>
    <t>aguirre</t>
  </si>
  <si>
    <t>garcía jaime</t>
  </si>
  <si>
    <t>martin sebastian</t>
  </si>
  <si>
    <t>denipotti</t>
  </si>
  <si>
    <t>matías nicolás</t>
  </si>
  <si>
    <t>lértora</t>
  </si>
  <si>
    <t>freelance developer</t>
  </si>
  <si>
    <t>jonatan</t>
  </si>
  <si>
    <t>allik</t>
  </si>
  <si>
    <t>tutak</t>
  </si>
  <si>
    <t>mustapic</t>
  </si>
  <si>
    <t>hollingsworth</t>
  </si>
  <si>
    <t>senior business analyst (flights)</t>
  </si>
  <si>
    <t>16,25</t>
  </si>
  <si>
    <t>anette</t>
  </si>
  <si>
    <t>henningson</t>
  </si>
  <si>
    <t>senior designer</t>
  </si>
  <si>
    <t>ramirez</t>
  </si>
  <si>
    <t>consultant qa</t>
  </si>
  <si>
    <t>15,08</t>
  </si>
  <si>
    <t>sobral</t>
  </si>
  <si>
    <t>bing</t>
  </si>
  <si>
    <t>sr qa analyst</t>
  </si>
  <si>
    <t>cosso</t>
  </si>
  <si>
    <t>project leader</t>
  </si>
  <si>
    <t>luis alberto</t>
  </si>
  <si>
    <t>silvetti</t>
  </si>
  <si>
    <t>desarrollador java ssr.</t>
  </si>
  <si>
    <t>17,08</t>
  </si>
  <si>
    <t>erica</t>
  </si>
  <si>
    <t>lider de infraestructura</t>
  </si>
  <si>
    <t>urrestarazu</t>
  </si>
  <si>
    <t>oracle dba</t>
  </si>
  <si>
    <t>miriam gabriela</t>
  </si>
  <si>
    <t>software team leader</t>
  </si>
  <si>
    <t>jejcic</t>
  </si>
  <si>
    <t>director, data centre technology insight</t>
  </si>
  <si>
    <t>hattoncrook, aberdeenshire, united kingdom</t>
  </si>
  <si>
    <t>petitti</t>
  </si>
  <si>
    <t>master principal sales consultant - oracle linux &amp; virtualization</t>
  </si>
  <si>
    <t>guadalupe</t>
  </si>
  <si>
    <t>lead business analyst</t>
  </si>
  <si>
    <t>néstor martín</t>
  </si>
  <si>
    <t>romero</t>
  </si>
  <si>
    <t>gerente de sistemas y tecnología</t>
  </si>
  <si>
    <t>josé octavio</t>
  </si>
  <si>
    <t>cid outeriño</t>
  </si>
  <si>
    <t>raq/cm et pilote smst del plateau de développement argentine</t>
  </si>
  <si>
    <t>altamura</t>
  </si>
  <si>
    <t>coordinador de datacenter regional</t>
  </si>
  <si>
    <t>nguyen</t>
  </si>
  <si>
    <t>schrammel</t>
  </si>
  <si>
    <t>senior dba oracle</t>
  </si>
  <si>
    <t>veronica laura</t>
  </si>
  <si>
    <t>roncoroni</t>
  </si>
  <si>
    <t>functional analyst / pmo</t>
  </si>
  <si>
    <t>regional consulting contract manager</t>
  </si>
  <si>
    <t>seoane</t>
  </si>
  <si>
    <t>olivares</t>
  </si>
  <si>
    <t>mssql dba</t>
  </si>
  <si>
    <t>mouso</t>
  </si>
  <si>
    <t>ayudante de cátedra - sistemas avanzados de bases de datos</t>
  </si>
  <si>
    <t>jimena</t>
  </si>
  <si>
    <t>vidal</t>
  </si>
  <si>
    <t>senior java developer</t>
  </si>
  <si>
    <t>debernardi</t>
  </si>
  <si>
    <t>university assistant (methodology of information systems)</t>
  </si>
  <si>
    <t>kotze</t>
  </si>
  <si>
    <t>lucia</t>
  </si>
  <si>
    <t>lazarte</t>
  </si>
  <si>
    <t>facilitadora en marketing</t>
  </si>
  <si>
    <t>paonessa</t>
  </si>
  <si>
    <t>coordinadora de gestión - dir. gral de nuevos medios</t>
  </si>
  <si>
    <t>13,83</t>
  </si>
  <si>
    <t>bernadette</t>
  </si>
  <si>
    <t>brealey</t>
  </si>
  <si>
    <t>ecommerce strategic programme manager</t>
  </si>
  <si>
    <t>abbie</t>
  </si>
  <si>
    <t>curd</t>
  </si>
  <si>
    <t>farnborough green, hampshire, united kingdom</t>
  </si>
  <si>
    <t>spencer</t>
  </si>
  <si>
    <t>chandler</t>
  </si>
  <si>
    <t>st albans, united kingdom</t>
  </si>
  <si>
    <t>electrical and applications engineer</t>
  </si>
  <si>
    <t>fabricio gaston</t>
  </si>
  <si>
    <t>soruco</t>
  </si>
  <si>
    <t>schvarzman</t>
  </si>
  <si>
    <t>business planning analyst ii</t>
  </si>
  <si>
    <t>palma</t>
  </si>
  <si>
    <t>business system analyst para american express</t>
  </si>
  <si>
    <t>viviana</t>
  </si>
  <si>
    <t>acevedo</t>
  </si>
  <si>
    <t>functional analyst</t>
  </si>
  <si>
    <t>andrés</t>
  </si>
  <si>
    <t>di falco</t>
  </si>
  <si>
    <t>rodrigo ariel</t>
  </si>
  <si>
    <t>ochoa roberts</t>
  </si>
  <si>
    <t>software engineer</t>
  </si>
  <si>
    <t>camusso</t>
  </si>
  <si>
    <t>voip support engineer</t>
  </si>
  <si>
    <t>perotti</t>
  </si>
  <si>
    <t>16,6916666666667</t>
  </si>
  <si>
    <t>alvarez</t>
  </si>
  <si>
    <t>implementations responsible for latg - red@global project</t>
  </si>
  <si>
    <t>fasano</t>
  </si>
  <si>
    <t>executive producer</t>
  </si>
  <si>
    <t>pilsbury</t>
  </si>
  <si>
    <t>kerridge</t>
  </si>
  <si>
    <t>software architect</t>
  </si>
  <si>
    <t>estevez</t>
  </si>
  <si>
    <t>account executive comercial</t>
  </si>
  <si>
    <t>rodríguez</t>
  </si>
  <si>
    <t>pelorosso</t>
  </si>
  <si>
    <t>lead programmer</t>
  </si>
  <si>
    <t>hugo</t>
  </si>
  <si>
    <t>mora</t>
  </si>
  <si>
    <t>szarfsztejn</t>
  </si>
  <si>
    <t>gunset</t>
  </si>
  <si>
    <t>roitman</t>
  </si>
  <si>
    <t>bomar</t>
  </si>
  <si>
    <t>paola</t>
  </si>
  <si>
    <t>riera</t>
  </si>
  <si>
    <t>accounts payable analist ssr.</t>
  </si>
  <si>
    <t>cahan</t>
  </si>
  <si>
    <t>maría florencia</t>
  </si>
  <si>
    <t>pérez dimitri</t>
  </si>
  <si>
    <t>coordinación de proyectos</t>
  </si>
  <si>
    <t>emiliano</t>
  </si>
  <si>
    <t>bizzari</t>
  </si>
  <si>
    <t>sr. finance specialist</t>
  </si>
  <si>
    <t>colpachi</t>
  </si>
  <si>
    <t>political science graduate - independent translator/editor</t>
  </si>
  <si>
    <t>fernandez cortes</t>
  </si>
  <si>
    <t>soledad</t>
  </si>
  <si>
    <t>caceres</t>
  </si>
  <si>
    <t>recruiting manager shared service center</t>
  </si>
  <si>
    <t>software developer</t>
  </si>
  <si>
    <t>skladnik</t>
  </si>
  <si>
    <t>evangelina</t>
  </si>
  <si>
    <t>suarez</t>
  </si>
  <si>
    <t>director strategic planning south latin business unit</t>
  </si>
  <si>
    <t>pingaro</t>
  </si>
  <si>
    <t>best t&amp;d champion latam region</t>
  </si>
  <si>
    <t>bella quero mba</t>
  </si>
  <si>
    <t>talent acquisition &amp; development manager for south cone</t>
  </si>
  <si>
    <t>marambio duran</t>
  </si>
  <si>
    <t>pire</t>
  </si>
  <si>
    <t>santiago</t>
  </si>
  <si>
    <t>guimerans</t>
  </si>
  <si>
    <t>profesor contratado postgrado ingeniería</t>
  </si>
  <si>
    <t>leonardo omar</t>
  </si>
  <si>
    <t>sailer</t>
  </si>
  <si>
    <t>battini</t>
  </si>
  <si>
    <t>dueño</t>
  </si>
  <si>
    <t>condó</t>
  </si>
  <si>
    <t>analista programador</t>
  </si>
  <si>
    <t>edgardo exequiel</t>
  </si>
  <si>
    <t>especialista sr</t>
  </si>
  <si>
    <t>rabuch</t>
  </si>
  <si>
    <t>jefe de desarrollo</t>
  </si>
  <si>
    <t>jorge adrián</t>
  </si>
  <si>
    <t>velurtas</t>
  </si>
  <si>
    <t>pmo-oficina de proyectos</t>
  </si>
  <si>
    <t>chamula</t>
  </si>
  <si>
    <t>alcaraz</t>
  </si>
  <si>
    <t>technical leader</t>
  </si>
  <si>
    <t>betti</t>
  </si>
  <si>
    <t>ld</t>
  </si>
  <si>
    <t>juan leonardo</t>
  </si>
  <si>
    <t>ramognini</t>
  </si>
  <si>
    <t>socio gerente</t>
  </si>
  <si>
    <t>cavallo</t>
  </si>
  <si>
    <t>apps developer</t>
  </si>
  <si>
    <t>diego a</t>
  </si>
  <si>
    <t>labrador a</t>
  </si>
  <si>
    <t>13</t>
  </si>
  <si>
    <t>consultora</t>
  </si>
  <si>
    <t>13,17</t>
  </si>
  <si>
    <t>silvia valeria</t>
  </si>
  <si>
    <t>henrion</t>
  </si>
  <si>
    <t>nahuel a.</t>
  </si>
  <si>
    <t>arrúa gubaro</t>
  </si>
  <si>
    <t>gdc - unix - unix systems admin</t>
  </si>
  <si>
    <t>borgonovo</t>
  </si>
  <si>
    <t>soubeste</t>
  </si>
  <si>
    <t>software consultant and specialist</t>
  </si>
  <si>
    <t>sastre</t>
  </si>
  <si>
    <t>sajón</t>
  </si>
  <si>
    <t>owner - director</t>
  </si>
  <si>
    <t>hayafuji</t>
  </si>
  <si>
    <t>independent business &amp; it advisor</t>
  </si>
  <si>
    <t>ponton</t>
  </si>
  <si>
    <t>gerente de negocios</t>
  </si>
  <si>
    <t>grava</t>
  </si>
  <si>
    <t>vice president &amp; general manager</t>
  </si>
  <si>
    <t>sandro</t>
  </si>
  <si>
    <t>franchi</t>
  </si>
  <si>
    <t>revere</t>
  </si>
  <si>
    <t>turín y alrededores, italia</t>
  </si>
  <si>
    <t>palmieri</t>
  </si>
  <si>
    <t>docente del programa de comunicaciones de marketing en la era digital</t>
  </si>
  <si>
    <t>toto molina</t>
  </si>
  <si>
    <t>croci</t>
  </si>
  <si>
    <t>colaborador suplemento el viajero</t>
  </si>
  <si>
    <t>maría belén</t>
  </si>
  <si>
    <t>fourcade</t>
  </si>
  <si>
    <t>economia empresarial en universidad torcuato di tella</t>
  </si>
  <si>
    <t>milagros</t>
  </si>
  <si>
    <t>demattei</t>
  </si>
  <si>
    <t>senior generalist, hr</t>
  </si>
  <si>
    <t>di leo</t>
  </si>
  <si>
    <t>marketing manager latam</t>
  </si>
  <si>
    <t>broin</t>
  </si>
  <si>
    <t>consultor sap (abap)</t>
  </si>
  <si>
    <t>alejo</t>
  </si>
  <si>
    <t>avalos</t>
  </si>
  <si>
    <t>commercial v.p.</t>
  </si>
  <si>
    <t>helman</t>
  </si>
  <si>
    <t>joan</t>
  </si>
  <si>
    <t>executive recruiter</t>
  </si>
  <si>
    <t>13,5</t>
  </si>
  <si>
    <t>heuer</t>
  </si>
  <si>
    <t>sydney, australia</t>
  </si>
  <si>
    <t>geuzikaraian</t>
  </si>
  <si>
    <t>carolina rocchio</t>
  </si>
  <si>
    <t>bresciani</t>
  </si>
  <si>
    <t>director, arquitecto de software</t>
  </si>
  <si>
    <t>rohdenburg</t>
  </si>
  <si>
    <t>ricardo martin</t>
  </si>
  <si>
    <t>soler legname</t>
  </si>
  <si>
    <t>kreuser</t>
  </si>
  <si>
    <t>contractor it project management</t>
  </si>
  <si>
    <t>maria georgette p.</t>
  </si>
  <si>
    <t>papic tellez</t>
  </si>
  <si>
    <t>esteban</t>
  </si>
  <si>
    <t>zeballos</t>
  </si>
  <si>
    <t>technical support manager</t>
  </si>
  <si>
    <t>17,33</t>
  </si>
  <si>
    <t>restuccia</t>
  </si>
  <si>
    <t>coordinador ss. ee</t>
  </si>
  <si>
    <t>albertina</t>
  </si>
  <si>
    <t>meana</t>
  </si>
  <si>
    <t>financial planning and analysis professional</t>
  </si>
  <si>
    <t>néstor</t>
  </si>
  <si>
    <t>gerardini</t>
  </si>
  <si>
    <t>analista programador ps/sql sr</t>
  </si>
  <si>
    <t>nanci</t>
  </si>
  <si>
    <t>rinaldi</t>
  </si>
  <si>
    <t>castel</t>
  </si>
  <si>
    <t>ux director</t>
  </si>
  <si>
    <t>jeronimo</t>
  </si>
  <si>
    <t>illes balears, spain</t>
  </si>
  <si>
    <t>guzmán</t>
  </si>
  <si>
    <t>devin</t>
  </si>
  <si>
    <t>henkel</t>
  </si>
  <si>
    <t>senior manager, innovation</t>
  </si>
  <si>
    <t>callihan</t>
  </si>
  <si>
    <t>inara</t>
  </si>
  <si>
    <t>chern</t>
  </si>
  <si>
    <t>quality assurance analyst</t>
  </si>
  <si>
    <t>fournier</t>
  </si>
  <si>
    <t>sr. software quality assurance engineer</t>
  </si>
  <si>
    <t>adrián nicolás</t>
  </si>
  <si>
    <t>russo</t>
  </si>
  <si>
    <t>sr. product manager</t>
  </si>
  <si>
    <t>vitale</t>
  </si>
  <si>
    <t>manager software development</t>
  </si>
  <si>
    <t>annette</t>
  </si>
  <si>
    <t>application system analyst lll</t>
  </si>
  <si>
    <t>green brent.j.greengmail.com</t>
  </si>
  <si>
    <t>talent acquisition consultant</t>
  </si>
  <si>
    <t>10,25</t>
  </si>
  <si>
    <t>giselle</t>
  </si>
  <si>
    <t>risso</t>
  </si>
  <si>
    <t>martin pablo</t>
  </si>
  <si>
    <t>schulz</t>
  </si>
  <si>
    <t>trippi</t>
  </si>
  <si>
    <t>towers</t>
  </si>
  <si>
    <t>quirk</t>
  </si>
  <si>
    <t>vaughan</t>
  </si>
  <si>
    <t>robbie</t>
  </si>
  <si>
    <t>odriscoll</t>
  </si>
  <si>
    <t>kavanagh</t>
  </si>
  <si>
    <t>13,67</t>
  </si>
  <si>
    <t>kreppel</t>
  </si>
  <si>
    <t>gail</t>
  </si>
  <si>
    <t>laguzzi arduino</t>
  </si>
  <si>
    <t>pablo gastón</t>
  </si>
  <si>
    <t>gutiérrez</t>
  </si>
  <si>
    <t>colaborador del canal de tecnología en lanacion.com</t>
  </si>
  <si>
    <t>carlos marino</t>
  </si>
  <si>
    <t>crovara</t>
  </si>
  <si>
    <t>community manager senior</t>
  </si>
  <si>
    <t>pachamé</t>
  </si>
  <si>
    <t>asistente de comercio exterior</t>
  </si>
  <si>
    <t>maría lorena</t>
  </si>
  <si>
    <t>señuk</t>
  </si>
  <si>
    <t>myriam</t>
  </si>
  <si>
    <t>cespedes</t>
  </si>
  <si>
    <t>consultor funcional</t>
  </si>
  <si>
    <t>silberberg</t>
  </si>
  <si>
    <t>producer</t>
  </si>
  <si>
    <t>papasso</t>
  </si>
  <si>
    <t>lider de infraestructura.</t>
  </si>
  <si>
    <t>thelma</t>
  </si>
  <si>
    <t>contino</t>
  </si>
  <si>
    <t>directora de contenidos</t>
  </si>
  <si>
    <t>frascaroli</t>
  </si>
  <si>
    <t>luís</t>
  </si>
  <si>
    <t>adriano</t>
  </si>
  <si>
    <t>regina</t>
  </si>
  <si>
    <t>sap professional (abap, xi/pi)</t>
  </si>
  <si>
    <t>gonzalo</t>
  </si>
  <si>
    <t>director, business operations, disney interactive</t>
  </si>
  <si>
    <t>ximena</t>
  </si>
  <si>
    <t>grondona</t>
  </si>
  <si>
    <t>content planner south cone</t>
  </si>
  <si>
    <t>waidatt beck</t>
  </si>
  <si>
    <t>de martino</t>
  </si>
  <si>
    <t>analista programador java</t>
  </si>
  <si>
    <t>alejandro ezequiel</t>
  </si>
  <si>
    <t>maroni</t>
  </si>
  <si>
    <t>balasini</t>
  </si>
  <si>
    <t>marketing executive - south cone</t>
  </si>
  <si>
    <t>amado cattáneo</t>
  </si>
  <si>
    <t>lencina</t>
  </si>
  <si>
    <t>marketing y ventas</t>
  </si>
  <si>
    <t>marcela</t>
  </si>
  <si>
    <t>vaccari</t>
  </si>
  <si>
    <t>new media &amp; business manager</t>
  </si>
  <si>
    <t>sulpizio</t>
  </si>
  <si>
    <t>16,5384615384615</t>
  </si>
  <si>
    <t>olcese</t>
  </si>
  <si>
    <t>fodor</t>
  </si>
  <si>
    <t>controller</t>
  </si>
  <si>
    <t>levite</t>
  </si>
  <si>
    <t>agente de prensa y coordinación de eventos</t>
  </si>
  <si>
    <t>juan martín</t>
  </si>
  <si>
    <t>etcheverry</t>
  </si>
  <si>
    <t>innovation manager</t>
  </si>
  <si>
    <t>georgina</t>
  </si>
  <si>
    <t>community management y buzz monitoring manager</t>
  </si>
  <si>
    <t>service &amp; customer care manager</t>
  </si>
  <si>
    <t>sagasti</t>
  </si>
  <si>
    <t>commercial manager</t>
  </si>
  <si>
    <t>lara bergese  mba</t>
  </si>
  <si>
    <t>facundo ezequiel</t>
  </si>
  <si>
    <t>bodner</t>
  </si>
  <si>
    <t>santagata</t>
  </si>
  <si>
    <t>latam hr coordinator</t>
  </si>
  <si>
    <t>giselda</t>
  </si>
  <si>
    <t>martinez cabrero</t>
  </si>
  <si>
    <t>15,5533333333333</t>
  </si>
  <si>
    <t>maría victoria</t>
  </si>
  <si>
    <t>ceppi</t>
  </si>
  <si>
    <t>mazal</t>
  </si>
  <si>
    <t>15,0214285714286</t>
  </si>
  <si>
    <t>consultor sap portal hcm</t>
  </si>
  <si>
    <t>lotus</t>
  </si>
  <si>
    <t>attorney</t>
  </si>
  <si>
    <t>moreno pmp itil</t>
  </si>
  <si>
    <t>especialista pm</t>
  </si>
  <si>
    <t>florencia</t>
  </si>
  <si>
    <t>bunge guerrico</t>
  </si>
  <si>
    <t>barrozo</t>
  </si>
  <si>
    <t>supervisor mesa de ayuda regional</t>
  </si>
  <si>
    <t>fedeli</t>
  </si>
  <si>
    <t>analista ssr de aplicaciones e infraestructura</t>
  </si>
  <si>
    <t>sales account manager - latin america</t>
  </si>
  <si>
    <t>liliana</t>
  </si>
  <si>
    <t>candelino</t>
  </si>
  <si>
    <t>15,5384615384615</t>
  </si>
  <si>
    <t>leanza</t>
  </si>
  <si>
    <t>it applications analyst</t>
  </si>
  <si>
    <t>bright</t>
  </si>
  <si>
    <t>valdes</t>
  </si>
  <si>
    <t>programador java</t>
  </si>
  <si>
    <t>vivona</t>
  </si>
  <si>
    <t>senior engineer</t>
  </si>
  <si>
    <t>capriotti</t>
  </si>
  <si>
    <t>curriculum consultant</t>
  </si>
  <si>
    <t>rebecca a.</t>
  </si>
  <si>
    <t>blair ms csm</t>
  </si>
  <si>
    <t>director, it project management</t>
  </si>
  <si>
    <t>14,67</t>
  </si>
  <si>
    <t>mildenhall</t>
  </si>
  <si>
    <t>amor</t>
  </si>
  <si>
    <t>it director, co argentina</t>
  </si>
  <si>
    <t>zurlo</t>
  </si>
  <si>
    <t>pmp, technical manager</t>
  </si>
  <si>
    <t>corporate committee</t>
  </si>
  <si>
    <t>karina</t>
  </si>
  <si>
    <t>boedo</t>
  </si>
  <si>
    <t>coordinadora del Área de qa</t>
  </si>
  <si>
    <t>ybarra</t>
  </si>
  <si>
    <t>kimel</t>
  </si>
  <si>
    <t>bradshaw</t>
  </si>
  <si>
    <t>adoue</t>
  </si>
  <si>
    <t>ios architect</t>
  </si>
  <si>
    <t>lacher</t>
  </si>
  <si>
    <t>enterprise head of ops emea</t>
  </si>
  <si>
    <t>15,7142857142857</t>
  </si>
  <si>
    <t>capotorto</t>
  </si>
  <si>
    <t>sanchez</t>
  </si>
  <si>
    <t>albajari</t>
  </si>
  <si>
    <t>h. patricia</t>
  </si>
  <si>
    <t>besada</t>
  </si>
  <si>
    <t>lopez gandolfo</t>
  </si>
  <si>
    <t>buiatti</t>
  </si>
  <si>
    <t>sap netweaver consultant</t>
  </si>
  <si>
    <t>sabina</t>
  </si>
  <si>
    <t>tobares</t>
  </si>
  <si>
    <t>widmer</t>
  </si>
  <si>
    <t>líder de proyectos de tecnología informática</t>
  </si>
  <si>
    <t>bugni</t>
  </si>
  <si>
    <t>latam websphere technical sales manager</t>
  </si>
  <si>
    <t>faoro</t>
  </si>
  <si>
    <t>vp operations</t>
  </si>
  <si>
    <t>bernini</t>
  </si>
  <si>
    <t>senior principal consultant</t>
  </si>
  <si>
    <t>boza</t>
  </si>
  <si>
    <t>responsable de operaciones - consultoria en procesos, calidad y control interno</t>
  </si>
  <si>
    <t>laurenceau</t>
  </si>
  <si>
    <t>managing technology director</t>
  </si>
  <si>
    <t>mendez filleul</t>
  </si>
  <si>
    <t>sr hr analyst.-</t>
  </si>
  <si>
    <t>gerardo</t>
  </si>
  <si>
    <t>ortega castelan</t>
  </si>
  <si>
    <t>converged networks engineer</t>
  </si>
  <si>
    <t>richards</t>
  </si>
  <si>
    <t>freelance it head hunter &amp; talent acquisitor expert | seeking out awesome people to work @ incredible companies</t>
  </si>
  <si>
    <t>calviño</t>
  </si>
  <si>
    <t>sr. talent acquisition sourcing partner</t>
  </si>
  <si>
    <t>cascallares</t>
  </si>
  <si>
    <t>dueño/owner</t>
  </si>
  <si>
    <t>enrique esteban</t>
  </si>
  <si>
    <t>barrionuevo</t>
  </si>
  <si>
    <t>inspector mecanico</t>
  </si>
  <si>
    <t>blanco</t>
  </si>
  <si>
    <t>técnico en mecanismos electrónicos</t>
  </si>
  <si>
    <t>adrián</t>
  </si>
  <si>
    <t>zungri</t>
  </si>
  <si>
    <t>ingeniería de ventas</t>
  </si>
  <si>
    <t>miravalle</t>
  </si>
  <si>
    <t>plant manager</t>
  </si>
  <si>
    <t>carlos andrés</t>
  </si>
  <si>
    <t>delú</t>
  </si>
  <si>
    <t>gerente de planta / gerente industrial / gerente de producción</t>
  </si>
  <si>
    <t>saha</t>
  </si>
  <si>
    <t>amieiro</t>
  </si>
  <si>
    <t>gabriel alejandro</t>
  </si>
  <si>
    <t>dominguez</t>
  </si>
  <si>
    <t>bruzzo</t>
  </si>
  <si>
    <t>lopina</t>
  </si>
  <si>
    <t>farino</t>
  </si>
  <si>
    <t>jefe de entidades financieras y recaudadoras</t>
  </si>
  <si>
    <t>haines</t>
  </si>
  <si>
    <t>european board advisor</t>
  </si>
  <si>
    <t>gloucester, united kingdom</t>
  </si>
  <si>
    <t>durán</t>
  </si>
  <si>
    <t>talent acquisition responsible (etw)</t>
  </si>
  <si>
    <t>cintron</t>
  </si>
  <si>
    <t>vp business development</t>
  </si>
  <si>
    <t>serpa</t>
  </si>
  <si>
    <t>principal, digital experience</t>
  </si>
  <si>
    <t>senior talent recruiter</t>
  </si>
  <si>
    <t>holly springs, north carolina</t>
  </si>
  <si>
    <t>pujol</t>
  </si>
  <si>
    <t>associate professor; chair, information &amp; technology management department</t>
  </si>
  <si>
    <t>13,92</t>
  </si>
  <si>
    <t>eber</t>
  </si>
  <si>
    <t>morón</t>
  </si>
  <si>
    <t>operational services manager</t>
  </si>
  <si>
    <t>pagano</t>
  </si>
  <si>
    <t>java architect</t>
  </si>
  <si>
    <t>rosana</t>
  </si>
  <si>
    <t>novoa</t>
  </si>
  <si>
    <t>sap project mgr - sap presales mgr.- sap consultant</t>
  </si>
  <si>
    <t>nuñez</t>
  </si>
  <si>
    <t>commercial bank, emea compliance officer</t>
  </si>
  <si>
    <t>bournemouth, united kingdom</t>
  </si>
  <si>
    <t>srikanth</t>
  </si>
  <si>
    <t>pasham</t>
  </si>
  <si>
    <t>15,25</t>
  </si>
  <si>
    <t>schmisser</t>
  </si>
  <si>
    <t>aldo</t>
  </si>
  <si>
    <t>gianelli</t>
  </si>
  <si>
    <t>sanzone</t>
  </si>
  <si>
    <t>developer sr. php5/lamp/javascript</t>
  </si>
  <si>
    <t>brusco</t>
  </si>
  <si>
    <t>jefe de servicios sap</t>
  </si>
  <si>
    <t>arancio</t>
  </si>
  <si>
    <t>gerente it</t>
  </si>
  <si>
    <t>shi juan</t>
  </si>
  <si>
    <t>chao</t>
  </si>
  <si>
    <t>flores</t>
  </si>
  <si>
    <t>desarrollador flex</t>
  </si>
  <si>
    <t>sojo</t>
  </si>
  <si>
    <t>hr business partner</t>
  </si>
  <si>
    <t>alec dickinson</t>
  </si>
  <si>
    <t>labatte</t>
  </si>
  <si>
    <t>jefe de contenidos comerciales online</t>
  </si>
  <si>
    <t>de marco</t>
  </si>
  <si>
    <t>r &amp; d director, solidmation s.a.</t>
  </si>
  <si>
    <t>14,7923076923077</t>
  </si>
  <si>
    <t>catoraz</t>
  </si>
  <si>
    <t>secretario del departamento de ingeniería electrónica</t>
  </si>
  <si>
    <t>diorio</t>
  </si>
  <si>
    <t>gerente administración, finanzas y rrhh</t>
  </si>
  <si>
    <t>fabio alexis</t>
  </si>
  <si>
    <t>manso</t>
  </si>
  <si>
    <t>it - demand manager</t>
  </si>
  <si>
    <t>juarez</t>
  </si>
  <si>
    <t>analista funcional sr.</t>
  </si>
  <si>
    <t>duran</t>
  </si>
  <si>
    <t>jefe de proyectos it - erp</t>
  </si>
  <si>
    <t>ortiz</t>
  </si>
  <si>
    <t>patricio</t>
  </si>
  <si>
    <t>veltri</t>
  </si>
  <si>
    <t>analista qad / unix (progress)</t>
  </si>
  <si>
    <t>bandeira</t>
  </si>
  <si>
    <t>analista de verificación y validación ssr.</t>
  </si>
  <si>
    <t>snitker</t>
  </si>
  <si>
    <t>technical lead - mobile solutions</t>
  </si>
  <si>
    <t>iñigo</t>
  </si>
  <si>
    <t>medina</t>
  </si>
  <si>
    <t>carradore</t>
  </si>
  <si>
    <t>nicolás alejandro</t>
  </si>
  <si>
    <t>padin paez</t>
  </si>
  <si>
    <t>peoplesoft technical consultant</t>
  </si>
  <si>
    <t>salle mato</t>
  </si>
  <si>
    <t>partnoy</t>
  </si>
  <si>
    <t>control de gestión de red y sistemas fijo movil</t>
  </si>
  <si>
    <t>haran</t>
  </si>
  <si>
    <t>luisa</t>
  </si>
  <si>
    <t>cerar</t>
  </si>
  <si>
    <t>managing director and vp</t>
  </si>
  <si>
    <t>kanefsck</t>
  </si>
  <si>
    <t>regional controller latin america</t>
  </si>
  <si>
    <t>luis carlos berruezo</t>
  </si>
  <si>
    <t>berruezo</t>
  </si>
  <si>
    <t>consultor sap senior finanzas y controlling</t>
  </si>
  <si>
    <t>raimondo</t>
  </si>
  <si>
    <t>contracts management - translation services</t>
  </si>
  <si>
    <t>capuzzi</t>
  </si>
  <si>
    <t>regional configuration manager</t>
  </si>
  <si>
    <t>pintelos</t>
  </si>
  <si>
    <t>general manager oster argentina</t>
  </si>
  <si>
    <t>tatiana</t>
  </si>
  <si>
    <t>ehrman</t>
  </si>
  <si>
    <t>lezcano</t>
  </si>
  <si>
    <t>director web cuadrofonica.com.ar</t>
  </si>
  <si>
    <t>tecnico</t>
  </si>
  <si>
    <t>zanardi</t>
  </si>
  <si>
    <t>account executive public sector</t>
  </si>
  <si>
    <t>feeney</t>
  </si>
  <si>
    <t>technical consultaant</t>
  </si>
  <si>
    <t>bottazzi</t>
  </si>
  <si>
    <t>professional support and consulting services at telecom personal</t>
  </si>
  <si>
    <t>chaudhari</t>
  </si>
  <si>
    <t>database architect developer</t>
  </si>
  <si>
    <t>sebastián</t>
  </si>
  <si>
    <t>bordón</t>
  </si>
  <si>
    <t>implementation &amp; support coordinator for windows/web/bi teams</t>
  </si>
  <si>
    <t>data services lead</t>
  </si>
  <si>
    <t>pablo ernesto</t>
  </si>
  <si>
    <t>vascello</t>
  </si>
  <si>
    <t>pacio</t>
  </si>
  <si>
    <t>application &amp; hosting services</t>
  </si>
  <si>
    <t>jose antonio</t>
  </si>
  <si>
    <t>fechio</t>
  </si>
  <si>
    <t>uberlandia area, brazil</t>
  </si>
  <si>
    <t>nhuch abrahamson</t>
  </si>
  <si>
    <t>mutopo co-founder: product development, marketing, digital strategy, beauty industry focused (thenhuch.com founder).</t>
  </si>
  <si>
    <t>hakfelt</t>
  </si>
  <si>
    <t>panton</t>
  </si>
  <si>
    <t>emma</t>
  </si>
  <si>
    <t>lovatt</t>
  </si>
  <si>
    <t>head of it</t>
  </si>
  <si>
    <t>campos</t>
  </si>
  <si>
    <t>iturbide</t>
  </si>
  <si>
    <t>msci csmanager - argentina &amp; uruguay</t>
  </si>
  <si>
    <t>gabriel rodrigo</t>
  </si>
  <si>
    <t>líder técnico/funcional - equipo de mantenimiento - sap banking -</t>
  </si>
  <si>
    <t>programador abap</t>
  </si>
  <si>
    <t>carlos hernán</t>
  </si>
  <si>
    <t>laschera</t>
  </si>
  <si>
    <t>pérès</t>
  </si>
  <si>
    <t>friedenthal</t>
  </si>
  <si>
    <t>jefe de compensaciones y adm. de personal (arg y uy)</t>
  </si>
  <si>
    <t>emiliano javier</t>
  </si>
  <si>
    <t>gonzalez benedossi</t>
  </si>
  <si>
    <t>blinder</t>
  </si>
  <si>
    <t>job streamer sr.</t>
  </si>
  <si>
    <t>javier omar</t>
  </si>
  <si>
    <t>tempestelli</t>
  </si>
  <si>
    <t>técnico en control de equipamiento informático</t>
  </si>
  <si>
    <t>analista senior</t>
  </si>
  <si>
    <t>marcelo d.</t>
  </si>
  <si>
    <t>server administrator</t>
  </si>
  <si>
    <t>descalzo</t>
  </si>
  <si>
    <t>grc &amp; information security auditor</t>
  </si>
  <si>
    <t>andina</t>
  </si>
  <si>
    <t>corporate manager b2b</t>
  </si>
  <si>
    <t>eloy m.</t>
  </si>
  <si>
    <t>casin</t>
  </si>
  <si>
    <t>coordinador de desarrollo</t>
  </si>
  <si>
    <t>sirino</t>
  </si>
  <si>
    <t>functional analyst and developer</t>
  </si>
  <si>
    <t>debello</t>
  </si>
  <si>
    <t>jefe de infraestructura de data center</t>
  </si>
  <si>
    <t>claudia</t>
  </si>
  <si>
    <t>migliaccio</t>
  </si>
  <si>
    <t>sw project leader</t>
  </si>
  <si>
    <t>anabel soledad</t>
  </si>
  <si>
    <t>minarcik</t>
  </si>
  <si>
    <t>director of pmo and it goverance</t>
  </si>
  <si>
    <t>17,67</t>
  </si>
  <si>
    <t>eckstein</t>
  </si>
  <si>
    <t>managing director linkedin emea</t>
  </si>
  <si>
    <t>richmond upon thames, greater london, united kingdom</t>
  </si>
  <si>
    <t>margaride</t>
  </si>
  <si>
    <t>vallasciani</t>
  </si>
  <si>
    <t>sr. corporate counsel - emear</t>
  </si>
  <si>
    <t>vincenti</t>
  </si>
  <si>
    <t>director de cuentas</t>
  </si>
  <si>
    <t>hein</t>
  </si>
  <si>
    <t>java / ruby and ror developer</t>
  </si>
  <si>
    <t>leandro martin</t>
  </si>
  <si>
    <t>giorni</t>
  </si>
  <si>
    <t>shading</t>
  </si>
  <si>
    <t>serrano</t>
  </si>
  <si>
    <t>chigurupati</t>
  </si>
  <si>
    <t>sr c++ consultant</t>
  </si>
  <si>
    <t>17,58</t>
  </si>
  <si>
    <t>esperon</t>
  </si>
  <si>
    <t>15,2357142857143</t>
  </si>
  <si>
    <t>braverman</t>
  </si>
  <si>
    <t>soria</t>
  </si>
  <si>
    <t>analista funcional bi</t>
  </si>
  <si>
    <t>crm siebel senior consultant at one info consulting</t>
  </si>
  <si>
    <t>13,0533333333333</t>
  </si>
  <si>
    <t>siebel senior consultant</t>
  </si>
  <si>
    <t>visual communications specialist</t>
  </si>
  <si>
    <t>enriori garcia</t>
  </si>
  <si>
    <t>Philanthropy</t>
  </si>
  <si>
    <t>rubén</t>
  </si>
  <si>
    <t>riedel</t>
  </si>
  <si>
    <t>smalltalk developer. cmmi specialist</t>
  </si>
  <si>
    <t>cuadrado estrebou</t>
  </si>
  <si>
    <t>profesor adjunto</t>
  </si>
  <si>
    <t>vanina andrea</t>
  </si>
  <si>
    <t>papa</t>
  </si>
  <si>
    <t>petruzzelli</t>
  </si>
  <si>
    <t>network infrastructure manager</t>
  </si>
  <si>
    <t>moscuzza</t>
  </si>
  <si>
    <t>sap banking consultant</t>
  </si>
  <si>
    <t>crimi</t>
  </si>
  <si>
    <t>dishun</t>
  </si>
  <si>
    <t>plazzotta</t>
  </si>
  <si>
    <t>gaston</t>
  </si>
  <si>
    <t>aprile</t>
  </si>
  <si>
    <t>jalife</t>
  </si>
  <si>
    <t>mariano alejandro</t>
  </si>
  <si>
    <t>naya lazo</t>
  </si>
  <si>
    <t>subgerente de desarrollo de sistemas</t>
  </si>
  <si>
    <t>naya</t>
  </si>
  <si>
    <t>asistente</t>
  </si>
  <si>
    <t>freixas</t>
  </si>
  <si>
    <t>ejecutivo de cuentas corp.</t>
  </si>
  <si>
    <t>maria soledad</t>
  </si>
  <si>
    <t>piazza</t>
  </si>
  <si>
    <t>Wine and Spirits</t>
  </si>
  <si>
    <t>julieta</t>
  </si>
  <si>
    <t>responsable de stand @ el rock de tu vida</t>
  </si>
  <si>
    <t>ariel darío</t>
  </si>
  <si>
    <t>achcar</t>
  </si>
  <si>
    <t>experiential marketing manager</t>
  </si>
  <si>
    <t>silvana</t>
  </si>
  <si>
    <t>petrone</t>
  </si>
  <si>
    <t>ejecutiva de cuentas coporativas</t>
  </si>
  <si>
    <t>catinari</t>
  </si>
  <si>
    <t>mesanza</t>
  </si>
  <si>
    <t>strategy consulting it latin america</t>
  </si>
  <si>
    <t>escalada</t>
  </si>
  <si>
    <t>bu manager, robotics - argentina</t>
  </si>
  <si>
    <t>vargas eguinoa</t>
  </si>
  <si>
    <t>partner director</t>
  </si>
  <si>
    <t>augusto</t>
  </si>
  <si>
    <t>ferrari</t>
  </si>
  <si>
    <t>jefe de arquitectura aplicativa</t>
  </si>
  <si>
    <t>cardarelli</t>
  </si>
  <si>
    <t>enterprise data warehouse architect</t>
  </si>
  <si>
    <t>gustavo andres</t>
  </si>
  <si>
    <t>brey</t>
  </si>
  <si>
    <t>gerente de tecnologia de información y comunicaciones</t>
  </si>
  <si>
    <t>calvari</t>
  </si>
  <si>
    <t>gallucci</t>
  </si>
  <si>
    <t>ruby qa automation developer &amp; qa lead</t>
  </si>
  <si>
    <t>ayala partida</t>
  </si>
  <si>
    <t>business intelligence consultant</t>
  </si>
  <si>
    <t>guadalupe area, mexico</t>
  </si>
  <si>
    <t>10,83</t>
  </si>
  <si>
    <t>bonifacio</t>
  </si>
  <si>
    <t>dsm hse specialist</t>
  </si>
  <si>
    <t>pinedo</t>
  </si>
  <si>
    <t>productora</t>
  </si>
  <si>
    <t>peluffo</t>
  </si>
  <si>
    <t>tv promoter</t>
  </si>
  <si>
    <t>betancor</t>
  </si>
  <si>
    <t>productor artistico</t>
  </si>
  <si>
    <t>15,7692307692308</t>
  </si>
  <si>
    <t>epifanio</t>
  </si>
  <si>
    <t>director de contenidos</t>
  </si>
  <si>
    <t>buentes</t>
  </si>
  <si>
    <t>mesa de noticias - asistente de producción</t>
  </si>
  <si>
    <t>rommel</t>
  </si>
  <si>
    <t>pereira otero</t>
  </si>
  <si>
    <t>alejandro german</t>
  </si>
  <si>
    <t>jefe de contabilidad y reporting</t>
  </si>
  <si>
    <t>delprato</t>
  </si>
  <si>
    <t>gerente de tecnología</t>
  </si>
  <si>
    <t>sorroche</t>
  </si>
  <si>
    <t>head of software delivery application services</t>
  </si>
  <si>
    <t>alejo f.</t>
  </si>
  <si>
    <t>lópez lecube</t>
  </si>
  <si>
    <t>watson sworn</t>
  </si>
  <si>
    <t>cánepa</t>
  </si>
  <si>
    <t>rojo</t>
  </si>
  <si>
    <t>analista de negocios</t>
  </si>
  <si>
    <t>marisa alejandra</t>
  </si>
  <si>
    <t>coria</t>
  </si>
  <si>
    <t>bachmann</t>
  </si>
  <si>
    <t>director customer service</t>
  </si>
  <si>
    <t>sorotski</t>
  </si>
  <si>
    <t>cúneo libarona</t>
  </si>
  <si>
    <t>digital media supervisor kids segment</t>
  </si>
  <si>
    <t>massuh</t>
  </si>
  <si>
    <t>senior commercial director</t>
  </si>
  <si>
    <t>gallegos</t>
  </si>
  <si>
    <t>analista diagramador de buses urbanos</t>
  </si>
  <si>
    <t>maria ines</t>
  </si>
  <si>
    <t>robles</t>
  </si>
  <si>
    <t>researcher</t>
  </si>
  <si>
    <t>forni</t>
  </si>
  <si>
    <t>programador ssr.</t>
  </si>
  <si>
    <t>dedovich</t>
  </si>
  <si>
    <t>ad sales manager</t>
  </si>
  <si>
    <t>tavelli</t>
  </si>
  <si>
    <t>new broadband technologies deployment team leader</t>
  </si>
  <si>
    <t>kolodzinski</t>
  </si>
  <si>
    <t>germán</t>
  </si>
  <si>
    <t>isern</t>
  </si>
  <si>
    <t>trader</t>
  </si>
  <si>
    <t>cerutti</t>
  </si>
  <si>
    <t>strategic planner jr.</t>
  </si>
  <si>
    <t>juan eduardo</t>
  </si>
  <si>
    <t>sellarés</t>
  </si>
  <si>
    <t>greco</t>
  </si>
  <si>
    <t>account manager ad sales</t>
  </si>
  <si>
    <t>16,17</t>
  </si>
  <si>
    <t>tomás nahuel</t>
  </si>
  <si>
    <t>gigante</t>
  </si>
  <si>
    <t>axelirud</t>
  </si>
  <si>
    <t>especialista</t>
  </si>
  <si>
    <t>melina</t>
  </si>
  <si>
    <t>costantino</t>
  </si>
  <si>
    <t>analista de rrhh</t>
  </si>
  <si>
    <t>Ángeles celeste</t>
  </si>
  <si>
    <t>curia</t>
  </si>
  <si>
    <t>asistente ssr. marketing gums</t>
  </si>
  <si>
    <t>pierazzoli</t>
  </si>
  <si>
    <t>associate</t>
  </si>
  <si>
    <t>marketing manager - argentina, chile &amp; colombia</t>
  </si>
  <si>
    <t>demarin</t>
  </si>
  <si>
    <t>junior professional associate</t>
  </si>
  <si>
    <t>dolores</t>
  </si>
  <si>
    <t>castelli</t>
  </si>
  <si>
    <t>klappenbach</t>
  </si>
  <si>
    <t>marketing comunicacional</t>
  </si>
  <si>
    <t>traverso</t>
  </si>
  <si>
    <t>responsable de marca en jwt</t>
  </si>
  <si>
    <t>jankowski</t>
  </si>
  <si>
    <t>planas</t>
  </si>
  <si>
    <t>oracle &amp; sql dba consultant</t>
  </si>
  <si>
    <t>onieva</t>
  </si>
  <si>
    <t>13,3608695652174</t>
  </si>
  <si>
    <t>cfo/gerente de administracion y finanzas</t>
  </si>
  <si>
    <t>hantsch</t>
  </si>
  <si>
    <t>jefe dpto. calidad servicio &amp; producto y sistema gis</t>
  </si>
  <si>
    <t>ana belén</t>
  </si>
  <si>
    <t>castro</t>
  </si>
  <si>
    <t>coordinador compras np</t>
  </si>
  <si>
    <t>canzani</t>
  </si>
  <si>
    <t>eduardo a</t>
  </si>
  <si>
    <t>maggi</t>
  </si>
  <si>
    <t>hernan ariel</t>
  </si>
  <si>
    <t>gonzalez matteo</t>
  </si>
  <si>
    <t>labour relations, personnel &amp; payroll manager</t>
  </si>
  <si>
    <t>ricagno</t>
  </si>
  <si>
    <t>rouget</t>
  </si>
  <si>
    <t>luque</t>
  </si>
  <si>
    <t>chouhy</t>
  </si>
  <si>
    <t>datacenter operations manager southern cluster &amp; regional teams manager</t>
  </si>
  <si>
    <t>cambiasso</t>
  </si>
  <si>
    <t>dolder</t>
  </si>
  <si>
    <t>alculumbre</t>
  </si>
  <si>
    <t>director sistemas información</t>
  </si>
  <si>
    <t>heinrich</t>
  </si>
  <si>
    <t>evp network</t>
  </si>
  <si>
    <t>yann</t>
  </si>
  <si>
    <t>roche</t>
  </si>
  <si>
    <t>senior recruitment business partner latam</t>
  </si>
  <si>
    <t>13,58</t>
  </si>
  <si>
    <t>vilanova</t>
  </si>
  <si>
    <t>operations senior manager</t>
  </si>
  <si>
    <t>dina</t>
  </si>
  <si>
    <t>sznirer</t>
  </si>
  <si>
    <t>head of sales for middle east and africa</t>
  </si>
  <si>
    <t>chester, united kingdom</t>
  </si>
  <si>
    <t>marcelli</t>
  </si>
  <si>
    <t>direct sales executive</t>
  </si>
  <si>
    <t>ferriol</t>
  </si>
  <si>
    <t>zalazar</t>
  </si>
  <si>
    <t>senior software developer</t>
  </si>
  <si>
    <t>dario</t>
  </si>
  <si>
    <t>busco</t>
  </si>
  <si>
    <t>ticino, switzerland</t>
  </si>
  <si>
    <t>latin america south it lead</t>
  </si>
  <si>
    <t>gandrup</t>
  </si>
  <si>
    <t>licenciado en marketing (en bùsqueda laboral activa)</t>
  </si>
  <si>
    <t>16,1769230769231</t>
  </si>
  <si>
    <t>merodio</t>
  </si>
  <si>
    <t>analista bi senior</t>
  </si>
  <si>
    <t>pablo augusto</t>
  </si>
  <si>
    <t>sznajdleder</t>
  </si>
  <si>
    <t>ingeniero</t>
  </si>
  <si>
    <t>abulafia</t>
  </si>
  <si>
    <t>global senior technical trainer</t>
  </si>
  <si>
    <t>mensegues</t>
  </si>
  <si>
    <t>optierp</t>
  </si>
  <si>
    <t>sistemas</t>
  </si>
  <si>
    <t>miranda</t>
  </si>
  <si>
    <t>maría</t>
  </si>
  <si>
    <t>pellitta</t>
  </si>
  <si>
    <t>site manager - esso petrolera argentina s.r.l.</t>
  </si>
  <si>
    <t>sabatini</t>
  </si>
  <si>
    <t>director general editorial</t>
  </si>
  <si>
    <t>tenorio</t>
  </si>
  <si>
    <t>professor of practice</t>
  </si>
  <si>
    <t>11,25</t>
  </si>
  <si>
    <t>arce</t>
  </si>
  <si>
    <t>outsourcing sales</t>
  </si>
  <si>
    <t>ferreiro</t>
  </si>
  <si>
    <t>tropper</t>
  </si>
  <si>
    <t>ezequiel alfredo</t>
  </si>
  <si>
    <t>pignatta</t>
  </si>
  <si>
    <t>ejecutivo de ventas</t>
  </si>
  <si>
    <t>senior it consultant</t>
  </si>
  <si>
    <t>vukovich</t>
  </si>
  <si>
    <t>datacom support engineer</t>
  </si>
  <si>
    <t>julian maximiliano</t>
  </si>
  <si>
    <t>zarate</t>
  </si>
  <si>
    <t>analista de seguridad</t>
  </si>
  <si>
    <t>militello</t>
  </si>
  <si>
    <t>14,25</t>
  </si>
  <si>
    <t>juanpi</t>
  </si>
  <si>
    <t>bussines analyst</t>
  </si>
  <si>
    <t>14,33</t>
  </si>
  <si>
    <t>axel</t>
  </si>
  <si>
    <t>sebastiàn mariano</t>
  </si>
  <si>
    <t>líder de proyectos regional – Área sistemas</t>
  </si>
  <si>
    <t>mauricio andres</t>
  </si>
  <si>
    <t>lombardo</t>
  </si>
  <si>
    <t>cio - swiss medical medicina privada</t>
  </si>
  <si>
    <t>schcolnik</t>
  </si>
  <si>
    <t>di bella</t>
  </si>
  <si>
    <t>gerente de recursos humanos</t>
  </si>
  <si>
    <t>bettxandys</t>
  </si>
  <si>
    <t>churn analyst</t>
  </si>
  <si>
    <t>lagües</t>
  </si>
  <si>
    <t>verna</t>
  </si>
  <si>
    <t>jefe de proyecto</t>
  </si>
  <si>
    <t>ernesto</t>
  </si>
  <si>
    <t>gerente regional latam</t>
  </si>
  <si>
    <t>carola</t>
  </si>
  <si>
    <t>pradas</t>
  </si>
  <si>
    <t>sol</t>
  </si>
  <si>
    <t>¿y ahora que me pongo?®</t>
  </si>
  <si>
    <t>grace</t>
  </si>
  <si>
    <t>santamaria</t>
  </si>
  <si>
    <t>clinique marketing administrator</t>
  </si>
  <si>
    <t>gilardoni</t>
  </si>
  <si>
    <t>comprador de bebidas</t>
  </si>
  <si>
    <t>bernardo josé</t>
  </si>
  <si>
    <t>rázquin</t>
  </si>
  <si>
    <t>jefe de rrhh - complejo misky (900 colaboradores)</t>
  </si>
  <si>
    <t>romina sol</t>
  </si>
  <si>
    <t>fernández gaggero</t>
  </si>
  <si>
    <t>analista sr. de comunicación online</t>
  </si>
  <si>
    <t>goicouria</t>
  </si>
  <si>
    <t>productor musical</t>
  </si>
  <si>
    <t>maria laura</t>
  </si>
  <si>
    <t>scatassa</t>
  </si>
  <si>
    <t>gallego</t>
  </si>
  <si>
    <t>maría silvina</t>
  </si>
  <si>
    <t>marchesotti</t>
  </si>
  <si>
    <t>analista en relaciones institucionales y gubernamentales</t>
  </si>
  <si>
    <t>trozzoli</t>
  </si>
  <si>
    <t>lozano</t>
  </si>
  <si>
    <t>diseñadora semi senior</t>
  </si>
  <si>
    <t>penedo</t>
  </si>
  <si>
    <t>editor - ehow brasil</t>
  </si>
  <si>
    <t>morales</t>
  </si>
  <si>
    <t>executive consultant, clinical research - latin america</t>
  </si>
  <si>
    <t>fort washington, pennsylvania</t>
  </si>
  <si>
    <t>kestelboim</t>
  </si>
  <si>
    <t>network budget &amp; performance manager</t>
  </si>
  <si>
    <t>gauthier</t>
  </si>
  <si>
    <t>washington</t>
  </si>
  <si>
    <t>disruptive thinker</t>
  </si>
  <si>
    <t>silvano lima</t>
  </si>
  <si>
    <t>agustina</t>
  </si>
  <si>
    <t>gagliardi</t>
  </si>
  <si>
    <t>asset management analyst</t>
  </si>
  <si>
    <t>dario osvaldo</t>
  </si>
  <si>
    <t>it project manager &amp; business analyst</t>
  </si>
  <si>
    <t>13,25</t>
  </si>
  <si>
    <t>rosely</t>
  </si>
  <si>
    <t>del castillo celado</t>
  </si>
  <si>
    <t>miami, florida, United States</t>
  </si>
  <si>
    <t>fuster</t>
  </si>
  <si>
    <t>jde consultant</t>
  </si>
  <si>
    <t>bachiller</t>
  </si>
  <si>
    <t>lotus domino architect and administrator</t>
  </si>
  <si>
    <t>mariano lucas</t>
  </si>
  <si>
    <t>moraca</t>
  </si>
  <si>
    <t>ferrel</t>
  </si>
  <si>
    <t>noc operator</t>
  </si>
  <si>
    <t>cortese</t>
  </si>
  <si>
    <t>especialista transmision/conmutacion</t>
  </si>
  <si>
    <t>nicolás augusto</t>
  </si>
  <si>
    <t>luchi</t>
  </si>
  <si>
    <t>psicólogo pasante</t>
  </si>
  <si>
    <t>laureano</t>
  </si>
  <si>
    <t>pasina</t>
  </si>
  <si>
    <t>marketing manager</t>
  </si>
  <si>
    <t>gennari</t>
  </si>
  <si>
    <t>marketing &amp; media strategies</t>
  </si>
  <si>
    <t>gerardo e.</t>
  </si>
  <si>
    <t>mirco</t>
  </si>
  <si>
    <t>congil rey</t>
  </si>
  <si>
    <t>proyectista de instrumentos en odebrecht</t>
  </si>
  <si>
    <t>16,275</t>
  </si>
  <si>
    <t>jorge ariel</t>
  </si>
  <si>
    <t>quipildor</t>
  </si>
  <si>
    <t>operador de turbocompresion costa afuera</t>
  </si>
  <si>
    <t>especialista de equipos estáticos, materiales y piping</t>
  </si>
  <si>
    <t>carnicero</t>
  </si>
  <si>
    <t>senior integrity engineer</t>
  </si>
  <si>
    <t>lourdes</t>
  </si>
  <si>
    <t>dearmas</t>
  </si>
  <si>
    <t>accounting manager</t>
  </si>
  <si>
    <t>ocean supervisor</t>
  </si>
  <si>
    <t>panepucci</t>
  </si>
  <si>
    <t>pablo agustín</t>
  </si>
  <si>
    <t>maranghello</t>
  </si>
  <si>
    <t>serial life buyer</t>
  </si>
  <si>
    <t>hicke</t>
  </si>
  <si>
    <t>buscando trabajo en administración ó finanzas / looking for new job opportunities</t>
  </si>
  <si>
    <t>pignataro</t>
  </si>
  <si>
    <t>sassone</t>
  </si>
  <si>
    <t>latinamerican lean manufacturing manager</t>
  </si>
  <si>
    <t>ezequiel fetter</t>
  </si>
  <si>
    <t>fetter</t>
  </si>
  <si>
    <t>inside sales</t>
  </si>
  <si>
    <t>external consultant</t>
  </si>
  <si>
    <t>moran</t>
  </si>
  <si>
    <t>sap hcm consultant</t>
  </si>
  <si>
    <t>corvalan</t>
  </si>
  <si>
    <t>desarrollo de manual de equipamiento urbano</t>
  </si>
  <si>
    <t>mauro</t>
  </si>
  <si>
    <t>qc analyst telecom personal</t>
  </si>
  <si>
    <t>ceciliano</t>
  </si>
  <si>
    <t>especialista en networking.-</t>
  </si>
  <si>
    <t>letticugna</t>
  </si>
  <si>
    <t>analista qa ssr. - telecom personal - vas</t>
  </si>
  <si>
    <t>nicora</t>
  </si>
  <si>
    <t>analista sr qa.</t>
  </si>
  <si>
    <t>durante</t>
  </si>
  <si>
    <t>analista de negocios / gestión de la demanda - por ec sistemas srl</t>
  </si>
  <si>
    <t>valeria</t>
  </si>
  <si>
    <t>eransus</t>
  </si>
  <si>
    <t>profesional en análisis de bdd para sectores de marketing y comercial</t>
  </si>
  <si>
    <t>faccin</t>
  </si>
  <si>
    <t>sr. manager human capital systems</t>
  </si>
  <si>
    <t>nunzio</t>
  </si>
  <si>
    <t>senior developer</t>
  </si>
  <si>
    <t>vieira</t>
  </si>
  <si>
    <t>project manager sitios clasificados web</t>
  </si>
  <si>
    <t>analista sr qa</t>
  </si>
  <si>
    <t>kenny</t>
  </si>
  <si>
    <t>tester sr.</t>
  </si>
  <si>
    <t>beccar</t>
  </si>
  <si>
    <t>zirpoli</t>
  </si>
  <si>
    <t>depuy</t>
  </si>
  <si>
    <t>oklahoma city, oklahoma, United States</t>
  </si>
  <si>
    <t>sergio fernando</t>
  </si>
  <si>
    <t>reynoso</t>
  </si>
  <si>
    <t>consultor social independiente</t>
  </si>
  <si>
    <t>zinik</t>
  </si>
  <si>
    <t>algaze pmp</t>
  </si>
  <si>
    <t>head of it governance, services &amp; infrastructure</t>
  </si>
  <si>
    <t>galli</t>
  </si>
  <si>
    <t>sub gerente it</t>
  </si>
  <si>
    <t>garcilaso</t>
  </si>
  <si>
    <t>jordana</t>
  </si>
  <si>
    <t>workgroup manager</t>
  </si>
  <si>
    <t>barbi</t>
  </si>
  <si>
    <t>programador en asignet</t>
  </si>
  <si>
    <t>caldumbide</t>
  </si>
  <si>
    <t>ershad</t>
  </si>
  <si>
    <t>assefi</t>
  </si>
  <si>
    <t>project / team leader</t>
  </si>
  <si>
    <t>caldes</t>
  </si>
  <si>
    <t>britos</t>
  </si>
  <si>
    <t>consultor en rrhh - freelance</t>
  </si>
  <si>
    <t>14,6384615384615</t>
  </si>
  <si>
    <t>impalea</t>
  </si>
  <si>
    <t>analista y programador de sistemas .net c# sr.</t>
  </si>
  <si>
    <t>internet consultant</t>
  </si>
  <si>
    <t>mainardi</t>
  </si>
  <si>
    <t>sub gerente de sistemas y tecnología</t>
  </si>
  <si>
    <t>sabino pmp</t>
  </si>
  <si>
    <t>pmo leader</t>
  </si>
  <si>
    <t>norberto</t>
  </si>
  <si>
    <t>kwist</t>
  </si>
  <si>
    <t>jefe sistemas de información</t>
  </si>
  <si>
    <t>arco</t>
  </si>
  <si>
    <t>técnico/administrador it</t>
  </si>
  <si>
    <t>luis federico</t>
  </si>
  <si>
    <t>ramos</t>
  </si>
  <si>
    <t>analista de calidad y procesos</t>
  </si>
  <si>
    <t>espinosa</t>
  </si>
  <si>
    <t>analyst</t>
  </si>
  <si>
    <t>qa architect</t>
  </si>
  <si>
    <t>sigmund</t>
  </si>
  <si>
    <t>software development manager</t>
  </si>
  <si>
    <t>vittino</t>
  </si>
  <si>
    <t>international sales executive</t>
  </si>
  <si>
    <t>humberto</t>
  </si>
  <si>
    <t>duchen</t>
  </si>
  <si>
    <t>senior engineer software developer net</t>
  </si>
  <si>
    <t>nahuel</t>
  </si>
  <si>
    <t>zeján juárez</t>
  </si>
  <si>
    <t>business intelligence analyst - consultant obiee</t>
  </si>
  <si>
    <t>martín diego</t>
  </si>
  <si>
    <t>gerencia comercial</t>
  </si>
  <si>
    <t>patricia jeannette</t>
  </si>
  <si>
    <t>sac &amp; aliados manager - latam cono sur en pezurbano</t>
  </si>
  <si>
    <t>perello</t>
  </si>
  <si>
    <t>gerente de finanzas</t>
  </si>
  <si>
    <t>wenceslao</t>
  </si>
  <si>
    <t>lisandro</t>
  </si>
  <si>
    <t>vinitsky</t>
  </si>
  <si>
    <t>en búsqueda de nuevas oportunidades profesionales</t>
  </si>
  <si>
    <t>viñas</t>
  </si>
  <si>
    <t>13,1416666666667</t>
  </si>
  <si>
    <t>santiago julian</t>
  </si>
  <si>
    <t>lopez galanes</t>
  </si>
  <si>
    <t>jefe de seguridad informatica y continuidad tecnologica</t>
  </si>
  <si>
    <t>precentado</t>
  </si>
  <si>
    <t>security, risk &amp; compliance officer</t>
  </si>
  <si>
    <t>magenta</t>
  </si>
  <si>
    <t>abc d&amp;m lwd domain champion</t>
  </si>
  <si>
    <t>basualdo</t>
  </si>
  <si>
    <t>waitz</t>
  </si>
  <si>
    <t>telecommunications &amp; it sales and marketing executive - latam region - nagravision &amp; opentv regional sales manager</t>
  </si>
  <si>
    <t>rowinsky</t>
  </si>
  <si>
    <t>marketing pr department</t>
  </si>
  <si>
    <t>casali</t>
  </si>
  <si>
    <t>commercial consultant</t>
  </si>
  <si>
    <t>12,25</t>
  </si>
  <si>
    <t>vazquez</t>
  </si>
  <si>
    <t>sr dba oracle</t>
  </si>
  <si>
    <t>sap is-oil</t>
  </si>
  <si>
    <t>quispe</t>
  </si>
  <si>
    <t>analista sap fico</t>
  </si>
  <si>
    <t>giraudi</t>
  </si>
  <si>
    <t>consultor sap senior fi/co</t>
  </si>
  <si>
    <t>ayelén</t>
  </si>
  <si>
    <t>quiñones</t>
  </si>
  <si>
    <t>consultor sap sd</t>
  </si>
  <si>
    <t>wanczukiewicz</t>
  </si>
  <si>
    <t>eduardo raúl</t>
  </si>
  <si>
    <t>murolo</t>
  </si>
  <si>
    <t>gerente de sistemas</t>
  </si>
  <si>
    <t>pi</t>
  </si>
  <si>
    <t>spala</t>
  </si>
  <si>
    <t>ex manager</t>
  </si>
  <si>
    <t>nozaki</t>
  </si>
  <si>
    <t>perez menendez</t>
  </si>
  <si>
    <t>moldes</t>
  </si>
  <si>
    <t>lilian medin</t>
  </si>
  <si>
    <t>medin</t>
  </si>
  <si>
    <t>maría paula</t>
  </si>
  <si>
    <t>zunino</t>
  </si>
  <si>
    <t>agustín</t>
  </si>
  <si>
    <t>maria clara</t>
  </si>
  <si>
    <t>dellepiane</t>
  </si>
  <si>
    <t>cintia</t>
  </si>
  <si>
    <t>puliti fittipaldi</t>
  </si>
  <si>
    <t>kleiner</t>
  </si>
  <si>
    <t>zorzoli</t>
  </si>
  <si>
    <t>demand planner</t>
  </si>
  <si>
    <t>slavutsky</t>
  </si>
  <si>
    <t>comprador sr. - obras civiles / viales / arquitectura</t>
  </si>
  <si>
    <t>ortiz de rozas</t>
  </si>
  <si>
    <t>san german</t>
  </si>
  <si>
    <t>maimone</t>
  </si>
  <si>
    <t>dondo bühler</t>
  </si>
  <si>
    <t>facundo nahuel</t>
  </si>
  <si>
    <t>rivero falco</t>
  </si>
  <si>
    <t>armanini</t>
  </si>
  <si>
    <t>líder de proyectos</t>
  </si>
  <si>
    <t>di prinzio</t>
  </si>
  <si>
    <t>coordinador de programa</t>
  </si>
  <si>
    <t>bilbao</t>
  </si>
  <si>
    <t>analista de desarrollo y empleos</t>
  </si>
  <si>
    <t>racca</t>
  </si>
  <si>
    <t>orbuch</t>
  </si>
  <si>
    <t>piñeyro</t>
  </si>
  <si>
    <t>analista senior -team leader- produccion de sistemas informaticos</t>
  </si>
  <si>
    <t>director comercial</t>
  </si>
  <si>
    <t>dikenstein</t>
  </si>
  <si>
    <t>analista business intelligence</t>
  </si>
  <si>
    <t>ocampo</t>
  </si>
  <si>
    <t>pardo</t>
  </si>
  <si>
    <t>subgerente comercial</t>
  </si>
  <si>
    <t>gerente general</t>
  </si>
  <si>
    <t>bottinelli</t>
  </si>
  <si>
    <t>gerente desarrollo de nuevos negocios</t>
  </si>
  <si>
    <t>pablo bruzzo</t>
  </si>
  <si>
    <t>montero</t>
  </si>
  <si>
    <t>analista funcional sap fico</t>
  </si>
  <si>
    <t>suarez obligado</t>
  </si>
  <si>
    <t>coordinador e-commerce argentina</t>
  </si>
  <si>
    <t>nicastro</t>
  </si>
  <si>
    <t>art director. project manager.</t>
  </si>
  <si>
    <t>juan martin</t>
  </si>
  <si>
    <t>romeu</t>
  </si>
  <si>
    <t>sports marketing manager - south latin america</t>
  </si>
  <si>
    <t>rizzi</t>
  </si>
  <si>
    <t>productor &amp; host</t>
  </si>
  <si>
    <t>gerente de tecnologia</t>
  </si>
  <si>
    <t>vanessa</t>
  </si>
  <si>
    <t>tão nakano</t>
  </si>
  <si>
    <t>gerente de produtos ii - ibm hardware systemx e rss</t>
  </si>
  <si>
    <t>barueri, são paulo, brasil</t>
  </si>
  <si>
    <t>jauregui lorda</t>
  </si>
  <si>
    <t>asistente ejecutiva</t>
  </si>
  <si>
    <t>ciliberti</t>
  </si>
  <si>
    <t>eugenia</t>
  </si>
  <si>
    <t>naser</t>
  </si>
  <si>
    <t>regional sales &amp; marketing operations coordinator</t>
  </si>
  <si>
    <t>silva oliveira</t>
  </si>
  <si>
    <t>director digital</t>
  </si>
  <si>
    <t>h. merlo</t>
  </si>
  <si>
    <t>nadir</t>
  </si>
  <si>
    <t>responsable de servicios centrales y calibraciones</t>
  </si>
  <si>
    <t>maria jose</t>
  </si>
  <si>
    <t>ferrero</t>
  </si>
  <si>
    <t>hr learning &amp; development sr. analyst</t>
  </si>
  <si>
    <t>gerente de operaciones business process &amp; systems (it) para argentina y uruguay</t>
  </si>
  <si>
    <t>alejandro l.</t>
  </si>
  <si>
    <t>papillo</t>
  </si>
  <si>
    <t>system analyst senior</t>
  </si>
  <si>
    <t>janzen</t>
  </si>
  <si>
    <t>16,22</t>
  </si>
  <si>
    <t>pathik</t>
  </si>
  <si>
    <t>sap ps functional consultant</t>
  </si>
  <si>
    <t>de giacomo</t>
  </si>
  <si>
    <t>raffin</t>
  </si>
  <si>
    <t>regional hr business partner</t>
  </si>
  <si>
    <t>chavero</t>
  </si>
  <si>
    <t>experto de procesos</t>
  </si>
  <si>
    <t>claudia g.</t>
  </si>
  <si>
    <t>tortora</t>
  </si>
  <si>
    <t>arquitectura de procesos y mejora continua - analista especialista</t>
  </si>
  <si>
    <t>simonazzi</t>
  </si>
  <si>
    <t>manko</t>
  </si>
  <si>
    <t>anzovino mba  pmp  cism</t>
  </si>
  <si>
    <t>business information manager</t>
  </si>
  <si>
    <t>guffanti</t>
  </si>
  <si>
    <t>consultant - data center physical infrastructure</t>
  </si>
  <si>
    <t>arcusin</t>
  </si>
  <si>
    <t>data center designer</t>
  </si>
  <si>
    <t>pereyra</t>
  </si>
  <si>
    <t>jefe de servicios de it</t>
  </si>
  <si>
    <t>morelli</t>
  </si>
  <si>
    <t>jefe de departamento</t>
  </si>
  <si>
    <t>christian david de la</t>
  </si>
  <si>
    <t>peña</t>
  </si>
  <si>
    <t>analista pmo at telecom personal.</t>
  </si>
  <si>
    <t>arrocha</t>
  </si>
  <si>
    <t>líder de proyectos estratégicos</t>
  </si>
  <si>
    <t>manuel f.</t>
  </si>
  <si>
    <t>trillo</t>
  </si>
  <si>
    <t>corporate research manager</t>
  </si>
  <si>
    <t>santiago masiriz</t>
  </si>
  <si>
    <t>carril</t>
  </si>
  <si>
    <t>latin america managing director</t>
  </si>
  <si>
    <t>pablo oscar</t>
  </si>
  <si>
    <t>vultaggio</t>
  </si>
  <si>
    <t>carena</t>
  </si>
  <si>
    <t>consultor de integracion</t>
  </si>
  <si>
    <t>pablo javier</t>
  </si>
  <si>
    <t>riesco</t>
  </si>
  <si>
    <t>crm consultant</t>
  </si>
  <si>
    <t>buscemi</t>
  </si>
  <si>
    <t>lambrechts</t>
  </si>
  <si>
    <t>leader sap crm ao</t>
  </si>
  <si>
    <t>cameli</t>
  </si>
  <si>
    <t>digital account manager</t>
  </si>
  <si>
    <t>16,3076923076923</t>
  </si>
  <si>
    <t>isanta</t>
  </si>
  <si>
    <t>yvonne</t>
  </si>
  <si>
    <t>somoza</t>
  </si>
  <si>
    <t>latin america - project manager</t>
  </si>
  <si>
    <t>maruffo</t>
  </si>
  <si>
    <t>voos</t>
  </si>
  <si>
    <t>sw architect</t>
  </si>
  <si>
    <t>turnes</t>
  </si>
  <si>
    <t>project chief</t>
  </si>
  <si>
    <t>rumelfanger mba itil</t>
  </si>
  <si>
    <t>canepari</t>
  </si>
  <si>
    <t>17,5</t>
  </si>
  <si>
    <t>analista funcional para ypf</t>
  </si>
  <si>
    <t>luis martin</t>
  </si>
  <si>
    <t>unix administrator</t>
  </si>
  <si>
    <t>lion marcelo</t>
  </si>
  <si>
    <t>granieri</t>
  </si>
  <si>
    <t>head of it pmo - project management officer</t>
  </si>
  <si>
    <t>de nardi</t>
  </si>
  <si>
    <t>sap fi senior consultant - red commerce (uk)</t>
  </si>
  <si>
    <t>berchio</t>
  </si>
  <si>
    <t>kuhl</t>
  </si>
  <si>
    <t>analyst sr / tax management billing – sap program solutions</t>
  </si>
  <si>
    <t>diego fabian</t>
  </si>
  <si>
    <t>analista técnico funcional bmc remedy istm</t>
  </si>
  <si>
    <t>di moia</t>
  </si>
  <si>
    <t>socio gerente en tres de febrero construye srl</t>
  </si>
  <si>
    <t>13,5533333333333</t>
  </si>
  <si>
    <t>stoppello</t>
  </si>
  <si>
    <t>m. carolina</t>
  </si>
  <si>
    <t>sabaté</t>
  </si>
  <si>
    <t>buyer</t>
  </si>
  <si>
    <t>sarotto</t>
  </si>
  <si>
    <t>sap sd lead consultant</t>
  </si>
  <si>
    <t>pezzullo</t>
  </si>
  <si>
    <t>gemma</t>
  </si>
  <si>
    <t>greaves</t>
  </si>
  <si>
    <t>twickenham, greater london, united kingdom</t>
  </si>
  <si>
    <t>favell</t>
  </si>
  <si>
    <t>chauhan</t>
  </si>
  <si>
    <t>president, north america &amp; europe</t>
  </si>
  <si>
    <t>savo</t>
  </si>
  <si>
    <t>director of application development</t>
  </si>
  <si>
    <t>amanda</t>
  </si>
  <si>
    <t>mcconnell</t>
  </si>
  <si>
    <t>head of product</t>
  </si>
  <si>
    <t>business development consultant</t>
  </si>
  <si>
    <t>gene</t>
  </si>
  <si>
    <t>leshinsky</t>
  </si>
  <si>
    <t>director of global product management</t>
  </si>
  <si>
    <t>partner perkins coie, llp</t>
  </si>
  <si>
    <t>mooney</t>
  </si>
  <si>
    <t>sidnei</t>
  </si>
  <si>
    <t>stifelmann</t>
  </si>
  <si>
    <t>na business development - chemicals, energy, fueling systems and wire &amp; cable</t>
  </si>
  <si>
    <t>ardiles</t>
  </si>
  <si>
    <t>roesberg representative in latin america</t>
  </si>
  <si>
    <t>hauret</t>
  </si>
  <si>
    <t>argibay molina</t>
  </si>
  <si>
    <t>oitana</t>
  </si>
  <si>
    <t>guzman</t>
  </si>
  <si>
    <t>sap fi</t>
  </si>
  <si>
    <t>landreau</t>
  </si>
  <si>
    <t>hotel manager</t>
  </si>
  <si>
    <t>maltas</t>
  </si>
  <si>
    <t>pablo fernando</t>
  </si>
  <si>
    <t>arzeno</t>
  </si>
  <si>
    <t>maría guadalupe</t>
  </si>
  <si>
    <t>moroni</t>
  </si>
  <si>
    <t>director de recursos humanos argentina &amp; uruguay</t>
  </si>
  <si>
    <t>bertuccio</t>
  </si>
  <si>
    <t>hr manager</t>
  </si>
  <si>
    <t>gomez rios</t>
  </si>
  <si>
    <t>lorena</t>
  </si>
  <si>
    <t>terzano</t>
  </si>
  <si>
    <t>talent acquisition executive</t>
  </si>
  <si>
    <t>17,9416666666667</t>
  </si>
  <si>
    <t>manson</t>
  </si>
  <si>
    <t>compensation &amp; benefits coordinator</t>
  </si>
  <si>
    <t>andrés bernabé</t>
  </si>
  <si>
    <t>villafañe</t>
  </si>
  <si>
    <t>.net developer - .net architect</t>
  </si>
  <si>
    <t>yamila</t>
  </si>
  <si>
    <t>buchwald</t>
  </si>
  <si>
    <t>analista de redes sociales/community manager</t>
  </si>
  <si>
    <t>14,6060606060606</t>
  </si>
  <si>
    <t>archisevsky</t>
  </si>
  <si>
    <t>compras</t>
  </si>
  <si>
    <t>langtry</t>
  </si>
  <si>
    <t>ict project manager</t>
  </si>
  <si>
    <t>dangelo</t>
  </si>
  <si>
    <t>molinelli</t>
  </si>
  <si>
    <t>qa manager</t>
  </si>
  <si>
    <t>giovannini</t>
  </si>
  <si>
    <t>r&amp;d consultant</t>
  </si>
  <si>
    <t>merino</t>
  </si>
  <si>
    <t>diseñado gráfico</t>
  </si>
  <si>
    <t>ivan alejandro</t>
  </si>
  <si>
    <t>arroñades</t>
  </si>
  <si>
    <t>fabiola andrea</t>
  </si>
  <si>
    <t>simonetti</t>
  </si>
  <si>
    <t>maldonado</t>
  </si>
  <si>
    <t>clemente</t>
  </si>
  <si>
    <t>asta</t>
  </si>
  <si>
    <t>departament chief</t>
  </si>
  <si>
    <t>galuzzi</t>
  </si>
  <si>
    <t>gerente de administración y negocios</t>
  </si>
  <si>
    <t>blitzer pmp</t>
  </si>
  <si>
    <t>director of volunteers</t>
  </si>
  <si>
    <t>gerling</t>
  </si>
  <si>
    <t>consultor it</t>
  </si>
  <si>
    <t>godachevich</t>
  </si>
  <si>
    <t>luis antonio</t>
  </si>
  <si>
    <t>almada</t>
  </si>
  <si>
    <t>director comercial / business manager development</t>
  </si>
  <si>
    <t>ana laura</t>
  </si>
  <si>
    <t>juvino</t>
  </si>
  <si>
    <t>rauch</t>
  </si>
  <si>
    <t>country sales manager</t>
  </si>
  <si>
    <t>paola sofia</t>
  </si>
  <si>
    <t>selectora de personal free lance</t>
  </si>
  <si>
    <t>farinazzo</t>
  </si>
  <si>
    <t>jefa de soporte administrativo y comercial</t>
  </si>
  <si>
    <t>tornese</t>
  </si>
  <si>
    <t>ejecutivo de cuentas senior - dirección mercado empresarial. carriers nacionales.</t>
  </si>
  <si>
    <t>capmany</t>
  </si>
  <si>
    <t>consultor asociado</t>
  </si>
  <si>
    <t>spigardi</t>
  </si>
  <si>
    <t>furci</t>
  </si>
  <si>
    <t>lysobycki</t>
  </si>
  <si>
    <t>project lider</t>
  </si>
  <si>
    <t>juan cruz</t>
  </si>
  <si>
    <t>basso</t>
  </si>
  <si>
    <t>soa consultant specialist</t>
  </si>
  <si>
    <t>da dalt</t>
  </si>
  <si>
    <t>gerente de calidad</t>
  </si>
  <si>
    <t>argento</t>
  </si>
  <si>
    <t>vassallo</t>
  </si>
  <si>
    <t>marra</t>
  </si>
  <si>
    <t>share holder</t>
  </si>
  <si>
    <t>paradiso</t>
  </si>
  <si>
    <t>donzelli</t>
  </si>
  <si>
    <t>emilse</t>
  </si>
  <si>
    <t>implementadora</t>
  </si>
  <si>
    <t>galmés</t>
  </si>
  <si>
    <t>sap fico senior consultant</t>
  </si>
  <si>
    <t>galban</t>
  </si>
  <si>
    <t>consultor bw/bi - sap</t>
  </si>
  <si>
    <t>leonardo adrian</t>
  </si>
  <si>
    <t>fernandez kozak</t>
  </si>
  <si>
    <t>technical leader / senior consultant sap pi/xi / sap portal</t>
  </si>
  <si>
    <t>zarember calequi</t>
  </si>
  <si>
    <t>silvina mariel</t>
  </si>
  <si>
    <t>molina</t>
  </si>
  <si>
    <t>gabriela carla</t>
  </si>
  <si>
    <t>bot</t>
  </si>
  <si>
    <t>functional analyst &amp; developer</t>
  </si>
  <si>
    <t>adrian ezequiel</t>
  </si>
  <si>
    <t>christián</t>
  </si>
  <si>
    <t>barros méndez trongé</t>
  </si>
  <si>
    <t>magalí</t>
  </si>
  <si>
    <t>liberjen</t>
  </si>
  <si>
    <t>rrhh</t>
  </si>
  <si>
    <t>andreucci</t>
  </si>
  <si>
    <t>daniel eduardo</t>
  </si>
  <si>
    <t>neves</t>
  </si>
  <si>
    <t>webmaster - comunicaciones internacionales</t>
  </si>
  <si>
    <t>wongcampos mbamimmsecpmpmp</t>
  </si>
  <si>
    <t>director of purchasing</t>
  </si>
  <si>
    <t>chandler, arizona</t>
  </si>
  <si>
    <t>lucien</t>
  </si>
  <si>
    <t>constantino von döellinger</t>
  </si>
  <si>
    <t>ios developer</t>
  </si>
  <si>
    <t>felipe gamboa alves</t>
  </si>
  <si>
    <t>da costa</t>
  </si>
  <si>
    <t>trading and supply &amp; distribution tax adviser, global direct tax advice</t>
  </si>
  <si>
    <t>comas</t>
  </si>
  <si>
    <t>general manager / ceo</t>
  </si>
  <si>
    <t>jeppe</t>
  </si>
  <si>
    <t>dorff</t>
  </si>
  <si>
    <t>naidich</t>
  </si>
  <si>
    <t>portfolio and demand manager in latam</t>
  </si>
  <si>
    <t>guillermo eduardo</t>
  </si>
  <si>
    <t>meresman</t>
  </si>
  <si>
    <t>serangelo urbaneja</t>
  </si>
  <si>
    <t>consultor sr.</t>
  </si>
  <si>
    <t>miyagi</t>
  </si>
  <si>
    <t>preda</t>
  </si>
  <si>
    <t>senior executive</t>
  </si>
  <si>
    <t>papatino</t>
  </si>
  <si>
    <t>mermelstein</t>
  </si>
  <si>
    <t>head of financial risk, econometrics &amp; forecasting practice</t>
  </si>
  <si>
    <t>fernando a.</t>
  </si>
  <si>
    <t>pariani</t>
  </si>
  <si>
    <t>head of continuous improvement</t>
  </si>
  <si>
    <t>prado</t>
  </si>
  <si>
    <t>gerente de marketing</t>
  </si>
  <si>
    <t>cabrera</t>
  </si>
  <si>
    <t>di bartolo</t>
  </si>
  <si>
    <t>esses</t>
  </si>
  <si>
    <t>service delivery engineer</t>
  </si>
  <si>
    <t>gestor de negocios - mdu</t>
  </si>
  <si>
    <t>gustavo hernan</t>
  </si>
  <si>
    <t>arzamendia</t>
  </si>
  <si>
    <t>la porta</t>
  </si>
  <si>
    <t>gestión de presupuesto / costos</t>
  </si>
  <si>
    <t>14,15</t>
  </si>
  <si>
    <t>labandeira</t>
  </si>
  <si>
    <t>piloto</t>
  </si>
  <si>
    <t>pérez</t>
  </si>
  <si>
    <t>soporte corporativo voip</t>
  </si>
  <si>
    <t>césar esteban</t>
  </si>
  <si>
    <t>analista sr. sva</t>
  </si>
  <si>
    <t>cagnani</t>
  </si>
  <si>
    <t>fernando gustavo</t>
  </si>
  <si>
    <t>iglesias</t>
  </si>
  <si>
    <t>máximo</t>
  </si>
  <si>
    <t>reffino mallo</t>
  </si>
  <si>
    <t>desarrollo de negocios</t>
  </si>
  <si>
    <t>mammarelli</t>
  </si>
  <si>
    <t>peces</t>
  </si>
  <si>
    <t>south cone sales director</t>
  </si>
  <si>
    <t>caminos</t>
  </si>
  <si>
    <t>elvira</t>
  </si>
  <si>
    <t>qa tester</t>
  </si>
  <si>
    <t>rincón</t>
  </si>
  <si>
    <t>recruiting &amp; talent acquisition manager - southern cone</t>
  </si>
  <si>
    <t>13,6666666666667</t>
  </si>
  <si>
    <t>urcola ariel.urcolaprolaurum.com</t>
  </si>
  <si>
    <t>managing director, buenos aires, argentina</t>
  </si>
  <si>
    <t>borgese</t>
  </si>
  <si>
    <t>capacitación y desarrollo organizacional</t>
  </si>
  <si>
    <t>mackintosh</t>
  </si>
  <si>
    <t>field services planning manager (pmo)</t>
  </si>
  <si>
    <t>lobos</t>
  </si>
  <si>
    <t>responsable de compras</t>
  </si>
  <si>
    <t>lic. en comercio internacional</t>
  </si>
  <si>
    <t>lucas ezequiel</t>
  </si>
  <si>
    <t>programador .net</t>
  </si>
  <si>
    <t>waingortin</t>
  </si>
  <si>
    <t>dawidiuk</t>
  </si>
  <si>
    <t>lider de integración</t>
  </si>
  <si>
    <t>claudio juan c.</t>
  </si>
  <si>
    <t>salazar</t>
  </si>
  <si>
    <t>controller regional</t>
  </si>
  <si>
    <t>luis eduardo</t>
  </si>
  <si>
    <t>lanziani</t>
  </si>
  <si>
    <t>responsable de sistemas de gestión</t>
  </si>
  <si>
    <t>luz</t>
  </si>
  <si>
    <t>illescas</t>
  </si>
  <si>
    <t>ardigó</t>
  </si>
  <si>
    <t>teresita</t>
  </si>
  <si>
    <t>berardi</t>
  </si>
  <si>
    <t>15,6666666666667</t>
  </si>
  <si>
    <t>mandia</t>
  </si>
  <si>
    <t>coordinador asistente</t>
  </si>
  <si>
    <t>diaz quiroga</t>
  </si>
  <si>
    <t>sr. technical associate</t>
  </si>
  <si>
    <t>langdon</t>
  </si>
  <si>
    <t>data storage consultant</t>
  </si>
  <si>
    <t>lavoie</t>
  </si>
  <si>
    <t>principal, ecommerce consultant</t>
  </si>
  <si>
    <t>maximo</t>
  </si>
  <si>
    <t>de ambrosi</t>
  </si>
  <si>
    <t>redactor</t>
  </si>
  <si>
    <t>raboy</t>
  </si>
  <si>
    <t>redactor publicitario</t>
  </si>
  <si>
    <t>luzzani</t>
  </si>
  <si>
    <t>verónica</t>
  </si>
  <si>
    <t>foyedo janezic</t>
  </si>
  <si>
    <t>asistente de dirección de relaciones externas</t>
  </si>
  <si>
    <t>pedro luciano</t>
  </si>
  <si>
    <t>lider de proyectos</t>
  </si>
  <si>
    <t>ansó</t>
  </si>
  <si>
    <t>bi leader</t>
  </si>
  <si>
    <t>ursino</t>
  </si>
  <si>
    <t>supervisor</t>
  </si>
  <si>
    <t>pablo gustavo</t>
  </si>
  <si>
    <t>zavalla</t>
  </si>
  <si>
    <t>paolo</t>
  </si>
  <si>
    <t>linux administrator</t>
  </si>
  <si>
    <t>sacks</t>
  </si>
  <si>
    <t>presales &amp; offer manager avaya southern cone</t>
  </si>
  <si>
    <t>oyola</t>
  </si>
  <si>
    <t>implementaciones datacenter</t>
  </si>
  <si>
    <t>rolando</t>
  </si>
  <si>
    <t>genga</t>
  </si>
  <si>
    <t>gimeno</t>
  </si>
  <si>
    <t>advanced solutions regional business manager</t>
  </si>
  <si>
    <t>corn</t>
  </si>
  <si>
    <t>latam engineering and after market solutions manager</t>
  </si>
  <si>
    <t>urrunaga</t>
  </si>
  <si>
    <t>human resources engineering</t>
  </si>
  <si>
    <t>mastrolembo</t>
  </si>
  <si>
    <t>lead application engineer</t>
  </si>
  <si>
    <t>ejecutivo de cuenta</t>
  </si>
  <si>
    <t>batiluschi</t>
  </si>
  <si>
    <t>3g network planner and performance rf senior engineer</t>
  </si>
  <si>
    <t>cto - operations and technical director</t>
  </si>
  <si>
    <t>miguel r.</t>
  </si>
  <si>
    <t>rubino</t>
  </si>
  <si>
    <t>latam senior manager - infrastructure and power</t>
  </si>
  <si>
    <t>becerra</t>
  </si>
  <si>
    <t>cala - gss engineer en avaya</t>
  </si>
  <si>
    <t>pablo j.</t>
  </si>
  <si>
    <t>mendonca</t>
  </si>
  <si>
    <t>guarin</t>
  </si>
  <si>
    <t>backbone engineer - tier 3 - application enablement services</t>
  </si>
  <si>
    <t>rey sumay</t>
  </si>
  <si>
    <t>senior vice president, global human resources</t>
  </si>
  <si>
    <t>chico, california, United States</t>
  </si>
  <si>
    <t>ebusiness senior consultant</t>
  </si>
  <si>
    <t>director, global networks</t>
  </si>
  <si>
    <t>15,67</t>
  </si>
  <si>
    <t>kleczkowski</t>
  </si>
  <si>
    <t>hala</t>
  </si>
  <si>
    <t>hemayssi</t>
  </si>
  <si>
    <t>independent design consultant</t>
  </si>
  <si>
    <t>poncio</t>
  </si>
  <si>
    <t>customer solution manager</t>
  </si>
  <si>
    <t>ordinskas</t>
  </si>
  <si>
    <t>account executive &amp; project controller</t>
  </si>
  <si>
    <t>carrocera</t>
  </si>
  <si>
    <t>patiño</t>
  </si>
  <si>
    <t>consultor tecnológico</t>
  </si>
  <si>
    <t>edgardo</t>
  </si>
  <si>
    <t>aravena</t>
  </si>
  <si>
    <t>analista sr. de compras</t>
  </si>
  <si>
    <t>telephony administrator</t>
  </si>
  <si>
    <t>nofal</t>
  </si>
  <si>
    <t>venn</t>
  </si>
  <si>
    <t>gerente regional</t>
  </si>
  <si>
    <t>fernando martin</t>
  </si>
  <si>
    <t>leon</t>
  </si>
  <si>
    <t>analista seguridad informática y seguridad sap</t>
  </si>
  <si>
    <t>cristian javier</t>
  </si>
  <si>
    <t>consultor de rrhh, dir. capital humano</t>
  </si>
  <si>
    <t>laura melisa</t>
  </si>
  <si>
    <t>maria paula</t>
  </si>
  <si>
    <t>bargero</t>
  </si>
  <si>
    <t>Textiles</t>
  </si>
  <si>
    <t>rial</t>
  </si>
  <si>
    <t>consultor senior</t>
  </si>
  <si>
    <t>angeles</t>
  </si>
  <si>
    <t>destefano</t>
  </si>
  <si>
    <t>directora organizacional</t>
  </si>
  <si>
    <t>north york, ontario, canada</t>
  </si>
  <si>
    <t>ricardo h.</t>
  </si>
  <si>
    <t>learning assets creation, senior director latin america</t>
  </si>
  <si>
    <t>amorin</t>
  </si>
  <si>
    <t>jefe de redacción// chief editor</t>
  </si>
  <si>
    <t>carrera</t>
  </si>
  <si>
    <t>operations manager - unilever</t>
  </si>
  <si>
    <t>andrea isabel</t>
  </si>
  <si>
    <t>selectora de personal - div retail / div. banca, finanzas y seguros</t>
  </si>
  <si>
    <t>arburu</t>
  </si>
  <si>
    <t>cuntin</t>
  </si>
  <si>
    <t>selector de personal</t>
  </si>
  <si>
    <t>14,1416666666667</t>
  </si>
  <si>
    <t>maria fernanda</t>
  </si>
  <si>
    <t>analista de rrhh en laboratorios victoria</t>
  </si>
  <si>
    <t>human links</t>
  </si>
  <si>
    <t>consultores</t>
  </si>
  <si>
    <t>responsable unidad de negocios agrolinks</t>
  </si>
  <si>
    <t>rosario</t>
  </si>
  <si>
    <t>cornejo</t>
  </si>
  <si>
    <t>nicolás h.</t>
  </si>
  <si>
    <t>antelo</t>
  </si>
  <si>
    <t>melisa</t>
  </si>
  <si>
    <t>aguiar</t>
  </si>
  <si>
    <t>selectora de personal en assistem recursos humanos</t>
  </si>
  <si>
    <t>argüello</t>
  </si>
  <si>
    <t>hr professional, mba, international experience (latam)</t>
  </si>
  <si>
    <t>mahon</t>
  </si>
  <si>
    <t>guarda de subterraneos</t>
  </si>
  <si>
    <t>nervi quiroga</t>
  </si>
  <si>
    <t>gorgas</t>
  </si>
  <si>
    <t>national logistics manager - argentina &amp; uruguay</t>
  </si>
  <si>
    <t>garrone</t>
  </si>
  <si>
    <t>daniel merayo</t>
  </si>
  <si>
    <t>merayo</t>
  </si>
  <si>
    <t>gerente de operaciones de logística integrada</t>
  </si>
  <si>
    <t>responsable de recursos humanos</t>
  </si>
  <si>
    <t>radic</t>
  </si>
  <si>
    <t>nuccaro</t>
  </si>
  <si>
    <t>gerente de sucursal pilar</t>
  </si>
  <si>
    <t>ionna</t>
  </si>
  <si>
    <t>jefe de reclutamiento y retención</t>
  </si>
  <si>
    <t>paula patrignani</t>
  </si>
  <si>
    <t>eliana</t>
  </si>
  <si>
    <t>garzia</t>
  </si>
  <si>
    <t>analista administración de personal sr.</t>
  </si>
  <si>
    <t>agra</t>
  </si>
  <si>
    <t>en busqueda laboral</t>
  </si>
  <si>
    <t>lara</t>
  </si>
  <si>
    <t>yepes</t>
  </si>
  <si>
    <t>training, recruiting &amp; internal comm analyst</t>
  </si>
  <si>
    <t>hernan diego</t>
  </si>
  <si>
    <t>gerente regional de recursos humanos</t>
  </si>
  <si>
    <t>zulema</t>
  </si>
  <si>
    <t>formulacion de proyectos, consultora y profesora para pymes</t>
  </si>
  <si>
    <t>loizaga</t>
  </si>
  <si>
    <t>head of psychology and mental health programs</t>
  </si>
  <si>
    <t>ana julia</t>
  </si>
  <si>
    <t>kechichian</t>
  </si>
  <si>
    <t>labaronnie</t>
  </si>
  <si>
    <t>mia</t>
  </si>
  <si>
    <t>ferolito mba phr shrmcp cdr</t>
  </si>
  <si>
    <t>hilen</t>
  </si>
  <si>
    <t>ramiro</t>
  </si>
  <si>
    <t>lambardi</t>
  </si>
  <si>
    <t>certified sap basis netweaver technology consultant</t>
  </si>
  <si>
    <t>ravale</t>
  </si>
  <si>
    <t>dba oracle/unix admin</t>
  </si>
  <si>
    <t>oscar</t>
  </si>
  <si>
    <t>ferré</t>
  </si>
  <si>
    <t>sap basis - oracle dba senior</t>
  </si>
  <si>
    <t>asilian</t>
  </si>
  <si>
    <t>rossetti</t>
  </si>
  <si>
    <t>service management professional</t>
  </si>
  <si>
    <t>rosas</t>
  </si>
  <si>
    <t>selectora de personal</t>
  </si>
  <si>
    <t>maccio</t>
  </si>
  <si>
    <t>technical service and support director</t>
  </si>
  <si>
    <t>dausa</t>
  </si>
  <si>
    <t>labaton</t>
  </si>
  <si>
    <t>hcm sap consultant</t>
  </si>
  <si>
    <t>pedraza</t>
  </si>
  <si>
    <t>sap business analyst consultant</t>
  </si>
  <si>
    <t>gonzalo ezequiel</t>
  </si>
  <si>
    <t>gianturco</t>
  </si>
  <si>
    <t>szuchet</t>
  </si>
  <si>
    <t>zamborlini  mzamborlinigmail.com</t>
  </si>
  <si>
    <t>it - desarrollos</t>
  </si>
  <si>
    <t>montesinos</t>
  </si>
  <si>
    <t>responsable de sistemas, compras, facturación y demás</t>
  </si>
  <si>
    <t>re delle gandine</t>
  </si>
  <si>
    <t>sap pp sr. consultant.</t>
  </si>
  <si>
    <t>17,2823529411765</t>
  </si>
  <si>
    <t>schuff</t>
  </si>
  <si>
    <t>cadete</t>
  </si>
  <si>
    <t>cristiano</t>
  </si>
  <si>
    <t>asistente de gerente general</t>
  </si>
  <si>
    <t>micheltorena</t>
  </si>
  <si>
    <t>consultor en estrategia, tecnología y medios web</t>
  </si>
  <si>
    <t>zavalski</t>
  </si>
  <si>
    <t>free lance</t>
  </si>
  <si>
    <t>fracassi</t>
  </si>
  <si>
    <t>telecommunications manager</t>
  </si>
  <si>
    <t>patricia analía</t>
  </si>
  <si>
    <t>doval</t>
  </si>
  <si>
    <t>magan</t>
  </si>
  <si>
    <t>quintela</t>
  </si>
  <si>
    <t>responsable de comunicación institucional</t>
  </si>
  <si>
    <t>margarita</t>
  </si>
  <si>
    <t>bruzzone</t>
  </si>
  <si>
    <t>alejandra mabel</t>
  </si>
  <si>
    <t>analista de administracion de personal</t>
  </si>
  <si>
    <t>turina</t>
  </si>
  <si>
    <t>backbone engineer</t>
  </si>
  <si>
    <t>guarinoni</t>
  </si>
  <si>
    <t>general producer</t>
  </si>
  <si>
    <t>hr business partner brainwork rh it</t>
  </si>
  <si>
    <t>salles</t>
  </si>
  <si>
    <t>são paulo, são paulo, brazil</t>
  </si>
  <si>
    <t>henrique</t>
  </si>
  <si>
    <t>corrêa</t>
  </si>
  <si>
    <t>fierro</t>
  </si>
  <si>
    <t>expert to cen/tc251</t>
  </si>
  <si>
    <t>poletto</t>
  </si>
  <si>
    <t>lubricants business manager - south america</t>
  </si>
  <si>
    <t>evang. john</t>
  </si>
  <si>
    <t>paka</t>
  </si>
  <si>
    <t>evangelist &amp; secretrary</t>
  </si>
  <si>
    <t>berta jones</t>
  </si>
  <si>
    <t>de la vega</t>
  </si>
  <si>
    <t>president, mcc</t>
  </si>
  <si>
    <t>maurizio</t>
  </si>
  <si>
    <t>angelone</t>
  </si>
  <si>
    <t>altaf</t>
  </si>
  <si>
    <t>mohammed</t>
  </si>
  <si>
    <t>vogliazzo gphr</t>
  </si>
  <si>
    <t>17,1111111111111</t>
  </si>
  <si>
    <t>cecy</t>
  </si>
  <si>
    <t>mckee</t>
  </si>
  <si>
    <t>lauri</t>
  </si>
  <si>
    <t>business consultant; private investor</t>
  </si>
  <si>
    <t>sergio w.</t>
  </si>
  <si>
    <t>altamirano</t>
  </si>
  <si>
    <t>senior software development engineer</t>
  </si>
  <si>
    <t>natale</t>
  </si>
  <si>
    <t>killian</t>
  </si>
  <si>
    <t>recruiting operations manager americas</t>
  </si>
  <si>
    <t>sabolansky</t>
  </si>
  <si>
    <t>fernández acosta</t>
  </si>
  <si>
    <t>seccia</t>
  </si>
  <si>
    <t>supervisora de recursos humanos</t>
  </si>
  <si>
    <t>utrilla</t>
  </si>
  <si>
    <t>szpak</t>
  </si>
  <si>
    <t>ballester</t>
  </si>
  <si>
    <t>costanzo</t>
  </si>
  <si>
    <t>senior vice president and regional managing director - americas</t>
  </si>
  <si>
    <t>vanesa valeria</t>
  </si>
  <si>
    <t>mazzon</t>
  </si>
  <si>
    <t>carlos daniel</t>
  </si>
  <si>
    <t>perri</t>
  </si>
  <si>
    <t>sr. it security admin</t>
  </si>
  <si>
    <t>maría fernanda</t>
  </si>
  <si>
    <t>miceli medina</t>
  </si>
  <si>
    <t>gerjets</t>
  </si>
  <si>
    <t>global mobility professional</t>
  </si>
  <si>
    <t>lyndsey</t>
  </si>
  <si>
    <t>carlson ruhland</t>
  </si>
  <si>
    <t>business analyst - sap coe</t>
  </si>
  <si>
    <t>greater minneapolis-st. paul area, united states</t>
  </si>
  <si>
    <t>fernando gabriel</t>
  </si>
  <si>
    <t>de sanctis</t>
  </si>
  <si>
    <t>hr regional manager latam</t>
  </si>
  <si>
    <t>production support</t>
  </si>
  <si>
    <t>orellano</t>
  </si>
  <si>
    <t>care manager</t>
  </si>
  <si>
    <t>pascual enrique</t>
  </si>
  <si>
    <t>rombolá</t>
  </si>
  <si>
    <t>cinto</t>
  </si>
  <si>
    <t>teresita fatima</t>
  </si>
  <si>
    <t>ledesma</t>
  </si>
  <si>
    <t>arquitecto de tecnologia</t>
  </si>
  <si>
    <t>estivill</t>
  </si>
  <si>
    <t>senior os/390 - unix</t>
  </si>
  <si>
    <t>juan jose</t>
  </si>
  <si>
    <t>carro</t>
  </si>
  <si>
    <t>perelli</t>
  </si>
  <si>
    <t>dueño / ceo / cto</t>
  </si>
  <si>
    <t>virginia</t>
  </si>
  <si>
    <t>veron</t>
  </si>
  <si>
    <t>lider tecnico proyecto sap</t>
  </si>
  <si>
    <t>leone</t>
  </si>
  <si>
    <t>profesor titular</t>
  </si>
  <si>
    <t>coordinador de tecnologías de la información y comunicación</t>
  </si>
  <si>
    <t>13,3074074074074</t>
  </si>
  <si>
    <t>roberto oscar</t>
  </si>
  <si>
    <t>analista de sistemas</t>
  </si>
  <si>
    <t>ary</t>
  </si>
  <si>
    <t>eppel</t>
  </si>
  <si>
    <t>marazzi</t>
  </si>
  <si>
    <t>licenciada</t>
  </si>
  <si>
    <t>francisco jose</t>
  </si>
  <si>
    <t>peralta pastor</t>
  </si>
  <si>
    <t>customer support engineer</t>
  </si>
  <si>
    <t>victor pablo</t>
  </si>
  <si>
    <t>kammerer</t>
  </si>
  <si>
    <t>storage senior specialist</t>
  </si>
  <si>
    <t>chamorro</t>
  </si>
  <si>
    <t>administrador de seguridad, gestión y red</t>
  </si>
  <si>
    <t>goulu</t>
  </si>
  <si>
    <t>networking services specialist</t>
  </si>
  <si>
    <t>vittorio</t>
  </si>
  <si>
    <t>muzzi</t>
  </si>
  <si>
    <t>southern cone compliance manager</t>
  </si>
  <si>
    <t>antolini</t>
  </si>
  <si>
    <t>jefe de plataformas - arquitectura regional</t>
  </si>
  <si>
    <t>morano</t>
  </si>
  <si>
    <t>delivery project manager</t>
  </si>
  <si>
    <t>del giudice m.sc.</t>
  </si>
  <si>
    <t>network technical leader</t>
  </si>
  <si>
    <t>analista semi senior - soporte y tecnología customer care</t>
  </si>
  <si>
    <t>ernesto leonardo</t>
  </si>
  <si>
    <t>bertola</t>
  </si>
  <si>
    <t>transition manager</t>
  </si>
  <si>
    <t>moltedo</t>
  </si>
  <si>
    <t>fumo</t>
  </si>
  <si>
    <t>cfo</t>
  </si>
  <si>
    <t>diego fernando</t>
  </si>
  <si>
    <t>ross arossdiegohotmail.com</t>
  </si>
  <si>
    <t>jefe del centro de atención al paciente en boston medical group argentina</t>
  </si>
  <si>
    <t>applications analyst</t>
  </si>
  <si>
    <t>alirio</t>
  </si>
  <si>
    <t>terraza</t>
  </si>
  <si>
    <t>satoru lucas</t>
  </si>
  <si>
    <t>shindoi</t>
  </si>
  <si>
    <t>basis sap(jr). sysadmin gnu/linux/unix/windows/novell – citrix/vmware/tango.</t>
  </si>
  <si>
    <t>federico miguel</t>
  </si>
  <si>
    <t>garcia scardilli</t>
  </si>
  <si>
    <t>pj</t>
  </si>
  <si>
    <t>sala</t>
  </si>
  <si>
    <t>managing principal</t>
  </si>
  <si>
    <t>analia</t>
  </si>
  <si>
    <t>somma</t>
  </si>
  <si>
    <t>capacitador senior</t>
  </si>
  <si>
    <t>deluca</t>
  </si>
  <si>
    <t>stephy</t>
  </si>
  <si>
    <t>ochoa</t>
  </si>
  <si>
    <t>lheureux</t>
  </si>
  <si>
    <t>interaction designer, copywriter &amp; more</t>
  </si>
  <si>
    <t>zanini</t>
  </si>
  <si>
    <t>executive assistant sales</t>
  </si>
  <si>
    <t>de almeida</t>
  </si>
  <si>
    <t>founder &amp; administrator</t>
  </si>
  <si>
    <t>guerra phd</t>
  </si>
  <si>
    <t>assistant director- marketing and communications</t>
  </si>
  <si>
    <t>12,92</t>
  </si>
  <si>
    <t>méndez portela</t>
  </si>
  <si>
    <t>pali</t>
  </si>
  <si>
    <t>jhita</t>
  </si>
  <si>
    <t>business consulting - operations optimisation</t>
  </si>
  <si>
    <t>charlie</t>
  </si>
  <si>
    <t>cunha</t>
  </si>
  <si>
    <t>zullo</t>
  </si>
  <si>
    <t>sr. marketing excecutive in epson argentina srl</t>
  </si>
  <si>
    <t>hugo n.</t>
  </si>
  <si>
    <t>florentino</t>
  </si>
  <si>
    <t>estrada</t>
  </si>
  <si>
    <t>professional with high experience in finance, tax and accounting. remarkable background in direct selling</t>
  </si>
  <si>
    <t>13,1133333333333</t>
  </si>
  <si>
    <t>alejandro daniel</t>
  </si>
  <si>
    <t>aranguren</t>
  </si>
  <si>
    <t>debora</t>
  </si>
  <si>
    <t>humerez</t>
  </si>
  <si>
    <t>carballeda</t>
  </si>
  <si>
    <t>administración of. cap. fed.</t>
  </si>
  <si>
    <t>pablo diego</t>
  </si>
  <si>
    <t>fernández beccacece</t>
  </si>
  <si>
    <t>ozarán</t>
  </si>
  <si>
    <t>diez targise</t>
  </si>
  <si>
    <t>apicella</t>
  </si>
  <si>
    <t>analista de administración de personal</t>
  </si>
  <si>
    <t>anahí</t>
  </si>
  <si>
    <t>caligaris</t>
  </si>
  <si>
    <t>paola e.</t>
  </si>
  <si>
    <t>sapoznik derman</t>
  </si>
  <si>
    <t>mobile developer</t>
  </si>
  <si>
    <t>sturm</t>
  </si>
  <si>
    <t>president / ceo</t>
  </si>
  <si>
    <t>9,83</t>
  </si>
  <si>
    <t>lecea</t>
  </si>
  <si>
    <t>director ejecutivo para chile</t>
  </si>
  <si>
    <t>maria virginia</t>
  </si>
  <si>
    <t>gomez mena</t>
  </si>
  <si>
    <t>natalia vanesa</t>
  </si>
  <si>
    <t>corvalán</t>
  </si>
  <si>
    <t>sap bi / bw consultant</t>
  </si>
  <si>
    <t>saidman</t>
  </si>
  <si>
    <t>consultor sr sap bi</t>
  </si>
  <si>
    <t>zaira</t>
  </si>
  <si>
    <t>güerci</t>
  </si>
  <si>
    <t>analista rh</t>
  </si>
  <si>
    <t>parodi</t>
  </si>
  <si>
    <t>consultor senior - mod logísticos</t>
  </si>
  <si>
    <t>inda</t>
  </si>
  <si>
    <t>aguiar mella</t>
  </si>
  <si>
    <t>process, metrics &amp; training manager</t>
  </si>
  <si>
    <t>ingaramo</t>
  </si>
  <si>
    <t>bs ito demand management officer</t>
  </si>
  <si>
    <t>dutto</t>
  </si>
  <si>
    <t>manager, field systems engineering - latin america</t>
  </si>
  <si>
    <t>project/program manager tech</t>
  </si>
  <si>
    <t>gioino</t>
  </si>
  <si>
    <t>emilio</t>
  </si>
  <si>
    <t>bottino</t>
  </si>
  <si>
    <t>jacobi</t>
  </si>
  <si>
    <t>offshore development manager</t>
  </si>
  <si>
    <t>alejandro martín</t>
  </si>
  <si>
    <t>díaz</t>
  </si>
  <si>
    <t>analista programador java senior</t>
  </si>
  <si>
    <t>hernán enrique</t>
  </si>
  <si>
    <t>rajchert</t>
  </si>
  <si>
    <t>administrative manager</t>
  </si>
  <si>
    <t>yache</t>
  </si>
  <si>
    <t>j2ee developer</t>
  </si>
  <si>
    <t>chiodi</t>
  </si>
  <si>
    <t>debian gnu/linux administering and supporting service</t>
  </si>
  <si>
    <t>garay</t>
  </si>
  <si>
    <t>valeria yanina</t>
  </si>
  <si>
    <t>pace</t>
  </si>
  <si>
    <t>docente en diplomatura en testing de software, módulo administración del proceso de pruebas</t>
  </si>
  <si>
    <t>ayelen</t>
  </si>
  <si>
    <t>garmendia</t>
  </si>
  <si>
    <t>devoto</t>
  </si>
  <si>
    <t>gerente planificación estratégica y control de gestión - dirección agro</t>
  </si>
  <si>
    <t>aiupe</t>
  </si>
  <si>
    <t>luis benigno</t>
  </si>
  <si>
    <t>olive</t>
  </si>
  <si>
    <t>technical developer people soft</t>
  </si>
  <si>
    <t>technical consultant - peoplesoft</t>
  </si>
  <si>
    <t>leandro javier</t>
  </si>
  <si>
    <t>ipes</t>
  </si>
  <si>
    <t>rodriguez arias</t>
  </si>
  <si>
    <t>senior functional consultant</t>
  </si>
  <si>
    <t>16,0533333333333</t>
  </si>
  <si>
    <t>barreto</t>
  </si>
  <si>
    <t>functional consultant</t>
  </si>
  <si>
    <t>inostroza</t>
  </si>
  <si>
    <t>peoplesoft fscm functional consultant</t>
  </si>
  <si>
    <t>technical consultant in peoplesoft</t>
  </si>
  <si>
    <t>jose maria</t>
  </si>
  <si>
    <t>duce</t>
  </si>
  <si>
    <t>tecnico sr. peoplesoft</t>
  </si>
  <si>
    <t>pigliacampi</t>
  </si>
  <si>
    <t>vila</t>
  </si>
  <si>
    <t>analista funcional sr</t>
  </si>
  <si>
    <t>miguel angel basuf</t>
  </si>
  <si>
    <t>murua</t>
  </si>
  <si>
    <t>ejecutiva de grandes cuentas</t>
  </si>
  <si>
    <t>hearne</t>
  </si>
  <si>
    <t>administrator, community manager</t>
  </si>
  <si>
    <t>falco</t>
  </si>
  <si>
    <t>jefe de desarrollo de sistemas</t>
  </si>
  <si>
    <t>delia</t>
  </si>
  <si>
    <t>fojo</t>
  </si>
  <si>
    <t>team leader senior</t>
  </si>
  <si>
    <t>maria del rosario</t>
  </si>
  <si>
    <t>cerenzia</t>
  </si>
  <si>
    <t>jefe de producto</t>
  </si>
  <si>
    <t>da silva</t>
  </si>
  <si>
    <t>senior research associate</t>
  </si>
  <si>
    <t>10,67</t>
  </si>
  <si>
    <t>wankel</t>
  </si>
  <si>
    <t>list director of email-based discussion group (listserv)</t>
  </si>
  <si>
    <t>hull, massachusetts</t>
  </si>
  <si>
    <t>lozita</t>
  </si>
  <si>
    <t>scrum master and java developer (contractor)</t>
  </si>
  <si>
    <t>norverto</t>
  </si>
  <si>
    <t>consultor sr - team leader</t>
  </si>
  <si>
    <t>scapusio</t>
  </si>
  <si>
    <t>velazco</t>
  </si>
  <si>
    <t>pedeflous</t>
  </si>
  <si>
    <t>maria marta</t>
  </si>
  <si>
    <t>carpinelli</t>
  </si>
  <si>
    <t>schiffrin</t>
  </si>
  <si>
    <t>soaje pinto</t>
  </si>
  <si>
    <t>finkelstein</t>
  </si>
  <si>
    <t>montesanto</t>
  </si>
  <si>
    <t>backoffice project manager</t>
  </si>
  <si>
    <t>juan alejandro</t>
  </si>
  <si>
    <t>devincenzi</t>
  </si>
  <si>
    <t>caminer</t>
  </si>
  <si>
    <t>ethical hacker</t>
  </si>
  <si>
    <t>stachino cia  cisa</t>
  </si>
  <si>
    <t>julián elías</t>
  </si>
  <si>
    <t>deblauwe</t>
  </si>
  <si>
    <t>contabilidad y reporting</t>
  </si>
  <si>
    <t>forastiero</t>
  </si>
  <si>
    <t>chernitsky</t>
  </si>
  <si>
    <t>auditor de sistemas</t>
  </si>
  <si>
    <t>mariel l.</t>
  </si>
  <si>
    <t>solange</t>
  </si>
  <si>
    <t>galaz</t>
  </si>
  <si>
    <t>nassos</t>
  </si>
  <si>
    <t>oikonomopoulos</t>
  </si>
  <si>
    <t>md, head it audit international</t>
  </si>
  <si>
    <t>weatherley</t>
  </si>
  <si>
    <t>it auditor</t>
  </si>
  <si>
    <t>senior - auditoria interna en sistemas</t>
  </si>
  <si>
    <t>toccaceli</t>
  </si>
  <si>
    <t>rocio</t>
  </si>
  <si>
    <t>martinez samarra</t>
  </si>
  <si>
    <t>maricel</t>
  </si>
  <si>
    <t>tramontin</t>
  </si>
  <si>
    <t>gil paricio</t>
  </si>
  <si>
    <t>team lead - system analyst sap -fico</t>
  </si>
  <si>
    <t>schvartzapel</t>
  </si>
  <si>
    <t>napoli</t>
  </si>
  <si>
    <t>human resources advisor</t>
  </si>
  <si>
    <t>althabe</t>
  </si>
  <si>
    <t>soporte tecnico de computadoras</t>
  </si>
  <si>
    <t>cocciolo</t>
  </si>
  <si>
    <t>perez rodriguez pmp</t>
  </si>
  <si>
    <t>giber</t>
  </si>
  <si>
    <t>homebrewer</t>
  </si>
  <si>
    <t>maciorowski</t>
  </si>
  <si>
    <t>analista</t>
  </si>
  <si>
    <t>martos</t>
  </si>
  <si>
    <t>administrativa en base 3</t>
  </si>
  <si>
    <t>analyst programmer</t>
  </si>
  <si>
    <t>melina andrea</t>
  </si>
  <si>
    <t>carlos esteban</t>
  </si>
  <si>
    <t>pescetti</t>
  </si>
  <si>
    <t>responsable ti</t>
  </si>
  <si>
    <t>jaurena</t>
  </si>
  <si>
    <t>chirikiles</t>
  </si>
  <si>
    <t>responsable de soporte it en bmw</t>
  </si>
  <si>
    <t>13,4882352941176</t>
  </si>
  <si>
    <t>diseñdora gráfica</t>
  </si>
  <si>
    <t>scocco</t>
  </si>
  <si>
    <t>philippi</t>
  </si>
  <si>
    <t>bortnik</t>
  </si>
  <si>
    <t>channels services market manager - latam at citi</t>
  </si>
  <si>
    <t>leticia</t>
  </si>
  <si>
    <t>tossici</t>
  </si>
  <si>
    <t>adrian mario</t>
  </si>
  <si>
    <t>merli</t>
  </si>
  <si>
    <t>gerente projetos latam</t>
  </si>
  <si>
    <t>gugliotta</t>
  </si>
  <si>
    <t>enterprise architect</t>
  </si>
  <si>
    <t>16,2357142857143</t>
  </si>
  <si>
    <t>gordillo pmp</t>
  </si>
  <si>
    <t>miceli</t>
  </si>
  <si>
    <t>professor of 'advanced sw tech.:project estimations', master in system inform eng.</t>
  </si>
  <si>
    <t>daniel alfredo</t>
  </si>
  <si>
    <t>sottile</t>
  </si>
  <si>
    <t>global marketing specialist</t>
  </si>
  <si>
    <t>mingorance</t>
  </si>
  <si>
    <t>engineering manager</t>
  </si>
  <si>
    <t>lorenzana</t>
  </si>
  <si>
    <t>dba oracle en secretaría de ambiente y desarrollo sustentable de la nación.</t>
  </si>
  <si>
    <t>buxdorf</t>
  </si>
  <si>
    <t>sap ps/co consultant</t>
  </si>
  <si>
    <t>faucher</t>
  </si>
  <si>
    <t>banegas</t>
  </si>
  <si>
    <t>c and c++ developer</t>
  </si>
  <si>
    <t>mizrach</t>
  </si>
  <si>
    <t>sr accounting administrator</t>
  </si>
  <si>
    <t>vancouver, canada area</t>
  </si>
  <si>
    <t>12</t>
  </si>
  <si>
    <t>dti derecho informático y de "alta tecnología"</t>
  </si>
  <si>
    <t>fileiv</t>
  </si>
  <si>
    <t>application engineer</t>
  </si>
  <si>
    <t>alba</t>
  </si>
  <si>
    <t>manager | technology risk &amp; governance - ers</t>
  </si>
  <si>
    <t>hinz</t>
  </si>
  <si>
    <t>cecilia inés</t>
  </si>
  <si>
    <t>francisco josé</t>
  </si>
  <si>
    <t>project leader ers</t>
  </si>
  <si>
    <t>sap security consultant &amp; grc access control</t>
  </si>
  <si>
    <t>minzi</t>
  </si>
  <si>
    <t>security &amp; privacy services director</t>
  </si>
  <si>
    <t>grilli</t>
  </si>
  <si>
    <t>it and marketing consultant</t>
  </si>
  <si>
    <t>schere</t>
  </si>
  <si>
    <t>rugiero</t>
  </si>
  <si>
    <t>sr. mgr, argentina &amp; regional production, go</t>
  </si>
  <si>
    <t>pasjalidis</t>
  </si>
  <si>
    <t>engineer</t>
  </si>
  <si>
    <t>bernardo</t>
  </si>
  <si>
    <t>legeren</t>
  </si>
  <si>
    <t>coordinador de recursos humanos</t>
  </si>
  <si>
    <t>spinetta</t>
  </si>
  <si>
    <t>katharine</t>
  </si>
  <si>
    <t>couture</t>
  </si>
  <si>
    <t>dot</t>
  </si>
  <si>
    <t>dynamic sales and education executive</t>
  </si>
  <si>
    <t>villanueva</t>
  </si>
  <si>
    <t>gerald</t>
  </si>
  <si>
    <t>feege</t>
  </si>
  <si>
    <t>rajanahally</t>
  </si>
  <si>
    <t>experienced executive &amp; entrepreneur</t>
  </si>
  <si>
    <t>10,21</t>
  </si>
  <si>
    <t>basil</t>
  </si>
  <si>
    <t>thomas j.</t>
  </si>
  <si>
    <t>valentino</t>
  </si>
  <si>
    <t>music publishing / intellectual property negotiation/acquisition consultant</t>
  </si>
  <si>
    <t>torrance</t>
  </si>
  <si>
    <t>luciano adrián</t>
  </si>
  <si>
    <t>operational readiness analyst - latam</t>
  </si>
  <si>
    <t>azparren</t>
  </si>
  <si>
    <t>purchase coordinator</t>
  </si>
  <si>
    <t>soneyra</t>
  </si>
  <si>
    <t>finance &amp; operations manager</t>
  </si>
  <si>
    <t>hagman</t>
  </si>
  <si>
    <t>engagement manager</t>
  </si>
  <si>
    <t>bruni</t>
  </si>
  <si>
    <t>lopez camino</t>
  </si>
  <si>
    <t>telecommunications/software engineer</t>
  </si>
  <si>
    <t>marengo peusso</t>
  </si>
  <si>
    <t>engineer manager</t>
  </si>
  <si>
    <t>saravia</t>
  </si>
  <si>
    <t>hirsch</t>
  </si>
  <si>
    <t>sr. software engineer and architect</t>
  </si>
  <si>
    <t>17,5454545454545</t>
  </si>
  <si>
    <t>bett</t>
  </si>
  <si>
    <t>milía</t>
  </si>
  <si>
    <t>desarrollador net</t>
  </si>
  <si>
    <t>leonel ignacio</t>
  </si>
  <si>
    <t>laborde</t>
  </si>
  <si>
    <t>desarrollador ssr</t>
  </si>
  <si>
    <t>de salas</t>
  </si>
  <si>
    <t>furfaro</t>
  </si>
  <si>
    <t>analytics and business intelligence</t>
  </si>
  <si>
    <t>ryabko</t>
  </si>
  <si>
    <t>architect</t>
  </si>
  <si>
    <t>martínez</t>
  </si>
  <si>
    <t>avanade - sales support</t>
  </si>
  <si>
    <t>jesus</t>
  </si>
  <si>
    <t>java analyst programmer</t>
  </si>
  <si>
    <t>sergio fabian</t>
  </si>
  <si>
    <t>daniello</t>
  </si>
  <si>
    <t>tech &amp; corporate</t>
  </si>
  <si>
    <t>gustavo gabriel</t>
  </si>
  <si>
    <t>meza</t>
  </si>
  <si>
    <t>soporte técnico de networking</t>
  </si>
  <si>
    <t>exequiel</t>
  </si>
  <si>
    <t>gómez</t>
  </si>
  <si>
    <t>research engineer &amp; dba sql server</t>
  </si>
  <si>
    <t>peuriot</t>
  </si>
  <si>
    <t>bergonzelli</t>
  </si>
  <si>
    <t>komarofsky</t>
  </si>
  <si>
    <t>gerente general.</t>
  </si>
  <si>
    <t>hernando</t>
  </si>
  <si>
    <t>castiglioni</t>
  </si>
  <si>
    <t>system engineer - southern latin america - sola</t>
  </si>
  <si>
    <t>orlando</t>
  </si>
  <si>
    <t>rodríguez boido</t>
  </si>
  <si>
    <t>gerente social media y comunicación digital</t>
  </si>
  <si>
    <t>esteban m.</t>
  </si>
  <si>
    <t>savignone</t>
  </si>
  <si>
    <t>project manager software development</t>
  </si>
  <si>
    <t>curi</t>
  </si>
  <si>
    <t>motion designer / 3d generalist</t>
  </si>
  <si>
    <t>jefa de servicios al cliente</t>
  </si>
  <si>
    <t>quiroga</t>
  </si>
  <si>
    <t>periodista</t>
  </si>
  <si>
    <t>dávila</t>
  </si>
  <si>
    <t>suglia</t>
  </si>
  <si>
    <t>dali yván</t>
  </si>
  <si>
    <t>pastrana</t>
  </si>
  <si>
    <t>técnico de servicios</t>
  </si>
  <si>
    <t>veliz</t>
  </si>
  <si>
    <t>aguilar</t>
  </si>
  <si>
    <t>it business analyst leader</t>
  </si>
  <si>
    <t>federico andrés</t>
  </si>
  <si>
    <t>marenzi</t>
  </si>
  <si>
    <t>simón padrós</t>
  </si>
  <si>
    <t>najman</t>
  </si>
  <si>
    <t>oracle ebusiness suite functional consultant</t>
  </si>
  <si>
    <t>aragunde</t>
  </si>
  <si>
    <t>operation director</t>
  </si>
  <si>
    <t>moro</t>
  </si>
  <si>
    <t>mazzeo</t>
  </si>
  <si>
    <t>angel javier</t>
  </si>
  <si>
    <t>paez</t>
  </si>
  <si>
    <t>moure</t>
  </si>
  <si>
    <t>desarrollo web</t>
  </si>
  <si>
    <t>panichella</t>
  </si>
  <si>
    <t>maria lorena</t>
  </si>
  <si>
    <t>iparraguirre</t>
  </si>
  <si>
    <t>nilda</t>
  </si>
  <si>
    <t>balma</t>
  </si>
  <si>
    <t>abogada senior</t>
  </si>
  <si>
    <t>duvoy</t>
  </si>
  <si>
    <t>research professional</t>
  </si>
  <si>
    <t>fairbanks, alaska</t>
  </si>
  <si>
    <t>dario ernesto</t>
  </si>
  <si>
    <t>consultor senior it y seguridad de la información</t>
  </si>
  <si>
    <t>masur</t>
  </si>
  <si>
    <t>avril</t>
  </si>
  <si>
    <t>mcdonald</t>
  </si>
  <si>
    <t>tijani</t>
  </si>
  <si>
    <t>account director uk &amp; gsa</t>
  </si>
  <si>
    <t>avila cbcp</t>
  </si>
  <si>
    <t>sr. associate</t>
  </si>
  <si>
    <t>emmie</t>
  </si>
  <si>
    <t>braun</t>
  </si>
  <si>
    <t>recruiter, online operations (north america)</t>
  </si>
  <si>
    <t>ryder</t>
  </si>
  <si>
    <t>snr consultant, complex solutions</t>
  </si>
  <si>
    <t>14,58</t>
  </si>
  <si>
    <t>savitt</t>
  </si>
  <si>
    <t>senior marketing manager</t>
  </si>
  <si>
    <t>perez willis</t>
  </si>
  <si>
    <t>cañete miltos</t>
  </si>
  <si>
    <t>oracle dba jr.</t>
  </si>
  <si>
    <t>leonel</t>
  </si>
  <si>
    <t>sonzini</t>
  </si>
  <si>
    <t>analista-programador</t>
  </si>
  <si>
    <t>isla vieyra</t>
  </si>
  <si>
    <t>tecnología &amp; comunicaciones</t>
  </si>
  <si>
    <t>pablo matías</t>
  </si>
  <si>
    <t>tocalini</t>
  </si>
  <si>
    <t>developer sr</t>
  </si>
  <si>
    <t>alenca</t>
  </si>
  <si>
    <t>petrich</t>
  </si>
  <si>
    <t>ruscitto</t>
  </si>
  <si>
    <t>lider de rrhh</t>
  </si>
  <si>
    <t>font</t>
  </si>
  <si>
    <t>administracion de plataformas abiertas</t>
  </si>
  <si>
    <t>armesto</t>
  </si>
  <si>
    <t>gerente operaciones capital humano - región mediterránea y sur</t>
  </si>
  <si>
    <t>lillia</t>
  </si>
  <si>
    <t>prizont</t>
  </si>
  <si>
    <t>ricchio</t>
  </si>
  <si>
    <t>badie</t>
  </si>
  <si>
    <t>canale</t>
  </si>
  <si>
    <t>jefe departamento de desarrollo</t>
  </si>
  <si>
    <t>julian</t>
  </si>
  <si>
    <t>design team leader</t>
  </si>
  <si>
    <t>josefina</t>
  </si>
  <si>
    <t>tarris</t>
  </si>
  <si>
    <t>consumer engagement manager for lta south</t>
  </si>
  <si>
    <t>guillermo e.</t>
  </si>
  <si>
    <t>gesualdi</t>
  </si>
  <si>
    <t>international roaming coordinator en syniverse technologies</t>
  </si>
  <si>
    <t>lovece</t>
  </si>
  <si>
    <t>martina</t>
  </si>
  <si>
    <t>rua</t>
  </si>
  <si>
    <t>irina</t>
  </si>
  <si>
    <t>sternik</t>
  </si>
  <si>
    <t>directora</t>
  </si>
  <si>
    <t>amdan</t>
  </si>
  <si>
    <t>leila</t>
  </si>
  <si>
    <t>salinas</t>
  </si>
  <si>
    <t>jachevasky</t>
  </si>
  <si>
    <t>jefe de marketing</t>
  </si>
  <si>
    <t>morales rins</t>
  </si>
  <si>
    <t>regional marketing manager</t>
  </si>
  <si>
    <t>vilar merlo</t>
  </si>
  <si>
    <t>directora creativa</t>
  </si>
  <si>
    <t>rivas</t>
  </si>
  <si>
    <t>tuzinkevicz</t>
  </si>
  <si>
    <t>account executive</t>
  </si>
  <si>
    <t>partner &amp; creative director</t>
  </si>
  <si>
    <t>de angelis</t>
  </si>
  <si>
    <t>analista de recursos humanos</t>
  </si>
  <si>
    <t>ángela</t>
  </si>
  <si>
    <t>mandel</t>
  </si>
  <si>
    <t>barlocco</t>
  </si>
  <si>
    <t>senior consultant at deloitte - security and privacy services</t>
  </si>
  <si>
    <t>magi</t>
  </si>
  <si>
    <t>fernández santamaría</t>
  </si>
  <si>
    <t>churn intelligence analyst</t>
  </si>
  <si>
    <t>team leader</t>
  </si>
  <si>
    <t>e r n e s t o</t>
  </si>
  <si>
    <t>k r a h m e r</t>
  </si>
  <si>
    <t>adm., finance, logistics &amp; supply chain mgr.retail industry, consultant, and federal justice advisor</t>
  </si>
  <si>
    <t>barberis</t>
  </si>
  <si>
    <t>web qa specialist</t>
  </si>
  <si>
    <t>rossello</t>
  </si>
  <si>
    <t>production &amp; new media coordinator</t>
  </si>
  <si>
    <t>maría sofía</t>
  </si>
  <si>
    <t>saraví okeefe</t>
  </si>
  <si>
    <t>dell agostino</t>
  </si>
  <si>
    <t>mazzei</t>
  </si>
  <si>
    <t>service delivery specialist - datacenter</t>
  </si>
  <si>
    <t>alfonso m. daniel</t>
  </si>
  <si>
    <t>pituello</t>
  </si>
  <si>
    <t>bianco</t>
  </si>
  <si>
    <t>responsable de e-learning</t>
  </si>
  <si>
    <t>festa</t>
  </si>
  <si>
    <t>ejecutiva de cuenta ,cadenas nacionales</t>
  </si>
  <si>
    <t>boggino</t>
  </si>
  <si>
    <t>designer / brand creation</t>
  </si>
  <si>
    <t>galván</t>
  </si>
  <si>
    <t>web developer</t>
  </si>
  <si>
    <t>hardenack</t>
  </si>
  <si>
    <t>gerente de compras</t>
  </si>
  <si>
    <t>brenta</t>
  </si>
  <si>
    <t>director general de sistemas informáticos</t>
  </si>
  <si>
    <t>Government Relations</t>
  </si>
  <si>
    <t>ejecutivo de cuentas sr.</t>
  </si>
  <si>
    <t>perla</t>
  </si>
  <si>
    <t>neiburg</t>
  </si>
  <si>
    <t>aramburu</t>
  </si>
  <si>
    <t>lic. en psicología - Área discapacidad.</t>
  </si>
  <si>
    <t>alan matias</t>
  </si>
  <si>
    <t>it services</t>
  </si>
  <si>
    <t>benavídez</t>
  </si>
  <si>
    <t>santiago n.</t>
  </si>
  <si>
    <t>galera</t>
  </si>
  <si>
    <t>leuzzi</t>
  </si>
  <si>
    <t>uggino</t>
  </si>
  <si>
    <t>c.e.o</t>
  </si>
  <si>
    <t>marisol</t>
  </si>
  <si>
    <t>castañeda</t>
  </si>
  <si>
    <t>analista sr de consultorìa en procesos y gestiòn del cambio</t>
  </si>
  <si>
    <t>luciana maría</t>
  </si>
  <si>
    <t>sap consultant hr</t>
  </si>
  <si>
    <t>lavaggi</t>
  </si>
  <si>
    <t>unix admin</t>
  </si>
  <si>
    <t>flinta</t>
  </si>
  <si>
    <t>lider operativa</t>
  </si>
  <si>
    <t>gonzalo sebastian</t>
  </si>
  <si>
    <t>ejecutivo de desarrollo de negocios</t>
  </si>
  <si>
    <t>pielvitori</t>
  </si>
  <si>
    <t>standiford</t>
  </si>
  <si>
    <t>belicia</t>
  </si>
  <si>
    <t>accounting</t>
  </si>
  <si>
    <t>natalia paola</t>
  </si>
  <si>
    <t>practica profesional</t>
  </si>
  <si>
    <t>damian h.</t>
  </si>
  <si>
    <t>besio</t>
  </si>
  <si>
    <t>arancibia</t>
  </si>
  <si>
    <t>developer java .net</t>
  </si>
  <si>
    <t>java senior developer</t>
  </si>
  <si>
    <t>cardoso</t>
  </si>
  <si>
    <t>enzo</t>
  </si>
  <si>
    <t>rucci</t>
  </si>
  <si>
    <t>becario</t>
  </si>
  <si>
    <t>desarrollador</t>
  </si>
  <si>
    <t>di costanzo</t>
  </si>
  <si>
    <t>desarrollador web</t>
  </si>
  <si>
    <t>tolcachier</t>
  </si>
  <si>
    <t>sap logistics &amp; srm consultant</t>
  </si>
  <si>
    <t>zattera</t>
  </si>
  <si>
    <t>finos</t>
  </si>
  <si>
    <t>web development team leader</t>
  </si>
  <si>
    <t>meter</t>
  </si>
  <si>
    <t>faustin</t>
  </si>
  <si>
    <t>mukena</t>
  </si>
  <si>
    <t>international business executive</t>
  </si>
  <si>
    <t>malachi</t>
  </si>
  <si>
    <t>bierstein</t>
  </si>
  <si>
    <t>sr. director, sales</t>
  </si>
  <si>
    <t>garett</t>
  </si>
  <si>
    <t>co-founder/vp of business development</t>
  </si>
  <si>
    <t>nina grace</t>
  </si>
  <si>
    <t>lorrie</t>
  </si>
  <si>
    <t>lambert</t>
  </si>
  <si>
    <t>willy</t>
  </si>
  <si>
    <t>unger</t>
  </si>
  <si>
    <t>suárez battán</t>
  </si>
  <si>
    <t>dodino</t>
  </si>
  <si>
    <t>sap portal netweaver developer</t>
  </si>
  <si>
    <t>caudevilla</t>
  </si>
  <si>
    <t>vigliarolo</t>
  </si>
  <si>
    <t>fermepin</t>
  </si>
  <si>
    <t>continuous improvement &amp; sap/abap lider, abap webdynpro y workflow - consultor solman</t>
  </si>
  <si>
    <t>zanello</t>
  </si>
  <si>
    <t>consultor abap</t>
  </si>
  <si>
    <t>viñao</t>
  </si>
  <si>
    <t>sr ruby developer</t>
  </si>
  <si>
    <t>simionati</t>
  </si>
  <si>
    <t>desarollo sistema acopio de materiales s.a.</t>
  </si>
  <si>
    <t>roque</t>
  </si>
  <si>
    <t>j2ee technical developer</t>
  </si>
  <si>
    <t>romina lombardi</t>
  </si>
  <si>
    <t>lombardi</t>
  </si>
  <si>
    <t>socia de exentia, empresa de servicios de ti</t>
  </si>
  <si>
    <t>texido</t>
  </si>
  <si>
    <t>grandoso</t>
  </si>
  <si>
    <t>gerente de inteligencia de marketing</t>
  </si>
  <si>
    <t>rapetti</t>
  </si>
  <si>
    <t>php developer en unidad ejecutora provincial</t>
  </si>
  <si>
    <t>13,5928571428571</t>
  </si>
  <si>
    <t>dellanno irigoyen</t>
  </si>
  <si>
    <t>rodriguez varela</t>
  </si>
  <si>
    <t>malware laboratory coordinator</t>
  </si>
  <si>
    <t>bottazzi bramoso</t>
  </si>
  <si>
    <t>marketing comercial / productos clasificados web / comunicación</t>
  </si>
  <si>
    <t>matias g.</t>
  </si>
  <si>
    <t>amoroso eastman</t>
  </si>
  <si>
    <t>responsable área de diseño</t>
  </si>
  <si>
    <t>maira daniela</t>
  </si>
  <si>
    <t>yamila florencia</t>
  </si>
  <si>
    <t>coordinadora de recursos humanos</t>
  </si>
  <si>
    <t>systems and technology manager - education</t>
  </si>
  <si>
    <t>arocena</t>
  </si>
  <si>
    <t>director regional argentina interior</t>
  </si>
  <si>
    <t>garrido</t>
  </si>
  <si>
    <t>investigador adjunto en la carrera del investigador científico</t>
  </si>
  <si>
    <t>canil</t>
  </si>
  <si>
    <t>solter soroa</t>
  </si>
  <si>
    <t>rafaela</t>
  </si>
  <si>
    <t>renó</t>
  </si>
  <si>
    <t>tabernero</t>
  </si>
  <si>
    <t>analista sr. de finanzas</t>
  </si>
  <si>
    <t>portal</t>
  </si>
  <si>
    <t>founding partner</t>
  </si>
  <si>
    <t>romanelli</t>
  </si>
  <si>
    <t>senior analyst - account department</t>
  </si>
  <si>
    <t>atkind</t>
  </si>
  <si>
    <t>director of human resources</t>
  </si>
  <si>
    <t>gabriela alejandra</t>
  </si>
  <si>
    <t>ciccone</t>
  </si>
  <si>
    <t>gerente de empleos</t>
  </si>
  <si>
    <t>senior client partner &amp; managing director argentina</t>
  </si>
  <si>
    <t>del bosque alanís</t>
  </si>
  <si>
    <t>smal</t>
  </si>
  <si>
    <t>jeanclaude</t>
  </si>
  <si>
    <t>adams cohene</t>
  </si>
  <si>
    <t>paraguay</t>
  </si>
  <si>
    <t>Paraguay</t>
  </si>
  <si>
    <t>friscino</t>
  </si>
  <si>
    <t>online marketing consultant</t>
  </si>
  <si>
    <t>dooley</t>
  </si>
  <si>
    <t>north american ecommerce producer</t>
  </si>
  <si>
    <t>suzi</t>
  </si>
  <si>
    <t>principal program manager</t>
  </si>
  <si>
    <t>nejib</t>
  </si>
  <si>
    <t>benkhedher</t>
  </si>
  <si>
    <t>svp, it solutions and customer services</t>
  </si>
  <si>
    <t>mario manuel</t>
  </si>
  <si>
    <t>mariana saintive</t>
  </si>
  <si>
    <t>sousa phr hcs</t>
  </si>
  <si>
    <t>arosemena siburu</t>
  </si>
  <si>
    <t>jorge daniel</t>
  </si>
  <si>
    <t>modugno</t>
  </si>
  <si>
    <t>analista sr de rrhh</t>
  </si>
  <si>
    <t>poggio</t>
  </si>
  <si>
    <t>coordinadora de medio ambiente</t>
  </si>
  <si>
    <t>jefe de medio ambiente, salud y seguridad</t>
  </si>
  <si>
    <t>jose luis</t>
  </si>
  <si>
    <t>farias sidders</t>
  </si>
  <si>
    <t>best practice chair and group chair</t>
  </si>
  <si>
    <t>szklanny</t>
  </si>
  <si>
    <t>cavedo</t>
  </si>
  <si>
    <t>it experienced manager</t>
  </si>
  <si>
    <t>maría josé</t>
  </si>
  <si>
    <t>coppari</t>
  </si>
  <si>
    <t>head lead of latinamerica university relations &amp; recruitingteam</t>
  </si>
  <si>
    <t>yugo</t>
  </si>
  <si>
    <t>jefe sw infraestructura</t>
  </si>
  <si>
    <t>scroffa</t>
  </si>
  <si>
    <t>claudia alejandra</t>
  </si>
  <si>
    <t>presutti</t>
  </si>
  <si>
    <t>leoni</t>
  </si>
  <si>
    <t>seijo</t>
  </si>
  <si>
    <t>mba &amp; coach certificado - businessx &amp; outdoors experience</t>
  </si>
  <si>
    <t>16,3583333333333</t>
  </si>
  <si>
    <t>neri</t>
  </si>
  <si>
    <t>meneses</t>
  </si>
  <si>
    <t>regional sales contact center manager</t>
  </si>
  <si>
    <t>gazzo</t>
  </si>
  <si>
    <t>technology consulting mgr.</t>
  </si>
  <si>
    <t>ast</t>
  </si>
  <si>
    <t>publishing project manager</t>
  </si>
  <si>
    <t>cassano</t>
  </si>
  <si>
    <t>paschmann</t>
  </si>
  <si>
    <t>lew</t>
  </si>
  <si>
    <t>paglialunga</t>
  </si>
  <si>
    <t>gerente de rrhh</t>
  </si>
  <si>
    <t>sacco</t>
  </si>
  <si>
    <t>prof. lic. juan m.</t>
  </si>
  <si>
    <t>bodenheimer</t>
  </si>
  <si>
    <t>instare - director and hr/data mining consultant jbodenheimer@instare.com</t>
  </si>
  <si>
    <t>carmona</t>
  </si>
  <si>
    <t>briuoli</t>
  </si>
  <si>
    <t>problem management analyst</t>
  </si>
  <si>
    <t>serebrinsky</t>
  </si>
  <si>
    <t>romina e.</t>
  </si>
  <si>
    <t>suarez pontillo</t>
  </si>
  <si>
    <t>gaye tuzemen</t>
  </si>
  <si>
    <t>berk  vmware bellevuewa is hiring</t>
  </si>
  <si>
    <t>lead recruiter - we are hiring principal/snr. sdes, lead sdet, snr. sdets, security pm and more...</t>
  </si>
  <si>
    <t>recruiting consultant</t>
  </si>
  <si>
    <t>marx</t>
  </si>
  <si>
    <t>ingeniero en desarrollo de parques eólicos</t>
  </si>
  <si>
    <t>renata</t>
  </si>
  <si>
    <t>petraglia</t>
  </si>
  <si>
    <t>la penna</t>
  </si>
  <si>
    <t>digital communication manager</t>
  </si>
  <si>
    <t>michiko</t>
  </si>
  <si>
    <t>corporate communication and public affairs</t>
  </si>
  <si>
    <t>matallana</t>
  </si>
  <si>
    <t>anguiano s.anguianoyahoo.com</t>
  </si>
  <si>
    <t>hr consultant</t>
  </si>
  <si>
    <t>marolda</t>
  </si>
  <si>
    <t>engineering manager for vlu and home products</t>
  </si>
  <si>
    <t>biju</t>
  </si>
  <si>
    <t>mukund</t>
  </si>
  <si>
    <t>romani monti</t>
  </si>
  <si>
    <t>benefits administration analyst</t>
  </si>
  <si>
    <t>tolosa</t>
  </si>
  <si>
    <t>partner advisory services</t>
  </si>
  <si>
    <t>manager, talent acquisition operations</t>
  </si>
  <si>
    <t>16,67</t>
  </si>
  <si>
    <t>leporati</t>
  </si>
  <si>
    <t>pulice</t>
  </si>
  <si>
    <t>analista sr.</t>
  </si>
  <si>
    <t>member, board of directors &amp; head of tie angels</t>
  </si>
  <si>
    <t>di rienzo</t>
  </si>
  <si>
    <t>team leader - technology consultant iii</t>
  </si>
  <si>
    <t>angela</t>
  </si>
  <si>
    <t>cronin</t>
  </si>
  <si>
    <t>director, recruitment &amp; operations</t>
  </si>
  <si>
    <t>17,42</t>
  </si>
  <si>
    <t>soa architect</t>
  </si>
  <si>
    <t>judith</t>
  </si>
  <si>
    <t>meles</t>
  </si>
  <si>
    <t>felipe</t>
  </si>
  <si>
    <t>steffolani</t>
  </si>
  <si>
    <t>senn</t>
  </si>
  <si>
    <t>analista jr</t>
  </si>
  <si>
    <t>denis</t>
  </si>
  <si>
    <t>saulnier</t>
  </si>
  <si>
    <t>kerry</t>
  </si>
  <si>
    <t>science teacher</t>
  </si>
  <si>
    <t>rabinovich</t>
  </si>
  <si>
    <t>winnicki</t>
  </si>
  <si>
    <t>dale</t>
  </si>
  <si>
    <t>shadbegian</t>
  </si>
  <si>
    <t>sanchez catena</t>
  </si>
  <si>
    <t>lorenzi</t>
  </si>
  <si>
    <t>admotion tv product manager</t>
  </si>
  <si>
    <t>borau</t>
  </si>
  <si>
    <t>perlongher</t>
  </si>
  <si>
    <t>redactora creativa digital</t>
  </si>
  <si>
    <t>cabral</t>
  </si>
  <si>
    <t>founder, director</t>
  </si>
  <si>
    <t>guardia</t>
  </si>
  <si>
    <t>gerente de e-commerce</t>
  </si>
  <si>
    <t>beluardo</t>
  </si>
  <si>
    <t>communication &amp; marketing specialist at bariloche</t>
  </si>
  <si>
    <t>natalio</t>
  </si>
  <si>
    <t>cosoy</t>
  </si>
  <si>
    <t>multimedia producer in bbc mundo/ bbc world service</t>
  </si>
  <si>
    <t>digital creative director for latam and spain</t>
  </si>
  <si>
    <t>fernando miguel</t>
  </si>
  <si>
    <t>giovanini</t>
  </si>
  <si>
    <t>infrastructure manager</t>
  </si>
  <si>
    <t>maría laura</t>
  </si>
  <si>
    <t>owner / project manager</t>
  </si>
  <si>
    <t>grippo</t>
  </si>
  <si>
    <t>diseño de sitios web</t>
  </si>
  <si>
    <t>esteves</t>
  </si>
  <si>
    <t>head human resources latin america</t>
  </si>
  <si>
    <t>scarone</t>
  </si>
  <si>
    <t>linares</t>
  </si>
  <si>
    <t>qa analyst</t>
  </si>
  <si>
    <t>belen</t>
  </si>
  <si>
    <t>galeppi</t>
  </si>
  <si>
    <t>corporate internal communications</t>
  </si>
  <si>
    <t>tutor por plan mejoras</t>
  </si>
  <si>
    <t>marantenboim</t>
  </si>
  <si>
    <t>system administrator</t>
  </si>
  <si>
    <t>brina</t>
  </si>
  <si>
    <t>sales and marketing director</t>
  </si>
  <si>
    <t>almécija rodríguez</t>
  </si>
  <si>
    <t>responsable de relaciones con el cliente y la comunidad</t>
  </si>
  <si>
    <t>wojtowicz</t>
  </si>
  <si>
    <t>email marketing technical architect</t>
  </si>
  <si>
    <t>director de estrategia y nuevos negocios</t>
  </si>
  <si>
    <t>gimenez</t>
  </si>
  <si>
    <t>analista programador java j2ee senior</t>
  </si>
  <si>
    <t>canossa</t>
  </si>
  <si>
    <t>amuro</t>
  </si>
  <si>
    <t>wloch</t>
  </si>
  <si>
    <t>cegna bellorini</t>
  </si>
  <si>
    <t>personal music and backtones business developer</t>
  </si>
  <si>
    <t>cherashny</t>
  </si>
  <si>
    <t>iriarte</t>
  </si>
  <si>
    <t>16,6692307692308</t>
  </si>
  <si>
    <t>della torre</t>
  </si>
  <si>
    <t>casey torres</t>
  </si>
  <si>
    <t>jorge joaquin</t>
  </si>
  <si>
    <t>coordinador de desarrollo windows</t>
  </si>
  <si>
    <t>crisafulli</t>
  </si>
  <si>
    <t>inés</t>
  </si>
  <si>
    <t>puente</t>
  </si>
  <si>
    <t>hr regional generalist</t>
  </si>
  <si>
    <t>maría eugenia</t>
  </si>
  <si>
    <t>buján</t>
  </si>
  <si>
    <t>agnese</t>
  </si>
  <si>
    <t>desarrollo de producto</t>
  </si>
  <si>
    <t>areal</t>
  </si>
  <si>
    <t>amoroso</t>
  </si>
  <si>
    <t>business finance coordinator - southern cone &amp; credit leader latin america</t>
  </si>
  <si>
    <t>muxí</t>
  </si>
  <si>
    <t>analista sr. rr.hh. - administración de personal y payroll -</t>
  </si>
  <si>
    <t>khek</t>
  </si>
  <si>
    <t>gerente de operaciones</t>
  </si>
  <si>
    <t>jauregui</t>
  </si>
  <si>
    <t>vdi sales specialist for argentina, chile, perú, paraguay, uruguay and bolivia</t>
  </si>
  <si>
    <t>volpe</t>
  </si>
  <si>
    <t>senior marketing manager south cone</t>
  </si>
  <si>
    <t>marcó</t>
  </si>
  <si>
    <t>director de proyectos inside comunicación interna estratégica</t>
  </si>
  <si>
    <t>berra</t>
  </si>
  <si>
    <t>owner, conduit and computer networking consultant</t>
  </si>
  <si>
    <t>softline</t>
  </si>
  <si>
    <t>international argentina</t>
  </si>
  <si>
    <t>estevez ulrich</t>
  </si>
  <si>
    <t>director creativo</t>
  </si>
  <si>
    <t>olmedo martinez</t>
  </si>
  <si>
    <t>especialista en email marketing &amp; community manager en atinua</t>
  </si>
  <si>
    <t>giasone</t>
  </si>
  <si>
    <t>vanesa</t>
  </si>
  <si>
    <t>chacon</t>
  </si>
  <si>
    <t>crm &amp; erp coordinator</t>
  </si>
  <si>
    <t>desarrolladora de software</t>
  </si>
  <si>
    <t>henoch</t>
  </si>
  <si>
    <t>aguiar &amp; marsiglia, consultores</t>
  </si>
  <si>
    <t>callero</t>
  </si>
  <si>
    <t>senior consultant in the replacement process of core banking for banco ripley (chile).</t>
  </si>
  <si>
    <t>ivana ximena</t>
  </si>
  <si>
    <t>prisco</t>
  </si>
  <si>
    <t>administrativa senior</t>
  </si>
  <si>
    <t>vera</t>
  </si>
  <si>
    <t>rieznik</t>
  </si>
  <si>
    <t>profesor titular de cambio cultural y aprendizaje organizacional</t>
  </si>
  <si>
    <t>gonzalez merlani</t>
  </si>
  <si>
    <t>ponticorvo</t>
  </si>
  <si>
    <t>hr professional &amp; it recruiting</t>
  </si>
  <si>
    <t>analytics business partner</t>
  </si>
  <si>
    <t>civile</t>
  </si>
  <si>
    <t>recursos humanos profesional</t>
  </si>
  <si>
    <t>gimenez azara</t>
  </si>
  <si>
    <t>jefe de comunicaciones y rse</t>
  </si>
  <si>
    <t>qa lead</t>
  </si>
  <si>
    <t>pablo santiago</t>
  </si>
  <si>
    <t>analista ssr reporting</t>
  </si>
  <si>
    <t>albin</t>
  </si>
  <si>
    <t>senior associate</t>
  </si>
  <si>
    <t>sacerdote</t>
  </si>
  <si>
    <t>consultanttalenters</t>
  </si>
  <si>
    <t>ramos mejia</t>
  </si>
  <si>
    <t>gomez meza</t>
  </si>
  <si>
    <t>ibañez</t>
  </si>
  <si>
    <t>graciela</t>
  </si>
  <si>
    <t>lac global service desk manager</t>
  </si>
  <si>
    <t>tamanaha</t>
  </si>
  <si>
    <t>volpi</t>
  </si>
  <si>
    <t>sap bw-bo consultant</t>
  </si>
  <si>
    <t>seiguer</t>
  </si>
  <si>
    <t>directora de comunicaciones corporativas mc donald's - división latinoamérica sur</t>
  </si>
  <si>
    <t>diego ernesto</t>
  </si>
  <si>
    <t>liñayo</t>
  </si>
  <si>
    <t>analyst developer</t>
  </si>
  <si>
    <t>dominé</t>
  </si>
  <si>
    <t>technical advisory global sap hcm</t>
  </si>
  <si>
    <t>triana pmp</t>
  </si>
  <si>
    <t>vice-chair, board of directors</t>
  </si>
  <si>
    <t>josé manuel</t>
  </si>
  <si>
    <t>robledo</t>
  </si>
  <si>
    <t>serial entrepreneur</t>
  </si>
  <si>
    <t>kuschewski</t>
  </si>
  <si>
    <t>head of content at qelp</t>
  </si>
  <si>
    <t>ceballos</t>
  </si>
  <si>
    <t>talent acquisition mexico canada peru argentina - global operations support</t>
  </si>
  <si>
    <t>nieto</t>
  </si>
  <si>
    <t>remondino</t>
  </si>
  <si>
    <t>jefa de recursos humanos</t>
  </si>
  <si>
    <t>bonadeo miguens</t>
  </si>
  <si>
    <t>director tecnologico en dytar latam - inteligencia renovable</t>
  </si>
  <si>
    <t>ana inés</t>
  </si>
  <si>
    <t>martins</t>
  </si>
  <si>
    <t>jesica</t>
  </si>
  <si>
    <t>project manager - disney interactive</t>
  </si>
  <si>
    <t>maria luz</t>
  </si>
  <si>
    <t>analista de selección y capacitación ssr.</t>
  </si>
  <si>
    <t>ratcliffe</t>
  </si>
  <si>
    <t>purchasing manager - newsan</t>
  </si>
  <si>
    <t>16,4285714285714</t>
  </si>
  <si>
    <t>badaracco</t>
  </si>
  <si>
    <t>residente de psicología de la región vii</t>
  </si>
  <si>
    <t>velázquez</t>
  </si>
  <si>
    <t>media planner sr.</t>
  </si>
  <si>
    <t>vicente</t>
  </si>
  <si>
    <t>venosa</t>
  </si>
  <si>
    <t>juan mariano</t>
  </si>
  <si>
    <t>schenone</t>
  </si>
  <si>
    <t>gerente de homologación</t>
  </si>
  <si>
    <t>morresi</t>
  </si>
  <si>
    <t>executive leader</t>
  </si>
  <si>
    <t>erick</t>
  </si>
  <si>
    <t>senior director of technology &amp; software product</t>
  </si>
  <si>
    <t>fuoco</t>
  </si>
  <si>
    <t>business intelligence &amp; performance manager</t>
  </si>
  <si>
    <t>gerente procesos y comunicación - customer care</t>
  </si>
  <si>
    <t>la morgia</t>
  </si>
  <si>
    <t>project manager software developement</t>
  </si>
  <si>
    <t>di sanzo</t>
  </si>
  <si>
    <t>presidente del capitulo contact center</t>
  </si>
  <si>
    <t>ruscitti</t>
  </si>
  <si>
    <t>Furniture</t>
  </si>
  <si>
    <t>guillen</t>
  </si>
  <si>
    <t>project manager cisco rewards latam - partner led</t>
  </si>
  <si>
    <t>delorenzini</t>
  </si>
  <si>
    <t>josé luis</t>
  </si>
  <si>
    <t>pose</t>
  </si>
  <si>
    <t>director general</t>
  </si>
  <si>
    <t>marchese</t>
  </si>
  <si>
    <t>fernández</t>
  </si>
  <si>
    <t>director de actualización e innovación en sistemas de gestión municipal</t>
  </si>
  <si>
    <t>juan daniel</t>
  </si>
  <si>
    <t>abad</t>
  </si>
  <si>
    <t>perez cometto</t>
  </si>
  <si>
    <t>ingeniero de operaciones (producción)</t>
  </si>
  <si>
    <t>mirna.</t>
  </si>
  <si>
    <t>curti</t>
  </si>
  <si>
    <t>lider departamento contable</t>
  </si>
  <si>
    <t>services &amp; projects manager</t>
  </si>
  <si>
    <t>cerrella</t>
  </si>
  <si>
    <t>spano</t>
  </si>
  <si>
    <t>carlota</t>
  </si>
  <si>
    <t>dadamo</t>
  </si>
  <si>
    <t>seracchioli</t>
  </si>
  <si>
    <t>ylarri</t>
  </si>
  <si>
    <t>direct sales &amp; acquisition</t>
  </si>
  <si>
    <t>maria sol</t>
  </si>
  <si>
    <t>pignani</t>
  </si>
  <si>
    <t>online marketing sr analyst</t>
  </si>
  <si>
    <t>g.</t>
  </si>
  <si>
    <t>international business development | technical sales | energy | oil &amp; gas</t>
  </si>
  <si>
    <t>brisbane, australia</t>
  </si>
  <si>
    <t>fernandez varela</t>
  </si>
  <si>
    <t>maría soledad</t>
  </si>
  <si>
    <t>varela</t>
  </si>
  <si>
    <t>project follow up and software analist</t>
  </si>
  <si>
    <t>baures mba</t>
  </si>
  <si>
    <t>fernandez tasende</t>
  </si>
  <si>
    <t>aro</t>
  </si>
  <si>
    <t>socia-gerente</t>
  </si>
  <si>
    <t>storozenko</t>
  </si>
  <si>
    <t>sap basis administrator</t>
  </si>
  <si>
    <t>alarcón rodríguez</t>
  </si>
  <si>
    <t>supervisor de soporte a la producción it</t>
  </si>
  <si>
    <t>galante</t>
  </si>
  <si>
    <t>gerente de ingenieria y servicios</t>
  </si>
  <si>
    <t>panizza</t>
  </si>
  <si>
    <t>commercial assitant, marketing &amp; training</t>
  </si>
  <si>
    <t>giadas</t>
  </si>
  <si>
    <t>asistente de cuentas</t>
  </si>
  <si>
    <t>javier h.</t>
  </si>
  <si>
    <t>yamamoto</t>
  </si>
  <si>
    <t>it evoluxion consultant</t>
  </si>
  <si>
    <t>feiges</t>
  </si>
  <si>
    <t>pueyrredon</t>
  </si>
  <si>
    <t>global hr service management architecture lead</t>
  </si>
  <si>
    <t>knowledge management &amp; pmp</t>
  </si>
  <si>
    <t>hammoe</t>
  </si>
  <si>
    <t>reggiani</t>
  </si>
  <si>
    <t>specialist solutions consultant - file content &amp; cloud architect</t>
  </si>
  <si>
    <t>aradó</t>
  </si>
  <si>
    <t>bence</t>
  </si>
  <si>
    <t>human resources director</t>
  </si>
  <si>
    <t>frau</t>
  </si>
  <si>
    <t>vietri</t>
  </si>
  <si>
    <t>gerente comercial - eventos corporativos -</t>
  </si>
  <si>
    <t>volman</t>
  </si>
  <si>
    <t>cormenzana</t>
  </si>
  <si>
    <t>database &amp; infraestructure director</t>
  </si>
  <si>
    <t>lettieri</t>
  </si>
  <si>
    <t>datastar manager</t>
  </si>
  <si>
    <t>ciuffo</t>
  </si>
  <si>
    <t>signorelli</t>
  </si>
  <si>
    <t>gerente de capacitacion &amp; desarrollo</t>
  </si>
  <si>
    <t>taiana</t>
  </si>
  <si>
    <t>grande</t>
  </si>
  <si>
    <t>ingeniero en sistemas de información (utn) / java developer</t>
  </si>
  <si>
    <t>andiarena</t>
  </si>
  <si>
    <t>ejecutivo de cuentas corporativas</t>
  </si>
  <si>
    <t>sr talent acquisition specialist</t>
  </si>
  <si>
    <t>ceraso</t>
  </si>
  <si>
    <t>community manager</t>
  </si>
  <si>
    <t>maria angela</t>
  </si>
  <si>
    <t>fusco</t>
  </si>
  <si>
    <t>berlanga</t>
  </si>
  <si>
    <t>analista de recursos humanos en grupo pragma consultores</t>
  </si>
  <si>
    <t>vanrell</t>
  </si>
  <si>
    <t>gerente de cuentas</t>
  </si>
  <si>
    <t>tortesi</t>
  </si>
  <si>
    <t>supervisora selección y desarrollo</t>
  </si>
  <si>
    <t>de lorenzi</t>
  </si>
  <si>
    <t>brizuela</t>
  </si>
  <si>
    <t>andrei</t>
  </si>
  <si>
    <t>calcina</t>
  </si>
  <si>
    <t>solution architect</t>
  </si>
  <si>
    <t>eloy</t>
  </si>
  <si>
    <t>farina</t>
  </si>
  <si>
    <t>it 2º y 3º nivel</t>
  </si>
  <si>
    <t>de jesus</t>
  </si>
  <si>
    <t>it media &amp; marketing specialist</t>
  </si>
  <si>
    <t>thiago</t>
  </si>
  <si>
    <t>arroadie</t>
  </si>
  <si>
    <t>carbajal</t>
  </si>
  <si>
    <t>owner mas voz - prensa - comunicaciones - marketing</t>
  </si>
  <si>
    <t>gustavo a.</t>
  </si>
  <si>
    <t>espindola</t>
  </si>
  <si>
    <t>marquez baez</t>
  </si>
  <si>
    <t>hr specialist</t>
  </si>
  <si>
    <t>menezes</t>
  </si>
  <si>
    <t>institutional relations manager</t>
  </si>
  <si>
    <t>gorleri</t>
  </si>
  <si>
    <t>guillermo nicolás</t>
  </si>
  <si>
    <t>discoli</t>
  </si>
  <si>
    <t>hr generalist</t>
  </si>
  <si>
    <t>javier prudencio</t>
  </si>
  <si>
    <t>paredes</t>
  </si>
  <si>
    <t>arquitecto de software</t>
  </si>
  <si>
    <t>adriana b.</t>
  </si>
  <si>
    <t>bonavita</t>
  </si>
  <si>
    <t>directora de desarrollo de carrera</t>
  </si>
  <si>
    <t>rey goitia</t>
  </si>
  <si>
    <t>bianca</t>
  </si>
  <si>
    <t>sundell</t>
  </si>
  <si>
    <t>finance senior consultant</t>
  </si>
  <si>
    <t>13,42</t>
  </si>
  <si>
    <t>luna</t>
  </si>
  <si>
    <t>marketing, atencion a clientes, eventos.</t>
  </si>
  <si>
    <t>san jose, california, United States</t>
  </si>
  <si>
    <t>14,5533333333333</t>
  </si>
  <si>
    <t>en búsqueda de nuevas oportunidades.</t>
  </si>
  <si>
    <t>gerente de planeamiento estratégico e inteligencia competitiva</t>
  </si>
  <si>
    <t>heine</t>
  </si>
  <si>
    <t>mass market marketing and handsets manager</t>
  </si>
  <si>
    <t>ennis</t>
  </si>
  <si>
    <t>bases</t>
  </si>
  <si>
    <t>communication &amp; marketing responsible</t>
  </si>
  <si>
    <t>asesora</t>
  </si>
  <si>
    <t>prigent</t>
  </si>
  <si>
    <t>manager, disney interactive guest experience - latam</t>
  </si>
  <si>
    <t>delfina</t>
  </si>
  <si>
    <t>cavalli</t>
  </si>
  <si>
    <t>jimenez bonino</t>
  </si>
  <si>
    <t>field support specialist</t>
  </si>
  <si>
    <t>Warehousing</t>
  </si>
  <si>
    <t>juan gabriel</t>
  </si>
  <si>
    <t>micheletti</t>
  </si>
  <si>
    <t>petruzzi</t>
  </si>
  <si>
    <t>martinez carlevaro</t>
  </si>
  <si>
    <t>norberto rubén</t>
  </si>
  <si>
    <t>desarrollador sr. pl/sql</t>
  </si>
  <si>
    <t>tonina</t>
  </si>
  <si>
    <t>acosta</t>
  </si>
  <si>
    <t>php senior developer and new technologies</t>
  </si>
  <si>
    <t>serrano g.</t>
  </si>
  <si>
    <t>training and development leader</t>
  </si>
  <si>
    <t>amat</t>
  </si>
  <si>
    <t>jorge luis</t>
  </si>
  <si>
    <t>falcone</t>
  </si>
  <si>
    <t>sales specialist</t>
  </si>
  <si>
    <t>hind</t>
  </si>
  <si>
    <t>senior new business consultant</t>
  </si>
  <si>
    <t>derby, united kingdom</t>
  </si>
  <si>
    <t>rashesh</t>
  </si>
  <si>
    <t>joshi bsc fca miod</t>
  </si>
  <si>
    <t>gamble</t>
  </si>
  <si>
    <t>organizer</t>
  </si>
  <si>
    <t>furman mba</t>
  </si>
  <si>
    <t>finance manager</t>
  </si>
  <si>
    <t>di toro</t>
  </si>
  <si>
    <t>balvorin</t>
  </si>
  <si>
    <t>analista -gestion de nomina-</t>
  </si>
  <si>
    <t>tettamanti</t>
  </si>
  <si>
    <t>consultora sr.</t>
  </si>
  <si>
    <t>almanza</t>
  </si>
  <si>
    <t>gerente de selección y capacitación</t>
  </si>
  <si>
    <t>sulkies</t>
  </si>
  <si>
    <t>servide</t>
  </si>
  <si>
    <t>gerente regional buenos aires &amp; uruguay.</t>
  </si>
  <si>
    <t>gorin</t>
  </si>
  <si>
    <t>product &amp; marketing manager</t>
  </si>
  <si>
    <t>segovia</t>
  </si>
  <si>
    <t>product manager</t>
  </si>
  <si>
    <t>tisera</t>
  </si>
  <si>
    <t>di lorenzo méndez</t>
  </si>
  <si>
    <t>todino</t>
  </si>
  <si>
    <t>carina</t>
  </si>
  <si>
    <t>bonetto</t>
  </si>
  <si>
    <t>director ejecutivo</t>
  </si>
  <si>
    <t>trinidad</t>
  </si>
  <si>
    <t>referente de capacitaciones online</t>
  </si>
  <si>
    <t>raiban</t>
  </si>
  <si>
    <t>daniel tomas</t>
  </si>
  <si>
    <t>moser</t>
  </si>
  <si>
    <t>on-line cio</t>
  </si>
  <si>
    <t>ricardo alfredo</t>
  </si>
  <si>
    <t>correa</t>
  </si>
  <si>
    <t>responsible for finance - latin american region</t>
  </si>
  <si>
    <t>darin</t>
  </si>
  <si>
    <t>blanga</t>
  </si>
  <si>
    <t>lopez lastra</t>
  </si>
  <si>
    <t>andrada</t>
  </si>
  <si>
    <t>mazzoli</t>
  </si>
  <si>
    <t>coordinadora y reclutadora it</t>
  </si>
  <si>
    <t>joaquín</t>
  </si>
  <si>
    <t>llorca</t>
  </si>
  <si>
    <t>service operation manager at caterpillar inc.</t>
  </si>
  <si>
    <t>ejecutivo de ventas equipos minería</t>
  </si>
  <si>
    <t>fenoglio</t>
  </si>
  <si>
    <t>gte de hr . -</t>
  </si>
  <si>
    <t>balbi</t>
  </si>
  <si>
    <t>socia</t>
  </si>
  <si>
    <t>barsky</t>
  </si>
  <si>
    <t>tamara</t>
  </si>
  <si>
    <t>santiago mba</t>
  </si>
  <si>
    <t>carrazzoni</t>
  </si>
  <si>
    <t>gerente general regional argentina</t>
  </si>
  <si>
    <t>casadella</t>
  </si>
  <si>
    <t>gerente operaciones zona sur</t>
  </si>
  <si>
    <t>chyu</t>
  </si>
  <si>
    <t>business development executive for asia pacific</t>
  </si>
  <si>
    <t>kantorowicz</t>
  </si>
  <si>
    <t>information security consultant</t>
  </si>
  <si>
    <t>dandrea</t>
  </si>
  <si>
    <t>architecture &amp; integration / store &amp; point of sales applications regional manager at cencosud s.a.</t>
  </si>
  <si>
    <t>fernando javier</t>
  </si>
  <si>
    <t>cossa</t>
  </si>
  <si>
    <t>tiesi</t>
  </si>
  <si>
    <t>analista rr.hh sr.</t>
  </si>
  <si>
    <t>alejo héctor</t>
  </si>
  <si>
    <t>arrighi</t>
  </si>
  <si>
    <t>megna</t>
  </si>
  <si>
    <t>oracle support analyst</t>
  </si>
  <si>
    <t>consultor pre-venta en hp enterprise buesiness</t>
  </si>
  <si>
    <t>oscar martín</t>
  </si>
  <si>
    <t>monzón</t>
  </si>
  <si>
    <t>jefe de servicio tecnico</t>
  </si>
  <si>
    <t>machin cladera</t>
  </si>
  <si>
    <t>buthay</t>
  </si>
  <si>
    <t>ots lead engineer</t>
  </si>
  <si>
    <t>sr process engineer at projects division</t>
  </si>
  <si>
    <t>jefe zonal de rr.hh.</t>
  </si>
  <si>
    <t>pilar</t>
  </si>
  <si>
    <t>cabrera castilla</t>
  </si>
  <si>
    <t>jefe de sistemas</t>
  </si>
  <si>
    <t>david alan</t>
  </si>
  <si>
    <t>group leader</t>
  </si>
  <si>
    <t>maría josefina</t>
  </si>
  <si>
    <t>lucila maría</t>
  </si>
  <si>
    <t>güelfo salles</t>
  </si>
  <si>
    <t>hr manager latam &amp; brazil</t>
  </si>
  <si>
    <t>brenda</t>
  </si>
  <si>
    <t>baran</t>
  </si>
  <si>
    <t>jorge n.</t>
  </si>
  <si>
    <t>gerente de productos banghó</t>
  </si>
  <si>
    <t>mazza</t>
  </si>
  <si>
    <t>ms sql server dba - it specialist level 3</t>
  </si>
  <si>
    <t>sergio gabriel</t>
  </si>
  <si>
    <t>consultor de recursos humanos para pymes</t>
  </si>
  <si>
    <t>castellano quiroga</t>
  </si>
  <si>
    <t>eivissa, baleares, spain</t>
  </si>
  <si>
    <t>tang</t>
  </si>
  <si>
    <t>recruitment director</t>
  </si>
  <si>
    <t>dunlop cebs clu cfp chfc</t>
  </si>
  <si>
    <t>caggia</t>
  </si>
  <si>
    <t>giani</t>
  </si>
  <si>
    <t>analista de compras grandes clientes - compras ict</t>
  </si>
  <si>
    <t>ayerza</t>
  </si>
  <si>
    <t>bettina</t>
  </si>
  <si>
    <t>services project manager</t>
  </si>
  <si>
    <t>carlos facundo</t>
  </si>
  <si>
    <t>martinelli</t>
  </si>
  <si>
    <t>gerente de zona</t>
  </si>
  <si>
    <t>country manager south cone</t>
  </si>
  <si>
    <t>gasulla</t>
  </si>
  <si>
    <t>director general de defensa civil</t>
  </si>
  <si>
    <t>pourrain</t>
  </si>
  <si>
    <t>cousido</t>
  </si>
  <si>
    <t>key accounts manager</t>
  </si>
  <si>
    <t>isabella</t>
  </si>
  <si>
    <t>unix sr. sys admin de storage hitachi 9985v isr, san, backup, mqseries, businessobjects, middleware.</t>
  </si>
  <si>
    <t>gerente it - reclamos técnicos y workforce</t>
  </si>
  <si>
    <t>suero</t>
  </si>
  <si>
    <t>goodacre</t>
  </si>
  <si>
    <t>sr product &amp; marketing manager- ar,py &amp; uy</t>
  </si>
  <si>
    <t>mariana gabriela</t>
  </si>
  <si>
    <t>rincon</t>
  </si>
  <si>
    <t>federico ariel</t>
  </si>
  <si>
    <t>senior hr analyst</t>
  </si>
  <si>
    <t>piñeiro</t>
  </si>
  <si>
    <t>gallo</t>
  </si>
  <si>
    <t>analista programador sr</t>
  </si>
  <si>
    <t>gazzano</t>
  </si>
  <si>
    <t>15,4368421052632</t>
  </si>
  <si>
    <t>maria victoria</t>
  </si>
  <si>
    <t>güimil</t>
  </si>
  <si>
    <t>coordinador de rr.hh./ comunicación</t>
  </si>
  <si>
    <t>gentili</t>
  </si>
  <si>
    <t>latam it manager</t>
  </si>
  <si>
    <t>Medical Practice</t>
  </si>
  <si>
    <t>lorenzutti</t>
  </si>
  <si>
    <t>pannunzio</t>
  </si>
  <si>
    <t>goldstein</t>
  </si>
  <si>
    <t>business analyst - oracle e-business suite</t>
  </si>
  <si>
    <t>schmeisser</t>
  </si>
  <si>
    <t>field deployment lead, latam</t>
  </si>
  <si>
    <t>héctor</t>
  </si>
  <si>
    <t>director de operaciones comerciales</t>
  </si>
  <si>
    <t>alejandro javier</t>
  </si>
  <si>
    <t>canteli</t>
  </si>
  <si>
    <t>analista sr de compras de infraestructura y entorno</t>
  </si>
  <si>
    <t>aurelio</t>
  </si>
  <si>
    <t>competitive intelligence manager, pan american region</t>
  </si>
  <si>
    <t>federico martín betoldi</t>
  </si>
  <si>
    <t>betoldi</t>
  </si>
  <si>
    <t>caserta</t>
  </si>
  <si>
    <t>sub director en sofrecom argentina sa</t>
  </si>
  <si>
    <t>pestrin</t>
  </si>
  <si>
    <t>peoplesoft developer/technical lead</t>
  </si>
  <si>
    <t>mo</t>
  </si>
  <si>
    <t>oneill</t>
  </si>
  <si>
    <t>recruiter - staffnet, owner and top referred recruiting source</t>
  </si>
  <si>
    <t>miguel villar</t>
  </si>
  <si>
    <t>head of america's shared service center</t>
  </si>
  <si>
    <t>lyon area, france</t>
  </si>
  <si>
    <t>administrador wintel - citrix</t>
  </si>
  <si>
    <t>arguindegui</t>
  </si>
  <si>
    <t>pedro armando</t>
  </si>
  <si>
    <t>almonacid</t>
  </si>
  <si>
    <t>staff corporativo</t>
  </si>
  <si>
    <t>martinez pasman</t>
  </si>
  <si>
    <t>juan diego</t>
  </si>
  <si>
    <t>jefe de realización multimedia lanacion.com y canchallena.com</t>
  </si>
  <si>
    <t>ricci muñoz</t>
  </si>
  <si>
    <t>coordinadora la voz del pueblo online</t>
  </si>
  <si>
    <t>quesada</t>
  </si>
  <si>
    <t>jefe de prensa</t>
  </si>
  <si>
    <t>di rosa</t>
  </si>
  <si>
    <t>analista de selección</t>
  </si>
  <si>
    <t>maria rosa</t>
  </si>
  <si>
    <t>frabasile</t>
  </si>
  <si>
    <t>hernández křeháek</t>
  </si>
  <si>
    <t>jalaty</t>
  </si>
  <si>
    <t>principal recruiter</t>
  </si>
  <si>
    <t>cavagna</t>
  </si>
  <si>
    <t>settlement analyst</t>
  </si>
  <si>
    <t>directora comercial</t>
  </si>
  <si>
    <t>gerente regional de ventas corporativas -claro</t>
  </si>
  <si>
    <t>de pérez</t>
  </si>
  <si>
    <t>román</t>
  </si>
  <si>
    <t>gestor de contenidos web</t>
  </si>
  <si>
    <t>fritz</t>
  </si>
  <si>
    <t>brand planner</t>
  </si>
  <si>
    <t>gonzalez iglesias</t>
  </si>
  <si>
    <t>vidaguren</t>
  </si>
  <si>
    <t>partner &amp; c.o.o.</t>
  </si>
  <si>
    <t>leach</t>
  </si>
  <si>
    <t>logistics operations director</t>
  </si>
  <si>
    <t>mijares</t>
  </si>
  <si>
    <t>area sales manager</t>
  </si>
  <si>
    <t>moreno</t>
  </si>
  <si>
    <t>applications manager</t>
  </si>
  <si>
    <t>moyano</t>
  </si>
  <si>
    <t>gerente de consultoría en management y capital humano (oficina de buenos aires)</t>
  </si>
  <si>
    <t>pallanza</t>
  </si>
  <si>
    <t>bayarsky</t>
  </si>
  <si>
    <t>responsable del Área orientación profesional: adolescentes y adultos</t>
  </si>
  <si>
    <t>recondo</t>
  </si>
  <si>
    <t>head of hr for lta south</t>
  </si>
  <si>
    <t>as sp cansac team leader</t>
  </si>
  <si>
    <t>cantesano</t>
  </si>
  <si>
    <t>dueña/directora creativa</t>
  </si>
  <si>
    <t>mayra</t>
  </si>
  <si>
    <t>desarrollo de negocios direcciona recursos humanos</t>
  </si>
  <si>
    <t>garnero</t>
  </si>
  <si>
    <t>diseñador / director de arte</t>
  </si>
  <si>
    <t>mg.eduardo</t>
  </si>
  <si>
    <t>reina</t>
  </si>
  <si>
    <t>lionel</t>
  </si>
  <si>
    <t>modi</t>
  </si>
  <si>
    <t>portfolio manager</t>
  </si>
  <si>
    <t>de la iglesia</t>
  </si>
  <si>
    <t>director unidad de negocio grandes clientes</t>
  </si>
  <si>
    <t>gretel</t>
  </si>
  <si>
    <t>within 23 wards, tokyo, japan</t>
  </si>
  <si>
    <t>11</t>
  </si>
  <si>
    <t>catalano</t>
  </si>
  <si>
    <t>community &amp; brand manager | on line rrhh | asociado</t>
  </si>
  <si>
    <t>ranieri gonzalez</t>
  </si>
  <si>
    <t>analista de rrhh en manpower</t>
  </si>
  <si>
    <t>barcelona y alrededores, españa</t>
  </si>
  <si>
    <t>17,11</t>
  </si>
  <si>
    <t>danza</t>
  </si>
  <si>
    <t>mercado perez</t>
  </si>
  <si>
    <t>sr. hr analyst</t>
  </si>
  <si>
    <t>ordoñez</t>
  </si>
  <si>
    <t>2013 - 2014 en hannover, alemania.</t>
  </si>
  <si>
    <t>wesenack cfa</t>
  </si>
  <si>
    <t>senior research analyst</t>
  </si>
  <si>
    <t>javiera</t>
  </si>
  <si>
    <t>balmaceda</t>
  </si>
  <si>
    <t>director of programming</t>
  </si>
  <si>
    <t>sandler</t>
  </si>
  <si>
    <t>associate director- energy &amp; utilities</t>
  </si>
  <si>
    <t>vaillard</t>
  </si>
  <si>
    <t>regional coordinator for amd, liberty re &amp; baufest (argentina, chile, colombia, panama, peru)</t>
  </si>
  <si>
    <t>silberman</t>
  </si>
  <si>
    <t>palli</t>
  </si>
  <si>
    <t>administracion de ventas en vicsa</t>
  </si>
  <si>
    <t>15,4285714285714</t>
  </si>
  <si>
    <t>szydlowski</t>
  </si>
  <si>
    <t>coordinadora marketing retail</t>
  </si>
  <si>
    <t>cañibano</t>
  </si>
  <si>
    <t>director de recursos humanos</t>
  </si>
  <si>
    <t>account manager latam</t>
  </si>
  <si>
    <t>Political Organization</t>
  </si>
  <si>
    <t>marina virginia</t>
  </si>
  <si>
    <t>aragonés</t>
  </si>
  <si>
    <t>encargada de rrhh</t>
  </si>
  <si>
    <t>gabriela yanina</t>
  </si>
  <si>
    <t>assad</t>
  </si>
  <si>
    <t>panciera</t>
  </si>
  <si>
    <t>natali s.</t>
  </si>
  <si>
    <t>lloret</t>
  </si>
  <si>
    <t>ejecutivo de producto speedy, adquisición de clientes, unidad de negocios residenciales.</t>
  </si>
  <si>
    <t>gerente comercial empleos</t>
  </si>
  <si>
    <t>recepcionista</t>
  </si>
  <si>
    <t>monetto</t>
  </si>
  <si>
    <t>director product management</t>
  </si>
  <si>
    <t>maria catalina</t>
  </si>
  <si>
    <t>arnaldo</t>
  </si>
  <si>
    <t>viale</t>
  </si>
  <si>
    <t>consultora sr</t>
  </si>
  <si>
    <t>mariano ruben</t>
  </si>
  <si>
    <t>ghirelli</t>
  </si>
  <si>
    <t>rocío</t>
  </si>
  <si>
    <t>bustamante</t>
  </si>
  <si>
    <t>advisory practice manager -</t>
  </si>
  <si>
    <t>pasini</t>
  </si>
  <si>
    <t>consultora asociada</t>
  </si>
  <si>
    <t>noelia</t>
  </si>
  <si>
    <t>del ben</t>
  </si>
  <si>
    <t>puppo</t>
  </si>
  <si>
    <t>administrador unix</t>
  </si>
  <si>
    <t>panchenko</t>
  </si>
  <si>
    <t>head of marketing lta south</t>
  </si>
  <si>
    <t>galazzi</t>
  </si>
  <si>
    <t>ferrario</t>
  </si>
  <si>
    <t>rogowy</t>
  </si>
  <si>
    <t>product specialist</t>
  </si>
  <si>
    <t>product manager negocios de seguridad</t>
  </si>
  <si>
    <t>network engineer</t>
  </si>
  <si>
    <t>vissani</t>
  </si>
  <si>
    <t>responsable de marketing y publicidad</t>
  </si>
  <si>
    <t>analista de marketing online y administrador adserver</t>
  </si>
  <si>
    <t>supervisor de system management</t>
  </si>
  <si>
    <t>morán vallejos</t>
  </si>
  <si>
    <t>adm &amp; hr manager</t>
  </si>
  <si>
    <t>arnaiz</t>
  </si>
  <si>
    <t>sr. mis &amp; planning analyst</t>
  </si>
  <si>
    <t>rama</t>
  </si>
  <si>
    <t>head of copy</t>
  </si>
  <si>
    <t>griffouliere</t>
  </si>
  <si>
    <t>gabriel fabián</t>
  </si>
  <si>
    <t>gerente comercial, logística y operaciones.</t>
  </si>
  <si>
    <t>belotti</t>
  </si>
  <si>
    <t>senior systems sales consultant</t>
  </si>
  <si>
    <t>rousseaux</t>
  </si>
  <si>
    <t>nardi</t>
  </si>
  <si>
    <t>lucía</t>
  </si>
  <si>
    <t>coordinador de Área</t>
  </si>
  <si>
    <t>lang</t>
  </si>
  <si>
    <t>defez</t>
  </si>
  <si>
    <t>mari</t>
  </si>
  <si>
    <t>resource manager - software factory manager</t>
  </si>
  <si>
    <t>gerardo adrián</t>
  </si>
  <si>
    <t>director de estrategias digitales</t>
  </si>
  <si>
    <t>tiseira</t>
  </si>
  <si>
    <t>selectora y evaluadora free lance</t>
  </si>
  <si>
    <t>alejandro gabriel</t>
  </si>
  <si>
    <t>tombesi</t>
  </si>
  <si>
    <t>gomez vieyra</t>
  </si>
  <si>
    <t>17,59</t>
  </si>
  <si>
    <t>canedo</t>
  </si>
  <si>
    <t>gustavo marcelo</t>
  </si>
  <si>
    <t>berkovics</t>
  </si>
  <si>
    <t>vod coordinator</t>
  </si>
  <si>
    <t>visintin</t>
  </si>
  <si>
    <t>specialist it systems senior</t>
  </si>
  <si>
    <t>dalamòn</t>
  </si>
  <si>
    <t>marketing &amp; comercial</t>
  </si>
  <si>
    <t>13,6916666666667</t>
  </si>
  <si>
    <t>kasiopea.net - direct &amp; interactive marketing director</t>
  </si>
  <si>
    <t>pablo a.</t>
  </si>
  <si>
    <t>jefe de procesos y normativa</t>
  </si>
  <si>
    <t>renes</t>
  </si>
  <si>
    <t>sr abap consultant</t>
  </si>
  <si>
    <t>experienced executive director and high tech business manager</t>
  </si>
  <si>
    <t>vicenzotti</t>
  </si>
  <si>
    <t>trezza</t>
  </si>
  <si>
    <t>luraschi</t>
  </si>
  <si>
    <t>andrino</t>
  </si>
  <si>
    <t>key account executive - telefonica</t>
  </si>
  <si>
    <t>pía</t>
  </si>
  <si>
    <t>cambariere</t>
  </si>
  <si>
    <t>directora general</t>
  </si>
  <si>
    <t>yamada</t>
  </si>
  <si>
    <t>administration manager</t>
  </si>
  <si>
    <t>dalotto</t>
  </si>
  <si>
    <t>applications development - specialist</t>
  </si>
  <si>
    <t>coiro</t>
  </si>
  <si>
    <t>gerente de proyecto</t>
  </si>
  <si>
    <t>timpanaro</t>
  </si>
  <si>
    <t>kappes</t>
  </si>
  <si>
    <t>lu</t>
  </si>
  <si>
    <t>hirthe</t>
  </si>
  <si>
    <t>Ángel</t>
  </si>
  <si>
    <t>colángelo</t>
  </si>
  <si>
    <t>analista de comunicaciones y relaciones públicas</t>
  </si>
  <si>
    <t>wlasiuk</t>
  </si>
  <si>
    <t>auditoria y asesoramiento gerencial</t>
  </si>
  <si>
    <t>Ranching</t>
  </si>
  <si>
    <t>alvaro</t>
  </si>
  <si>
    <t>gomez barraza</t>
  </si>
  <si>
    <t>eslava lopez</t>
  </si>
  <si>
    <t>analista de control de calidad (qa)</t>
  </si>
  <si>
    <t>mareque</t>
  </si>
  <si>
    <t>regional network administrator</t>
  </si>
  <si>
    <t>arneri</t>
  </si>
  <si>
    <t>jefe de marketing y desarrollo comecial</t>
  </si>
  <si>
    <t>tomassoni</t>
  </si>
  <si>
    <t>marketing y publicidad</t>
  </si>
  <si>
    <t>pietraroia</t>
  </si>
  <si>
    <t>barletta</t>
  </si>
  <si>
    <t>coordinador regional de selecci&amp;#xf2;n</t>
  </si>
  <si>
    <t>espósito</t>
  </si>
  <si>
    <t>asesora comercial</t>
  </si>
  <si>
    <t>gisela analia</t>
  </si>
  <si>
    <t>vallejo</t>
  </si>
  <si>
    <t>ingeniero preventas</t>
  </si>
  <si>
    <t>ressia</t>
  </si>
  <si>
    <t>wizenfeld</t>
  </si>
  <si>
    <t>sessarego</t>
  </si>
  <si>
    <t>jefe de gobierno de seguridad</t>
  </si>
  <si>
    <t>canelo</t>
  </si>
  <si>
    <t>consultor datawarehouse / business intelligence - programador oracle pl/sql</t>
  </si>
  <si>
    <t>maría celeste</t>
  </si>
  <si>
    <t>pelle</t>
  </si>
  <si>
    <t>project manager para volkswagen argentina s.a.</t>
  </si>
  <si>
    <t>pascar</t>
  </si>
  <si>
    <t>reguilón</t>
  </si>
  <si>
    <t>sap bi - ip / bw - bps / bw - lsa consultant</t>
  </si>
  <si>
    <t>vigilante</t>
  </si>
  <si>
    <t>giaquinta</t>
  </si>
  <si>
    <t>hr consultant for argentina, chile and the us (washington, dc metropolitan area)</t>
  </si>
  <si>
    <t>goldmann</t>
  </si>
  <si>
    <t>sap bpc expert</t>
  </si>
  <si>
    <t>geraldine</t>
  </si>
  <si>
    <t>czarny</t>
  </si>
  <si>
    <t>reclutamiento xerox</t>
  </si>
  <si>
    <t>mexicolatam</t>
  </si>
  <si>
    <t>reclutamiento</t>
  </si>
  <si>
    <t>adriana gabriela</t>
  </si>
  <si>
    <t>canova</t>
  </si>
  <si>
    <t>head of products &amp; segments personal financial services</t>
  </si>
  <si>
    <t>voneche</t>
  </si>
  <si>
    <t>global lead - healthcare information systems</t>
  </si>
  <si>
    <t>fernandez madero</t>
  </si>
  <si>
    <t>marketing &amp; communications</t>
  </si>
  <si>
    <t>sebastián pablo</t>
  </si>
  <si>
    <t>torrisi</t>
  </si>
  <si>
    <t>gallardo</t>
  </si>
  <si>
    <t>administrator unix</t>
  </si>
  <si>
    <t>cozzi</t>
  </si>
  <si>
    <t>responsable de procesos -reingenieria operativa</t>
  </si>
  <si>
    <t>business manager and operation manager</t>
  </si>
  <si>
    <t>17,9588235294118</t>
  </si>
  <si>
    <t>sepulveda</t>
  </si>
  <si>
    <t>alejandro hernan</t>
  </si>
  <si>
    <t>program analyst en cognizant technology solutions</t>
  </si>
  <si>
    <t>london, reino unido</t>
  </si>
  <si>
    <t>cataldo</t>
  </si>
  <si>
    <t>selectora</t>
  </si>
  <si>
    <t>gambardella</t>
  </si>
  <si>
    <t>böse</t>
  </si>
  <si>
    <t>fanego</t>
  </si>
  <si>
    <t>jefe de gestión de continuidad</t>
  </si>
  <si>
    <t>claudia cristina</t>
  </si>
  <si>
    <t>analista funcional - tecnologia y telecomunicaciones</t>
  </si>
  <si>
    <t>mónica</t>
  </si>
  <si>
    <t>business intelligence consultant - consultor senior</t>
  </si>
  <si>
    <t>venditti</t>
  </si>
  <si>
    <t>3d animator</t>
  </si>
  <si>
    <t>racana consultora</t>
  </si>
  <si>
    <t>paz</t>
  </si>
  <si>
    <t>adscripta a la dirección general</t>
  </si>
  <si>
    <t>lonegro</t>
  </si>
  <si>
    <t>analista sr. de rrhh</t>
  </si>
  <si>
    <t>fariña</t>
  </si>
  <si>
    <t>productor asesor de seguros</t>
  </si>
  <si>
    <t>marro</t>
  </si>
  <si>
    <t>di marzio</t>
  </si>
  <si>
    <t>asistente de recursos humanos</t>
  </si>
  <si>
    <t>romay</t>
  </si>
  <si>
    <t>comprador senior almacen</t>
  </si>
  <si>
    <t>pablo pajon</t>
  </si>
  <si>
    <t>pozzoli</t>
  </si>
  <si>
    <t>south cone manager ( argentina, chile y uruguay)</t>
  </si>
  <si>
    <t>11,83</t>
  </si>
  <si>
    <t>damiani</t>
  </si>
  <si>
    <t>adm. unix</t>
  </si>
  <si>
    <t>caprarulo</t>
  </si>
  <si>
    <t>psicólogo</t>
  </si>
  <si>
    <t>giannattasio</t>
  </si>
  <si>
    <t>coordinador de procesos y líder de proyectos</t>
  </si>
  <si>
    <t>polzella</t>
  </si>
  <si>
    <t>supervisor de ventas</t>
  </si>
  <si>
    <t>alberto m.</t>
  </si>
  <si>
    <t>druetta pmp</t>
  </si>
  <si>
    <t>calegari</t>
  </si>
  <si>
    <t>analista i</t>
  </si>
  <si>
    <t>operadora bilingüe de listing service</t>
  </si>
  <si>
    <t>iturria</t>
  </si>
  <si>
    <t>gerente de administracion y finanzas</t>
  </si>
  <si>
    <t>ramón</t>
  </si>
  <si>
    <t>otero gil</t>
  </si>
  <si>
    <t>gerente administrativo financiero</t>
  </si>
  <si>
    <t>alvarez chaus</t>
  </si>
  <si>
    <t>portnoy rosso</t>
  </si>
  <si>
    <t>oficial de negocios corporativo</t>
  </si>
  <si>
    <t>guajardo</t>
  </si>
  <si>
    <t>líder de proyectos.</t>
  </si>
  <si>
    <t>zagarzazu</t>
  </si>
  <si>
    <t>gm production control manager</t>
  </si>
  <si>
    <t>diana</t>
  </si>
  <si>
    <t>bermudez</t>
  </si>
  <si>
    <t>analista de calidad, procesos y proyectos</t>
  </si>
  <si>
    <t>kahn</t>
  </si>
  <si>
    <t>analista de gestion de aplicaciones</t>
  </si>
  <si>
    <t>yanina</t>
  </si>
  <si>
    <t>ferrero de la torre</t>
  </si>
  <si>
    <t>15,275</t>
  </si>
  <si>
    <t>kiwowicz</t>
  </si>
  <si>
    <t>capability and competence manager - pmo latin america</t>
  </si>
  <si>
    <t>barros giusti</t>
  </si>
  <si>
    <t>hr representative</t>
  </si>
  <si>
    <t>visñuk</t>
  </si>
  <si>
    <t>ordano</t>
  </si>
  <si>
    <t>consultora sr de empleos</t>
  </si>
  <si>
    <t>pementa</t>
  </si>
  <si>
    <t>manager software consulting</t>
  </si>
  <si>
    <t>luvecce</t>
  </si>
  <si>
    <t>cordoba</t>
  </si>
  <si>
    <t>founder partner</t>
  </si>
  <si>
    <t>campetella</t>
  </si>
  <si>
    <t>canal online negocios</t>
  </si>
  <si>
    <t>canosa</t>
  </si>
  <si>
    <t>jefe</t>
  </si>
  <si>
    <t>beloso</t>
  </si>
  <si>
    <t>alexia mariana</t>
  </si>
  <si>
    <t>cifre</t>
  </si>
  <si>
    <t>hyperion sr. consultant (essbase certified)</t>
  </si>
  <si>
    <t>grossetti</t>
  </si>
  <si>
    <t>florentin</t>
  </si>
  <si>
    <t>supervisor de planeamiento de red</t>
  </si>
  <si>
    <t>de carabassa</t>
  </si>
  <si>
    <t>asistente en el area de comunicación y marketing</t>
  </si>
  <si>
    <t>sarramea</t>
  </si>
  <si>
    <t>mosca</t>
  </si>
  <si>
    <t>encargada de selección</t>
  </si>
  <si>
    <t>jefe recursos humanos</t>
  </si>
  <si>
    <t>fermín</t>
  </si>
  <si>
    <t>domínguez</t>
  </si>
  <si>
    <t>jefe de rrhh regional (udn pba)</t>
  </si>
  <si>
    <t>tucciarelli</t>
  </si>
  <si>
    <t>professional education specialist</t>
  </si>
  <si>
    <t>enríquez</t>
  </si>
  <si>
    <t>producción ejecutiva</t>
  </si>
  <si>
    <t>agostina</t>
  </si>
  <si>
    <t>guarnieri</t>
  </si>
  <si>
    <t>pennino</t>
  </si>
  <si>
    <t>analista senior en rrhh</t>
  </si>
  <si>
    <t>mariaandrea</t>
  </si>
  <si>
    <t>bonecco</t>
  </si>
  <si>
    <t>buteler</t>
  </si>
  <si>
    <t>rapanelli</t>
  </si>
  <si>
    <t>dos santos costa</t>
  </si>
  <si>
    <t>cm</t>
  </si>
  <si>
    <t>selección de personal. capacitación. consultoría organizacional.</t>
  </si>
  <si>
    <t>goreico</t>
  </si>
  <si>
    <t>perez dambrosio</t>
  </si>
  <si>
    <t>caffe</t>
  </si>
  <si>
    <t>administrador plataforma contact center - analista sr. lider</t>
  </si>
  <si>
    <t>antonini</t>
  </si>
  <si>
    <t>soporte on-site</t>
  </si>
  <si>
    <t>lempert</t>
  </si>
  <si>
    <t>fornasari</t>
  </si>
  <si>
    <t>gerente de competence center - dirección datacenter</t>
  </si>
  <si>
    <t>anabella solange</t>
  </si>
  <si>
    <t>coordinating office manager en fine art cuisine</t>
  </si>
  <si>
    <t>gasparini</t>
  </si>
  <si>
    <t>lider de proyecto - sap crm plataforma comercial</t>
  </si>
  <si>
    <t>sueldo</t>
  </si>
  <si>
    <t>it analyst, genesys and contact center</t>
  </si>
  <si>
    <t>albaytero</t>
  </si>
  <si>
    <t>diseñadora interactiva sr.</t>
  </si>
  <si>
    <t>claudio marcel</t>
  </si>
  <si>
    <t>system engineer - senior software developer</t>
  </si>
  <si>
    <t>santiso</t>
  </si>
  <si>
    <t>gerente de seguridad de la información</t>
  </si>
  <si>
    <t>gerente regional de aplicaciones</t>
  </si>
  <si>
    <t>benitez</t>
  </si>
  <si>
    <t>administración y comunicación</t>
  </si>
  <si>
    <t>zimmer</t>
  </si>
  <si>
    <t>sr. account</t>
  </si>
  <si>
    <t>mario h.</t>
  </si>
  <si>
    <t>zelarayán</t>
  </si>
  <si>
    <t>manolo</t>
  </si>
  <si>
    <t>catalan</t>
  </si>
  <si>
    <t>creativo</t>
  </si>
  <si>
    <t>gerente deprogramacion</t>
  </si>
  <si>
    <t>minetti</t>
  </si>
  <si>
    <t>jefe de implementaciones datacenter</t>
  </si>
  <si>
    <t>müller</t>
  </si>
  <si>
    <t>responsable de marketing y comunicación</t>
  </si>
  <si>
    <t>chazanavicius</t>
  </si>
  <si>
    <t>ceo &amp; founder en soundstorming | digital marketing technology</t>
  </si>
  <si>
    <t>besano</t>
  </si>
  <si>
    <t>lorenzo</t>
  </si>
  <si>
    <t>director of sales - digital tv broadcast media</t>
  </si>
  <si>
    <t>archenti</t>
  </si>
  <si>
    <t>coto</t>
  </si>
  <si>
    <t>redactora</t>
  </si>
  <si>
    <t>fidel</t>
  </si>
  <si>
    <t>bernachea</t>
  </si>
  <si>
    <t>kruskevich</t>
  </si>
  <si>
    <t>beker</t>
  </si>
  <si>
    <t>uribe</t>
  </si>
  <si>
    <t>co-fundador y director</t>
  </si>
  <si>
    <t>blank lion</t>
  </si>
  <si>
    <t>project manager / sr. recruiter</t>
  </si>
  <si>
    <t>kaseiri</t>
  </si>
  <si>
    <t>fracas</t>
  </si>
  <si>
    <t>ale</t>
  </si>
  <si>
    <t>madeira</t>
  </si>
  <si>
    <t>webmaster ford argentina</t>
  </si>
  <si>
    <t>blumenfeld</t>
  </si>
  <si>
    <t>jefe de cobranzas</t>
  </si>
  <si>
    <t>nélida</t>
  </si>
  <si>
    <t>alfano</t>
  </si>
  <si>
    <t>selector de personal free lance</t>
  </si>
  <si>
    <t>maurer</t>
  </si>
  <si>
    <t>marketing consultant</t>
  </si>
  <si>
    <t>barros</t>
  </si>
  <si>
    <t>natalia e.</t>
  </si>
  <si>
    <t>navarro mugas</t>
  </si>
  <si>
    <t>analista qa / testing de homologación (vates)</t>
  </si>
  <si>
    <t>alberto alejandro</t>
  </si>
  <si>
    <t>brea</t>
  </si>
  <si>
    <t>paladino</t>
  </si>
  <si>
    <t>ejecutiva de cuentas digital</t>
  </si>
  <si>
    <t>alfaro</t>
  </si>
  <si>
    <t>southern cone consumer relations manager</t>
  </si>
  <si>
    <t>dw &amp; bi sr. manager at claro, america movil</t>
  </si>
  <si>
    <t>sarti</t>
  </si>
  <si>
    <t>comercial director</t>
  </si>
  <si>
    <t>federico faustino</t>
  </si>
  <si>
    <t>owner, development/production manager</t>
  </si>
  <si>
    <t>juan andrés</t>
  </si>
  <si>
    <t>mucic</t>
  </si>
  <si>
    <t>devescovi</t>
  </si>
  <si>
    <t>contartese</t>
  </si>
  <si>
    <t>ejecutivo de cuentas senior</t>
  </si>
  <si>
    <t>luis maria vidal</t>
  </si>
  <si>
    <t>team leader - concierge services unit, argentina</t>
  </si>
  <si>
    <t>visillac</t>
  </si>
  <si>
    <t>racioppi</t>
  </si>
  <si>
    <t>division manager - argentina</t>
  </si>
  <si>
    <t>santcovsky</t>
  </si>
  <si>
    <t>nistal</t>
  </si>
  <si>
    <t>josé maría</t>
  </si>
  <si>
    <t>falcioni</t>
  </si>
  <si>
    <t>ravizzini</t>
  </si>
  <si>
    <t>seguridad informatica</t>
  </si>
  <si>
    <t>moogie</t>
  </si>
  <si>
    <t>canazio</t>
  </si>
  <si>
    <t>independent music professional</t>
  </si>
  <si>
    <t>toledo</t>
  </si>
  <si>
    <t>manuel ignacio</t>
  </si>
  <si>
    <t>leal marchena</t>
  </si>
  <si>
    <t>garcia casabal</t>
  </si>
  <si>
    <t>pastor</t>
  </si>
  <si>
    <t>beriachetto</t>
  </si>
  <si>
    <t>coordinador de area - capacitacion tecnica</t>
  </si>
  <si>
    <t>marincola</t>
  </si>
  <si>
    <t>ponce</t>
  </si>
  <si>
    <t>senior software consultant</t>
  </si>
  <si>
    <t>vinitzca</t>
  </si>
  <si>
    <t>areh</t>
  </si>
  <si>
    <t>sweeney</t>
  </si>
  <si>
    <t>manchester, greater manchester, united kingdom</t>
  </si>
  <si>
    <t>godoy</t>
  </si>
  <si>
    <t>diseñadora web</t>
  </si>
  <si>
    <t>salvetti</t>
  </si>
  <si>
    <t>celeste</t>
  </si>
  <si>
    <t>seibel</t>
  </si>
  <si>
    <t>hr business partner para supply chain</t>
  </si>
  <si>
    <t>jefe regional gestión de la demanda - it panamericana</t>
  </si>
  <si>
    <t>angelini</t>
  </si>
  <si>
    <t>jefe de contenidos interactivos</t>
  </si>
  <si>
    <t>luis fernando</t>
  </si>
  <si>
    <t>zepponi</t>
  </si>
  <si>
    <t>bononi</t>
  </si>
  <si>
    <t>licia</t>
  </si>
  <si>
    <t>labate</t>
  </si>
  <si>
    <t>quality assurance analyst &amp; engineering auditor</t>
  </si>
  <si>
    <t>calvo</t>
  </si>
  <si>
    <t>board member – argentina chapter</t>
  </si>
  <si>
    <t>vekselman</t>
  </si>
  <si>
    <t>calderon medellin</t>
  </si>
  <si>
    <t>líder proyectos seguridad información</t>
  </si>
  <si>
    <t>kroll</t>
  </si>
  <si>
    <t>belluschi</t>
  </si>
  <si>
    <t>juan sebastian</t>
  </si>
  <si>
    <t>operador noc</t>
  </si>
  <si>
    <t>maría vanina</t>
  </si>
  <si>
    <t>cali</t>
  </si>
  <si>
    <t>lic. en recursos humanos - titular</t>
  </si>
  <si>
    <t>zapata</t>
  </si>
  <si>
    <t>sap bi-crm-apo team leader for am service</t>
  </si>
  <si>
    <t>diego martin</t>
  </si>
  <si>
    <t>avila mba candidate</t>
  </si>
  <si>
    <t>jefe de tecnologia y servicios it</t>
  </si>
  <si>
    <t>14,45625</t>
  </si>
  <si>
    <t>solanes</t>
  </si>
  <si>
    <t>service delivery project manager</t>
  </si>
  <si>
    <t>donofrio</t>
  </si>
  <si>
    <t>network development manager</t>
  </si>
  <si>
    <t>antoniazzi</t>
  </si>
  <si>
    <t>responsable de redes y comunicaciones</t>
  </si>
  <si>
    <t>julián</t>
  </si>
  <si>
    <t>filippini</t>
  </si>
  <si>
    <t>network planning engineer for nextel argentina</t>
  </si>
  <si>
    <t>ulanovsky</t>
  </si>
  <si>
    <t>founder and partner</t>
  </si>
  <si>
    <t>atencion ventas</t>
  </si>
  <si>
    <t>daniel amato</t>
  </si>
  <si>
    <t>amato</t>
  </si>
  <si>
    <t>3g/lte project manager (consultant) - claro chile</t>
  </si>
  <si>
    <t>15,58</t>
  </si>
  <si>
    <t>salvini</t>
  </si>
  <si>
    <t>armando silvio</t>
  </si>
  <si>
    <t>rojkin</t>
  </si>
  <si>
    <t>ingeniero especializado en dirección de procesos industriales</t>
  </si>
  <si>
    <t>analía</t>
  </si>
  <si>
    <t>canevelli</t>
  </si>
  <si>
    <t>dalla vecchia</t>
  </si>
  <si>
    <t>core network engineer</t>
  </si>
  <si>
    <t>mandelbaum</t>
  </si>
  <si>
    <t>stella maris</t>
  </si>
  <si>
    <t>beraldi</t>
  </si>
  <si>
    <t>heidenreich</t>
  </si>
  <si>
    <t>sciarrotta</t>
  </si>
  <si>
    <t>yah yah</t>
  </si>
  <si>
    <t>ssr. servicedesk</t>
  </si>
  <si>
    <t>mikelj</t>
  </si>
  <si>
    <t>gabilan</t>
  </si>
  <si>
    <t>it applications project leader</t>
  </si>
  <si>
    <t>andres mariano</t>
  </si>
  <si>
    <t>bellero</t>
  </si>
  <si>
    <t>osores</t>
  </si>
  <si>
    <t>nestor</t>
  </si>
  <si>
    <t>abalo</t>
  </si>
  <si>
    <t>gustavo mauricio</t>
  </si>
  <si>
    <t>leandro lionel</t>
  </si>
  <si>
    <t>foggia</t>
  </si>
  <si>
    <t>analista de red</t>
  </si>
  <si>
    <t>beni</t>
  </si>
  <si>
    <t>sap bi consultant analyst iii</t>
  </si>
  <si>
    <t>filipuzzi</t>
  </si>
  <si>
    <t>peralta</t>
  </si>
  <si>
    <t>jefe del dpto de producción - gerencia de sistemas</t>
  </si>
  <si>
    <t>mabel</t>
  </si>
  <si>
    <t>mabel lencina</t>
  </si>
  <si>
    <t>garcía prieto</t>
  </si>
  <si>
    <t>bw support team lead</t>
  </si>
  <si>
    <t>procesamiento de datos - bcp, bia &amp; drp - procesos it - service desk</t>
  </si>
  <si>
    <t>eliaschev</t>
  </si>
  <si>
    <t>desarrollador grails</t>
  </si>
  <si>
    <t>creativo digital - social media manager</t>
  </si>
  <si>
    <t>sr. interactive creative</t>
  </si>
  <si>
    <t>franco a.</t>
  </si>
  <si>
    <t>ceruti</t>
  </si>
  <si>
    <t>software architect / program manager</t>
  </si>
  <si>
    <t>garcía juárez matorras</t>
  </si>
  <si>
    <t>líder de microinformática</t>
  </si>
  <si>
    <t>de santis</t>
  </si>
  <si>
    <t>senior advanced ui designer</t>
  </si>
  <si>
    <t>sankovic</t>
  </si>
  <si>
    <t>diseñador gráfico y web</t>
  </si>
  <si>
    <t>compagni</t>
  </si>
  <si>
    <t>trafficker en makosen</t>
  </si>
  <si>
    <t>terres vidal</t>
  </si>
  <si>
    <t>ejecutiva de cuentas senior</t>
  </si>
  <si>
    <t>angrisani</t>
  </si>
  <si>
    <t>supervisor de centro de computos.</t>
  </si>
  <si>
    <t>césar</t>
  </si>
  <si>
    <t>orsi</t>
  </si>
  <si>
    <t>consultor sap fi/co</t>
  </si>
  <si>
    <t>kilidjian</t>
  </si>
  <si>
    <t>pm ssr</t>
  </si>
  <si>
    <t>osorio</t>
  </si>
  <si>
    <t>gerente comercial para latam</t>
  </si>
  <si>
    <t>porrone</t>
  </si>
  <si>
    <t>consultor fi-co senior (contratada por global resources professional)</t>
  </si>
  <si>
    <t>laurens</t>
  </si>
  <si>
    <t>marin</t>
  </si>
  <si>
    <t>blejman</t>
  </si>
  <si>
    <t>aps consultant</t>
  </si>
  <si>
    <t>pazos</t>
  </si>
  <si>
    <t>station manager - european space agency - mlg satellite tracking station</t>
  </si>
  <si>
    <t>rodrigo nicolás</t>
  </si>
  <si>
    <t>m. valeria</t>
  </si>
  <si>
    <t>maffioly</t>
  </si>
  <si>
    <t>andina silva</t>
  </si>
  <si>
    <t>sr implementation engineer</t>
  </si>
  <si>
    <t>fabián</t>
  </si>
  <si>
    <t>benzoni</t>
  </si>
  <si>
    <t>massicot</t>
  </si>
  <si>
    <t>juan esteban</t>
  </si>
  <si>
    <t>sr. wintel infrastructure specialist &amp; technical leader - level e</t>
  </si>
  <si>
    <t>eduardo gustavo</t>
  </si>
  <si>
    <t>simes</t>
  </si>
  <si>
    <t>Ángeles</t>
  </si>
  <si>
    <t>zocchi</t>
  </si>
  <si>
    <t>savoré</t>
  </si>
  <si>
    <t>puig</t>
  </si>
  <si>
    <t>villamarin</t>
  </si>
  <si>
    <t>cq5 consultant</t>
  </si>
  <si>
    <t>pla</t>
  </si>
  <si>
    <t>cuentas new media (web + mobile)</t>
  </si>
  <si>
    <t>damasco</t>
  </si>
  <si>
    <t>cfm manager - accenture business services buenos aires</t>
  </si>
  <si>
    <t>cirigliano</t>
  </si>
  <si>
    <t>jefa de ventas publicidad</t>
  </si>
  <si>
    <t>venturino</t>
  </si>
  <si>
    <t>wetherbee</t>
  </si>
  <si>
    <t>principal software engineer</t>
  </si>
  <si>
    <t>pittsburgh, pennsylvania</t>
  </si>
  <si>
    <t>da costa sp tsim tsis open networker</t>
  </si>
  <si>
    <t>staffing/hr consultant</t>
  </si>
  <si>
    <t>raquel</t>
  </si>
  <si>
    <t>miara</t>
  </si>
  <si>
    <t>lucila</t>
  </si>
  <si>
    <t>monfort</t>
  </si>
  <si>
    <t>application support (avaya)</t>
  </si>
  <si>
    <t>16,51875</t>
  </si>
  <si>
    <t>urquiola serrano</t>
  </si>
  <si>
    <t>hcrm manager</t>
  </si>
  <si>
    <t>argañaraz</t>
  </si>
  <si>
    <t>terrén</t>
  </si>
  <si>
    <t>bernardi</t>
  </si>
  <si>
    <t>marketing and brand communications - corporate banking</t>
  </si>
  <si>
    <t>ann marie</t>
  </si>
  <si>
    <t>chantal</t>
  </si>
  <si>
    <t>conductora y productora programa de radio ¨desterrados¨ 93.9fm</t>
  </si>
  <si>
    <t>tomassini</t>
  </si>
  <si>
    <t>locutora y periodista</t>
  </si>
  <si>
    <t>paradelo</t>
  </si>
  <si>
    <t>co-fundador</t>
  </si>
  <si>
    <t>hr &amp; administration manager</t>
  </si>
  <si>
    <t>de nevares</t>
  </si>
  <si>
    <t>analista de empleos</t>
  </si>
  <si>
    <t>nurit</t>
  </si>
  <si>
    <t>weitz</t>
  </si>
  <si>
    <t>resource planning specialist</t>
  </si>
  <si>
    <t>beverina</t>
  </si>
  <si>
    <t>albertolli</t>
  </si>
  <si>
    <t>touceda</t>
  </si>
  <si>
    <t>product manager - unidad marketing</t>
  </si>
  <si>
    <t>teplisky</t>
  </si>
  <si>
    <t>senior analyst</t>
  </si>
  <si>
    <t>bazterrica</t>
  </si>
  <si>
    <t>robbio</t>
  </si>
  <si>
    <t>albornoz</t>
  </si>
  <si>
    <t>regional lead sola facilities</t>
  </si>
  <si>
    <t>costallat</t>
  </si>
  <si>
    <t>mobility sales manager</t>
  </si>
  <si>
    <t>galindo</t>
  </si>
  <si>
    <t>branch managing director</t>
  </si>
  <si>
    <t>nombramientos y cobertura territorial - desarrollo de red</t>
  </si>
  <si>
    <t>chemello</t>
  </si>
  <si>
    <t>coordinadora editorial, editora, redactora</t>
  </si>
  <si>
    <t>sandra liliana</t>
  </si>
  <si>
    <t>owner - vanguardia - innovación y diseño en informática y rrhh</t>
  </si>
  <si>
    <t>forti</t>
  </si>
  <si>
    <t>gerente nacional de ventas</t>
  </si>
  <si>
    <t>nanni</t>
  </si>
  <si>
    <t>abate</t>
  </si>
  <si>
    <t>especialista de desarrollo de productos</t>
  </si>
  <si>
    <t>lucena</t>
  </si>
  <si>
    <t>mariano andres</t>
  </si>
  <si>
    <t>llanos tomasini</t>
  </si>
  <si>
    <t>sales account executive</t>
  </si>
  <si>
    <t>limoncelli</t>
  </si>
  <si>
    <t>ana clara</t>
  </si>
  <si>
    <t>capurro</t>
  </si>
  <si>
    <t>jefe de comunicacion e imagen</t>
  </si>
  <si>
    <t>miletti</t>
  </si>
  <si>
    <t>salas bort</t>
  </si>
  <si>
    <t>gándara</t>
  </si>
  <si>
    <t>communications &amp; marketing manager</t>
  </si>
  <si>
    <t>maría paz</t>
  </si>
  <si>
    <t>del rio</t>
  </si>
  <si>
    <t>gerente de servicios de marketing</t>
  </si>
  <si>
    <t>paluci</t>
  </si>
  <si>
    <t>anabel</t>
  </si>
  <si>
    <t>spataro</t>
  </si>
  <si>
    <t>riso</t>
  </si>
  <si>
    <t>rodrigo jose</t>
  </si>
  <si>
    <t>bonfante</t>
  </si>
  <si>
    <t>varangot</t>
  </si>
  <si>
    <t>palacio</t>
  </si>
  <si>
    <t>gerente recursos humanos</t>
  </si>
  <si>
    <t>switach</t>
  </si>
  <si>
    <t>de armas</t>
  </si>
  <si>
    <t>customer development manager</t>
  </si>
  <si>
    <t>lorenzatti</t>
  </si>
  <si>
    <t>salzberg</t>
  </si>
  <si>
    <t>marketing specialist</t>
  </si>
  <si>
    <t>rodríguez pardal</t>
  </si>
  <si>
    <t>aragón</t>
  </si>
  <si>
    <t>sap basis technology consultant</t>
  </si>
  <si>
    <t>marcos nicolas</t>
  </si>
  <si>
    <t>artista conceptual e ilustrador</t>
  </si>
  <si>
    <t>torcuato</t>
  </si>
  <si>
    <t>mur</t>
  </si>
  <si>
    <t>mallia</t>
  </si>
  <si>
    <t>helio</t>
  </si>
  <si>
    <t>carneiro</t>
  </si>
  <si>
    <t>it spanish &amp; portuguese</t>
  </si>
  <si>
    <t>derito</t>
  </si>
  <si>
    <t>producción en canal magazine</t>
  </si>
  <si>
    <t>mantoni</t>
  </si>
  <si>
    <t>terminal director argentina, uruguay &amp; paraguay</t>
  </si>
  <si>
    <t>bluvol</t>
  </si>
  <si>
    <t>chanampa</t>
  </si>
  <si>
    <t>coordinador de medios</t>
  </si>
  <si>
    <t>elias</t>
  </si>
  <si>
    <t>traficker team leader for italy</t>
  </si>
  <si>
    <t>pepo</t>
  </si>
  <si>
    <t>bianciotto</t>
  </si>
  <si>
    <t>rico</t>
  </si>
  <si>
    <t>business director</t>
  </si>
  <si>
    <t>braier</t>
  </si>
  <si>
    <t>sr digital planner</t>
  </si>
  <si>
    <t>rafael carlos</t>
  </si>
  <si>
    <t>giovagnoli</t>
  </si>
  <si>
    <t>government affairs expert</t>
  </si>
  <si>
    <t>bellesi</t>
  </si>
  <si>
    <t>compumundo</t>
  </si>
  <si>
    <t>barrientos</t>
  </si>
  <si>
    <t>gaston daniel</t>
  </si>
  <si>
    <t>fedele</t>
  </si>
  <si>
    <t>saba</t>
  </si>
  <si>
    <t>lider de testing</t>
  </si>
  <si>
    <t>13,1736842105263</t>
  </si>
  <si>
    <t>bujan</t>
  </si>
  <si>
    <t>head of operations</t>
  </si>
  <si>
    <t>caccavo</t>
  </si>
  <si>
    <t>sr. digital planner</t>
  </si>
  <si>
    <t>arias duval</t>
  </si>
  <si>
    <t>coordinadora</t>
  </si>
  <si>
    <t>limardo</t>
  </si>
  <si>
    <t>planner en arena</t>
  </si>
  <si>
    <t>stier</t>
  </si>
  <si>
    <t>associate professor</t>
  </si>
  <si>
    <t>erica micaela</t>
  </si>
  <si>
    <t>sql dba</t>
  </si>
  <si>
    <t>leonardo javier</t>
  </si>
  <si>
    <t>do pazo</t>
  </si>
  <si>
    <t>banca empresas</t>
  </si>
  <si>
    <t>pons</t>
  </si>
  <si>
    <t>generalista de rr.hh</t>
  </si>
  <si>
    <t>francisco martin</t>
  </si>
  <si>
    <t>digital account executive</t>
  </si>
  <si>
    <t>baigorria</t>
  </si>
  <si>
    <t>directora de cuentas</t>
  </si>
  <si>
    <t>carlos j.</t>
  </si>
  <si>
    <t>scheinkman</t>
  </si>
  <si>
    <t>guarino</t>
  </si>
  <si>
    <t>jefe de producto taragüi (yerba mate, mate cocido y te)</t>
  </si>
  <si>
    <t>cordeyro equiza</t>
  </si>
  <si>
    <t>sales manager - big clients -</t>
  </si>
  <si>
    <t>mon</t>
  </si>
  <si>
    <t>gerente de mkt</t>
  </si>
  <si>
    <t>translator</t>
  </si>
  <si>
    <t>crosinelli</t>
  </si>
  <si>
    <t>od manager &amp; business partner</t>
  </si>
  <si>
    <t>rodríguez viudez</t>
  </si>
  <si>
    <t>stigliano</t>
  </si>
  <si>
    <t>giachino chávez</t>
  </si>
  <si>
    <t>eduardo j.</t>
  </si>
  <si>
    <t>martin eyras</t>
  </si>
  <si>
    <t>programas de entrenamiento personalizados</t>
  </si>
  <si>
    <t>tomasella</t>
  </si>
  <si>
    <t>bien</t>
  </si>
  <si>
    <t>zimmermann</t>
  </si>
  <si>
    <t>pettina</t>
  </si>
  <si>
    <t>jorge rafael</t>
  </si>
  <si>
    <t>senior r&amp;d software engineer</t>
  </si>
  <si>
    <t>muniagorri</t>
  </si>
  <si>
    <t>guntin</t>
  </si>
  <si>
    <t>gregorio</t>
  </si>
  <si>
    <t>analista funcional ssr</t>
  </si>
  <si>
    <t>josé ignacio</t>
  </si>
  <si>
    <t>bano</t>
  </si>
  <si>
    <t>mario j.</t>
  </si>
  <si>
    <t>vargas valles</t>
  </si>
  <si>
    <t>santa fe, distrito federal, mexico</t>
  </si>
  <si>
    <t>pagés</t>
  </si>
  <si>
    <t>estudiante de cs. economicas (uba)</t>
  </si>
  <si>
    <t>zajaczkowski</t>
  </si>
  <si>
    <t>coordinador field support</t>
  </si>
  <si>
    <t>luza</t>
  </si>
  <si>
    <t>pica</t>
  </si>
  <si>
    <t>menezes ferronatto</t>
  </si>
  <si>
    <t>game &amp; content designer</t>
  </si>
  <si>
    <t>community of practice advisory group</t>
  </si>
  <si>
    <t>toledo, ohio area, united states</t>
  </si>
  <si>
    <t>marina miró</t>
  </si>
  <si>
    <t>marketing estratégico</t>
  </si>
  <si>
    <t>marketing manager &amp; commercial development for argentina</t>
  </si>
  <si>
    <t>margulis</t>
  </si>
  <si>
    <t>15,7526315789474</t>
  </si>
  <si>
    <t>mirta</t>
  </si>
  <si>
    <t>oldrini</t>
  </si>
  <si>
    <t>cpn- adm. y finanzas-contabilidad de negocios-petrobras energìa s.a.</t>
  </si>
  <si>
    <t>de los santos</t>
  </si>
  <si>
    <t>ariel alberto</t>
  </si>
  <si>
    <t>senior programmer</t>
  </si>
  <si>
    <t>azanza arias</t>
  </si>
  <si>
    <t>bienvenido</t>
  </si>
  <si>
    <t>gestion de demanda</t>
  </si>
  <si>
    <t>tapia</t>
  </si>
  <si>
    <t>senior planner</t>
  </si>
  <si>
    <t>antonela</t>
  </si>
  <si>
    <t>media buying team manager</t>
  </si>
  <si>
    <t>fillmann</t>
  </si>
  <si>
    <t>director de servicios (arg - chl - ury)</t>
  </si>
  <si>
    <t>ciso</t>
  </si>
  <si>
    <t>andelman</t>
  </si>
  <si>
    <t>director/partner</t>
  </si>
  <si>
    <t>queimaliños</t>
  </si>
  <si>
    <t>vela</t>
  </si>
  <si>
    <t>administrador</t>
  </si>
  <si>
    <t>digital marketing coordinator</t>
  </si>
  <si>
    <t>bitocco</t>
  </si>
  <si>
    <t>tchechenistky</t>
  </si>
  <si>
    <t>nora</t>
  </si>
  <si>
    <t>gerente de consultoría en novasearch recursos humanos</t>
  </si>
  <si>
    <t>soporte técnico redes, servidores y terminales</t>
  </si>
  <si>
    <t>britos quintas</t>
  </si>
  <si>
    <t>directora de proyectos</t>
  </si>
  <si>
    <t>luis arturo</t>
  </si>
  <si>
    <t>revista ergo</t>
  </si>
  <si>
    <t>adrha</t>
  </si>
  <si>
    <t>revista especializada en rrhh</t>
  </si>
  <si>
    <t>bray</t>
  </si>
  <si>
    <t>coordinador general</t>
  </si>
  <si>
    <t>bavaro</t>
  </si>
  <si>
    <t>liquidador de haberes</t>
  </si>
  <si>
    <t>ghelman</t>
  </si>
  <si>
    <t>hidalgo</t>
  </si>
  <si>
    <t>profesor</t>
  </si>
  <si>
    <t>ghirardi</t>
  </si>
  <si>
    <t>sap hcm analyst</t>
  </si>
  <si>
    <t>gonzalez taboada</t>
  </si>
  <si>
    <t>fontana</t>
  </si>
  <si>
    <t>imagen y comunicación</t>
  </si>
  <si>
    <t>boeri</t>
  </si>
  <si>
    <t>santillan</t>
  </si>
  <si>
    <t>profesora de nivel medio</t>
  </si>
  <si>
    <t>irene</t>
  </si>
  <si>
    <t>meleg</t>
  </si>
  <si>
    <t>administration</t>
  </si>
  <si>
    <t>feil</t>
  </si>
  <si>
    <t>gastón ariel</t>
  </si>
  <si>
    <t>rosa</t>
  </si>
  <si>
    <t>faraone</t>
  </si>
  <si>
    <t>nuchi</t>
  </si>
  <si>
    <t>director &amp; partner</t>
  </si>
  <si>
    <t>marta susana</t>
  </si>
  <si>
    <t>finance, administration &amp; procurement manager</t>
  </si>
  <si>
    <t>salvatore tadey k</t>
  </si>
  <si>
    <t>balian</t>
  </si>
  <si>
    <t>luis tomás</t>
  </si>
  <si>
    <t>cucuzza</t>
  </si>
  <si>
    <t>gerente de asuntos legales</t>
  </si>
  <si>
    <t>vigolo</t>
  </si>
  <si>
    <t>responsable de negocios</t>
  </si>
  <si>
    <t>raul arturo</t>
  </si>
  <si>
    <t>magliano</t>
  </si>
  <si>
    <t>visto bueno</t>
  </si>
  <si>
    <t>alan m</t>
  </si>
  <si>
    <t>internet and online services</t>
  </si>
  <si>
    <t>laspoumaderes</t>
  </si>
  <si>
    <t>leonardo gustavo</t>
  </si>
  <si>
    <t>denton</t>
  </si>
  <si>
    <t>bordon</t>
  </si>
  <si>
    <t>analista/programador sr. en accenture technology solution</t>
  </si>
  <si>
    <t>viglione</t>
  </si>
  <si>
    <t>del canto viterale</t>
  </si>
  <si>
    <t>doctorando en estudios internacionales e interculturales</t>
  </si>
  <si>
    <t>bilbao y alrededores, españa</t>
  </si>
  <si>
    <t>9,67</t>
  </si>
  <si>
    <t>canzutti</t>
  </si>
  <si>
    <t>domínguez do amaral</t>
  </si>
  <si>
    <t>gervan</t>
  </si>
  <si>
    <t>lince</t>
  </si>
  <si>
    <t>operaciones/infraestructura</t>
  </si>
  <si>
    <t>veronesi</t>
  </si>
  <si>
    <t>consultor independiente</t>
  </si>
  <si>
    <t>barahona</t>
  </si>
  <si>
    <t>integration engineer &amp; global network engineer</t>
  </si>
  <si>
    <t>barbetta</t>
  </si>
  <si>
    <t>prat gay</t>
  </si>
  <si>
    <t>adnetwork product development manager</t>
  </si>
  <si>
    <t>damato</t>
  </si>
  <si>
    <t>brand sales representative - systems and technology group</t>
  </si>
  <si>
    <t>productora/manager</t>
  </si>
  <si>
    <t>ana cecilia</t>
  </si>
  <si>
    <t>donarelli</t>
  </si>
  <si>
    <t>jefe de compras y contrataciones</t>
  </si>
  <si>
    <t>núñez torres</t>
  </si>
  <si>
    <t>queretaro area, mexico</t>
  </si>
  <si>
    <t>guillermo marcelo</t>
  </si>
  <si>
    <t>group it services (gits) director - latam</t>
  </si>
  <si>
    <t>analista ti</t>
  </si>
  <si>
    <t>davolio</t>
  </si>
  <si>
    <t>las heras</t>
  </si>
  <si>
    <t>marketing executive</t>
  </si>
  <si>
    <t>cfm specialist sr. (client financial management) en accenture</t>
  </si>
  <si>
    <t>maratta</t>
  </si>
  <si>
    <t>bs. as. purchases jr. manager</t>
  </si>
  <si>
    <t>mattioli</t>
  </si>
  <si>
    <t>hernan ignacio</t>
  </si>
  <si>
    <t>radar systems test lead</t>
  </si>
  <si>
    <t>salvucci</t>
  </si>
  <si>
    <t>affiliate marketing &amp; public relations, manager</t>
  </si>
  <si>
    <t>amari</t>
  </si>
  <si>
    <t>orloff</t>
  </si>
  <si>
    <t>urban development specialist - consultant</t>
  </si>
  <si>
    <t>mariano oscar</t>
  </si>
  <si>
    <t>abaca</t>
  </si>
  <si>
    <t>trabajo free-lance.</t>
  </si>
  <si>
    <t>kosaka</t>
  </si>
  <si>
    <t>ad network coordinator</t>
  </si>
  <si>
    <t>david oscar</t>
  </si>
  <si>
    <t>encargado general</t>
  </si>
  <si>
    <t>sancho</t>
  </si>
  <si>
    <t>especialista en estrategia e inteligencia de mercado</t>
  </si>
  <si>
    <t>pacin</t>
  </si>
  <si>
    <t>supervisora de comunicaciones internas</t>
  </si>
  <si>
    <t>agente de propaganda medica snc</t>
  </si>
  <si>
    <t>rodríguez  pci qsa</t>
  </si>
  <si>
    <t>security services consultant</t>
  </si>
  <si>
    <t>dubs</t>
  </si>
  <si>
    <t>amplatzer clinical specialist &amp; market development latin america</t>
  </si>
  <si>
    <t>marchisello</t>
  </si>
  <si>
    <t>diambra</t>
  </si>
  <si>
    <t>quality manager</t>
  </si>
  <si>
    <t>ruscio</t>
  </si>
  <si>
    <t>silvina beatriz</t>
  </si>
  <si>
    <t>sasso</t>
  </si>
  <si>
    <t>responsable sucursal mar del plata</t>
  </si>
  <si>
    <t>mariana alejandra</t>
  </si>
  <si>
    <t>maría pía</t>
  </si>
  <si>
    <t>mendia</t>
  </si>
  <si>
    <t>verónica lourdes</t>
  </si>
  <si>
    <t>tomich</t>
  </si>
  <si>
    <t>lider de producto de redes sociales y canal de comunicacion en internet.</t>
  </si>
  <si>
    <t>dobronich</t>
  </si>
  <si>
    <t>zoltan</t>
  </si>
  <si>
    <t>rosenfeld</t>
  </si>
  <si>
    <t>associate director</t>
  </si>
  <si>
    <t>cantero</t>
  </si>
  <si>
    <t>renedo</t>
  </si>
  <si>
    <t>purchasing manager</t>
  </si>
  <si>
    <t>bagnati</t>
  </si>
  <si>
    <t>kohen lanús</t>
  </si>
  <si>
    <t>district manager</t>
  </si>
  <si>
    <t>mugica</t>
  </si>
  <si>
    <t>sports content manager</t>
  </si>
  <si>
    <t>martín eduardo</t>
  </si>
  <si>
    <t>secchi</t>
  </si>
  <si>
    <t>directora de rrhh - hr business partner - argentina</t>
  </si>
  <si>
    <t>ruiz catelli</t>
  </si>
  <si>
    <t>lucila lloret</t>
  </si>
  <si>
    <t>danza jazz</t>
  </si>
  <si>
    <t>profesora de danza jazz</t>
  </si>
  <si>
    <t>llorente</t>
  </si>
  <si>
    <t>güttner</t>
  </si>
  <si>
    <t>planificador de medios jr</t>
  </si>
  <si>
    <t>abiusi</t>
  </si>
  <si>
    <t>jefe de publicidad</t>
  </si>
  <si>
    <t>ajzenszlos</t>
  </si>
  <si>
    <t>cfm senior analyst</t>
  </si>
  <si>
    <t>hr resource forecasting &amp; planning lead</t>
  </si>
  <si>
    <t>coordinadora marketing digital</t>
  </si>
  <si>
    <t>straschnoy</t>
  </si>
  <si>
    <t>molouny</t>
  </si>
  <si>
    <t>maría lucía</t>
  </si>
  <si>
    <t>litardo</t>
  </si>
  <si>
    <t>directora de arte</t>
  </si>
  <si>
    <t>falaschi</t>
  </si>
  <si>
    <t>client financial management (cfm) senior analyst offshore</t>
  </si>
  <si>
    <t>coord. de servicios al cliente</t>
  </si>
  <si>
    <t>memoli</t>
  </si>
  <si>
    <t>amran</t>
  </si>
  <si>
    <t>ricabarra</t>
  </si>
  <si>
    <t>director de planeamiento estratégico</t>
  </si>
  <si>
    <t>elisa</t>
  </si>
  <si>
    <t>gosio</t>
  </si>
  <si>
    <t>ejecutiva de cuentas</t>
  </si>
  <si>
    <t>escribano</t>
  </si>
  <si>
    <t>responsable diseño y publicidad</t>
  </si>
  <si>
    <t>urquizo lino</t>
  </si>
  <si>
    <t>déborah</t>
  </si>
  <si>
    <t>rosanó</t>
  </si>
  <si>
    <t>jimena soledad</t>
  </si>
  <si>
    <t>masrian</t>
  </si>
  <si>
    <t>client financial management manager</t>
  </si>
  <si>
    <t>marcelo daniel</t>
  </si>
  <si>
    <t>dosa</t>
  </si>
  <si>
    <t>socio director</t>
  </si>
  <si>
    <t>maria dolores</t>
  </si>
  <si>
    <t>scotta</t>
  </si>
  <si>
    <t>osorio jr.</t>
  </si>
  <si>
    <t>it risk consultant</t>
  </si>
  <si>
    <t>shujman</t>
  </si>
  <si>
    <t>basile</t>
  </si>
  <si>
    <t>ad sales sr.account manager</t>
  </si>
  <si>
    <t>kuczynski</t>
  </si>
  <si>
    <t>media coordinator</t>
  </si>
  <si>
    <t>dora</t>
  </si>
  <si>
    <t>abuaf</t>
  </si>
  <si>
    <t>tozzi</t>
  </si>
  <si>
    <t>editor web, periodista</t>
  </si>
  <si>
    <t>soteras</t>
  </si>
  <si>
    <t>analista pmo</t>
  </si>
  <si>
    <t>lavin</t>
  </si>
  <si>
    <t>winograd</t>
  </si>
  <si>
    <t>dalesio</t>
  </si>
  <si>
    <t>cabello</t>
  </si>
  <si>
    <t>jefe de trade mkt - argentina, chile y perú</t>
  </si>
  <si>
    <t>operacions manager</t>
  </si>
  <si>
    <t>cataldi</t>
  </si>
  <si>
    <t>consultora rrhh</t>
  </si>
  <si>
    <t>regional marketing &amp; product director (western union - pago fácil)</t>
  </si>
  <si>
    <t>fischkyn</t>
  </si>
  <si>
    <t>favale</t>
  </si>
  <si>
    <t>senior visual merchandiser</t>
  </si>
  <si>
    <t>maría sol</t>
  </si>
  <si>
    <t>assistant 3</t>
  </si>
  <si>
    <t>pablo viola</t>
  </si>
  <si>
    <t>fox sports</t>
  </si>
  <si>
    <t>goyret</t>
  </si>
  <si>
    <t>grenni</t>
  </si>
  <si>
    <t>ivanic</t>
  </si>
  <si>
    <t>profesional de marketing y publicidad</t>
  </si>
  <si>
    <t>steffan</t>
  </si>
  <si>
    <t>ivana</t>
  </si>
  <si>
    <t>consumer marketing director hispanic south america</t>
  </si>
  <si>
    <t>mariela g</t>
  </si>
  <si>
    <t>analista de marketing - alianzas y convenios</t>
  </si>
  <si>
    <t>bustos</t>
  </si>
  <si>
    <t>marketing coordinator</t>
  </si>
  <si>
    <t>di natale</t>
  </si>
  <si>
    <t>flammini</t>
  </si>
  <si>
    <t>gerente de ventas publicitarias en editorial perfil (diario perfil y revista luz)</t>
  </si>
  <si>
    <t>maria mora</t>
  </si>
  <si>
    <t>nóbilo</t>
  </si>
  <si>
    <t>experta en prensa y relaciones públicas de estética y belleza.</t>
  </si>
  <si>
    <t>olarra</t>
  </si>
  <si>
    <t>director de arte</t>
  </si>
  <si>
    <t>fiorella</t>
  </si>
  <si>
    <t>biaggio</t>
  </si>
  <si>
    <t>docente de inglés</t>
  </si>
  <si>
    <t>berlocq</t>
  </si>
  <si>
    <t>félix manuel</t>
  </si>
  <si>
    <t>jerez</t>
  </si>
  <si>
    <t>support manager</t>
  </si>
  <si>
    <t>20,83</t>
  </si>
  <si>
    <t>robles luna</t>
  </si>
  <si>
    <t>researcher, entrepreneur and software engineer</t>
  </si>
  <si>
    <t>25</t>
  </si>
  <si>
    <t>contieri</t>
  </si>
  <si>
    <t>22,83</t>
  </si>
  <si>
    <t>latashen</t>
  </si>
  <si>
    <t>21,83</t>
  </si>
  <si>
    <t>vp of technology</t>
  </si>
  <si>
    <t>30</t>
  </si>
  <si>
    <t>kuperstein</t>
  </si>
  <si>
    <t>24</t>
  </si>
  <si>
    <t>reddy c</t>
  </si>
  <si>
    <t>peroni</t>
  </si>
  <si>
    <t>21</t>
  </si>
  <si>
    <t>hr manager &amp; business development</t>
  </si>
  <si>
    <t>garcia dietrich</t>
  </si>
  <si>
    <t>21,3583333333333</t>
  </si>
  <si>
    <t>coronado</t>
  </si>
  <si>
    <t>durval sebastián</t>
  </si>
  <si>
    <t>korssjöen</t>
  </si>
  <si>
    <t>oriozabala</t>
  </si>
  <si>
    <t>hr team leader</t>
  </si>
  <si>
    <t>19,83</t>
  </si>
  <si>
    <t>lowitz</t>
  </si>
  <si>
    <t>baltimore, maryland area, united states, United States</t>
  </si>
  <si>
    <t>software test developer</t>
  </si>
  <si>
    <t>principal on systems planning &amp; management</t>
  </si>
  <si>
    <t>wey</t>
  </si>
  <si>
    <t>22,08</t>
  </si>
  <si>
    <t>magennis</t>
  </si>
  <si>
    <t>rachel</t>
  </si>
  <si>
    <t>pilgrim</t>
  </si>
  <si>
    <t>20</t>
  </si>
  <si>
    <t>wahlmann</t>
  </si>
  <si>
    <t>keller, texas, United States</t>
  </si>
  <si>
    <t>22</t>
  </si>
  <si>
    <t>horacio miguel</t>
  </si>
  <si>
    <t>team leader &amp; technical manager</t>
  </si>
  <si>
    <t>caballero</t>
  </si>
  <si>
    <t>consultant and project manager</t>
  </si>
  <si>
    <t>19,08</t>
  </si>
  <si>
    <t>ashby</t>
  </si>
  <si>
    <t>ecommerce project / programme manager (contract)</t>
  </si>
  <si>
    <t>becker</t>
  </si>
  <si>
    <t>sr. project manager</t>
  </si>
  <si>
    <t>pablo martin</t>
  </si>
  <si>
    <t>cuomo</t>
  </si>
  <si>
    <t>cortesi</t>
  </si>
  <si>
    <t>cto &amp; co-founder</t>
  </si>
  <si>
    <t>co-founder &amp; co-cio</t>
  </si>
  <si>
    <t>28,83</t>
  </si>
  <si>
    <t>torro</t>
  </si>
  <si>
    <t>clara lucila</t>
  </si>
  <si>
    <t>siancha</t>
  </si>
  <si>
    <t>cmo &amp; co founder</t>
  </si>
  <si>
    <t>23</t>
  </si>
  <si>
    <t>vishal</t>
  </si>
  <si>
    <t>bhasin</t>
  </si>
  <si>
    <t>experienced it professional, soa and cloud architect</t>
  </si>
  <si>
    <t>24,83</t>
  </si>
  <si>
    <t>juan emilio</t>
  </si>
  <si>
    <t>inzaurraga</t>
  </si>
  <si>
    <t>gregoraz</t>
  </si>
  <si>
    <t>real</t>
  </si>
  <si>
    <t>pessolano</t>
  </si>
  <si>
    <t>casanova</t>
  </si>
  <si>
    <t>itil certified and experiensed offshore/outsource it services management</t>
  </si>
  <si>
    <t>24,7619047619048</t>
  </si>
  <si>
    <t>failoni</t>
  </si>
  <si>
    <t>annamma</t>
  </si>
  <si>
    <t>qa engineer</t>
  </si>
  <si>
    <t>25,83</t>
  </si>
  <si>
    <t>slava</t>
  </si>
  <si>
    <t>plakhin</t>
  </si>
  <si>
    <t>wells</t>
  </si>
  <si>
    <t>yanuszczyk</t>
  </si>
  <si>
    <t>ps qa</t>
  </si>
  <si>
    <t>aceves</t>
  </si>
  <si>
    <t>tsiros</t>
  </si>
  <si>
    <t>alimonda</t>
  </si>
  <si>
    <t>delivery project executive</t>
  </si>
  <si>
    <t>gutman</t>
  </si>
  <si>
    <t>international sales</t>
  </si>
  <si>
    <t>jacobs</t>
  </si>
  <si>
    <t>sr. software developer</t>
  </si>
  <si>
    <t>birnios</t>
  </si>
  <si>
    <t>schwan neil.schwangmail.com</t>
  </si>
  <si>
    <t>associate partner</t>
  </si>
  <si>
    <t>vineet rajosi</t>
  </si>
  <si>
    <t>26,83</t>
  </si>
  <si>
    <t>bajales</t>
  </si>
  <si>
    <t>tubert</t>
  </si>
  <si>
    <t>guardincerri</t>
  </si>
  <si>
    <t>co-founder and cio</t>
  </si>
  <si>
    <t>27,5</t>
  </si>
  <si>
    <t>antollini</t>
  </si>
  <si>
    <t>tissera</t>
  </si>
  <si>
    <t>senior software engineer</t>
  </si>
  <si>
    <t>rajesh</t>
  </si>
  <si>
    <t>baskaran</t>
  </si>
  <si>
    <t>director - it services &amp; strategy</t>
  </si>
  <si>
    <t>b k</t>
  </si>
  <si>
    <t>adarsh</t>
  </si>
  <si>
    <t>senior offering program manager</t>
  </si>
  <si>
    <t>jones mba</t>
  </si>
  <si>
    <t>director - project management</t>
  </si>
  <si>
    <t>sun</t>
  </si>
  <si>
    <t>sr. oracle dba</t>
  </si>
  <si>
    <t>jerald</t>
  </si>
  <si>
    <t>web designer</t>
  </si>
  <si>
    <t>diephouse</t>
  </si>
  <si>
    <t>service delvery manager</t>
  </si>
  <si>
    <t>27,83</t>
  </si>
  <si>
    <t>gaudio</t>
  </si>
  <si>
    <t>business recovery manager boulder data center</t>
  </si>
  <si>
    <t>puche</t>
  </si>
  <si>
    <t>wintel administrator</t>
  </si>
  <si>
    <t>lastorta</t>
  </si>
  <si>
    <t>argentina country manager</t>
  </si>
  <si>
    <t>pablo hernan</t>
  </si>
  <si>
    <t>shaji</t>
  </si>
  <si>
    <t>information technology specialist</t>
  </si>
  <si>
    <t>dziak</t>
  </si>
  <si>
    <t>mckinney, texas</t>
  </si>
  <si>
    <t>21,08</t>
  </si>
  <si>
    <t>senior backend developer</t>
  </si>
  <si>
    <t>carazzo</t>
  </si>
  <si>
    <t>project manager - principal consultant</t>
  </si>
  <si>
    <t>valadez</t>
  </si>
  <si>
    <t>tosti</t>
  </si>
  <si>
    <t>varau</t>
  </si>
  <si>
    <t>product marketing manager intern</t>
  </si>
  <si>
    <t>27,3583333333333</t>
  </si>
  <si>
    <t>gustavo ricardo</t>
  </si>
  <si>
    <t>vignera</t>
  </si>
  <si>
    <t>services architect</t>
  </si>
  <si>
    <t>danbury, connecticut</t>
  </si>
  <si>
    <t>florez</t>
  </si>
  <si>
    <t>28</t>
  </si>
  <si>
    <t>sánchez cavalieri</t>
  </si>
  <si>
    <t>regional it snr. manager pmo</t>
  </si>
  <si>
    <t>fernando andrés</t>
  </si>
  <si>
    <t>analista sr. quality assurance &amp; testing - standard compliance</t>
  </si>
  <si>
    <t>marianela</t>
  </si>
  <si>
    <t>portas</t>
  </si>
  <si>
    <t>tester senior</t>
  </si>
  <si>
    <t>stefanelli</t>
  </si>
  <si>
    <t>analista qc</t>
  </si>
  <si>
    <t>proverbio</t>
  </si>
  <si>
    <t>operations coordinator</t>
  </si>
  <si>
    <t>telmo</t>
  </si>
  <si>
    <t>consultor bi</t>
  </si>
  <si>
    <t>capettini</t>
  </si>
  <si>
    <t>vp, human resources, latin america</t>
  </si>
  <si>
    <t>berti</t>
  </si>
  <si>
    <t>gimena</t>
  </si>
  <si>
    <t>uhrich</t>
  </si>
  <si>
    <t>rondinelli</t>
  </si>
  <si>
    <t>server systems operations, people manager</t>
  </si>
  <si>
    <t>21,7357142857143</t>
  </si>
  <si>
    <t>gabai</t>
  </si>
  <si>
    <t>account management manager</t>
  </si>
  <si>
    <t>guridi</t>
  </si>
  <si>
    <t>20,33</t>
  </si>
  <si>
    <t>zen</t>
  </si>
  <si>
    <t>consultor co en proyecto chevron en ig consulting</t>
  </si>
  <si>
    <t>19,6916666666667</t>
  </si>
  <si>
    <t>carnota</t>
  </si>
  <si>
    <t>estevez balestra</t>
  </si>
  <si>
    <t>29,83</t>
  </si>
  <si>
    <t>mariano gabriel</t>
  </si>
  <si>
    <t>project manager (neoris)</t>
  </si>
  <si>
    <t>20,6666666666667</t>
  </si>
  <si>
    <t>miguel armando</t>
  </si>
  <si>
    <t>nuñez pmp</t>
  </si>
  <si>
    <t>development delivery manager</t>
  </si>
  <si>
    <t>gustavo r</t>
  </si>
  <si>
    <t>mendez</t>
  </si>
  <si>
    <t>mangiafico</t>
  </si>
  <si>
    <t>analista desarrollador pl sql</t>
  </si>
  <si>
    <t>fusaro</t>
  </si>
  <si>
    <t>sap basis admin</t>
  </si>
  <si>
    <t>human resources senior analyst</t>
  </si>
  <si>
    <t>erika denise</t>
  </si>
  <si>
    <t>hojenberg</t>
  </si>
  <si>
    <t>selectora it</t>
  </si>
  <si>
    <t>hernandez</t>
  </si>
  <si>
    <t>kreps</t>
  </si>
  <si>
    <t>21,5</t>
  </si>
  <si>
    <t>segesman</t>
  </si>
  <si>
    <t>avgustin</t>
  </si>
  <si>
    <t>senior it director - technology planning and service management</t>
  </si>
  <si>
    <t>fernández sanz</t>
  </si>
  <si>
    <t>banco macro - pmo</t>
  </si>
  <si>
    <t>schuster</t>
  </si>
  <si>
    <t>perez alonso nelsonclaves.com.ar</t>
  </si>
  <si>
    <t>david r.</t>
  </si>
  <si>
    <t>26</t>
  </si>
  <si>
    <t>hilario</t>
  </si>
  <si>
    <t>analista y programador</t>
  </si>
  <si>
    <t>javier marcelo</t>
  </si>
  <si>
    <t>cortijo</t>
  </si>
  <si>
    <t>jefe de soporte de aplicaciones</t>
  </si>
  <si>
    <t>software development engineer</t>
  </si>
  <si>
    <t>porta</t>
  </si>
  <si>
    <t>carrier engineer for latam</t>
  </si>
  <si>
    <t>21,17</t>
  </si>
  <si>
    <t>jj</t>
  </si>
  <si>
    <t>joubert</t>
  </si>
  <si>
    <t>data architect</t>
  </si>
  <si>
    <t>22,33</t>
  </si>
  <si>
    <t>software engineer in test</t>
  </si>
  <si>
    <t>maría cecilia</t>
  </si>
  <si>
    <t>usich</t>
  </si>
  <si>
    <t>cimino</t>
  </si>
  <si>
    <t>service delivery manager</t>
  </si>
  <si>
    <t>amengual</t>
  </si>
  <si>
    <t>co fundador, director y desarrollador</t>
  </si>
  <si>
    <t>ciro</t>
  </si>
  <si>
    <t>baglioni</t>
  </si>
  <si>
    <t>21,33</t>
  </si>
  <si>
    <t>literat</t>
  </si>
  <si>
    <t>rodriguez facal</t>
  </si>
  <si>
    <t>continuous integration &amp; configuration manager</t>
  </si>
  <si>
    <t>software configuration manager</t>
  </si>
  <si>
    <t>software developer at c++</t>
  </si>
  <si>
    <t>francisconi</t>
  </si>
  <si>
    <t>lavalle</t>
  </si>
  <si>
    <t>elfi</t>
  </si>
  <si>
    <t>beaverton, oregon, United States</t>
  </si>
  <si>
    <t>schvezov</t>
  </si>
  <si>
    <t>quality engineer</t>
  </si>
  <si>
    <t>urrutia</t>
  </si>
  <si>
    <t>sr .net developer</t>
  </si>
  <si>
    <t>echague</t>
  </si>
  <si>
    <t>gerente de proyectos</t>
  </si>
  <si>
    <t>rusconi</t>
  </si>
  <si>
    <t>responsable de recursos humanos y asistente de marketing</t>
  </si>
  <si>
    <t>guillermo federico</t>
  </si>
  <si>
    <t>majchrzak</t>
  </si>
  <si>
    <t>leonardo santos</t>
  </si>
  <si>
    <t>regnicoli</t>
  </si>
  <si>
    <t>desarrollador java sr.</t>
  </si>
  <si>
    <t>dante</t>
  </si>
  <si>
    <t>panella</t>
  </si>
  <si>
    <t>forgione</t>
  </si>
  <si>
    <t>roger paul</t>
  </si>
  <si>
    <t>rodriguez salazar</t>
  </si>
  <si>
    <t>edgware, greater london, united kingdom</t>
  </si>
  <si>
    <t>liendo</t>
  </si>
  <si>
    <t>marcos javier</t>
  </si>
  <si>
    <t>riganti</t>
  </si>
  <si>
    <t>presentation layer developer</t>
  </si>
  <si>
    <t>manzano</t>
  </si>
  <si>
    <t>frisoni</t>
  </si>
  <si>
    <t>consultor sap sd certified professional at camargo correa cimientos</t>
  </si>
  <si>
    <t>21,39375</t>
  </si>
  <si>
    <t>anselmo francisco</t>
  </si>
  <si>
    <t>abadía</t>
  </si>
  <si>
    <t>urrizola</t>
  </si>
  <si>
    <t>vetrano</t>
  </si>
  <si>
    <t>teixidó</t>
  </si>
  <si>
    <t>web development tech lead</t>
  </si>
  <si>
    <t>ema</t>
  </si>
  <si>
    <t>global hr director</t>
  </si>
  <si>
    <t>unrein</t>
  </si>
  <si>
    <t>carugo</t>
  </si>
  <si>
    <t>president (argentina section)</t>
  </si>
  <si>
    <t>maria renee</t>
  </si>
  <si>
    <t>principal, business planning and operations - technolgy</t>
  </si>
  <si>
    <t>jonnalagadda</t>
  </si>
  <si>
    <t>product owner travelocity packaging, vacations</t>
  </si>
  <si>
    <t>reddy</t>
  </si>
  <si>
    <t>principal engineer</t>
  </si>
  <si>
    <t>beltramini</t>
  </si>
  <si>
    <t>customer architect</t>
  </si>
  <si>
    <t>bryan</t>
  </si>
  <si>
    <t>power</t>
  </si>
  <si>
    <t>solution developer</t>
  </si>
  <si>
    <t>brittain</t>
  </si>
  <si>
    <t>cupertino, california, United States</t>
  </si>
  <si>
    <t>24,69</t>
  </si>
  <si>
    <t>purpura</t>
  </si>
  <si>
    <t>v.p. &amp; general manager, ion cloud platform, v.p. corporate &amp; business development</t>
  </si>
  <si>
    <t>schott</t>
  </si>
  <si>
    <t>wei</t>
  </si>
  <si>
    <t>guan</t>
  </si>
  <si>
    <t>technologist</t>
  </si>
  <si>
    <t>anoop</t>
  </si>
  <si>
    <t>gopalakrishnan</t>
  </si>
  <si>
    <t>jaskirat</t>
  </si>
  <si>
    <t>bhatia</t>
  </si>
  <si>
    <t>qe engineer</t>
  </si>
  <si>
    <t>sorbo</t>
  </si>
  <si>
    <t>bagchi</t>
  </si>
  <si>
    <t>chiocconi</t>
  </si>
  <si>
    <t>senior director solution management netweaver process orchestration</t>
  </si>
  <si>
    <t>kunal</t>
  </si>
  <si>
    <t>svp, sr. portfolio architect (risk management technology)</t>
  </si>
  <si>
    <t>toussaint</t>
  </si>
  <si>
    <t>director product management - platform at salesforce.com</t>
  </si>
  <si>
    <t>27,0214285714286</t>
  </si>
  <si>
    <t>davidian</t>
  </si>
  <si>
    <t>enterprise account executive</t>
  </si>
  <si>
    <t>kotlirevsky</t>
  </si>
  <si>
    <t>arduh</t>
  </si>
  <si>
    <t>mondada</t>
  </si>
  <si>
    <t>sulzberger</t>
  </si>
  <si>
    <t>29</t>
  </si>
  <si>
    <t>omine</t>
  </si>
  <si>
    <t>software tester</t>
  </si>
  <si>
    <t>ma. florencia</t>
  </si>
  <si>
    <t>tarantola</t>
  </si>
  <si>
    <t>schvarstein</t>
  </si>
  <si>
    <t>human resources &amp; communications manager</t>
  </si>
  <si>
    <t>nicolás javier</t>
  </si>
  <si>
    <t>karan</t>
  </si>
  <si>
    <t>gupta karan.at.karanmg.com</t>
  </si>
  <si>
    <t>always starting something.</t>
  </si>
  <si>
    <t>tseng</t>
  </si>
  <si>
    <t>peon #22527</t>
  </si>
  <si>
    <t>msx logo hacker</t>
  </si>
  <si>
    <t>principal architect</t>
  </si>
  <si>
    <t>alfonso</t>
  </si>
  <si>
    <t>gutter</t>
  </si>
  <si>
    <t>lin lin</t>
  </si>
  <si>
    <t>gotthelf</t>
  </si>
  <si>
    <t>ardissone</t>
  </si>
  <si>
    <t>19,5533333333333</t>
  </si>
  <si>
    <t>fabricio</t>
  </si>
  <si>
    <t>tuosto</t>
  </si>
  <si>
    <t>cervone</t>
  </si>
  <si>
    <t>sales representative</t>
  </si>
  <si>
    <t>salischiker</t>
  </si>
  <si>
    <t>finance process manager, vp</t>
  </si>
  <si>
    <t>nussembaum</t>
  </si>
  <si>
    <t>mabe</t>
  </si>
  <si>
    <t>manager technology global business technology services</t>
  </si>
  <si>
    <t>davenport, florida</t>
  </si>
  <si>
    <t>team manager</t>
  </si>
  <si>
    <t>cox</t>
  </si>
  <si>
    <t>senior director</t>
  </si>
  <si>
    <t>shoop</t>
  </si>
  <si>
    <t>director technology for web, kiosk and mobile check-in solutions</t>
  </si>
  <si>
    <t>dominique</t>
  </si>
  <si>
    <t>philipp essig</t>
  </si>
  <si>
    <t>director of site health and enterprise initiatives</t>
  </si>
  <si>
    <t>di bartolomeo</t>
  </si>
  <si>
    <t>analista qa sr</t>
  </si>
  <si>
    <t>blanca</t>
  </si>
  <si>
    <t>product roadmap manager</t>
  </si>
  <si>
    <t>southlake, texas</t>
  </si>
  <si>
    <t>ecommerce solutions - delivery manager at sabre holdings</t>
  </si>
  <si>
    <t>budd</t>
  </si>
  <si>
    <t>owner/designer</t>
  </si>
  <si>
    <t>galker</t>
  </si>
  <si>
    <t>christa</t>
  </si>
  <si>
    <t>conner</t>
  </si>
  <si>
    <t>director of qa &amp; business applications</t>
  </si>
  <si>
    <t>rupert</t>
  </si>
  <si>
    <t>stocker</t>
  </si>
  <si>
    <t>regueiro</t>
  </si>
  <si>
    <t>macchi</t>
  </si>
  <si>
    <t>prensky</t>
  </si>
  <si>
    <t>estefanía</t>
  </si>
  <si>
    <t>sr. qa analyst</t>
  </si>
  <si>
    <t>rocca</t>
  </si>
  <si>
    <t>global logistics it project manager pmp®</t>
  </si>
  <si>
    <t>sánchez negrette</t>
  </si>
  <si>
    <t>sobredo</t>
  </si>
  <si>
    <t>abel</t>
  </si>
  <si>
    <t>fillol</t>
  </si>
  <si>
    <t>arquitecto</t>
  </si>
  <si>
    <t>edwin mateo</t>
  </si>
  <si>
    <t>lewitzki dujmusic</t>
  </si>
  <si>
    <t>arquitecto de producto</t>
  </si>
  <si>
    <t>mudry</t>
  </si>
  <si>
    <t>php developer</t>
  </si>
  <si>
    <t>baltazar</t>
  </si>
  <si>
    <t>zaraik</t>
  </si>
  <si>
    <t>drupal backend</t>
  </si>
  <si>
    <t>diego iván</t>
  </si>
  <si>
    <t>pérez fré</t>
  </si>
  <si>
    <t>villablanca</t>
  </si>
  <si>
    <t>persa</t>
  </si>
  <si>
    <t>account technology strategist</t>
  </si>
  <si>
    <t>boylan</t>
  </si>
  <si>
    <t>svp</t>
  </si>
  <si>
    <t>estela</t>
  </si>
  <si>
    <t>blanchard</t>
  </si>
  <si>
    <t>contact manager</t>
  </si>
  <si>
    <t>caplan</t>
  </si>
  <si>
    <t>collard bovy</t>
  </si>
  <si>
    <t>uchitel</t>
  </si>
  <si>
    <t>gore</t>
  </si>
  <si>
    <t>lonnie mcrorey</t>
  </si>
  <si>
    <t>canepa</t>
  </si>
  <si>
    <t>director de marketing, latinoamérica</t>
  </si>
  <si>
    <t>23,33</t>
  </si>
  <si>
    <t>bidarte</t>
  </si>
  <si>
    <t>bardedios</t>
  </si>
  <si>
    <t>responsable de administración</t>
  </si>
  <si>
    <t>dba sql server</t>
  </si>
  <si>
    <t>19,67</t>
  </si>
  <si>
    <t>calvin</t>
  </si>
  <si>
    <t>schimmel</t>
  </si>
  <si>
    <t>director, application development</t>
  </si>
  <si>
    <t>gillis</t>
  </si>
  <si>
    <t>haseleu</t>
  </si>
  <si>
    <t>franklin</t>
  </si>
  <si>
    <t>business solution architect channel lead</t>
  </si>
  <si>
    <t>senior product manager, global tax channel</t>
  </si>
  <si>
    <t>palacios</t>
  </si>
  <si>
    <t>director de soluciones open source</t>
  </si>
  <si>
    <t>laborda</t>
  </si>
  <si>
    <t>gerente de desarrollo y producto</t>
  </si>
  <si>
    <t>olsen</t>
  </si>
  <si>
    <t>olguin</t>
  </si>
  <si>
    <t>bi &amp; epm director</t>
  </si>
  <si>
    <t>zeh</t>
  </si>
  <si>
    <t>priego</t>
  </si>
  <si>
    <t>ureña</t>
  </si>
  <si>
    <t>barale</t>
  </si>
  <si>
    <t>peich</t>
  </si>
  <si>
    <t>daquila</t>
  </si>
  <si>
    <t>afnaim</t>
  </si>
  <si>
    <t>it specialist</t>
  </si>
  <si>
    <t>withers</t>
  </si>
  <si>
    <t>roberto mario</t>
  </si>
  <si>
    <t>services information developer specialist</t>
  </si>
  <si>
    <t>krikorian</t>
  </si>
  <si>
    <t>22,67</t>
  </si>
  <si>
    <t>mazzini</t>
  </si>
  <si>
    <t>director de producción digital</t>
  </si>
  <si>
    <t>secward latam ceo</t>
  </si>
  <si>
    <t>20,4894736842105</t>
  </si>
  <si>
    <t>garber</t>
  </si>
  <si>
    <t>release manager</t>
  </si>
  <si>
    <t>di luciano</t>
  </si>
  <si>
    <t>jefe de proyectos móviles</t>
  </si>
  <si>
    <t>sanvitale</t>
  </si>
  <si>
    <t>founder &amp; human resources officer</t>
  </si>
  <si>
    <t>blackard</t>
  </si>
  <si>
    <t>coulson</t>
  </si>
  <si>
    <t>co-founder and director - social entrepreneurship lab</t>
  </si>
  <si>
    <t>24,67</t>
  </si>
  <si>
    <t>hariharan</t>
  </si>
  <si>
    <t>gosu</t>
  </si>
  <si>
    <t>technology manager</t>
  </si>
  <si>
    <t>pabon</t>
  </si>
  <si>
    <t>parra</t>
  </si>
  <si>
    <t>staffing and recruiting</t>
  </si>
  <si>
    <t>troller</t>
  </si>
  <si>
    <t>director, human resources</t>
  </si>
  <si>
    <t>herbsztein</t>
  </si>
  <si>
    <t>ceo - founder and president</t>
  </si>
  <si>
    <t>grinberg</t>
  </si>
  <si>
    <t>facility manager-admin head</t>
  </si>
  <si>
    <t>landau</t>
  </si>
  <si>
    <t>managing director, infrastructure services</t>
  </si>
  <si>
    <t>reox</t>
  </si>
  <si>
    <t>cloudbuilder at mercadolibre.com (nasdaq : meli)</t>
  </si>
  <si>
    <t>canevit</t>
  </si>
  <si>
    <t>senior network engineer</t>
  </si>
  <si>
    <t>23,132</t>
  </si>
  <si>
    <t>monzon itil certified</t>
  </si>
  <si>
    <t>latam regional project manager</t>
  </si>
  <si>
    <t>consultora sap fi</t>
  </si>
  <si>
    <t>kogutek</t>
  </si>
  <si>
    <t>senior sales engineer</t>
  </si>
  <si>
    <t>analista de calidad y procesos - tareas en quality, risk and project excellence</t>
  </si>
  <si>
    <t>lorenzetti</t>
  </si>
  <si>
    <t>digital banking technology - director</t>
  </si>
  <si>
    <t>marcelo alejandro</t>
  </si>
  <si>
    <t>portela</t>
  </si>
  <si>
    <t>gerente de canales</t>
  </si>
  <si>
    <t>25,6384615384615</t>
  </si>
  <si>
    <t>lozada</t>
  </si>
  <si>
    <t>business development manager - sales</t>
  </si>
  <si>
    <t>papuzynski</t>
  </si>
  <si>
    <t>gerente de ventas</t>
  </si>
  <si>
    <t>solution strategist, enterprise management</t>
  </si>
  <si>
    <t>anoush</t>
  </si>
  <si>
    <t>farhangi</t>
  </si>
  <si>
    <t>houston, texas</t>
  </si>
  <si>
    <t>bianchin</t>
  </si>
  <si>
    <t>solution management director</t>
  </si>
  <si>
    <t>rodríguez iglesias</t>
  </si>
  <si>
    <t>prada</t>
  </si>
  <si>
    <t>head of digital marketing</t>
  </si>
  <si>
    <t>chanezon</t>
  </si>
  <si>
    <t>ravina mba</t>
  </si>
  <si>
    <t>tech support specialist</t>
  </si>
  <si>
    <t>sr it manager - networking</t>
  </si>
  <si>
    <t>grisafi</t>
  </si>
  <si>
    <t>klarreich</t>
  </si>
  <si>
    <t>director of partner sales - paas and application platform</t>
  </si>
  <si>
    <t>severino</t>
  </si>
  <si>
    <t>regional systems engineer manager</t>
  </si>
  <si>
    <t>garcia gonzalez</t>
  </si>
  <si>
    <t>25,33</t>
  </si>
  <si>
    <t>sean michael</t>
  </si>
  <si>
    <t>imler</t>
  </si>
  <si>
    <t>singer/songwriter and tech enthusiast</t>
  </si>
  <si>
    <t>gaviño</t>
  </si>
  <si>
    <t>beviacqua</t>
  </si>
  <si>
    <t>marich</t>
  </si>
  <si>
    <t>creative director &amp; ux/ui specialist</t>
  </si>
  <si>
    <t>director of content</t>
  </si>
  <si>
    <t>burd</t>
  </si>
  <si>
    <t>lead, sr. technical program manager</t>
  </si>
  <si>
    <t>vladimir</t>
  </si>
  <si>
    <t>bronstein</t>
  </si>
  <si>
    <t>gershon</t>
  </si>
  <si>
    <t>schatzberg</t>
  </si>
  <si>
    <t>product line manager</t>
  </si>
  <si>
    <t>reuben</t>
  </si>
  <si>
    <t>sivan</t>
  </si>
  <si>
    <t>chief software architect</t>
  </si>
  <si>
    <t>nathalia</t>
  </si>
  <si>
    <t>heim</t>
  </si>
  <si>
    <t>digital producer</t>
  </si>
  <si>
    <t>kolli</t>
  </si>
  <si>
    <t>mccloskey</t>
  </si>
  <si>
    <t>senior software engineer at sabre inc. (travelocity)</t>
  </si>
  <si>
    <t>kamath</t>
  </si>
  <si>
    <t>manager - software develpment</t>
  </si>
  <si>
    <t>actis grosso</t>
  </si>
  <si>
    <t>stefani</t>
  </si>
  <si>
    <t>dario ignacio</t>
  </si>
  <si>
    <t>gifford</t>
  </si>
  <si>
    <t>marsili</t>
  </si>
  <si>
    <t>storager pmp</t>
  </si>
  <si>
    <t>director, product development</t>
  </si>
  <si>
    <t>oleg</t>
  </si>
  <si>
    <t>senior principle system architect</t>
  </si>
  <si>
    <t>ik</t>
  </si>
  <si>
    <t>soto conti</t>
  </si>
  <si>
    <t>selectora - hr business partner</t>
  </si>
  <si>
    <t>mark a.</t>
  </si>
  <si>
    <t>cg</t>
  </si>
  <si>
    <t>simmons</t>
  </si>
  <si>
    <t>black belt, verizon lean six sigma</t>
  </si>
  <si>
    <t>ballenger</t>
  </si>
  <si>
    <t>iyer venkiteswara</t>
  </si>
  <si>
    <t>stacy</t>
  </si>
  <si>
    <t>gapper</t>
  </si>
  <si>
    <t>it systems analyst</t>
  </si>
  <si>
    <t>janis</t>
  </si>
  <si>
    <t>sr. systems analyst</t>
  </si>
  <si>
    <t>frederick</t>
  </si>
  <si>
    <t>hagan</t>
  </si>
  <si>
    <t>e-business systems consultant</t>
  </si>
  <si>
    <t>20,25</t>
  </si>
  <si>
    <t>jenny</t>
  </si>
  <si>
    <t>ford</t>
  </si>
  <si>
    <t>rossotti</t>
  </si>
  <si>
    <t>system acceptance tester</t>
  </si>
  <si>
    <t>carreras</t>
  </si>
  <si>
    <t>jorgelina</t>
  </si>
  <si>
    <t>20,3583333333333</t>
  </si>
  <si>
    <t>jerez de los santos</t>
  </si>
  <si>
    <t>koehnen pmp csm</t>
  </si>
  <si>
    <t>23,77</t>
  </si>
  <si>
    <t>fling</t>
  </si>
  <si>
    <t>art</t>
  </si>
  <si>
    <t>weeast</t>
  </si>
  <si>
    <t>director, process &amp; change management</t>
  </si>
  <si>
    <t>barrett</t>
  </si>
  <si>
    <t>poppe</t>
  </si>
  <si>
    <t>sr cics systems programmer/systems architect</t>
  </si>
  <si>
    <t>mullenix</t>
  </si>
  <si>
    <t>helpdesk analyst</t>
  </si>
  <si>
    <t>cedar rapids, iowa area, united states, United States</t>
  </si>
  <si>
    <t>marsha</t>
  </si>
  <si>
    <t>bogart</t>
  </si>
  <si>
    <t>director, delivery and pmo</t>
  </si>
  <si>
    <t>narcisi</t>
  </si>
  <si>
    <t>29,67</t>
  </si>
  <si>
    <t>ortueta</t>
  </si>
  <si>
    <t>front-end developer</t>
  </si>
  <si>
    <t>vivek m</t>
  </si>
  <si>
    <t>sen</t>
  </si>
  <si>
    <t>director, technology</t>
  </si>
  <si>
    <t>schonholz</t>
  </si>
  <si>
    <t>stock</t>
  </si>
  <si>
    <t>many things</t>
  </si>
  <si>
    <t>rita r.</t>
  </si>
  <si>
    <t>restaino</t>
  </si>
  <si>
    <t>analista funcional- analista prog. cobol / rpg / sql</t>
  </si>
  <si>
    <t>bosi</t>
  </si>
  <si>
    <t>systems analyst</t>
  </si>
  <si>
    <t>citrix administrator</t>
  </si>
  <si>
    <t>mariana veronica</t>
  </si>
  <si>
    <t>desarrollo y selección</t>
  </si>
  <si>
    <t>tolfo</t>
  </si>
  <si>
    <t>ios developer for iphone / ipad (objective-c, c++)</t>
  </si>
  <si>
    <t>carina noemí</t>
  </si>
  <si>
    <t>directora de administración y finanzas</t>
  </si>
  <si>
    <t>polo</t>
  </si>
  <si>
    <t>project manager / scrum master</t>
  </si>
  <si>
    <t>svetlana</t>
  </si>
  <si>
    <t>las cruces, new mexico area, united states, United States</t>
  </si>
  <si>
    <t>rita</t>
  </si>
  <si>
    <t>nassuna</t>
  </si>
  <si>
    <t>kandipan</t>
  </si>
  <si>
    <t>sivanandhan</t>
  </si>
  <si>
    <t>danny</t>
  </si>
  <si>
    <t>gottovi</t>
  </si>
  <si>
    <t>chandy</t>
  </si>
  <si>
    <t>varghese</t>
  </si>
  <si>
    <t>sr.advantage software engineer</t>
  </si>
  <si>
    <t>general manager, pagemodo</t>
  </si>
  <si>
    <t>bhavani</t>
  </si>
  <si>
    <t>koneru</t>
  </si>
  <si>
    <t>sr. configuration manager</t>
  </si>
  <si>
    <t>annie</t>
  </si>
  <si>
    <t>mitchual</t>
  </si>
  <si>
    <t>raparthi</t>
  </si>
  <si>
    <t>di nucci</t>
  </si>
  <si>
    <t>qa engineer @ wi com</t>
  </si>
  <si>
    <t>olga</t>
  </si>
  <si>
    <t>godlevska</t>
  </si>
  <si>
    <t>luntsevich luntsevichgmail.com</t>
  </si>
  <si>
    <t>project test manager</t>
  </si>
  <si>
    <t>27</t>
  </si>
  <si>
    <t>bierlein</t>
  </si>
  <si>
    <t>24,49</t>
  </si>
  <si>
    <t>shulman</t>
  </si>
  <si>
    <t>senior qa analyst/sqa engineer/automation team lead</t>
  </si>
  <si>
    <t>chetna</t>
  </si>
  <si>
    <t>qa specialist</t>
  </si>
  <si>
    <t>cloud integrations architect</t>
  </si>
  <si>
    <t>parimala</t>
  </si>
  <si>
    <t>vergeles</t>
  </si>
  <si>
    <t>grigory</t>
  </si>
  <si>
    <t>grosman</t>
  </si>
  <si>
    <t>sqa analyst</t>
  </si>
  <si>
    <t>vu</t>
  </si>
  <si>
    <t>software test engineering lead</t>
  </si>
  <si>
    <t>salas</t>
  </si>
  <si>
    <t>senior quality assurance engineer</t>
  </si>
  <si>
    <t>landes</t>
  </si>
  <si>
    <t>test lead/senior qa engineer</t>
  </si>
  <si>
    <t>daly</t>
  </si>
  <si>
    <t>ramon tarbet</t>
  </si>
  <si>
    <t>director, leisure sales</t>
  </si>
  <si>
    <t>damie</t>
  </si>
  <si>
    <t>senior product manager - replay</t>
  </si>
  <si>
    <t>knappick</t>
  </si>
  <si>
    <t>berlin, berlin, germany</t>
  </si>
  <si>
    <t>margie</t>
  </si>
  <si>
    <t>gonzalez alonso</t>
  </si>
  <si>
    <t>binda mba</t>
  </si>
  <si>
    <t>crm &amp; os team manager at sap global delivery</t>
  </si>
  <si>
    <t>folonier</t>
  </si>
  <si>
    <t>federica</t>
  </si>
  <si>
    <t>pelzel</t>
  </si>
  <si>
    <t>cheung</t>
  </si>
  <si>
    <t>executive producer / client lead</t>
  </si>
  <si>
    <t>a. martin</t>
  </si>
  <si>
    <t>llano</t>
  </si>
  <si>
    <t>22,64</t>
  </si>
  <si>
    <t>aune</t>
  </si>
  <si>
    <t>passionate software developer</t>
  </si>
  <si>
    <t>19,5928571428571</t>
  </si>
  <si>
    <t>stan</t>
  </si>
  <si>
    <t>vierhaus</t>
  </si>
  <si>
    <t>web 2.0 application developer</t>
  </si>
  <si>
    <t>21,6384615384615</t>
  </si>
  <si>
    <t>eihab</t>
  </si>
  <si>
    <t>shadeed</t>
  </si>
  <si>
    <t>sr. front-end engineer</t>
  </si>
  <si>
    <t>25,17</t>
  </si>
  <si>
    <t>tolmare</t>
  </si>
  <si>
    <t>head of ww ecommerce and digital marketing, cisco consumer products at cisco</t>
  </si>
  <si>
    <t>wootten</t>
  </si>
  <si>
    <t>senior director, online marketing group</t>
  </si>
  <si>
    <t>laxmi</t>
  </si>
  <si>
    <t>penukula</t>
  </si>
  <si>
    <t>cary, north carolina, United States</t>
  </si>
  <si>
    <t>strocher</t>
  </si>
  <si>
    <t>archuleta</t>
  </si>
  <si>
    <t>29,25</t>
  </si>
  <si>
    <t>escobar</t>
  </si>
  <si>
    <t>hoffmann</t>
  </si>
  <si>
    <t>sr. director, worldwide marketing communications</t>
  </si>
  <si>
    <t>dagucon</t>
  </si>
  <si>
    <t>claire</t>
  </si>
  <si>
    <t>john h</t>
  </si>
  <si>
    <t>founder trustee</t>
  </si>
  <si>
    <t>reigate, surrey, united kingdom</t>
  </si>
  <si>
    <t>java senior associate for livenation/ticketmaster account</t>
  </si>
  <si>
    <t>los angeles y alrededores, estados unidos</t>
  </si>
  <si>
    <t>darío ariel</t>
  </si>
  <si>
    <t>cariboni</t>
  </si>
  <si>
    <t>campos carles</t>
  </si>
  <si>
    <t>campanelli</t>
  </si>
  <si>
    <t>creativo digital</t>
  </si>
  <si>
    <t>maria teresa</t>
  </si>
  <si>
    <t>di rico</t>
  </si>
  <si>
    <t>gil de fainschtein</t>
  </si>
  <si>
    <t>presidente del comité organizador</t>
  </si>
  <si>
    <t>arabetti</t>
  </si>
  <si>
    <t>leal</t>
  </si>
  <si>
    <t>business consultant - director</t>
  </si>
  <si>
    <t>19,25</t>
  </si>
  <si>
    <t>tardio velasco pmp</t>
  </si>
  <si>
    <t>olivera</t>
  </si>
  <si>
    <t>scrum master</t>
  </si>
  <si>
    <t>sartori</t>
  </si>
  <si>
    <t>portland, oregon area, united states, United States</t>
  </si>
  <si>
    <t>namita</t>
  </si>
  <si>
    <t>prabhu</t>
  </si>
  <si>
    <t>qa engineer at jive software</t>
  </si>
  <si>
    <t>salgueiro</t>
  </si>
  <si>
    <t>co-founder, multimedia designer &amp; frontend developer</t>
  </si>
  <si>
    <t>marion</t>
  </si>
  <si>
    <t>khonin</t>
  </si>
  <si>
    <t>dubra</t>
  </si>
  <si>
    <t>kochman</t>
  </si>
  <si>
    <t>j2ee / flex developer</t>
  </si>
  <si>
    <t>paris 11, ile-de-france, france</t>
  </si>
  <si>
    <t>duncan</t>
  </si>
  <si>
    <t>national account manager</t>
  </si>
  <si>
    <t>alcazar</t>
  </si>
  <si>
    <t>21,25</t>
  </si>
  <si>
    <t>bolduc</t>
  </si>
  <si>
    <t>pitman</t>
  </si>
  <si>
    <t>director, testing services / sr. qa manager</t>
  </si>
  <si>
    <t>business intelligence and integration architect (telecommuting from el bolsón, río negro, argentina)</t>
  </si>
  <si>
    <t>nobie</t>
  </si>
  <si>
    <t>almirón</t>
  </si>
  <si>
    <t>solutions development manager</t>
  </si>
  <si>
    <t>cohn</t>
  </si>
  <si>
    <t>vish</t>
  </si>
  <si>
    <t>daswani</t>
  </si>
  <si>
    <t>advert</t>
  </si>
  <si>
    <t>marketing</t>
  </si>
  <si>
    <t>cpa network</t>
  </si>
  <si>
    <t>borghesi</t>
  </si>
  <si>
    <t>kussy</t>
  </si>
  <si>
    <t>boulder, colorado</t>
  </si>
  <si>
    <t>aguanno</t>
  </si>
  <si>
    <t>analista en seguridad informática ssr.</t>
  </si>
  <si>
    <t>leandro gaston</t>
  </si>
  <si>
    <t>tomaselli</t>
  </si>
  <si>
    <t>storage systems &amp; san - subject matter expert (sme)</t>
  </si>
  <si>
    <t>hazel</t>
  </si>
  <si>
    <t>sr unix system engineer</t>
  </si>
  <si>
    <t>kuehn</t>
  </si>
  <si>
    <t>unix systems administrator</t>
  </si>
  <si>
    <t>forrest</t>
  </si>
  <si>
    <t>hr focal</t>
  </si>
  <si>
    <t>ipuche</t>
  </si>
  <si>
    <t>angie</t>
  </si>
  <si>
    <t>giardina</t>
  </si>
  <si>
    <t>rima</t>
  </si>
  <si>
    <t>sr. director, application development</t>
  </si>
  <si>
    <t>brandsma</t>
  </si>
  <si>
    <t>kekst</t>
  </si>
  <si>
    <t>musick</t>
  </si>
  <si>
    <t>it manager (cio)</t>
  </si>
  <si>
    <t>lattanzi</t>
  </si>
  <si>
    <t>consultor de ti</t>
  </si>
  <si>
    <t>morixe</t>
  </si>
  <si>
    <t>19,33</t>
  </si>
  <si>
    <t>people manager</t>
  </si>
  <si>
    <t>abhi</t>
  </si>
  <si>
    <t>jadhav</t>
  </si>
  <si>
    <t>director, ecommerce</t>
  </si>
  <si>
    <t>dwarakish</t>
  </si>
  <si>
    <t>senior manager software development</t>
  </si>
  <si>
    <t>jo anne</t>
  </si>
  <si>
    <t>senior interaction designer</t>
  </si>
  <si>
    <t>gururaj</t>
  </si>
  <si>
    <t>mallur</t>
  </si>
  <si>
    <t>carlos manuel</t>
  </si>
  <si>
    <t>salvatore</t>
  </si>
  <si>
    <t>microsoft partner - consulting services</t>
  </si>
  <si>
    <t>pulido</t>
  </si>
  <si>
    <t>chaitanya</t>
  </si>
  <si>
    <t>bhuskute</t>
  </si>
  <si>
    <t>partner at cc squared llc</t>
  </si>
  <si>
    <t>roland</t>
  </si>
  <si>
    <t>director, technologies communications</t>
  </si>
  <si>
    <t>raffa</t>
  </si>
  <si>
    <t>markovich</t>
  </si>
  <si>
    <t>chordia</t>
  </si>
  <si>
    <t>director of business architecture</t>
  </si>
  <si>
    <t>parry</t>
  </si>
  <si>
    <t>senior manager, senior technical architect, technology growth platforms</t>
  </si>
  <si>
    <t>ata</t>
  </si>
  <si>
    <t>ivanov</t>
  </si>
  <si>
    <t>director of strategic partnership</t>
  </si>
  <si>
    <t>mccomas</t>
  </si>
  <si>
    <t>23,5384615384615</t>
  </si>
  <si>
    <t>duranti</t>
  </si>
  <si>
    <t>product development</t>
  </si>
  <si>
    <t>joanna</t>
  </si>
  <si>
    <t>fong</t>
  </si>
  <si>
    <t>online marketing professional in consumer internet and mobile space</t>
  </si>
  <si>
    <t>26,6647058823529</t>
  </si>
  <si>
    <t>saji</t>
  </si>
  <si>
    <t>abramson</t>
  </si>
  <si>
    <t>general manager - hexco</t>
  </si>
  <si>
    <t>lopez ruiz</t>
  </si>
  <si>
    <t>mobile software development</t>
  </si>
  <si>
    <t>sotomayor</t>
  </si>
  <si>
    <t>oleary</t>
  </si>
  <si>
    <t>director, global sales business ops</t>
  </si>
  <si>
    <t>soren</t>
  </si>
  <si>
    <t>detering</t>
  </si>
  <si>
    <t>sap indirect sales lead (partner channel management)</t>
  </si>
  <si>
    <t>24,33</t>
  </si>
  <si>
    <t>senior manager desktop and mobile technical operations</t>
  </si>
  <si>
    <t>ivaldi</t>
  </si>
  <si>
    <t>perito psicóloga</t>
  </si>
  <si>
    <t>koretzky</t>
  </si>
  <si>
    <t>montreal, canada area</t>
  </si>
  <si>
    <t>19,75</t>
  </si>
  <si>
    <t>goldfein</t>
  </si>
  <si>
    <t>director, internet experience</t>
  </si>
  <si>
    <t>solmirano</t>
  </si>
  <si>
    <t>hartsook</t>
  </si>
  <si>
    <t>ventura, california, United States</t>
  </si>
  <si>
    <t>norris</t>
  </si>
  <si>
    <t>platform integration maa team</t>
  </si>
  <si>
    <t>cherchyk</t>
  </si>
  <si>
    <t>manager - projects</t>
  </si>
  <si>
    <t>gonzalo hernan</t>
  </si>
  <si>
    <t>rolnik</t>
  </si>
  <si>
    <t>setrin</t>
  </si>
  <si>
    <t>senior director - documetrics</t>
  </si>
  <si>
    <t>coo, restaurateur, sommelier</t>
  </si>
  <si>
    <t>project manager (global business services)</t>
  </si>
  <si>
    <t>howie</t>
  </si>
  <si>
    <t>director - interactive technology</t>
  </si>
  <si>
    <t>shapiro</t>
  </si>
  <si>
    <t>senior qa analyst</t>
  </si>
  <si>
    <t>cora</t>
  </si>
  <si>
    <t>flaster</t>
  </si>
  <si>
    <t>owner &amp; creative diector</t>
  </si>
  <si>
    <t>isaacs gabe</t>
  </si>
  <si>
    <t>vp, digital strategist</t>
  </si>
  <si>
    <t>hackett</t>
  </si>
  <si>
    <t>rauh</t>
  </si>
  <si>
    <t>senior technical director</t>
  </si>
  <si>
    <t>barreiros</t>
  </si>
  <si>
    <t>manager consulting</t>
  </si>
  <si>
    <t>hohmeister</t>
  </si>
  <si>
    <t>greater salt lake city area, united states</t>
  </si>
  <si>
    <t>harman cmrp</t>
  </si>
  <si>
    <t>groiso</t>
  </si>
  <si>
    <t>healthcare industry leader spanish south america at ibm</t>
  </si>
  <si>
    <t>piroli</t>
  </si>
  <si>
    <t>messing</t>
  </si>
  <si>
    <t>rullo</t>
  </si>
  <si>
    <t>19,6384615384615</t>
  </si>
  <si>
    <t>alzueta santa cruz</t>
  </si>
  <si>
    <t>henri</t>
  </si>
  <si>
    <t>duong</t>
  </si>
  <si>
    <t>web project manager/ scrum master</t>
  </si>
  <si>
    <t>goldrajch</t>
  </si>
  <si>
    <t>zigurd</t>
  </si>
  <si>
    <t>mednieks</t>
  </si>
  <si>
    <t>shweta</t>
  </si>
  <si>
    <t>mahajan</t>
  </si>
  <si>
    <t>associate vice president - sales</t>
  </si>
  <si>
    <t>edson</t>
  </si>
  <si>
    <t>internet technology director</t>
  </si>
  <si>
    <t>phong q.</t>
  </si>
  <si>
    <t>rock</t>
  </si>
  <si>
    <t>n.a. mcommerce lead, accenture mobility services</t>
  </si>
  <si>
    <t>marcus v kitzberger</t>
  </si>
  <si>
    <t>rodrigues</t>
  </si>
  <si>
    <t>director of solutions / sales engineering</t>
  </si>
  <si>
    <t>ceo/president</t>
  </si>
  <si>
    <t>spitzner</t>
  </si>
  <si>
    <t>senior manager, sap support</t>
  </si>
  <si>
    <t>strategic enterprise services leader for argentina global delivery center</t>
  </si>
  <si>
    <t>gimelli</t>
  </si>
  <si>
    <t>nicolas daniel</t>
  </si>
  <si>
    <t>reymundo</t>
  </si>
  <si>
    <t>qa/tester</t>
  </si>
  <si>
    <t>morena</t>
  </si>
  <si>
    <t>ajay</t>
  </si>
  <si>
    <t>doshi</t>
  </si>
  <si>
    <t>director, prime brokerage technology</t>
  </si>
  <si>
    <t>shamis</t>
  </si>
  <si>
    <t>gastorf</t>
  </si>
  <si>
    <t>26,42</t>
  </si>
  <si>
    <t>senior infrastructure project manager</t>
  </si>
  <si>
    <t>santander</t>
  </si>
  <si>
    <t>commercial manager &amp; founder</t>
  </si>
  <si>
    <t>mislej</t>
  </si>
  <si>
    <t>khutorsky</t>
  </si>
  <si>
    <t>applications developer/avp</t>
  </si>
  <si>
    <t>pontnau</t>
  </si>
  <si>
    <t>consultor de soluciones de negocio</t>
  </si>
  <si>
    <t>carreño</t>
  </si>
  <si>
    <t>carballo</t>
  </si>
  <si>
    <t>pellegrino</t>
  </si>
  <si>
    <t>sales support management analyst i</t>
  </si>
  <si>
    <t>lead app designer</t>
  </si>
  <si>
    <t>chiari</t>
  </si>
  <si>
    <t>heffernan</t>
  </si>
  <si>
    <t>director, software development</t>
  </si>
  <si>
    <t>marcelo andrés</t>
  </si>
  <si>
    <t>sunil</t>
  </si>
  <si>
    <t>principal/owner</t>
  </si>
  <si>
    <t>gierak</t>
  </si>
  <si>
    <t>donald</t>
  </si>
  <si>
    <t>glass</t>
  </si>
  <si>
    <t>haimovich</t>
  </si>
  <si>
    <t>bonanno</t>
  </si>
  <si>
    <t>maría jimena</t>
  </si>
  <si>
    <t>roveda</t>
  </si>
  <si>
    <t>maniasi</t>
  </si>
  <si>
    <t>applications service manager</t>
  </si>
  <si>
    <t>mcdermott</t>
  </si>
  <si>
    <t>chet</t>
  </si>
  <si>
    <t>marek</t>
  </si>
  <si>
    <t>application quality analyst</t>
  </si>
  <si>
    <t>ramachandran pmp</t>
  </si>
  <si>
    <t>shari</t>
  </si>
  <si>
    <t>it program / project manager</t>
  </si>
  <si>
    <t>roda</t>
  </si>
  <si>
    <t>ivey</t>
  </si>
  <si>
    <t>pmo director</t>
  </si>
  <si>
    <t>kulkarni</t>
  </si>
  <si>
    <t>vinay</t>
  </si>
  <si>
    <t>moharil</t>
  </si>
  <si>
    <t>director of engineering, travelocity mobile</t>
  </si>
  <si>
    <t>hilmes csm</t>
  </si>
  <si>
    <t>crouse</t>
  </si>
  <si>
    <t>stright</t>
  </si>
  <si>
    <t>managing general partner</t>
  </si>
  <si>
    <t>redding, california</t>
  </si>
  <si>
    <t>holley</t>
  </si>
  <si>
    <t>associate principal</t>
  </si>
  <si>
    <t>garner cpp phr</t>
  </si>
  <si>
    <t>manager - payroll implementation</t>
  </si>
  <si>
    <t>23,83</t>
  </si>
  <si>
    <t>roseman</t>
  </si>
  <si>
    <t>vp, professional services</t>
  </si>
  <si>
    <t>wesley</t>
  </si>
  <si>
    <t>president and chief operating officer</t>
  </si>
  <si>
    <t>rontgen</t>
  </si>
  <si>
    <t>tier-3 operations oracle support dba</t>
  </si>
  <si>
    <t>iftequar</t>
  </si>
  <si>
    <t>senior oracle engineer</t>
  </si>
  <si>
    <t>owner and wowza media server expert</t>
  </si>
  <si>
    <t>22,17</t>
  </si>
  <si>
    <t>pugliese</t>
  </si>
  <si>
    <t>dca unix team leader &amp; sme ibm</t>
  </si>
  <si>
    <t>jarab</t>
  </si>
  <si>
    <t>seferino antonio</t>
  </si>
  <si>
    <t>compliance portfolio lead</t>
  </si>
  <si>
    <t>redmond, washington, United States</t>
  </si>
  <si>
    <t>yi</t>
  </si>
  <si>
    <t>vp, core development</t>
  </si>
  <si>
    <t>wahlberg</t>
  </si>
  <si>
    <t>cumberland, rhode island</t>
  </si>
  <si>
    <t>neal</t>
  </si>
  <si>
    <t>so</t>
  </si>
  <si>
    <t>nord</t>
  </si>
  <si>
    <t>samuelson</t>
  </si>
  <si>
    <t>portland, maine area, united states</t>
  </si>
  <si>
    <t>jackie</t>
  </si>
  <si>
    <t>albrecht</t>
  </si>
  <si>
    <t>broderick</t>
  </si>
  <si>
    <t>burghardt</t>
  </si>
  <si>
    <t>director, medical products research &amp; development it</t>
  </si>
  <si>
    <t>sr. qa tester</t>
  </si>
  <si>
    <t>brett</t>
  </si>
  <si>
    <t>profitt</t>
  </si>
  <si>
    <t>consulting and freelancing</t>
  </si>
  <si>
    <t>rfs (infrastructure) program manager</t>
  </si>
  <si>
    <t>27,33</t>
  </si>
  <si>
    <t>pawlowski</t>
  </si>
  <si>
    <t>director, regional infrastructure technology</t>
  </si>
  <si>
    <t>maría inés</t>
  </si>
  <si>
    <t>colona</t>
  </si>
  <si>
    <t>arriada</t>
  </si>
  <si>
    <t>senior systems engineer</t>
  </si>
  <si>
    <t>technical solution architect</t>
  </si>
  <si>
    <t>redhill, united kingdom</t>
  </si>
  <si>
    <t>clayton larry.claytontelmex.com</t>
  </si>
  <si>
    <t>senior global account manager</t>
  </si>
  <si>
    <t>mort</t>
  </si>
  <si>
    <t>greenberg</t>
  </si>
  <si>
    <t>executive director, warner bros. digital distribution</t>
  </si>
  <si>
    <t>brough</t>
  </si>
  <si>
    <t>business development, mobile broadband &amp; ipx, worldwide</t>
  </si>
  <si>
    <t>malatesta</t>
  </si>
  <si>
    <t>latam business development</t>
  </si>
  <si>
    <t>cromie</t>
  </si>
  <si>
    <t>senior manager at accenture</t>
  </si>
  <si>
    <t>20,5722222222222</t>
  </si>
  <si>
    <t>guichón</t>
  </si>
  <si>
    <t>juan josé</t>
  </si>
  <si>
    <t>abregú</t>
  </si>
  <si>
    <t>unix system administrator</t>
  </si>
  <si>
    <t>damián</t>
  </si>
  <si>
    <t>miquitiansky</t>
  </si>
  <si>
    <t>ito svc delivery cons ii at hp</t>
  </si>
  <si>
    <t>hauber</t>
  </si>
  <si>
    <t>wintel &amp; vmware delivery manager</t>
  </si>
  <si>
    <t>vmware specialist</t>
  </si>
  <si>
    <t>muradas</t>
  </si>
  <si>
    <t>19,3846153846154</t>
  </si>
  <si>
    <t>klajner</t>
  </si>
  <si>
    <t>professional services product manager</t>
  </si>
  <si>
    <t>21,58</t>
  </si>
  <si>
    <t>davison</t>
  </si>
  <si>
    <t>gannio</t>
  </si>
  <si>
    <t>daniel alejandro</t>
  </si>
  <si>
    <t>hulej</t>
  </si>
  <si>
    <t>it specialist, database mainframe support, db2 z/os</t>
  </si>
  <si>
    <t>briscioli</t>
  </si>
  <si>
    <t>ejecutivo de cuentas</t>
  </si>
  <si>
    <t>20,3333333333333</t>
  </si>
  <si>
    <t>broner</t>
  </si>
  <si>
    <t>alejandro .e .a</t>
  </si>
  <si>
    <t>laporte</t>
  </si>
  <si>
    <t>project manager and la focal - global business services - ssa sector -</t>
  </si>
  <si>
    <t>cruz</t>
  </si>
  <si>
    <t>fernandez de kirchner</t>
  </si>
  <si>
    <t>campuris</t>
  </si>
  <si>
    <t>support manager en comptel</t>
  </si>
  <si>
    <t>collica pmp</t>
  </si>
  <si>
    <t>sundar</t>
  </si>
  <si>
    <t>e-commerce product lead</t>
  </si>
  <si>
    <t>scully</t>
  </si>
  <si>
    <t>erie, pennsylvania area, united states</t>
  </si>
  <si>
    <t>osvaldo</t>
  </si>
  <si>
    <t>moffa</t>
  </si>
  <si>
    <t>ramos ducos</t>
  </si>
  <si>
    <t>resource management specialist</t>
  </si>
  <si>
    <t>vergine</t>
  </si>
  <si>
    <t>director, product and development</t>
  </si>
  <si>
    <t>llames massini</t>
  </si>
  <si>
    <t>eduardo a.</t>
  </si>
  <si>
    <t>hauser</t>
  </si>
  <si>
    <t>28,33</t>
  </si>
  <si>
    <t>burgert</t>
  </si>
  <si>
    <t>c. ignacio</t>
  </si>
  <si>
    <t>fernández espada</t>
  </si>
  <si>
    <t>garcia morales</t>
  </si>
  <si>
    <t>liceaga</t>
  </si>
  <si>
    <t>armengol</t>
  </si>
  <si>
    <t>reel</t>
  </si>
  <si>
    <t>elliot</t>
  </si>
  <si>
    <t>tripp</t>
  </si>
  <si>
    <t>kadhim</t>
  </si>
  <si>
    <t>sr. oracle dba &amp; system architect</t>
  </si>
  <si>
    <t>wetsel</t>
  </si>
  <si>
    <t>sr. software engineer - android developer</t>
  </si>
  <si>
    <t>guardines</t>
  </si>
  <si>
    <t>senior j2ee developer / consultor</t>
  </si>
  <si>
    <t>angel gabriel</t>
  </si>
  <si>
    <t>castellano</t>
  </si>
  <si>
    <t>gerente de alianzas y canales</t>
  </si>
  <si>
    <t>cardozo</t>
  </si>
  <si>
    <t>project management operation</t>
  </si>
  <si>
    <t>cano</t>
  </si>
  <si>
    <t>moge</t>
  </si>
  <si>
    <t>project manager - lider tecnico</t>
  </si>
  <si>
    <t>curling</t>
  </si>
  <si>
    <t>carnelli</t>
  </si>
  <si>
    <t>graphic designer/project manager</t>
  </si>
  <si>
    <t>21,9461538461538</t>
  </si>
  <si>
    <t>woloski</t>
  </si>
  <si>
    <t>osses</t>
  </si>
  <si>
    <t>analista tecnico</t>
  </si>
  <si>
    <t>lauryn</t>
  </si>
  <si>
    <t>sales, strategy and business development executive w/ strong focus on healthcare it and services</t>
  </si>
  <si>
    <t>sr director global business units pmo</t>
  </si>
  <si>
    <t>di stefano</t>
  </si>
  <si>
    <t>analista qa</t>
  </si>
  <si>
    <t>motamedi</t>
  </si>
  <si>
    <t>janine</t>
  </si>
  <si>
    <t>cloud services operations director</t>
  </si>
  <si>
    <t>damske</t>
  </si>
  <si>
    <t>swartz</t>
  </si>
  <si>
    <t>kiernicki</t>
  </si>
  <si>
    <t>consultor senior e-business suite</t>
  </si>
  <si>
    <t>independent sr. oracle value chain execution consultant</t>
  </si>
  <si>
    <t>it manager (ex dana corporation)</t>
  </si>
  <si>
    <t>field sales engineer</t>
  </si>
  <si>
    <t>simionato</t>
  </si>
  <si>
    <t>navarro mba</t>
  </si>
  <si>
    <t>vp - client services (florida and caribbean)</t>
  </si>
  <si>
    <t>sahagun</t>
  </si>
  <si>
    <t>business development and solution management director, latin america</t>
  </si>
  <si>
    <t>24,17</t>
  </si>
  <si>
    <t>cashion</t>
  </si>
  <si>
    <t>principal architect (global customer success, cm) at pitney bowes software</t>
  </si>
  <si>
    <t>muskatel</t>
  </si>
  <si>
    <t>director professional services</t>
  </si>
  <si>
    <t>reinaldo</t>
  </si>
  <si>
    <t>cereseto</t>
  </si>
  <si>
    <t>vp service delivery oracle on demand (usa southeast region)</t>
  </si>
  <si>
    <t>noonan</t>
  </si>
  <si>
    <t>managing director, oracle corporation</t>
  </si>
  <si>
    <t>group vice president</t>
  </si>
  <si>
    <t>ramundo</t>
  </si>
  <si>
    <t>premium engagement sales manager</t>
  </si>
  <si>
    <t>21,1769230769231</t>
  </si>
  <si>
    <t>de lorenzis</t>
  </si>
  <si>
    <t>pia</t>
  </si>
  <si>
    <t>owner - service delivery director - resource manager</t>
  </si>
  <si>
    <t>mazzoni</t>
  </si>
  <si>
    <t>olivencia</t>
  </si>
  <si>
    <t>director, it strategy &amp; planning</t>
  </si>
  <si>
    <t>briggs</t>
  </si>
  <si>
    <t>principal sales consultant (knowledge management)</t>
  </si>
  <si>
    <t>bouillet pmp itil</t>
  </si>
  <si>
    <t>alice</t>
  </si>
  <si>
    <t>dunlapkraft</t>
  </si>
  <si>
    <t>organization change team of enterprise business process transformation group, within cio organization, ibm</t>
  </si>
  <si>
    <t>vanina mariel</t>
  </si>
  <si>
    <t>musmanno</t>
  </si>
  <si>
    <t>consultor informático</t>
  </si>
  <si>
    <t>miguel ángel</t>
  </si>
  <si>
    <t>developer relations</t>
  </si>
  <si>
    <t>tricarico</t>
  </si>
  <si>
    <t>bt business partner</t>
  </si>
  <si>
    <t>marketing &amp; communications manager andean region</t>
  </si>
  <si>
    <t>matias exequiel</t>
  </si>
  <si>
    <t>cancemi</t>
  </si>
  <si>
    <t>parajcb</t>
  </si>
  <si>
    <t>design manager</t>
  </si>
  <si>
    <t>co founder &amp; coo</t>
  </si>
  <si>
    <t>lofgren</t>
  </si>
  <si>
    <t>sr. vp, business operations</t>
  </si>
  <si>
    <t>sales and account management</t>
  </si>
  <si>
    <t>igot</t>
  </si>
  <si>
    <t>tello</t>
  </si>
  <si>
    <t>analista programador senior</t>
  </si>
  <si>
    <t>cuan</t>
  </si>
  <si>
    <t>vp marketing &amp; creative services</t>
  </si>
  <si>
    <t>cengotitabengoa</t>
  </si>
  <si>
    <t>technical team leader</t>
  </si>
  <si>
    <t>elffman</t>
  </si>
  <si>
    <t>ortega</t>
  </si>
  <si>
    <t>director of business development - americas</t>
  </si>
  <si>
    <t>pando</t>
  </si>
  <si>
    <t>john s.</t>
  </si>
  <si>
    <t>director, cloud computing / web 2.0 / big data software alliances</t>
  </si>
  <si>
    <t>freedus</t>
  </si>
  <si>
    <t>kasasa account executive</t>
  </si>
  <si>
    <t>natalia carolina</t>
  </si>
  <si>
    <t>vier</t>
  </si>
  <si>
    <t>team leader | senior ux &amp; ui web designer</t>
  </si>
  <si>
    <t>merlo</t>
  </si>
  <si>
    <t>vallejos</t>
  </si>
  <si>
    <t>remote services manager</t>
  </si>
  <si>
    <t>bilinkis</t>
  </si>
  <si>
    <t>co-founder and board member</t>
  </si>
  <si>
    <t>álvarez</t>
  </si>
  <si>
    <t>somodi</t>
  </si>
  <si>
    <t>snayd</t>
  </si>
  <si>
    <t>vice president north america pre-sales at openlink financial</t>
  </si>
  <si>
    <t>telaro cfpim</t>
  </si>
  <si>
    <t>borg</t>
  </si>
  <si>
    <t>molecular program consultant / molecular account manager</t>
  </si>
  <si>
    <t>19,42</t>
  </si>
  <si>
    <t>gailey</t>
  </si>
  <si>
    <t>sales - business development itsm and itil</t>
  </si>
  <si>
    <t>kent t</t>
  </si>
  <si>
    <t>pollitt</t>
  </si>
  <si>
    <t>pajaro</t>
  </si>
  <si>
    <t>senior principal technical support engineer</t>
  </si>
  <si>
    <t>creegan</t>
  </si>
  <si>
    <t>metcalf</t>
  </si>
  <si>
    <t>director channel sales</t>
  </si>
  <si>
    <t>francois</t>
  </si>
  <si>
    <t>global alliances director</t>
  </si>
  <si>
    <t>lysynecky</t>
  </si>
  <si>
    <t>allentown, pennsylvania area, united states</t>
  </si>
  <si>
    <t>tarpley</t>
  </si>
  <si>
    <t>senior practice director - na services, utilities global business unit</t>
  </si>
  <si>
    <t>serrato  pmp</t>
  </si>
  <si>
    <t>mereles</t>
  </si>
  <si>
    <t>software sales specialist representative (sssr)</t>
  </si>
  <si>
    <t>juan jeronimo</t>
  </si>
  <si>
    <t>ginzburg</t>
  </si>
  <si>
    <t>ana lucero</t>
  </si>
  <si>
    <t>alvarado</t>
  </si>
  <si>
    <t>principal technical support engineer vcard / xml</t>
  </si>
  <si>
    <t>daytona beach, florida area, united states</t>
  </si>
  <si>
    <t>sales consulting manager</t>
  </si>
  <si>
    <t>ganesh</t>
  </si>
  <si>
    <t>radhakrishnan</t>
  </si>
  <si>
    <t>manager, software development</t>
  </si>
  <si>
    <t>testut</t>
  </si>
  <si>
    <t>majo</t>
  </si>
  <si>
    <t>ros ferrando</t>
  </si>
  <si>
    <t>consultora comercial</t>
  </si>
  <si>
    <t>valencia y alrededores, españa</t>
  </si>
  <si>
    <t>inma</t>
  </si>
  <si>
    <t>kern</t>
  </si>
  <si>
    <t>directora de ventas en auraportal bpm / especialista en técnicas de ventas y negociación</t>
  </si>
  <si>
    <t>luciene</t>
  </si>
  <si>
    <t>regnery lcb mba cgbp</t>
  </si>
  <si>
    <t>lazzeri</t>
  </si>
  <si>
    <t>pre sales</t>
  </si>
  <si>
    <t>roll</t>
  </si>
  <si>
    <t>senior services consultant</t>
  </si>
  <si>
    <t>meridian, idaho</t>
  </si>
  <si>
    <t>sallis</t>
  </si>
  <si>
    <t>owner &amp; director de servicios profesionales</t>
  </si>
  <si>
    <t>prakash</t>
  </si>
  <si>
    <t>nauduri</t>
  </si>
  <si>
    <t>mckeighan</t>
  </si>
  <si>
    <t>oracle client advisor vice president</t>
  </si>
  <si>
    <t>fort myers, florida area, united states, United States</t>
  </si>
  <si>
    <t>stu</t>
  </si>
  <si>
    <t>sugarman</t>
  </si>
  <si>
    <t>client advisor</t>
  </si>
  <si>
    <t>jorczak</t>
  </si>
  <si>
    <t>senior director, communications &amp; media industry solutions</t>
  </si>
  <si>
    <t>ciauri</t>
  </si>
  <si>
    <t>senior area vice president, emea sales</t>
  </si>
  <si>
    <t>heller</t>
  </si>
  <si>
    <t>chief architect, grey sparling solutions, inc.</t>
  </si>
  <si>
    <t>suti</t>
  </si>
  <si>
    <t>saludas</t>
  </si>
  <si>
    <t>sam service account manager</t>
  </si>
  <si>
    <t>database administrator manager</t>
  </si>
  <si>
    <t>shankar</t>
  </si>
  <si>
    <t>nicolás pablo</t>
  </si>
  <si>
    <t>raposo</t>
  </si>
  <si>
    <t>principal network engineer</t>
  </si>
  <si>
    <t>abdel nour</t>
  </si>
  <si>
    <t>application development it, group manager</t>
  </si>
  <si>
    <t>loyza</t>
  </si>
  <si>
    <t>blackburn</t>
  </si>
  <si>
    <t>busacca</t>
  </si>
  <si>
    <t>ceo latam</t>
  </si>
  <si>
    <t>ortiz de zarate sphr</t>
  </si>
  <si>
    <t>hr manager latin america</t>
  </si>
  <si>
    <t>jerson</t>
  </si>
  <si>
    <t>calderon</t>
  </si>
  <si>
    <t>sales director - commscope enterprise solutions</t>
  </si>
  <si>
    <t>randall</t>
  </si>
  <si>
    <t>wiley</t>
  </si>
  <si>
    <t>sr. director pmo product development it</t>
  </si>
  <si>
    <t>darío</t>
  </si>
  <si>
    <t>galasso</t>
  </si>
  <si>
    <t>senior premier field engineer at microsoft</t>
  </si>
  <si>
    <t>podesta</t>
  </si>
  <si>
    <t>regional security compliance manager for latin america</t>
  </si>
  <si>
    <t>stempler mba pmp cobit</t>
  </si>
  <si>
    <t>molina ..</t>
  </si>
  <si>
    <t>vp of sales and business development</t>
  </si>
  <si>
    <t>gerente de marketing &amp; producto</t>
  </si>
  <si>
    <t>berron</t>
  </si>
  <si>
    <t>founder and partner / procurement improvement consultant</t>
  </si>
  <si>
    <t>minotti</t>
  </si>
  <si>
    <t>directora de medios</t>
  </si>
  <si>
    <t>richar</t>
  </si>
  <si>
    <t>dalmada</t>
  </si>
  <si>
    <t>responsable de relaciones institucionales</t>
  </si>
  <si>
    <t>casco</t>
  </si>
  <si>
    <t>barbosa ballestero</t>
  </si>
  <si>
    <t>turrado</t>
  </si>
  <si>
    <t>asesor comercial en miguel perez</t>
  </si>
  <si>
    <t>19,8695652173913</t>
  </si>
  <si>
    <t>lagler</t>
  </si>
  <si>
    <t>en busqueda de un nuevo desafio laboral!</t>
  </si>
  <si>
    <t>26,6916666666667</t>
  </si>
  <si>
    <t>madrigale</t>
  </si>
  <si>
    <t>qa/qc sr. analyst &amp; team leader</t>
  </si>
  <si>
    <t>solla</t>
  </si>
  <si>
    <t>sr. qc analyst</t>
  </si>
  <si>
    <t>maría rita</t>
  </si>
  <si>
    <t>qc tester ssr</t>
  </si>
  <si>
    <t>lautaro</t>
  </si>
  <si>
    <t>merigo</t>
  </si>
  <si>
    <t>qa project leader</t>
  </si>
  <si>
    <t>tanner</t>
  </si>
  <si>
    <t>payson, utah</t>
  </si>
  <si>
    <t>coons</t>
  </si>
  <si>
    <t>software quality assurance developer</t>
  </si>
  <si>
    <t>schwartzman</t>
  </si>
  <si>
    <t>financial manager</t>
  </si>
  <si>
    <t>tommasi</t>
  </si>
  <si>
    <t>hani</t>
  </si>
  <si>
    <t>zion</t>
  </si>
  <si>
    <t>lead qa</t>
  </si>
  <si>
    <t>opalenski</t>
  </si>
  <si>
    <t>senior automation engineer</t>
  </si>
  <si>
    <t>rivero</t>
  </si>
  <si>
    <t>senior android developer</t>
  </si>
  <si>
    <t>utrecht y alrededores, países bajos</t>
  </si>
  <si>
    <t>pacheco córdoba argentina</t>
  </si>
  <si>
    <t>cuesta</t>
  </si>
  <si>
    <t>semi senior qa engineer 2</t>
  </si>
  <si>
    <t>sole</t>
  </si>
  <si>
    <t>cleveland/akron, ohio area, united states, United States</t>
  </si>
  <si>
    <t>bisignano</t>
  </si>
  <si>
    <t>solutions architect</t>
  </si>
  <si>
    <t>charrise</t>
  </si>
  <si>
    <t>ingram</t>
  </si>
  <si>
    <t>sr. technology project manager</t>
  </si>
  <si>
    <t>developer .net</t>
  </si>
  <si>
    <t>vendor developer</t>
  </si>
  <si>
    <t>sfoggia</t>
  </si>
  <si>
    <t>analista programador c#</t>
  </si>
  <si>
    <t>viglietti</t>
  </si>
  <si>
    <t>analista programador sharepoint</t>
  </si>
  <si>
    <t>crea</t>
  </si>
  <si>
    <t>owner @mundoautomotor</t>
  </si>
  <si>
    <t>bulfon</t>
  </si>
  <si>
    <t>project manager for banco galicia</t>
  </si>
  <si>
    <t>castagnasso</t>
  </si>
  <si>
    <t>cloud architect</t>
  </si>
  <si>
    <t>minsky</t>
  </si>
  <si>
    <t>senior web developer</t>
  </si>
  <si>
    <t>ecommerce and digital marketing executive</t>
  </si>
  <si>
    <t>salde</t>
  </si>
  <si>
    <t>cognos developer / tech lead</t>
  </si>
  <si>
    <t>senior implementation &amp; support engineer - oracle dba</t>
  </si>
  <si>
    <t>yennaccaro</t>
  </si>
  <si>
    <t>ingenieria de red - responsable de area técnica</t>
  </si>
  <si>
    <t>laulhe</t>
  </si>
  <si>
    <t>chiarillo</t>
  </si>
  <si>
    <t>quality analyst associate</t>
  </si>
  <si>
    <t>santaella</t>
  </si>
  <si>
    <t>angeleri</t>
  </si>
  <si>
    <t>boronat</t>
  </si>
  <si>
    <t>founder and captain</t>
  </si>
  <si>
    <t>scuderi</t>
  </si>
  <si>
    <t>senior manager - corporate process, quality and security management</t>
  </si>
  <si>
    <t>perrone</t>
  </si>
  <si>
    <t>fp&amp;a manager - corporate business analysis and planning</t>
  </si>
  <si>
    <t>sarria</t>
  </si>
  <si>
    <t>retired senior financial services manager</t>
  </si>
  <si>
    <t>lidia</t>
  </si>
  <si>
    <t>schmukler</t>
  </si>
  <si>
    <t>19,58</t>
  </si>
  <si>
    <t>rodolfo edgardo</t>
  </si>
  <si>
    <t>cattaneo</t>
  </si>
  <si>
    <t>spinelli</t>
  </si>
  <si>
    <t>iacono</t>
  </si>
  <si>
    <t>premier field engineer</t>
  </si>
  <si>
    <t>chevallier boutell</t>
  </si>
  <si>
    <t>vázquez montoto</t>
  </si>
  <si>
    <t>gomez de la vega</t>
  </si>
  <si>
    <t>experienced product manager mobile content &amp; applications industry in north and latin american markets                 &lt;/p&gt;                             &lt;dl id="headline" class="demographic-info adr"&gt;     &lt;dt&gt;location&lt;/dt&gt;     &lt;dd&gt;     &lt;span class="locality"&gt;                                 san franc</t>
  </si>
  <si>
    <t>gilarranz</t>
  </si>
  <si>
    <t>global head of entertainment &amp; digital enablement</t>
  </si>
  <si>
    <t>guini</t>
  </si>
  <si>
    <t>owner / executive producer</t>
  </si>
  <si>
    <t>giovannetti</t>
  </si>
  <si>
    <t>vice president, content innovation</t>
  </si>
  <si>
    <t>daantje</t>
  </si>
  <si>
    <t>mobile advertising product marketing manager for us hispanic and latin america</t>
  </si>
  <si>
    <t>yeshey</t>
  </si>
  <si>
    <t>tshogay</t>
  </si>
  <si>
    <t>bhutan</t>
  </si>
  <si>
    <t>Bhutan</t>
  </si>
  <si>
    <t>sham</t>
  </si>
  <si>
    <t>careem</t>
  </si>
  <si>
    <t>meppershall, bedfordshire, united kingdom</t>
  </si>
  <si>
    <t>yoonie</t>
  </si>
  <si>
    <t>morniroli</t>
  </si>
  <si>
    <t>us west wintel best shore team leader - argentina</t>
  </si>
  <si>
    <t>unix &amp; storage management manager</t>
  </si>
  <si>
    <t>castellani</t>
  </si>
  <si>
    <t>sap mm wm consultant</t>
  </si>
  <si>
    <t>19,22</t>
  </si>
  <si>
    <t>banchio</t>
  </si>
  <si>
    <t>lautenberg</t>
  </si>
  <si>
    <t>director of marketing and investor relations</t>
  </si>
  <si>
    <t>sartell</t>
  </si>
  <si>
    <t>training operations sr. specialist</t>
  </si>
  <si>
    <t>lucido</t>
  </si>
  <si>
    <t>director, information strategy and operations</t>
  </si>
  <si>
    <t>nastasi</t>
  </si>
  <si>
    <t>analista funcional fi</t>
  </si>
  <si>
    <t>pedreira agilda</t>
  </si>
  <si>
    <t>robertazzi</t>
  </si>
  <si>
    <t>consultor sap hr</t>
  </si>
  <si>
    <t>cabanela</t>
  </si>
  <si>
    <t>roldán</t>
  </si>
  <si>
    <t>consultor de procesos sr.</t>
  </si>
  <si>
    <t>szpindler</t>
  </si>
  <si>
    <t>finochietti</t>
  </si>
  <si>
    <t>senior u&amp;i manager - intel tower lead for global delivery</t>
  </si>
  <si>
    <t>liñeiro</t>
  </si>
  <si>
    <t>manager, transition services</t>
  </si>
  <si>
    <t>oviedo</t>
  </si>
  <si>
    <t>gerente de ingenieria</t>
  </si>
  <si>
    <t>solution design &amp; life cycle manager ssa</t>
  </si>
  <si>
    <t>baiutti</t>
  </si>
  <si>
    <t>baker mba gphr</t>
  </si>
  <si>
    <t>high-impact human resources leader</t>
  </si>
  <si>
    <t>svp &amp; chief customer officer</t>
  </si>
  <si>
    <t>olea</t>
  </si>
  <si>
    <t>sosa albert</t>
  </si>
  <si>
    <t>.net &amp; sql developer &amp; architect</t>
  </si>
  <si>
    <t>19,3608695652174</t>
  </si>
  <si>
    <t>mejia</t>
  </si>
  <si>
    <t>director, information technology</t>
  </si>
  <si>
    <t>gerardo gabriel</t>
  </si>
  <si>
    <t>sap technical analyst</t>
  </si>
  <si>
    <t>searle</t>
  </si>
  <si>
    <t>romero barenghi</t>
  </si>
  <si>
    <t>blake</t>
  </si>
  <si>
    <t>chief operating director</t>
  </si>
  <si>
    <t>lehi, utah</t>
  </si>
  <si>
    <t>pucci</t>
  </si>
  <si>
    <t>north east area manager</t>
  </si>
  <si>
    <t>somers, new york, United States</t>
  </si>
  <si>
    <t>san pedro</t>
  </si>
  <si>
    <t>profesional independiente en el sector servicios y tecnología de la información</t>
  </si>
  <si>
    <t>22,55</t>
  </si>
  <si>
    <t>higa</t>
  </si>
  <si>
    <t>clebsch</t>
  </si>
  <si>
    <t>villa</t>
  </si>
  <si>
    <t>it specialist - db2 mainframe</t>
  </si>
  <si>
    <t>karina ines</t>
  </si>
  <si>
    <t>clarin global - cmd - implementaciones unix/ linux.</t>
  </si>
  <si>
    <t>parra it pmp pgmp</t>
  </si>
  <si>
    <t>mamani</t>
  </si>
  <si>
    <t>fazio</t>
  </si>
  <si>
    <t>fernán</t>
  </si>
  <si>
    <t>pizarro posse</t>
  </si>
  <si>
    <t>cardalda</t>
  </si>
  <si>
    <t>team lead sap srm</t>
  </si>
  <si>
    <t>project leader hcm</t>
  </si>
  <si>
    <t>eduardo adrian</t>
  </si>
  <si>
    <t>consultor wm</t>
  </si>
  <si>
    <t>diego ignacio</t>
  </si>
  <si>
    <t>levett</t>
  </si>
  <si>
    <t>incident escalation manager</t>
  </si>
  <si>
    <t>veloso</t>
  </si>
  <si>
    <t>roldan</t>
  </si>
  <si>
    <t>founder of business analytics group</t>
  </si>
  <si>
    <t>puneet</t>
  </si>
  <si>
    <t>vice president - business intelligence</t>
  </si>
  <si>
    <t>salt lake city, utah</t>
  </si>
  <si>
    <t>senior data architect</t>
  </si>
  <si>
    <t>hr director, multi-country area (mca)</t>
  </si>
  <si>
    <t>kyu</t>
  </si>
  <si>
    <t>kapalka</t>
  </si>
  <si>
    <t>owner, popcap games</t>
  </si>
  <si>
    <t>hohmann</t>
  </si>
  <si>
    <t>nigel</t>
  </si>
  <si>
    <t>shanahan</t>
  </si>
  <si>
    <t>mendelsohn</t>
  </si>
  <si>
    <t>information technology and services consultant and contractor</t>
  </si>
  <si>
    <t>beatrice</t>
  </si>
  <si>
    <t>tatsuya</t>
  </si>
  <si>
    <t>nakagawa</t>
  </si>
  <si>
    <t>gogerty</t>
  </si>
  <si>
    <t>paisley</t>
  </si>
  <si>
    <t>property manager</t>
  </si>
  <si>
    <t>evan</t>
  </si>
  <si>
    <t>chance</t>
  </si>
  <si>
    <t>partner / vp search marketing at meteorsite</t>
  </si>
  <si>
    <t>vice president &amp; general counsel</t>
  </si>
  <si>
    <t>cort</t>
  </si>
  <si>
    <t>sales director, southwest</t>
  </si>
  <si>
    <t>manny</t>
  </si>
  <si>
    <t>benor</t>
  </si>
  <si>
    <t>predovich</t>
  </si>
  <si>
    <t>client partner</t>
  </si>
  <si>
    <t>banchick</t>
  </si>
  <si>
    <t>wickens emba cmc pmp lssbb cams...</t>
  </si>
  <si>
    <t>advisory board</t>
  </si>
  <si>
    <t>mcmahon</t>
  </si>
  <si>
    <t>kaiser</t>
  </si>
  <si>
    <t>director - business development, emerging devices</t>
  </si>
  <si>
    <t>trung</t>
  </si>
  <si>
    <t>tran</t>
  </si>
  <si>
    <t>sawala</t>
  </si>
  <si>
    <t>business consulting | controller</t>
  </si>
  <si>
    <t>auburn, alabama area, united states</t>
  </si>
  <si>
    <t>mcnamara</t>
  </si>
  <si>
    <t>director new product development at&amp;t</t>
  </si>
  <si>
    <t>director, application distribution &amp; strategy</t>
  </si>
  <si>
    <t>nagel</t>
  </si>
  <si>
    <t>executive director, marketing - at&amp;t foundry</t>
  </si>
  <si>
    <t>eubank</t>
  </si>
  <si>
    <t>director program management and strategy - customer experience</t>
  </si>
  <si>
    <t>g. ehrhardt</t>
  </si>
  <si>
    <t>moonier</t>
  </si>
  <si>
    <t>senior director- industry vertical practice (mobile marketing, retail and consumer package goods)</t>
  </si>
  <si>
    <t>tucholski</t>
  </si>
  <si>
    <t>hushpreet dhaliwal</t>
  </si>
  <si>
    <t>23,5</t>
  </si>
  <si>
    <t>federman</t>
  </si>
  <si>
    <t>whalen</t>
  </si>
  <si>
    <t>vp, iag, ultra mobility group</t>
  </si>
  <si>
    <t>nara</t>
  </si>
  <si>
    <t>rajagopalan</t>
  </si>
  <si>
    <t>chief product officer</t>
  </si>
  <si>
    <t>bossert</t>
  </si>
  <si>
    <t>west regional director customer care</t>
  </si>
  <si>
    <t>kawamoto</t>
  </si>
  <si>
    <t>svp, mobile sales and business development</t>
  </si>
  <si>
    <t>jimenez</t>
  </si>
  <si>
    <t>bo</t>
  </si>
  <si>
    <t>ferm</t>
  </si>
  <si>
    <t>director, product marketing, verimatrix inc.</t>
  </si>
  <si>
    <t>regional sales director, latin america</t>
  </si>
  <si>
    <t>doria mongulla</t>
  </si>
  <si>
    <t>casiraghi</t>
  </si>
  <si>
    <t>senior hr business partner</t>
  </si>
  <si>
    <t>head of sysadmins</t>
  </si>
  <si>
    <t>fernandez le baron</t>
  </si>
  <si>
    <t>gustavo maximiliano</t>
  </si>
  <si>
    <t>blanco  lic.  cism  la iso</t>
  </si>
  <si>
    <t>certified information security manager | security professional</t>
  </si>
  <si>
    <t>san juan</t>
  </si>
  <si>
    <t>managing director, mexico and us hispanic market</t>
  </si>
  <si>
    <t>latin americas biometric support leader</t>
  </si>
  <si>
    <t>account subject matter expert</t>
  </si>
  <si>
    <t>stalzer</t>
  </si>
  <si>
    <t>experian interactive technology sr. director, uk engineering</t>
  </si>
  <si>
    <t>sutherland</t>
  </si>
  <si>
    <t>project manager w/ crm &amp; dw expertise</t>
  </si>
  <si>
    <t>storniolo</t>
  </si>
  <si>
    <t>australia</t>
  </si>
  <si>
    <t>schneider  chmla</t>
  </si>
  <si>
    <t>president and senior principal consultant, sei-authorized hm lead appraiser and cmmi instructor</t>
  </si>
  <si>
    <t>mariana paula</t>
  </si>
  <si>
    <t>salinas somoza</t>
  </si>
  <si>
    <t>musumano</t>
  </si>
  <si>
    <t>raúl g.</t>
  </si>
  <si>
    <t>mobile, alabama area, united states, United States</t>
  </si>
  <si>
    <t>global head of project management</t>
  </si>
  <si>
    <t>pensado</t>
  </si>
  <si>
    <t>ejecutiva de cuentas señor</t>
  </si>
  <si>
    <t>daniel anibal</t>
  </si>
  <si>
    <t>miravalles</t>
  </si>
  <si>
    <t>services director</t>
  </si>
  <si>
    <t>rosales</t>
  </si>
  <si>
    <t>colaluce</t>
  </si>
  <si>
    <t>helou</t>
  </si>
  <si>
    <t>dickson</t>
  </si>
  <si>
    <t>general manager, computing grid business unit</t>
  </si>
  <si>
    <t>caldora</t>
  </si>
  <si>
    <t>26,33</t>
  </si>
  <si>
    <t>vice-president &amp; development director</t>
  </si>
  <si>
    <t>sabrina ornella</t>
  </si>
  <si>
    <t>moretti pmp</t>
  </si>
  <si>
    <t>nahuel pablo</t>
  </si>
  <si>
    <t>poth</t>
  </si>
  <si>
    <t>responsable de gerencia de administración y finanzas</t>
  </si>
  <si>
    <t>hernandez garza</t>
  </si>
  <si>
    <t>gabrielli</t>
  </si>
  <si>
    <t>is&amp;t manager</t>
  </si>
  <si>
    <t>john p.</t>
  </si>
  <si>
    <t>pironti cgeit cisa cism crisc cissp</t>
  </si>
  <si>
    <t>kendzie</t>
  </si>
  <si>
    <t>senior manager - hp software - arcsight mssp program</t>
  </si>
  <si>
    <t>pat</t>
  </si>
  <si>
    <t>founder/principal</t>
  </si>
  <si>
    <t>manager communications</t>
  </si>
  <si>
    <t>jurgen</t>
  </si>
  <si>
    <t>wassmann</t>
  </si>
  <si>
    <t>group head - emerging payment, global products &amp; solutions</t>
  </si>
  <si>
    <t>pittier</t>
  </si>
  <si>
    <t>lebrija</t>
  </si>
  <si>
    <t>director, business development lac</t>
  </si>
  <si>
    <t>portuguese representative</t>
  </si>
  <si>
    <t>wainer</t>
  </si>
  <si>
    <t>cofounder &amp; producer</t>
  </si>
  <si>
    <t>ila</t>
  </si>
  <si>
    <t>pallarés</t>
  </si>
  <si>
    <t>regional director of business development</t>
  </si>
  <si>
    <t>soraia</t>
  </si>
  <si>
    <t>berger</t>
  </si>
  <si>
    <t>max</t>
  </si>
  <si>
    <t>miyazono</t>
  </si>
  <si>
    <t>sr. director, strategic initiatives, ecosystems &amp; channels</t>
  </si>
  <si>
    <t>rom</t>
  </si>
  <si>
    <t>linhares</t>
  </si>
  <si>
    <t>practice principal</t>
  </si>
  <si>
    <t>director - latam regional head of payments and information services</t>
  </si>
  <si>
    <t>driss r.</t>
  </si>
  <si>
    <t>temsamani</t>
  </si>
  <si>
    <t>analytics &amp; bi region head</t>
  </si>
  <si>
    <t>rebollar mba</t>
  </si>
  <si>
    <t>business development manager, mobile and security products</t>
  </si>
  <si>
    <t>founder - supporting financial inclusion</t>
  </si>
  <si>
    <t>howard b.</t>
  </si>
  <si>
    <t>choi</t>
  </si>
  <si>
    <t>sr. director of product management and product marketing</t>
  </si>
  <si>
    <t>chang</t>
  </si>
  <si>
    <t>director of business development, enterprise social platform, chatter</t>
  </si>
  <si>
    <t>bissell</t>
  </si>
  <si>
    <t>sarita</t>
  </si>
  <si>
    <t>deborah c.</t>
  </si>
  <si>
    <t>sales</t>
  </si>
  <si>
    <t>ceo and fouder</t>
  </si>
  <si>
    <t>sal</t>
  </si>
  <si>
    <t>business unit manager biotechnology and specialty products</t>
  </si>
  <si>
    <t>dobbins</t>
  </si>
  <si>
    <t>program manager, shared services portfolio</t>
  </si>
  <si>
    <t>daniel sosa pm</t>
  </si>
  <si>
    <t>gerente pmo</t>
  </si>
  <si>
    <t>greater buenos aires, argentina</t>
  </si>
  <si>
    <t>baudino</t>
  </si>
  <si>
    <t>kyriakides</t>
  </si>
  <si>
    <t>posner</t>
  </si>
  <si>
    <t>gainesville, florida area, united states, United States</t>
  </si>
  <si>
    <t>petersen</t>
  </si>
  <si>
    <t>oscar alberto</t>
  </si>
  <si>
    <t>scotto cicale</t>
  </si>
  <si>
    <t>huntsville, alabama area, united states</t>
  </si>
  <si>
    <t>bhavesh</t>
  </si>
  <si>
    <t>lad</t>
  </si>
  <si>
    <t>pividori</t>
  </si>
  <si>
    <t>mead urisko</t>
  </si>
  <si>
    <t>executive search professional</t>
  </si>
  <si>
    <t>segado</t>
  </si>
  <si>
    <t>global duty manager/ service delivery manager</t>
  </si>
  <si>
    <t>masotto</t>
  </si>
  <si>
    <t>territory brand sales specialist</t>
  </si>
  <si>
    <t>ivanna</t>
  </si>
  <si>
    <t>chejoski</t>
  </si>
  <si>
    <t>stg brand sales specialist</t>
  </si>
  <si>
    <t>rodrigo javier</t>
  </si>
  <si>
    <t>darío fabián</t>
  </si>
  <si>
    <t>casavalle</t>
  </si>
  <si>
    <t>consultor bi sr</t>
  </si>
  <si>
    <t>klan</t>
  </si>
  <si>
    <t>menendez</t>
  </si>
  <si>
    <t>castro freyre</t>
  </si>
  <si>
    <t>parrella</t>
  </si>
  <si>
    <t>singer</t>
  </si>
  <si>
    <t>talia</t>
  </si>
  <si>
    <t>zuberman</t>
  </si>
  <si>
    <t>owner, graphic designer, web designer, logo designer, wordpress designer</t>
  </si>
  <si>
    <t>del grosso</t>
  </si>
  <si>
    <t>cociancich</t>
  </si>
  <si>
    <t>claus</t>
  </si>
  <si>
    <t>online marketing director</t>
  </si>
  <si>
    <t>catanzariti</t>
  </si>
  <si>
    <t>humedes vázquez</t>
  </si>
  <si>
    <t>emeel</t>
  </si>
  <si>
    <t>noohi</t>
  </si>
  <si>
    <t>engine software specialist (windows phone)</t>
  </si>
  <si>
    <t>ostapowicz</t>
  </si>
  <si>
    <t>administrador de aplicaciones web</t>
  </si>
  <si>
    <t>manuel andres</t>
  </si>
  <si>
    <t>goc security delivery manager</t>
  </si>
  <si>
    <t>layfield cissp</t>
  </si>
  <si>
    <t>sr mgr &amp; technical leader, converged network solutions</t>
  </si>
  <si>
    <t>hugh m.</t>
  </si>
  <si>
    <t>vice-president (wgp)</t>
  </si>
  <si>
    <t>catharine</t>
  </si>
  <si>
    <t>koller</t>
  </si>
  <si>
    <t>villalobos</t>
  </si>
  <si>
    <t>channel account manager</t>
  </si>
  <si>
    <t>vasquez</t>
  </si>
  <si>
    <t>padilla</t>
  </si>
  <si>
    <t>director of field marketing latin america and the caribbean</t>
  </si>
  <si>
    <t>braun polledo</t>
  </si>
  <si>
    <t>marquez</t>
  </si>
  <si>
    <t>business operations - latin america</t>
  </si>
  <si>
    <t>jardo</t>
  </si>
  <si>
    <t>technology district coordinator</t>
  </si>
  <si>
    <t>javier alejandro</t>
  </si>
  <si>
    <t>denacimiento</t>
  </si>
  <si>
    <t>voip specialist</t>
  </si>
  <si>
    <t>mella</t>
  </si>
  <si>
    <t>its delivery manager</t>
  </si>
  <si>
    <t>frazier</t>
  </si>
  <si>
    <t>mick</t>
  </si>
  <si>
    <t>ponte</t>
  </si>
  <si>
    <t>vianeris</t>
  </si>
  <si>
    <t>north america business development</t>
  </si>
  <si>
    <t>brunner</t>
  </si>
  <si>
    <t>28,14</t>
  </si>
  <si>
    <t>svp &amp; gm, americas; ceo american express pcmc subsidiary</t>
  </si>
  <si>
    <t>guthrie</t>
  </si>
  <si>
    <t>svp, product solution specialist manager, global commercial banking</t>
  </si>
  <si>
    <t>aggarwal</t>
  </si>
  <si>
    <t>co-founder and chairman</t>
  </si>
  <si>
    <t>29,5</t>
  </si>
  <si>
    <t>brooklyn, new york, United States</t>
  </si>
  <si>
    <t>eligio lee</t>
  </si>
  <si>
    <t>mugnaini</t>
  </si>
  <si>
    <t>lynda</t>
  </si>
  <si>
    <t>strategic account manager - reverse logistics</t>
  </si>
  <si>
    <t>columbus, ohio area, united states, United States</t>
  </si>
  <si>
    <t>advanced solutions &amp; innovation</t>
  </si>
  <si>
    <t>xj</t>
  </si>
  <si>
    <t>vice president, general manager china at vesta corporation</t>
  </si>
  <si>
    <t>entner</t>
  </si>
  <si>
    <t>araujo</t>
  </si>
  <si>
    <t>zalcman</t>
  </si>
  <si>
    <t>jozokos</t>
  </si>
  <si>
    <t>service account manager</t>
  </si>
  <si>
    <t>liron</t>
  </si>
  <si>
    <t>shaked</t>
  </si>
  <si>
    <t>vp marketing and co-founder</t>
  </si>
  <si>
    <t>dirck t.</t>
  </si>
  <si>
    <t>schou jr.</t>
  </si>
  <si>
    <t>founder, coo</t>
  </si>
  <si>
    <t>porto alegre area, brazil</t>
  </si>
  <si>
    <t>dziedzicchesta</t>
  </si>
  <si>
    <t>user experience lead</t>
  </si>
  <si>
    <t>beckley</t>
  </si>
  <si>
    <t>senior content strategist</t>
  </si>
  <si>
    <t>huston</t>
  </si>
  <si>
    <t>engagement manager, customer success</t>
  </si>
  <si>
    <t>bittner</t>
  </si>
  <si>
    <t>global community marketing manager</t>
  </si>
  <si>
    <t>herszon msc pmp</t>
  </si>
  <si>
    <t>chief security architect</t>
  </si>
  <si>
    <t>saumil</t>
  </si>
  <si>
    <t>geraldo</t>
  </si>
  <si>
    <t>sr. lockbox specialist</t>
  </si>
  <si>
    <t>vp of sales cala</t>
  </si>
  <si>
    <t>eli</t>
  </si>
  <si>
    <t>zelkha</t>
  </si>
  <si>
    <t>krautkremer</t>
  </si>
  <si>
    <t>cantarelli mba</t>
  </si>
  <si>
    <t>consulting systems engineer, americas partner organization</t>
  </si>
  <si>
    <t>seattle, washington</t>
  </si>
  <si>
    <t>de la mora</t>
  </si>
  <si>
    <t>sr director, ww unified communications solutions marketing</t>
  </si>
  <si>
    <t>rabboni</t>
  </si>
  <si>
    <t>ernesto cristian</t>
  </si>
  <si>
    <t>marzik</t>
  </si>
  <si>
    <t>palmer</t>
  </si>
  <si>
    <t>ojeda</t>
  </si>
  <si>
    <t>sap basis system administrator</t>
  </si>
  <si>
    <t>information specialist</t>
  </si>
  <si>
    <t>leonetti</t>
  </si>
  <si>
    <t>bagnato</t>
  </si>
  <si>
    <t>miguel maximiliano</t>
  </si>
  <si>
    <t>livi</t>
  </si>
  <si>
    <t>pérezreyes</t>
  </si>
  <si>
    <t>human resources manager, usa</t>
  </si>
  <si>
    <t>serricchio</t>
  </si>
  <si>
    <t>vp sales &amp; business development</t>
  </si>
  <si>
    <t>stamford, connecticut</t>
  </si>
  <si>
    <t>philipps</t>
  </si>
  <si>
    <t>marketing and advertising professional</t>
  </si>
  <si>
    <t>20,1111111111111</t>
  </si>
  <si>
    <t>viviana n.</t>
  </si>
  <si>
    <t>kamycki</t>
  </si>
  <si>
    <t>developer semi senior .net (c# framework 3.5)</t>
  </si>
  <si>
    <t>hogan pmp</t>
  </si>
  <si>
    <t>cohan</t>
  </si>
  <si>
    <t>michelle sharon</t>
  </si>
  <si>
    <t>marcela inés</t>
  </si>
  <si>
    <t>algacibiur</t>
  </si>
  <si>
    <t>clint</t>
  </si>
  <si>
    <t>dovholuk</t>
  </si>
  <si>
    <t>sr software engineer</t>
  </si>
  <si>
    <t>braian demian</t>
  </si>
  <si>
    <t>anelich</t>
  </si>
  <si>
    <t>gustavo daniel</t>
  </si>
  <si>
    <t>crespo</t>
  </si>
  <si>
    <t>servicio de mantenimiento e&amp;p en el cliente petrobras</t>
  </si>
  <si>
    <t>sr technology manager</t>
  </si>
  <si>
    <t>bencovic</t>
  </si>
  <si>
    <t>taormina</t>
  </si>
  <si>
    <t>custom engineer support 4</t>
  </si>
  <si>
    <t>cassanelli</t>
  </si>
  <si>
    <t>analista en selección it</t>
  </si>
  <si>
    <t>saldaña</t>
  </si>
  <si>
    <t>staub</t>
  </si>
  <si>
    <t>vdenisnmicrosoft.com lion</t>
  </si>
  <si>
    <t>staffing consultant (enterprise services)</t>
  </si>
  <si>
    <t>sergio ariel</t>
  </si>
  <si>
    <t>gianatiempo</t>
  </si>
  <si>
    <t>origoni</t>
  </si>
  <si>
    <t>kylene</t>
  </si>
  <si>
    <t>bruski pmp csm</t>
  </si>
  <si>
    <t>technical project manager</t>
  </si>
  <si>
    <t>kelsey</t>
  </si>
  <si>
    <t>rafferty</t>
  </si>
  <si>
    <t>azor</t>
  </si>
  <si>
    <t>ssr operations controller - elektron platform</t>
  </si>
  <si>
    <t>calegaris</t>
  </si>
  <si>
    <t>backend developer</t>
  </si>
  <si>
    <t>folco</t>
  </si>
  <si>
    <t>bellucci</t>
  </si>
  <si>
    <t>desanze</t>
  </si>
  <si>
    <t>pascale</t>
  </si>
  <si>
    <t>nini</t>
  </si>
  <si>
    <t>president &amp; ceo - immervision</t>
  </si>
  <si>
    <t>sr. solutions consultant</t>
  </si>
  <si>
    <t>rodney antonio</t>
  </si>
  <si>
    <t>repullo</t>
  </si>
  <si>
    <t>a. murillo</t>
  </si>
  <si>
    <t>dupont safety resource cio</t>
  </si>
  <si>
    <t>joselito</t>
  </si>
  <si>
    <t>bergamaschine diz</t>
  </si>
  <si>
    <t>solis jr.</t>
  </si>
  <si>
    <t>manager, corporate procurement</t>
  </si>
  <si>
    <t>director of research</t>
  </si>
  <si>
    <t>blampoix</t>
  </si>
  <si>
    <t>europe sales manager</t>
  </si>
  <si>
    <t>20,2304347826087</t>
  </si>
  <si>
    <t>swart</t>
  </si>
  <si>
    <t>director, product management at qualcomm</t>
  </si>
  <si>
    <t>fernandes soares mba</t>
  </si>
  <si>
    <t>lozoya</t>
  </si>
  <si>
    <t>vp, business development, looplr</t>
  </si>
  <si>
    <t>samuel</t>
  </si>
  <si>
    <t>luchini</t>
  </si>
  <si>
    <t>senior art director</t>
  </si>
  <si>
    <t>penha</t>
  </si>
  <si>
    <t>lilly</t>
  </si>
  <si>
    <t>vp marketing, global brand concepts</t>
  </si>
  <si>
    <t>walid</t>
  </si>
  <si>
    <t>dimachkie</t>
  </si>
  <si>
    <t>luarasi</t>
  </si>
  <si>
    <t>june</t>
  </si>
  <si>
    <t>driscol</t>
  </si>
  <si>
    <t>senior manager - international roaming business operations</t>
  </si>
  <si>
    <t>kopeikin</t>
  </si>
  <si>
    <t>wireless architect</t>
  </si>
  <si>
    <t>dir, federal sales and engineering at gtt</t>
  </si>
  <si>
    <t>ramsey a.</t>
  </si>
  <si>
    <t>masri</t>
  </si>
  <si>
    <t>laetitia</t>
  </si>
  <si>
    <t>rettori</t>
  </si>
  <si>
    <t>bedy</t>
  </si>
  <si>
    <t>yang</t>
  </si>
  <si>
    <t>john f.</t>
  </si>
  <si>
    <t>rizzo</t>
  </si>
  <si>
    <t>markson</t>
  </si>
  <si>
    <t>anildo</t>
  </si>
  <si>
    <t>product manager - data collection engine</t>
  </si>
  <si>
    <t>savka</t>
  </si>
  <si>
    <t>product manager, emerging products</t>
  </si>
  <si>
    <t>sr. project manager - icd-10 compliant application deployment</t>
  </si>
  <si>
    <t>area director/franchise owner</t>
  </si>
  <si>
    <t>management consultant specializing in program management, it and strategy</t>
  </si>
  <si>
    <t>garb</t>
  </si>
  <si>
    <t>senior technology program manager</t>
  </si>
  <si>
    <t>cable</t>
  </si>
  <si>
    <t>kambi</t>
  </si>
  <si>
    <t>jecminek</t>
  </si>
  <si>
    <t>sr. business analyst - td ameritrade</t>
  </si>
  <si>
    <t>smothers</t>
  </si>
  <si>
    <t>director, customer care</t>
  </si>
  <si>
    <t>burke</t>
  </si>
  <si>
    <t>vp customer care - emea coe</t>
  </si>
  <si>
    <t>28,5</t>
  </si>
  <si>
    <t>ulrich knipp</t>
  </si>
  <si>
    <t>product marketing manager</t>
  </si>
  <si>
    <t>kerri</t>
  </si>
  <si>
    <t>markham</t>
  </si>
  <si>
    <t>20,5</t>
  </si>
  <si>
    <t>buhring</t>
  </si>
  <si>
    <t>vice president, technology solutions</t>
  </si>
  <si>
    <t>connaughton</t>
  </si>
  <si>
    <t>senior oracle database administrator</t>
  </si>
  <si>
    <t>worth</t>
  </si>
  <si>
    <t>wyss</t>
  </si>
  <si>
    <t>theresa</t>
  </si>
  <si>
    <t>enebo</t>
  </si>
  <si>
    <t>award-winning technology &amp; product executive who delivers results through strategy and flawless execution.                 &lt;/p&gt;                             &lt;dl id="headline" class="demographic-info adr"&gt;     &lt;dt&gt;location&lt;/dt&gt;     &lt;dd&gt;     &lt;span class="locality"&gt;                                 great</t>
  </si>
  <si>
    <t>altbaum</t>
  </si>
  <si>
    <t>senior project manager at panasonic avionics corporation</t>
  </si>
  <si>
    <t>berazategui</t>
  </si>
  <si>
    <t>analista funcional (rh+tecnologia contractor)</t>
  </si>
  <si>
    <t>jose gabriel</t>
  </si>
  <si>
    <t>magaquian</t>
  </si>
  <si>
    <t>prunes</t>
  </si>
  <si>
    <t>regional service delivery manager</t>
  </si>
  <si>
    <t>arguello</t>
  </si>
  <si>
    <t>di cugno</t>
  </si>
  <si>
    <t>bernardo j.</t>
  </si>
  <si>
    <t>araya</t>
  </si>
  <si>
    <t>founding partner / marketing director</t>
  </si>
  <si>
    <t>lontok</t>
  </si>
  <si>
    <t>nuncio</t>
  </si>
  <si>
    <t>di mare</t>
  </si>
  <si>
    <t>strategic &amp; government accounts manager</t>
  </si>
  <si>
    <t>maitrot</t>
  </si>
  <si>
    <t>manager at capgemini - supply chain technologies</t>
  </si>
  <si>
    <t>leonard len</t>
  </si>
  <si>
    <t>savini</t>
  </si>
  <si>
    <t>insurance consulting</t>
  </si>
  <si>
    <t>cippo</t>
  </si>
  <si>
    <t>orea</t>
  </si>
  <si>
    <t>kelvin</t>
  </si>
  <si>
    <t>holbrook</t>
  </si>
  <si>
    <t>director, project management office</t>
  </si>
  <si>
    <t>najafi</t>
  </si>
  <si>
    <t>principal enterprise strategist</t>
  </si>
  <si>
    <t>mau</t>
  </si>
  <si>
    <t>sr. systems director</t>
  </si>
  <si>
    <t>damico cop</t>
  </si>
  <si>
    <t>manager - data delivery and protection</t>
  </si>
  <si>
    <t>yuste</t>
  </si>
  <si>
    <t>canchelara</t>
  </si>
  <si>
    <t>guarrera</t>
  </si>
  <si>
    <t>security &amp; compliance advisor</t>
  </si>
  <si>
    <t>pozos</t>
  </si>
  <si>
    <t>global services and project manager</t>
  </si>
  <si>
    <t>del prado</t>
  </si>
  <si>
    <t>medus</t>
  </si>
  <si>
    <t>petrusic</t>
  </si>
  <si>
    <t>certified project manager pmp®</t>
  </si>
  <si>
    <t>22,95</t>
  </si>
  <si>
    <t>paris</t>
  </si>
  <si>
    <t>ares</t>
  </si>
  <si>
    <t>team leader - arquitectura &amp; release manager</t>
  </si>
  <si>
    <t>server support</t>
  </si>
  <si>
    <t>carrizo aslanian</t>
  </si>
  <si>
    <t>weaver</t>
  </si>
  <si>
    <t>woody</t>
  </si>
  <si>
    <t>linwood</t>
  </si>
  <si>
    <t>tier iii backbone contact center software engineer</t>
  </si>
  <si>
    <t>hector manuel</t>
  </si>
  <si>
    <t>global jde delivery manager</t>
  </si>
  <si>
    <t>manzo</t>
  </si>
  <si>
    <t>service management - manager</t>
  </si>
  <si>
    <t>novartis wintel jet &amp; rfs project</t>
  </si>
  <si>
    <t>donn</t>
  </si>
  <si>
    <t>berke</t>
  </si>
  <si>
    <t>technical support engineer</t>
  </si>
  <si>
    <t>ibm certified senior project manager, pmp®</t>
  </si>
  <si>
    <t>cirilli</t>
  </si>
  <si>
    <t>delivery program executive - global midrange services - american express account</t>
  </si>
  <si>
    <t>maria de los angeles</t>
  </si>
  <si>
    <t>project leader - sap</t>
  </si>
  <si>
    <t>hapes</t>
  </si>
  <si>
    <t>hr planning &amp; talent development manager</t>
  </si>
  <si>
    <t>goyena</t>
  </si>
  <si>
    <t>feas</t>
  </si>
  <si>
    <t>marcelaalejandra</t>
  </si>
  <si>
    <t>villan</t>
  </si>
  <si>
    <t>compradora</t>
  </si>
  <si>
    <t>emy</t>
  </si>
  <si>
    <t>galceran</t>
  </si>
  <si>
    <t>director and co-founder</t>
  </si>
  <si>
    <t>barles</t>
  </si>
  <si>
    <t>m. melina</t>
  </si>
  <si>
    <t>executive assistant to claims, hr and legal &amp; compliance</t>
  </si>
  <si>
    <t>20,3461538461538</t>
  </si>
  <si>
    <t>luis maria</t>
  </si>
  <si>
    <t>cravino</t>
  </si>
  <si>
    <t>mata</t>
  </si>
  <si>
    <t>lino</t>
  </si>
  <si>
    <t>ribolla</t>
  </si>
  <si>
    <t>sylvie</t>
  </si>
  <si>
    <t>firestone</t>
  </si>
  <si>
    <t>freelance sr. art director, digital</t>
  </si>
  <si>
    <t>marrelli</t>
  </si>
  <si>
    <t>honor</t>
  </si>
  <si>
    <t>gunday</t>
  </si>
  <si>
    <t>rivera</t>
  </si>
  <si>
    <t>dellarda</t>
  </si>
  <si>
    <t>rui</t>
  </si>
  <si>
    <t>nóbrega</t>
  </si>
  <si>
    <t>chief information officer (cio)</t>
  </si>
  <si>
    <t>cindy novak</t>
  </si>
  <si>
    <t>migden</t>
  </si>
  <si>
    <t>director of publisher development</t>
  </si>
  <si>
    <t>myllymaki</t>
  </si>
  <si>
    <t>director, global customer operations</t>
  </si>
  <si>
    <t>gargiulo</t>
  </si>
  <si>
    <t>paladini</t>
  </si>
  <si>
    <t>browne</t>
  </si>
  <si>
    <t>regional partnership and sales - eztargetmedia</t>
  </si>
  <si>
    <t>fábio</t>
  </si>
  <si>
    <t>tambosi</t>
  </si>
  <si>
    <t>senior product marketing manager, smart devices at nokia</t>
  </si>
  <si>
    <t>24,25</t>
  </si>
  <si>
    <t>meirelles</t>
  </si>
  <si>
    <t>head of mobile business, latin america and caribbean</t>
  </si>
  <si>
    <t>reny virginia borges</t>
  </si>
  <si>
    <t>20,9090909090909</t>
  </si>
  <si>
    <t>regional vp sales &amp; development</t>
  </si>
  <si>
    <t>san luis obispo, california area, united states</t>
  </si>
  <si>
    <t>boas</t>
  </si>
  <si>
    <t>siddiqui</t>
  </si>
  <si>
    <t>managing editor - internet - urdu voa</t>
  </si>
  <si>
    <t>bellora</t>
  </si>
  <si>
    <t>pineda</t>
  </si>
  <si>
    <t>konig</t>
  </si>
  <si>
    <t>business partner</t>
  </si>
  <si>
    <t>finance manager - seaport canaveral corp: a vitol tank terminals international co.</t>
  </si>
  <si>
    <t>melbourne, florida area, united states</t>
  </si>
  <si>
    <t>san esteban crisc</t>
  </si>
  <si>
    <t>vicepresidente</t>
  </si>
  <si>
    <t>roviralta</t>
  </si>
  <si>
    <t>fernando jorge</t>
  </si>
  <si>
    <t>fraga</t>
  </si>
  <si>
    <t>functional / technical lead</t>
  </si>
  <si>
    <t>gornatti</t>
  </si>
  <si>
    <t>learning &amp; development manager</t>
  </si>
  <si>
    <t>jadib</t>
  </si>
  <si>
    <t>otegui</t>
  </si>
  <si>
    <t>gnewuch csm</t>
  </si>
  <si>
    <t>director of it managed services</t>
  </si>
  <si>
    <t>frisch</t>
  </si>
  <si>
    <t>lantz</t>
  </si>
  <si>
    <t>gerente de alianzas y comunicaciones</t>
  </si>
  <si>
    <t>piana</t>
  </si>
  <si>
    <t>galmarino</t>
  </si>
  <si>
    <t>seo manager</t>
  </si>
  <si>
    <t>valletta</t>
  </si>
  <si>
    <t>consultor bw semi sr.</t>
  </si>
  <si>
    <t>bisignani</t>
  </si>
  <si>
    <t>team leader - desarrollador wd</t>
  </si>
  <si>
    <t>allison</t>
  </si>
  <si>
    <t>application specialist</t>
  </si>
  <si>
    <t>verger</t>
  </si>
  <si>
    <t>sr. engineer - cellular sw performance</t>
  </si>
  <si>
    <t>20,17</t>
  </si>
  <si>
    <t>adeel</t>
  </si>
  <si>
    <t>alam</t>
  </si>
  <si>
    <t>bandaru</t>
  </si>
  <si>
    <t>nouhad</t>
  </si>
  <si>
    <t>elhassan</t>
  </si>
  <si>
    <t>senior engineering manager (lte/wimax), motorola mobility inc.</t>
  </si>
  <si>
    <t>sola</t>
  </si>
  <si>
    <t>babalola</t>
  </si>
  <si>
    <t>comms system engineer</t>
  </si>
  <si>
    <t>shaheen</t>
  </si>
  <si>
    <t>hossain</t>
  </si>
  <si>
    <t>sr. development principal</t>
  </si>
  <si>
    <t>shubh</t>
  </si>
  <si>
    <t>development project manager</t>
  </si>
  <si>
    <t>prados cba</t>
  </si>
  <si>
    <t>walter agustin</t>
  </si>
  <si>
    <t>ux designer</t>
  </si>
  <si>
    <t>ana paula</t>
  </si>
  <si>
    <t>mercado páez</t>
  </si>
  <si>
    <t>nueva zelanda</t>
  </si>
  <si>
    <t>Unknown Country</t>
  </si>
  <si>
    <t>dagum</t>
  </si>
  <si>
    <t>oxentenko</t>
  </si>
  <si>
    <t>programmer / analyst</t>
  </si>
  <si>
    <t>grand prairie, texas, United States</t>
  </si>
  <si>
    <t>clopp</t>
  </si>
  <si>
    <t>programmer analyst</t>
  </si>
  <si>
    <t>chandrika</t>
  </si>
  <si>
    <t>taduri</t>
  </si>
  <si>
    <t>sr.qa engineer</t>
  </si>
  <si>
    <t>brendan</t>
  </si>
  <si>
    <t>rankin</t>
  </si>
  <si>
    <t>rayas frutos</t>
  </si>
  <si>
    <t>diuk wasser</t>
  </si>
  <si>
    <t>menlo park, california, United States</t>
  </si>
  <si>
    <t>consulting sales manager</t>
  </si>
  <si>
    <t>divya</t>
  </si>
  <si>
    <t>sarasan</t>
  </si>
  <si>
    <t>associate product manager</t>
  </si>
  <si>
    <t>caretto</t>
  </si>
  <si>
    <t>analista funcional senior</t>
  </si>
  <si>
    <t>weidemann</t>
  </si>
  <si>
    <t>musolino</t>
  </si>
  <si>
    <t>19,69</t>
  </si>
  <si>
    <t>area desarrollo</t>
  </si>
  <si>
    <t>ijelchuk</t>
  </si>
  <si>
    <t>narvaja</t>
  </si>
  <si>
    <t>director of technical services</t>
  </si>
  <si>
    <t>muñoz</t>
  </si>
  <si>
    <t>wood msc</t>
  </si>
  <si>
    <t>global ehs manager</t>
  </si>
  <si>
    <t>oklahoma city, oklahoma area, united states, United States</t>
  </si>
  <si>
    <t>finance director, revenue cycle management</t>
  </si>
  <si>
    <t>project manager, associate</t>
  </si>
  <si>
    <t>rathjen</t>
  </si>
  <si>
    <t>sales and marketing executive</t>
  </si>
  <si>
    <t>jaquet</t>
  </si>
  <si>
    <t>kolja</t>
  </si>
  <si>
    <t>reiss</t>
  </si>
  <si>
    <t>shakil</t>
  </si>
  <si>
    <t>haroon</t>
  </si>
  <si>
    <t>sales &amp; business development executive</t>
  </si>
  <si>
    <t>tila</t>
  </si>
  <si>
    <t>enser</t>
  </si>
  <si>
    <t>memoria</t>
  </si>
  <si>
    <t>partner, user experience</t>
  </si>
  <si>
    <t>group director, global connections</t>
  </si>
  <si>
    <t>alcantara</t>
  </si>
  <si>
    <t>vp, solutions</t>
  </si>
  <si>
    <t>sorge</t>
  </si>
  <si>
    <t>28,67</t>
  </si>
  <si>
    <t>hickey</t>
  </si>
  <si>
    <t>buck</t>
  </si>
  <si>
    <t>dossey</t>
  </si>
  <si>
    <t>dallas, texas</t>
  </si>
  <si>
    <t>schulte</t>
  </si>
  <si>
    <t>national sales director</t>
  </si>
  <si>
    <t>saperstein</t>
  </si>
  <si>
    <t>nadav</t>
  </si>
  <si>
    <t>geft mba</t>
  </si>
  <si>
    <t>senior sales strategist</t>
  </si>
  <si>
    <t>felenstein</t>
  </si>
  <si>
    <t>teri</t>
  </si>
  <si>
    <t>foley</t>
  </si>
  <si>
    <t>corporate training, communications &amp; sales professional</t>
  </si>
  <si>
    <t>senior vice president</t>
  </si>
  <si>
    <t>19,17</t>
  </si>
  <si>
    <t>svp ad sales &amp; operations</t>
  </si>
  <si>
    <t>medellin</t>
  </si>
  <si>
    <t>director of advertising sales-navteq media solutions</t>
  </si>
  <si>
    <t>tunc</t>
  </si>
  <si>
    <t>tanin</t>
  </si>
  <si>
    <t>agent</t>
  </si>
  <si>
    <t>venta</t>
  </si>
  <si>
    <t>director of business development and sales engineering</t>
  </si>
  <si>
    <t>23,16</t>
  </si>
  <si>
    <t>allard</t>
  </si>
  <si>
    <t>sales and leadership development' speaking,seminars, coaching; ceo allard associates, inc.</t>
  </si>
  <si>
    <t>mor</t>
  </si>
  <si>
    <t>ilan</t>
  </si>
  <si>
    <t>reiter</t>
  </si>
  <si>
    <t>morgero gonçalves</t>
  </si>
  <si>
    <t>vp of sales - caribbean and latin america region at metaswitch networks</t>
  </si>
  <si>
    <t>downs</t>
  </si>
  <si>
    <t>loureiro</t>
  </si>
  <si>
    <t>director, corporate goods and services</t>
  </si>
  <si>
    <t>salmeri</t>
  </si>
  <si>
    <t>sr tech lead</t>
  </si>
  <si>
    <t>dueñaz</t>
  </si>
  <si>
    <t>regional service lead - shared service center</t>
  </si>
  <si>
    <t>stawski</t>
  </si>
  <si>
    <t>simonian</t>
  </si>
  <si>
    <t>audit manager - service delivery center - buenos aires</t>
  </si>
  <si>
    <t>reyes</t>
  </si>
  <si>
    <t>manuppella</t>
  </si>
  <si>
    <t>pedro javier</t>
  </si>
  <si>
    <t>project leader &amp; technical lead</t>
  </si>
  <si>
    <t>barbieri</t>
  </si>
  <si>
    <t>analista programador .net | pl/sql</t>
  </si>
  <si>
    <t>arroyave</t>
  </si>
  <si>
    <t>correspondent director</t>
  </si>
  <si>
    <t>senior technical support engineer</t>
  </si>
  <si>
    <t>director of infrastructure</t>
  </si>
  <si>
    <t>whitehouse</t>
  </si>
  <si>
    <t>software test supervisor</t>
  </si>
  <si>
    <t>springfield, massachusetts area, united states</t>
  </si>
  <si>
    <t>prashanth</t>
  </si>
  <si>
    <t>morishetty</t>
  </si>
  <si>
    <t>sr software project engineer</t>
  </si>
  <si>
    <t>hall booher</t>
  </si>
  <si>
    <t>burlington, connecticut</t>
  </si>
  <si>
    <t>20,1095238095238</t>
  </si>
  <si>
    <t>ceillan</t>
  </si>
  <si>
    <t>founder, project leader, agile project manager</t>
  </si>
  <si>
    <t>zugnoni</t>
  </si>
  <si>
    <t>co-founder + backend developer</t>
  </si>
  <si>
    <t>application architect</t>
  </si>
  <si>
    <t>grin</t>
  </si>
  <si>
    <t>marketing rockstar</t>
  </si>
  <si>
    <t>operations manager at danaher - jacobs vehicle systems</t>
  </si>
  <si>
    <t>biagioli</t>
  </si>
  <si>
    <t>semi senior developer</t>
  </si>
  <si>
    <t>juan rodolfo</t>
  </si>
  <si>
    <t>ferreyra</t>
  </si>
  <si>
    <t>milka</t>
  </si>
  <si>
    <t>ercegovic</t>
  </si>
  <si>
    <t>human resources manager - d3s generalist</t>
  </si>
  <si>
    <t>cuesta cardoso</t>
  </si>
  <si>
    <t>consultora, analista de calidad y procesos. auditora de calidad.</t>
  </si>
  <si>
    <t>noriega benedit</t>
  </si>
  <si>
    <t>stankovic</t>
  </si>
  <si>
    <t>silvestre</t>
  </si>
  <si>
    <t>cerrato</t>
  </si>
  <si>
    <t>desarrollador java</t>
  </si>
  <si>
    <t>richardson</t>
  </si>
  <si>
    <t>development manager</t>
  </si>
  <si>
    <t>pereyro</t>
  </si>
  <si>
    <t>senior staff software engineer</t>
  </si>
  <si>
    <t>acosta escañuela</t>
  </si>
  <si>
    <t>peoria, illinois area, united states, United States</t>
  </si>
  <si>
    <t>erro</t>
  </si>
  <si>
    <t>ios developer ssr.</t>
  </si>
  <si>
    <t>fernández dussaut</t>
  </si>
  <si>
    <t>23,17</t>
  </si>
  <si>
    <t>maria mercedes</t>
  </si>
  <si>
    <t>domenech</t>
  </si>
  <si>
    <t>corona</t>
  </si>
  <si>
    <t>seguil</t>
  </si>
  <si>
    <t>sap security senior</t>
  </si>
  <si>
    <t>gimenez konstantinow</t>
  </si>
  <si>
    <t>del rosso</t>
  </si>
  <si>
    <t>winnie</t>
  </si>
  <si>
    <t>von werne</t>
  </si>
  <si>
    <t>executive director of fashion, luxury, &amp; beauty division</t>
  </si>
  <si>
    <t>silkrome</t>
  </si>
  <si>
    <t>kristen</t>
  </si>
  <si>
    <t>thiede</t>
  </si>
  <si>
    <t>micha</t>
  </si>
  <si>
    <t>hirshman</t>
  </si>
  <si>
    <t>regional sales director north america</t>
  </si>
  <si>
    <t>galofre</t>
  </si>
  <si>
    <t>afdhel</t>
  </si>
  <si>
    <t>aziz</t>
  </si>
  <si>
    <t>director, brand marketing, absolut. pernod ricard usa.</t>
  </si>
  <si>
    <t>johann</t>
  </si>
  <si>
    <t>marron</t>
  </si>
  <si>
    <t>director, marketing &amp; sales (acting)</t>
  </si>
  <si>
    <t>depayras</t>
  </si>
  <si>
    <t>barkai</t>
  </si>
  <si>
    <t>soquel, california</t>
  </si>
  <si>
    <t>brunheroto</t>
  </si>
  <si>
    <t>schirch</t>
  </si>
  <si>
    <t>general manager, latin america</t>
  </si>
  <si>
    <t>michele</t>
  </si>
  <si>
    <t>edelman</t>
  </si>
  <si>
    <t>vp of marketing, warner bros. digital distribution</t>
  </si>
  <si>
    <t>bolivar</t>
  </si>
  <si>
    <t>director of social media international</t>
  </si>
  <si>
    <t>bartlett</t>
  </si>
  <si>
    <t>sr. product manager / architect - mobility</t>
  </si>
  <si>
    <t>mumby</t>
  </si>
  <si>
    <t>raney</t>
  </si>
  <si>
    <t>director, global market development</t>
  </si>
  <si>
    <t>laux</t>
  </si>
  <si>
    <t>global business development, brazil at amazon</t>
  </si>
  <si>
    <t>21,6642857142857</t>
  </si>
  <si>
    <t>gilberto</t>
  </si>
  <si>
    <t>prujansky</t>
  </si>
  <si>
    <t>co-founder, ux/game designer</t>
  </si>
  <si>
    <t>linardos</t>
  </si>
  <si>
    <t>svp digital marketing &amp; business development</t>
  </si>
  <si>
    <t>principal analyst</t>
  </si>
  <si>
    <t>lisiane</t>
  </si>
  <si>
    <t>sztoltz teixeira pmp</t>
  </si>
  <si>
    <t>21,5533333333333</t>
  </si>
  <si>
    <t>senior director - broadband strategy and business development</t>
  </si>
  <si>
    <t>morey</t>
  </si>
  <si>
    <t>assistant vice president, innovation strategy group at frog</t>
  </si>
  <si>
    <t>baer</t>
  </si>
  <si>
    <t>marian</t>
  </si>
  <si>
    <t>salzman</t>
  </si>
  <si>
    <t>drapkin</t>
  </si>
  <si>
    <t>founder and dean</t>
  </si>
  <si>
    <t>27,67</t>
  </si>
  <si>
    <t>klein</t>
  </si>
  <si>
    <t>pakman</t>
  </si>
  <si>
    <t>ceo and manager</t>
  </si>
  <si>
    <t>executive event director</t>
  </si>
  <si>
    <t>navin</t>
  </si>
  <si>
    <t>producer and president</t>
  </si>
  <si>
    <t>figueredo</t>
  </si>
  <si>
    <t>desarrollador senior java</t>
  </si>
  <si>
    <t>vinante</t>
  </si>
  <si>
    <t>larkin</t>
  </si>
  <si>
    <t>regional sales manager-south</t>
  </si>
  <si>
    <t>hammond</t>
  </si>
  <si>
    <t>interactive producer, designer &amp; artist</t>
  </si>
  <si>
    <t>bye</t>
  </si>
  <si>
    <t>executive director, business development</t>
  </si>
  <si>
    <t>27,17</t>
  </si>
  <si>
    <t>vairoli</t>
  </si>
  <si>
    <t>director ejecutivo - fundador - game designer</t>
  </si>
  <si>
    <t>bodson</t>
  </si>
  <si>
    <t>business development manager - mobile</t>
  </si>
  <si>
    <t>castagna  ccnp rs itil v</t>
  </si>
  <si>
    <t>global design manager-complex bids</t>
  </si>
  <si>
    <t>sessa</t>
  </si>
  <si>
    <t>neyra</t>
  </si>
  <si>
    <t>pablo ainciart</t>
  </si>
  <si>
    <t>kirsch</t>
  </si>
  <si>
    <t>principal staff software engineer</t>
  </si>
  <si>
    <t>redmond, washington</t>
  </si>
  <si>
    <t>amy d</t>
  </si>
  <si>
    <t>mis project manager</t>
  </si>
  <si>
    <t>curetti</t>
  </si>
  <si>
    <t>anibal eloy</t>
  </si>
  <si>
    <t>parallela</t>
  </si>
  <si>
    <t>19,7545454545455</t>
  </si>
  <si>
    <t>elina</t>
  </si>
  <si>
    <t>tandil office manager</t>
  </si>
  <si>
    <t>rodrigo ezequiel</t>
  </si>
  <si>
    <t>abadie</t>
  </si>
  <si>
    <t>tarsitano</t>
  </si>
  <si>
    <t>jones  kusyk</t>
  </si>
  <si>
    <t>manager - corporate audit and assurance</t>
  </si>
  <si>
    <t>amalia</t>
  </si>
  <si>
    <t>sciutto</t>
  </si>
  <si>
    <t>de mauri</t>
  </si>
  <si>
    <t>pontello</t>
  </si>
  <si>
    <t>manager, corporate recruiting at siteworx</t>
  </si>
  <si>
    <t>pallavi</t>
  </si>
  <si>
    <t>gangaiah</t>
  </si>
  <si>
    <t>de francesco</t>
  </si>
  <si>
    <t>desarrollador para american eagle</t>
  </si>
  <si>
    <t>flores tedesco</t>
  </si>
  <si>
    <t>braconi</t>
  </si>
  <si>
    <t>sharepoint specialist</t>
  </si>
  <si>
    <t>dcs manager</t>
  </si>
  <si>
    <t>donoso</t>
  </si>
  <si>
    <t>partner &amp; managing director</t>
  </si>
  <si>
    <t>bradd</t>
  </si>
  <si>
    <t>weidenbenner</t>
  </si>
  <si>
    <t>west palm beach, florida area, united states, United States</t>
  </si>
  <si>
    <t>bocco</t>
  </si>
  <si>
    <t>milovich</t>
  </si>
  <si>
    <t>cristian l.</t>
  </si>
  <si>
    <t>mercurio</t>
  </si>
  <si>
    <t>pariz</t>
  </si>
  <si>
    <t>de villasante</t>
  </si>
  <si>
    <t>fernandez del casal</t>
  </si>
  <si>
    <t>marazzita</t>
  </si>
  <si>
    <t>bracamonte</t>
  </si>
  <si>
    <t>winder</t>
  </si>
  <si>
    <t>architect ii</t>
  </si>
  <si>
    <t>pomeranz</t>
  </si>
  <si>
    <t>technical producer</t>
  </si>
  <si>
    <t>tuckey</t>
  </si>
  <si>
    <t>rodrigo maximiliano</t>
  </si>
  <si>
    <t>mendez lara</t>
  </si>
  <si>
    <t>degreef</t>
  </si>
  <si>
    <t>sql server dba</t>
  </si>
  <si>
    <t>goldenstein</t>
  </si>
  <si>
    <t>senior development leader</t>
  </si>
  <si>
    <t>gerente de tecnología y desarrollo</t>
  </si>
  <si>
    <t>acenso</t>
  </si>
  <si>
    <t>tami</t>
  </si>
  <si>
    <t>oquinn mba pmp</t>
  </si>
  <si>
    <t>global account manager</t>
  </si>
  <si>
    <t>beezer</t>
  </si>
  <si>
    <t>26,18</t>
  </si>
  <si>
    <t>vic</t>
  </si>
  <si>
    <t>sarjoo</t>
  </si>
  <si>
    <t>kusek</t>
  </si>
  <si>
    <t>ganbarg</t>
  </si>
  <si>
    <t>evp/head of a&amp;r, atlantic records</t>
  </si>
  <si>
    <t>ornella</t>
  </si>
  <si>
    <t>indonie</t>
  </si>
  <si>
    <t>general manager - telecom channel - latin america</t>
  </si>
  <si>
    <t>29,17</t>
  </si>
  <si>
    <t>galván contreras</t>
  </si>
  <si>
    <t>sassu</t>
  </si>
  <si>
    <t>general manager - mobile product development</t>
  </si>
  <si>
    <t>setton</t>
  </si>
  <si>
    <t>william w</t>
  </si>
  <si>
    <t>johnson   itil v mba</t>
  </si>
  <si>
    <t>bastiani</t>
  </si>
  <si>
    <t>duty manager</t>
  </si>
  <si>
    <t>beech</t>
  </si>
  <si>
    <t>gunn</t>
  </si>
  <si>
    <t>los angeles, california, United States</t>
  </si>
  <si>
    <t>salvador</t>
  </si>
  <si>
    <t>business planning and analytics manager</t>
  </si>
  <si>
    <t>cursino</t>
  </si>
  <si>
    <t>marketing &amp; sales support regional manager for amep</t>
  </si>
  <si>
    <t>holcberg</t>
  </si>
  <si>
    <t>osterc</t>
  </si>
  <si>
    <t>morilla</t>
  </si>
  <si>
    <t>locurcio</t>
  </si>
  <si>
    <t>lasorsa</t>
  </si>
  <si>
    <t>administrador regional de infraestructura y seguridad informatica</t>
  </si>
  <si>
    <t>mauricio david</t>
  </si>
  <si>
    <t>ghersini</t>
  </si>
  <si>
    <t>favio</t>
  </si>
  <si>
    <t>schneeberger</t>
  </si>
  <si>
    <t>team leader de testing factory fsi - sogeti</t>
  </si>
  <si>
    <t>pedemonte</t>
  </si>
  <si>
    <t>urinovsky</t>
  </si>
  <si>
    <t>nathaly</t>
  </si>
  <si>
    <t>schwed</t>
  </si>
  <si>
    <t>vas manager/content manager</t>
  </si>
  <si>
    <t>bidegain</t>
  </si>
  <si>
    <t>head of sales and marketing</t>
  </si>
  <si>
    <t>brantley</t>
  </si>
  <si>
    <t>holling</t>
  </si>
  <si>
    <t>ehrenböck</t>
  </si>
  <si>
    <t>otaño</t>
  </si>
  <si>
    <t>it specialist l2 database expert</t>
  </si>
  <si>
    <t>duval</t>
  </si>
  <si>
    <t>principal software developer</t>
  </si>
  <si>
    <t>cesetti</t>
  </si>
  <si>
    <t>lob (line of business) manager</t>
  </si>
  <si>
    <t>rodiño</t>
  </si>
  <si>
    <t>founder | creative director</t>
  </si>
  <si>
    <t>rebuffi</t>
  </si>
  <si>
    <t>front - end developer / designer</t>
  </si>
  <si>
    <t>bedriñan</t>
  </si>
  <si>
    <t>development project manager la</t>
  </si>
  <si>
    <t>tiahna</t>
  </si>
  <si>
    <t>mcdowell</t>
  </si>
  <si>
    <t>relationship web project manager team lead</t>
  </si>
  <si>
    <t>mantin</t>
  </si>
  <si>
    <t>matías josé</t>
  </si>
  <si>
    <t>data manager</t>
  </si>
  <si>
    <t>spinatto</t>
  </si>
  <si>
    <t>technical sales specialist</t>
  </si>
  <si>
    <t>rabinovitch</t>
  </si>
  <si>
    <t>prillo</t>
  </si>
  <si>
    <t>schulien</t>
  </si>
  <si>
    <t>stacey</t>
  </si>
  <si>
    <t>zur</t>
  </si>
  <si>
    <t>senior account supervisor</t>
  </si>
  <si>
    <t>vagliati</t>
  </si>
  <si>
    <t>senior j2ee &amp; android developer</t>
  </si>
  <si>
    <t>guido gonzalo</t>
  </si>
  <si>
    <t>crego</t>
  </si>
  <si>
    <t>facundo colella</t>
  </si>
  <si>
    <t>colella</t>
  </si>
  <si>
    <t>desarrollador php senior</t>
  </si>
  <si>
    <t>emanuel josé</t>
  </si>
  <si>
    <t>granados</t>
  </si>
  <si>
    <t>desarrollador de software</t>
  </si>
  <si>
    <t>pomin</t>
  </si>
  <si>
    <t>chuang</t>
  </si>
  <si>
    <t>scotti</t>
  </si>
  <si>
    <t>nair</t>
  </si>
  <si>
    <t>vp/tech project team manager</t>
  </si>
  <si>
    <t>realini</t>
  </si>
  <si>
    <t>desarrollador .net ssr</t>
  </si>
  <si>
    <t>suarez ordoñez</t>
  </si>
  <si>
    <t>the sauce ninja</t>
  </si>
  <si>
    <t>weinmann</t>
  </si>
  <si>
    <t>schillagi</t>
  </si>
  <si>
    <t>mario e.</t>
  </si>
  <si>
    <t>munich</t>
  </si>
  <si>
    <t>yu</t>
  </si>
  <si>
    <t>performance architect</t>
  </si>
  <si>
    <t>ligon</t>
  </si>
  <si>
    <t>yingjie</t>
  </si>
  <si>
    <t>he</t>
  </si>
  <si>
    <t>wimer pmp csm</t>
  </si>
  <si>
    <t>lead test engineer</t>
  </si>
  <si>
    <t>weinbrenner</t>
  </si>
  <si>
    <t>director of social media</t>
  </si>
  <si>
    <t>president- website design and development division</t>
  </si>
  <si>
    <t>dehahn</t>
  </si>
  <si>
    <t>owner, black twig communnications llc</t>
  </si>
  <si>
    <t>rosanne</t>
  </si>
  <si>
    <t>simiele bellavia</t>
  </si>
  <si>
    <t>financial representative</t>
  </si>
  <si>
    <t>sabaris</t>
  </si>
  <si>
    <t>senior software development manager</t>
  </si>
  <si>
    <t>daniel nicolas</t>
  </si>
  <si>
    <t>cajelli</t>
  </si>
  <si>
    <t>berterretche</t>
  </si>
  <si>
    <t>alejandro g.</t>
  </si>
  <si>
    <t>bellevue, washington, United States</t>
  </si>
  <si>
    <t>cejas</t>
  </si>
  <si>
    <t>masamba</t>
  </si>
  <si>
    <t>suky</t>
  </si>
  <si>
    <t>dragana</t>
  </si>
  <si>
    <t>ljubisavljevic</t>
  </si>
  <si>
    <t>eyzaguirre</t>
  </si>
  <si>
    <t>consumer marketing and communications</t>
  </si>
  <si>
    <t>23,8678571428571</t>
  </si>
  <si>
    <t>van miltenburg</t>
  </si>
  <si>
    <t>maser</t>
  </si>
  <si>
    <t>program evangelist</t>
  </si>
  <si>
    <t>vipul</t>
  </si>
  <si>
    <t>director of data engineering</t>
  </si>
  <si>
    <t>parthasarathy</t>
  </si>
  <si>
    <t>senior software architect</t>
  </si>
  <si>
    <t>vora</t>
  </si>
  <si>
    <t>director, ecommerce, digital marketing</t>
  </si>
  <si>
    <t>iwersen</t>
  </si>
  <si>
    <t>senior director of content</t>
  </si>
  <si>
    <t>friske</t>
  </si>
  <si>
    <t>lovett</t>
  </si>
  <si>
    <t>sherman oaks, california</t>
  </si>
  <si>
    <t>director of affiliate marketing</t>
  </si>
  <si>
    <t>sclier</t>
  </si>
  <si>
    <t>affiliate relations manager</t>
  </si>
  <si>
    <t>golembiewski</t>
  </si>
  <si>
    <t>ronald ron</t>
  </si>
  <si>
    <t>de angelo</t>
  </si>
  <si>
    <t>shteif</t>
  </si>
  <si>
    <t>eisenberg</t>
  </si>
  <si>
    <t>jacksonville, florida</t>
  </si>
  <si>
    <t>sobel</t>
  </si>
  <si>
    <t>crystal</t>
  </si>
  <si>
    <t>marketing consultant + freelance copywriter</t>
  </si>
  <si>
    <t>ferraro</t>
  </si>
  <si>
    <t>de figueiredo rodríguez</t>
  </si>
  <si>
    <t>alessandria</t>
  </si>
  <si>
    <t>jefe de produccion</t>
  </si>
  <si>
    <t>corigliano</t>
  </si>
  <si>
    <t>ux &amp; ui mobile &amp; web designer</t>
  </si>
  <si>
    <t>castañares</t>
  </si>
  <si>
    <t>gómez varela</t>
  </si>
  <si>
    <t>soporte funcional</t>
  </si>
  <si>
    <t>womack</t>
  </si>
  <si>
    <t>milton freewater, oregon, United States</t>
  </si>
  <si>
    <t>vijoditz</t>
  </si>
  <si>
    <t>freelance senior php developer</t>
  </si>
  <si>
    <t>pirrello</t>
  </si>
  <si>
    <t>vivas</t>
  </si>
  <si>
    <t>global facilitator</t>
  </si>
  <si>
    <t>ron walter</t>
  </si>
  <si>
    <t>engelberg</t>
  </si>
  <si>
    <t>ezcurra</t>
  </si>
  <si>
    <t>latin america investment banking associate</t>
  </si>
  <si>
    <t>mayer</t>
  </si>
  <si>
    <t>pasko ms pmp</t>
  </si>
  <si>
    <t>system analyst</t>
  </si>
  <si>
    <t>sudha</t>
  </si>
  <si>
    <t>bhat</t>
  </si>
  <si>
    <t>enterprise architect/technical application manager</t>
  </si>
  <si>
    <t>jayanthi</t>
  </si>
  <si>
    <t>sr consultant</t>
  </si>
  <si>
    <t>arena</t>
  </si>
  <si>
    <t>director, north america marketing</t>
  </si>
  <si>
    <t>libby</t>
  </si>
  <si>
    <t>sr principal program manager</t>
  </si>
  <si>
    <t>massey</t>
  </si>
  <si>
    <t>tory</t>
  </si>
  <si>
    <t>digital product manager</t>
  </si>
  <si>
    <t>dyer</t>
  </si>
  <si>
    <t>goldman</t>
  </si>
  <si>
    <t>senior director of category management</t>
  </si>
  <si>
    <t>scioscia</t>
  </si>
  <si>
    <t>moreland</t>
  </si>
  <si>
    <t>senior project manager at sabre holdings</t>
  </si>
  <si>
    <t>orchard</t>
  </si>
  <si>
    <t>senior web designer at travelocity.com</t>
  </si>
  <si>
    <t>juan maria</t>
  </si>
  <si>
    <t>isola</t>
  </si>
  <si>
    <t>solution selling manager spanish latam - decision analytics</t>
  </si>
  <si>
    <t>19,5</t>
  </si>
  <si>
    <t>kotovich</t>
  </si>
  <si>
    <t>stacy donovan</t>
  </si>
  <si>
    <t>zapar</t>
  </si>
  <si>
    <t>group owner</t>
  </si>
  <si>
    <t>gosling</t>
  </si>
  <si>
    <t>chief software architect at liquid robotics</t>
  </si>
  <si>
    <t>24,52</t>
  </si>
  <si>
    <t>bloch</t>
  </si>
  <si>
    <t>jade</t>
  </si>
  <si>
    <t>chuenkamon</t>
  </si>
  <si>
    <t>dayley</t>
  </si>
  <si>
    <t>vice president of it governance and enterprise services</t>
  </si>
  <si>
    <t>29,33</t>
  </si>
  <si>
    <t>sidi</t>
  </si>
  <si>
    <t>dolan</t>
  </si>
  <si>
    <t>bpm/soa solution architect</t>
  </si>
  <si>
    <t>atwood</t>
  </si>
  <si>
    <t>senior bpm architect - oracle ace</t>
  </si>
  <si>
    <t>lau</t>
  </si>
  <si>
    <t>carlson</t>
  </si>
  <si>
    <t>21,6647058823529</t>
  </si>
  <si>
    <t>sposetti</t>
  </si>
  <si>
    <t>ohr</t>
  </si>
  <si>
    <t>senior director, americas professional services, national practices</t>
  </si>
  <si>
    <t>26,25</t>
  </si>
  <si>
    <t>platform product marketing</t>
  </si>
  <si>
    <t>shelston</t>
  </si>
  <si>
    <t>director, strategic accounts</t>
  </si>
  <si>
    <t>lakkundi</t>
  </si>
  <si>
    <t>vice-president strategy</t>
  </si>
  <si>
    <t>sushil</t>
  </si>
  <si>
    <t>shukla</t>
  </si>
  <si>
    <t>mukherjee</t>
  </si>
  <si>
    <t>sr. director, fmw architects team: the a-team, exalogic, cloud application foundation and em</t>
  </si>
  <si>
    <t>ammann</t>
  </si>
  <si>
    <t>sreenivas</t>
  </si>
  <si>
    <t>senior vice president, engineering group manager</t>
  </si>
  <si>
    <t>franklin park, new jersey</t>
  </si>
  <si>
    <t>vp, data science</t>
  </si>
  <si>
    <t>mahl</t>
  </si>
  <si>
    <t>vp, product management</t>
  </si>
  <si>
    <t>senior product marketing manager, internet marketing services</t>
  </si>
  <si>
    <t>stupakiewicz</t>
  </si>
  <si>
    <t>independent jde financials consultant</t>
  </si>
  <si>
    <t>glueck</t>
  </si>
  <si>
    <t>fayyaz</t>
  </si>
  <si>
    <t>ecommerce executive with experience in product management and customer experience</t>
  </si>
  <si>
    <t>neufang</t>
  </si>
  <si>
    <t>quigley</t>
  </si>
  <si>
    <t>clampett</t>
  </si>
  <si>
    <t>pandey</t>
  </si>
  <si>
    <t>lead consultant- consulting &amp; system integration</t>
  </si>
  <si>
    <t>ignacio juan martín</t>
  </si>
  <si>
    <t>palomino</t>
  </si>
  <si>
    <t>vice president regional technology - latin america</t>
  </si>
  <si>
    <t>lead online marketing manager</t>
  </si>
  <si>
    <t>jean</t>
  </si>
  <si>
    <t>wroblewski mba</t>
  </si>
  <si>
    <t>symons</t>
  </si>
  <si>
    <t>principal, account management, affiliate marketing and business development, travelocity</t>
  </si>
  <si>
    <t>walls</t>
  </si>
  <si>
    <t>marketing and merchandising senior, travelocity partner network</t>
  </si>
  <si>
    <t>alderink</t>
  </si>
  <si>
    <t>monisha</t>
  </si>
  <si>
    <t>vasanthkumar</t>
  </si>
  <si>
    <t>senior delivery manager</t>
  </si>
  <si>
    <t>elisabete</t>
  </si>
  <si>
    <t>schäffler</t>
  </si>
  <si>
    <t>senior human resources project manager - cala</t>
  </si>
  <si>
    <t>22,5</t>
  </si>
  <si>
    <t>chloupek</t>
  </si>
  <si>
    <t>ux architect</t>
  </si>
  <si>
    <t>harold</t>
  </si>
  <si>
    <t>sinnott</t>
  </si>
  <si>
    <t>lama</t>
  </si>
  <si>
    <t>human resources director, south florida &amp; caribbean region</t>
  </si>
  <si>
    <t>maxakova</t>
  </si>
  <si>
    <t>ui designer</t>
  </si>
  <si>
    <t>tatiana m.</t>
  </si>
  <si>
    <t>sphr shrmscp</t>
  </si>
  <si>
    <t>owner &amp; lead consultant</t>
  </si>
  <si>
    <t>28,25</t>
  </si>
  <si>
    <t>ynocencio</t>
  </si>
  <si>
    <t>customer experience strategist</t>
  </si>
  <si>
    <t>polansky</t>
  </si>
  <si>
    <t>nastasha</t>
  </si>
  <si>
    <t>principal ux designer</t>
  </si>
  <si>
    <t>gould</t>
  </si>
  <si>
    <t>cypret</t>
  </si>
  <si>
    <t>senior product designer</t>
  </si>
  <si>
    <t>schroeder</t>
  </si>
  <si>
    <t>gold</t>
  </si>
  <si>
    <t>creative/ux director</t>
  </si>
  <si>
    <t>20,67</t>
  </si>
  <si>
    <t>zoller</t>
  </si>
  <si>
    <t>innovation leader</t>
  </si>
  <si>
    <t>biancheri</t>
  </si>
  <si>
    <t>respass</t>
  </si>
  <si>
    <t>metta</t>
  </si>
  <si>
    <t>chief architect &amp; director - product development</t>
  </si>
  <si>
    <t>kristi</t>
  </si>
  <si>
    <t>jurecka</t>
  </si>
  <si>
    <t>director, software engineering</t>
  </si>
  <si>
    <t>development manager ii</t>
  </si>
  <si>
    <t>senior user experience architect</t>
  </si>
  <si>
    <t>round rock, texas</t>
  </si>
  <si>
    <t>senior php developer</t>
  </si>
  <si>
    <t>terrance</t>
  </si>
  <si>
    <t>blackwell mba</t>
  </si>
  <si>
    <t>pullen</t>
  </si>
  <si>
    <t>sabbatella</t>
  </si>
  <si>
    <t>analia veronica</t>
  </si>
  <si>
    <t>fatta</t>
  </si>
  <si>
    <t>bid manager</t>
  </si>
  <si>
    <t>founder / president</t>
  </si>
  <si>
    <t>guasqui</t>
  </si>
  <si>
    <t>game designer</t>
  </si>
  <si>
    <t>zhang</t>
  </si>
  <si>
    <t>irving, texas</t>
  </si>
  <si>
    <t>fink almirall</t>
  </si>
  <si>
    <t>canada &amp; latin america client engagement manager</t>
  </si>
  <si>
    <t>financial planning and analysis manager</t>
  </si>
  <si>
    <t>burgos</t>
  </si>
  <si>
    <t>director sales latin america/caribbean</t>
  </si>
  <si>
    <t>fernando daniel</t>
  </si>
  <si>
    <t>rodriguez amor</t>
  </si>
  <si>
    <t>elida</t>
  </si>
  <si>
    <t>funes</t>
  </si>
  <si>
    <t>analista/desarrollador java en belatrix software factory</t>
  </si>
  <si>
    <t>fernandez grenno</t>
  </si>
  <si>
    <t>fundador y ceo</t>
  </si>
  <si>
    <t>russo pmp</t>
  </si>
  <si>
    <t>program/sr. project manager</t>
  </si>
  <si>
    <t>pinto escalier</t>
  </si>
  <si>
    <t>goodwin ccte</t>
  </si>
  <si>
    <t>v.p. marketing &amp; product development</t>
  </si>
  <si>
    <t>ostermann</t>
  </si>
  <si>
    <t>kairo</t>
  </si>
  <si>
    <t>cerere mspm</t>
  </si>
  <si>
    <t>montesano</t>
  </si>
  <si>
    <t>co fundador y director creativo</t>
  </si>
  <si>
    <t>mohi</t>
  </si>
  <si>
    <t>murugesu</t>
  </si>
  <si>
    <t>principal program delivery manager</t>
  </si>
  <si>
    <t>ayala</t>
  </si>
  <si>
    <t>content director</t>
  </si>
  <si>
    <t>lachance</t>
  </si>
  <si>
    <t>technology director</t>
  </si>
  <si>
    <t>azam</t>
  </si>
  <si>
    <t>mohammad</t>
  </si>
  <si>
    <t>web &amp; mobile technologist</t>
  </si>
  <si>
    <t>viscardis</t>
  </si>
  <si>
    <t>joaquin marcelo</t>
  </si>
  <si>
    <t>trelleira</t>
  </si>
  <si>
    <t>marjovsky</t>
  </si>
  <si>
    <t>director &amp; co-founder</t>
  </si>
  <si>
    <t>mona lee</t>
  </si>
  <si>
    <t>strategic recruiting leader, design</t>
  </si>
  <si>
    <t>mclaughlin</t>
  </si>
  <si>
    <t>entrepreneur in residence</t>
  </si>
  <si>
    <t>manager, tpm and products recruiting</t>
  </si>
  <si>
    <t>oberholzer</t>
  </si>
  <si>
    <t>savides sullivan</t>
  </si>
  <si>
    <t>prasad</t>
  </si>
  <si>
    <t>setty</t>
  </si>
  <si>
    <t>vice president, people analytics and compensation</t>
  </si>
  <si>
    <t>magnuson</t>
  </si>
  <si>
    <t>director, people operations</t>
  </si>
  <si>
    <t>perera</t>
  </si>
  <si>
    <t>director, interactive technology and development</t>
  </si>
  <si>
    <t>carlos josé f.</t>
  </si>
  <si>
    <t>kaczmar</t>
  </si>
  <si>
    <t>cormons</t>
  </si>
  <si>
    <t>salguero</t>
  </si>
  <si>
    <t>analyst / developer</t>
  </si>
  <si>
    <t>rieke</t>
  </si>
  <si>
    <t>senior localization program manager</t>
  </si>
  <si>
    <t>smidt</t>
  </si>
  <si>
    <t>revenue manager</t>
  </si>
  <si>
    <t>nagrani saama is hiring</t>
  </si>
  <si>
    <t>britta</t>
  </si>
  <si>
    <t>senior talent acquisition / resource specialist</t>
  </si>
  <si>
    <t>documentation &amp; training manager, google enterprise</t>
  </si>
  <si>
    <t>mccasland</t>
  </si>
  <si>
    <t>it/linux administrator (contractor via taos consulting)</t>
  </si>
  <si>
    <t>greenawalt</t>
  </si>
  <si>
    <t>manager, staffing</t>
  </si>
  <si>
    <t>soliverez</t>
  </si>
  <si>
    <t>miller danmindsource.com</t>
  </si>
  <si>
    <t>manoske</t>
  </si>
  <si>
    <t>talent acquisition manager / training manager</t>
  </si>
  <si>
    <t>nirada</t>
  </si>
  <si>
    <t>pindiproli</t>
  </si>
  <si>
    <t>talent management</t>
  </si>
  <si>
    <t>st. onge</t>
  </si>
  <si>
    <t>sunita</t>
  </si>
  <si>
    <t>sarin</t>
  </si>
  <si>
    <t>consultant recruiter at tibco software</t>
  </si>
  <si>
    <t>jean philippe</t>
  </si>
  <si>
    <t>bagel</t>
  </si>
  <si>
    <t>content publishing director</t>
  </si>
  <si>
    <t>caitlin</t>
  </si>
  <si>
    <t>donovan</t>
  </si>
  <si>
    <t>director - us public sector services delivery management</t>
  </si>
  <si>
    <t>dietrich</t>
  </si>
  <si>
    <t>avey</t>
  </si>
  <si>
    <t>constantino</t>
  </si>
  <si>
    <t>technical recruiting leader</t>
  </si>
  <si>
    <t>grounds  im hiring</t>
  </si>
  <si>
    <t>bejarano casarino</t>
  </si>
  <si>
    <t>co-founder &amp; consultant</t>
  </si>
  <si>
    <t>sheetal</t>
  </si>
  <si>
    <t>ww senior hr manager, all play studios</t>
  </si>
  <si>
    <t>mcbrayer</t>
  </si>
  <si>
    <t>redwood city, california, United States</t>
  </si>
  <si>
    <t>kirkley</t>
  </si>
  <si>
    <t>park</t>
  </si>
  <si>
    <t>eloqua, drupal, salesforce - marketing operations + demand generation + marketing + data integration</t>
  </si>
  <si>
    <t>schilling</t>
  </si>
  <si>
    <t>hesselgesser</t>
  </si>
  <si>
    <t>director of service and operations</t>
  </si>
  <si>
    <t>gokul</t>
  </si>
  <si>
    <t>r krishnan</t>
  </si>
  <si>
    <t>director, services &amp; support</t>
  </si>
  <si>
    <t>24,6916666666667</t>
  </si>
  <si>
    <t>mato</t>
  </si>
  <si>
    <t>microsoft premier support engineer - communications</t>
  </si>
  <si>
    <t>de datta</t>
  </si>
  <si>
    <t>dente</t>
  </si>
  <si>
    <t>solaris senior implementation and support engineer (ngtx)</t>
  </si>
  <si>
    <t>infrastructure specialist</t>
  </si>
  <si>
    <t>23,375</t>
  </si>
  <si>
    <t>agron</t>
  </si>
  <si>
    <t>sacramento, california area, united states, United States</t>
  </si>
  <si>
    <t>braunstein</t>
  </si>
  <si>
    <t>su</t>
  </si>
  <si>
    <t>principal sales engineer</t>
  </si>
  <si>
    <t>pmo y jefe de producto</t>
  </si>
  <si>
    <t>vice president of services</t>
  </si>
  <si>
    <t>fisher</t>
  </si>
  <si>
    <t>senior vice president &amp; global commercial cio</t>
  </si>
  <si>
    <t>rubio</t>
  </si>
  <si>
    <t>director sales operations</t>
  </si>
  <si>
    <t>zahabi</t>
  </si>
  <si>
    <t>isv/oem sales</t>
  </si>
  <si>
    <t>dittmer</t>
  </si>
  <si>
    <t>barinder pal</t>
  </si>
  <si>
    <t>manager, professional services</t>
  </si>
  <si>
    <t>24,08</t>
  </si>
  <si>
    <t>levin</t>
  </si>
  <si>
    <t>group marketing manager, mobile</t>
  </si>
  <si>
    <t>alini</t>
  </si>
  <si>
    <t>lenton</t>
  </si>
  <si>
    <t>server team lead, consumer applications</t>
  </si>
  <si>
    <t>rupnarain</t>
  </si>
  <si>
    <t>ferrier</t>
  </si>
  <si>
    <t>merritt</t>
  </si>
  <si>
    <t>roizen</t>
  </si>
  <si>
    <t>kertzman</t>
  </si>
  <si>
    <t>ciaburri</t>
  </si>
  <si>
    <t>lyall</t>
  </si>
  <si>
    <t>technology / services business leader</t>
  </si>
  <si>
    <t>aparup</t>
  </si>
  <si>
    <t>banerjee</t>
  </si>
  <si>
    <t>consultoría de procesos - automatización de procesos</t>
  </si>
  <si>
    <t>ashwin</t>
  </si>
  <si>
    <t>manager enterprise architecture</t>
  </si>
  <si>
    <t>andrzejek</t>
  </si>
  <si>
    <t>karyn</t>
  </si>
  <si>
    <t>vice president, oracle fusion middleware</t>
  </si>
  <si>
    <t>fullana</t>
  </si>
  <si>
    <t>sebastián emilio</t>
  </si>
  <si>
    <t>grimberg</t>
  </si>
  <si>
    <t>consultor sap netweaver portal y desarrollador web dynpro java para amo latinoamérica.</t>
  </si>
  <si>
    <t>anni</t>
  </si>
  <si>
    <t>head of global carrier cloud, business development</t>
  </si>
  <si>
    <t>khalid</t>
  </si>
  <si>
    <t>zia</t>
  </si>
  <si>
    <t>macbeth</t>
  </si>
  <si>
    <t>director of openafs</t>
  </si>
  <si>
    <t>mork</t>
  </si>
  <si>
    <t>orest</t>
  </si>
  <si>
    <t>jarosiewicz</t>
  </si>
  <si>
    <t>pandoh</t>
  </si>
  <si>
    <t>technical architect</t>
  </si>
  <si>
    <t>gangal</t>
  </si>
  <si>
    <t>zarecor</t>
  </si>
  <si>
    <t>tresguerras</t>
  </si>
  <si>
    <t>ziad</t>
  </si>
  <si>
    <t>alsukairy</t>
  </si>
  <si>
    <t>manager, systems development - sr. software engineer / architect</t>
  </si>
  <si>
    <t>iapichino</t>
  </si>
  <si>
    <t>ecommerce coordinator latam</t>
  </si>
  <si>
    <t>unix system/network admin/engineer</t>
  </si>
  <si>
    <t>valliere</t>
  </si>
  <si>
    <t>managing partner / executive recruiter</t>
  </si>
  <si>
    <t>sqa analyst engineer</t>
  </si>
  <si>
    <t>byron</t>
  </si>
  <si>
    <t>jp</t>
  </si>
  <si>
    <t>chunsheng</t>
  </si>
  <si>
    <t>ricci aparicio</t>
  </si>
  <si>
    <t>saify</t>
  </si>
  <si>
    <t>lanewala</t>
  </si>
  <si>
    <t>global consulting services</t>
  </si>
  <si>
    <t>norfolk, virginia area, united states</t>
  </si>
  <si>
    <t>olmi</t>
  </si>
  <si>
    <t>regional business development manager</t>
  </si>
  <si>
    <t>sanoner</t>
  </si>
  <si>
    <t>marketing hispanos mercadopago</t>
  </si>
  <si>
    <t>roizman</t>
  </si>
  <si>
    <t>chief operation officer</t>
  </si>
  <si>
    <t>guzmán burgos</t>
  </si>
  <si>
    <t>senior dba mysql</t>
  </si>
  <si>
    <t>programming chief factual national geographic channel</t>
  </si>
  <si>
    <t>dron</t>
  </si>
  <si>
    <t>paco</t>
  </si>
  <si>
    <t>estevarena</t>
  </si>
  <si>
    <t>founder / consultant</t>
  </si>
  <si>
    <t>aguilera</t>
  </si>
  <si>
    <t>lawson</t>
  </si>
  <si>
    <t>classifieds director</t>
  </si>
  <si>
    <t>biasco</t>
  </si>
  <si>
    <t>internal communications</t>
  </si>
  <si>
    <t>benzaquen</t>
  </si>
  <si>
    <t>bussines partner</t>
  </si>
  <si>
    <t>diego ariel</t>
  </si>
  <si>
    <t>fejgelis</t>
  </si>
  <si>
    <t>pluchinotta</t>
  </si>
  <si>
    <t>sales manager at sap custom development</t>
  </si>
  <si>
    <t>yachelini</t>
  </si>
  <si>
    <t>dellacqua</t>
  </si>
  <si>
    <t>cassia</t>
  </si>
  <si>
    <t>independent information technology and services professional</t>
  </si>
  <si>
    <t>19,4347826086957</t>
  </si>
  <si>
    <t>linette</t>
  </si>
  <si>
    <t>pernigotti</t>
  </si>
  <si>
    <t>vp - functional technology manager</t>
  </si>
  <si>
    <t>munar</t>
  </si>
  <si>
    <t>hr manager latam</t>
  </si>
  <si>
    <t>kristoff</t>
  </si>
  <si>
    <t>sales specialist storagework division</t>
  </si>
  <si>
    <t>sonja</t>
  </si>
  <si>
    <t>sanjuan</t>
  </si>
  <si>
    <t>springfield, new jersey, United States</t>
  </si>
  <si>
    <t>slean</t>
  </si>
  <si>
    <t>manager it operations</t>
  </si>
  <si>
    <t>project manager-global professional services</t>
  </si>
  <si>
    <t>analista programador .net semi sr</t>
  </si>
  <si>
    <t>elizalde</t>
  </si>
  <si>
    <t>lead game programmer</t>
  </si>
  <si>
    <t>di lello</t>
  </si>
  <si>
    <t>directory services</t>
  </si>
  <si>
    <t>roude</t>
  </si>
  <si>
    <t>us country manager</t>
  </si>
  <si>
    <t>bellevue, washington</t>
  </si>
  <si>
    <t>lera</t>
  </si>
  <si>
    <t>global marketing solutions - dso account manager</t>
  </si>
  <si>
    <t>hugo h.</t>
  </si>
  <si>
    <t>maro</t>
  </si>
  <si>
    <t>behar</t>
  </si>
  <si>
    <t>cristian marcelo</t>
  </si>
  <si>
    <t>baser</t>
  </si>
  <si>
    <t>latugaye</t>
  </si>
  <si>
    <t>co-founder &amp; chief dreamer</t>
  </si>
  <si>
    <t>martínez smartinez.me</t>
  </si>
  <si>
    <t>experienced it management consultant, project manager, it service management expert, quality &amp; process improvement</t>
  </si>
  <si>
    <t>21,6416666666667</t>
  </si>
  <si>
    <t>bitonte</t>
  </si>
  <si>
    <t>buresti</t>
  </si>
  <si>
    <t>pinkus</t>
  </si>
  <si>
    <t>compiano rielo</t>
  </si>
  <si>
    <t>pablo raul</t>
  </si>
  <si>
    <t>21,0214285714286</t>
  </si>
  <si>
    <t>paquot</t>
  </si>
  <si>
    <t>system operations upline manager and mainframe &amp; iseries admin team upline manager</t>
  </si>
  <si>
    <t>portfolio project manager (ypf)</t>
  </si>
  <si>
    <t>demagistre</t>
  </si>
  <si>
    <t>unified storage product manager - south cone</t>
  </si>
  <si>
    <t>bueno</t>
  </si>
  <si>
    <t>jorge martin</t>
  </si>
  <si>
    <t>borchert</t>
  </si>
  <si>
    <t>sr. account executive - caribbean</t>
  </si>
  <si>
    <t>simonetta</t>
  </si>
  <si>
    <t>global accounts manager</t>
  </si>
  <si>
    <t>corrarello</t>
  </si>
  <si>
    <t>lead infrastructure engineer</t>
  </si>
  <si>
    <t>hayes, greater london, united kingdom</t>
  </si>
  <si>
    <t>sucari</t>
  </si>
  <si>
    <t>perel</t>
  </si>
  <si>
    <t>luis miguel</t>
  </si>
  <si>
    <t>ormachea</t>
  </si>
  <si>
    <t>incident &amp; problem manager - nextel argentina</t>
  </si>
  <si>
    <t>zimerman</t>
  </si>
  <si>
    <t>brangold</t>
  </si>
  <si>
    <t>diego osvaldo</t>
  </si>
  <si>
    <t>lopez gagliardi</t>
  </si>
  <si>
    <t>cio - sodimac division at falabella s.a.</t>
  </si>
  <si>
    <t>martha alicia</t>
  </si>
  <si>
    <t>alles</t>
  </si>
  <si>
    <t>vartanian</t>
  </si>
  <si>
    <t>php senior developer</t>
  </si>
  <si>
    <t>leipzig, sachsen, germany</t>
  </si>
  <si>
    <t>cintia sonia</t>
  </si>
  <si>
    <t>barreiro</t>
  </si>
  <si>
    <t>analista de rrhh/selectora it</t>
  </si>
  <si>
    <t>marketing expertise and salesforce.com admin</t>
  </si>
  <si>
    <t>fort worth, texas</t>
  </si>
  <si>
    <t>delbosco</t>
  </si>
  <si>
    <t>service sales representative</t>
  </si>
  <si>
    <t>chulak</t>
  </si>
  <si>
    <t>shinyashiki</t>
  </si>
  <si>
    <t>consultor sap - bw/bi</t>
  </si>
  <si>
    <t>remijan</t>
  </si>
  <si>
    <t>test lead - symantec account</t>
  </si>
  <si>
    <t>pinat ojeda</t>
  </si>
  <si>
    <t>business solution advisor</t>
  </si>
  <si>
    <t>attie</t>
  </si>
  <si>
    <t>oroña</t>
  </si>
  <si>
    <t>pisano</t>
  </si>
  <si>
    <t>manager- analytics &amp; data visualization</t>
  </si>
  <si>
    <t>ving ian</t>
  </si>
  <si>
    <t>lei</t>
  </si>
  <si>
    <t>flavio adrián</t>
  </si>
  <si>
    <t>albarracín</t>
  </si>
  <si>
    <t>ricardo díez</t>
  </si>
  <si>
    <t>díez mendizabal</t>
  </si>
  <si>
    <t>digital analytics manager</t>
  </si>
  <si>
    <t>semi-senior qa engineer</t>
  </si>
  <si>
    <t>la salvia</t>
  </si>
  <si>
    <t>strategic outsourcing - service management - transition &amp; transformation manager</t>
  </si>
  <si>
    <t>palazzini</t>
  </si>
  <si>
    <t>development /sourcing project manager</t>
  </si>
  <si>
    <t>balakuniec</t>
  </si>
  <si>
    <t>vaucourbeil</t>
  </si>
  <si>
    <t>laya</t>
  </si>
  <si>
    <t>acevey</t>
  </si>
  <si>
    <t>bermúdez</t>
  </si>
  <si>
    <t>barabino</t>
  </si>
  <si>
    <t>diato</t>
  </si>
  <si>
    <t>nítoli</t>
  </si>
  <si>
    <t>sw development manager</t>
  </si>
  <si>
    <t>arquitecto senior - líder de proyecto - analista programador senior</t>
  </si>
  <si>
    <t>di paola</t>
  </si>
  <si>
    <t>guillermina</t>
  </si>
  <si>
    <t>rawson</t>
  </si>
  <si>
    <t>business developer representative (inside sales)</t>
  </si>
  <si>
    <t>matias emmanuel</t>
  </si>
  <si>
    <t>project leader - business analyst</t>
  </si>
  <si>
    <t>olegario heberto</t>
  </si>
  <si>
    <t>gamarra</t>
  </si>
  <si>
    <t>s&amp;t support engineer</t>
  </si>
  <si>
    <t>hausmann</t>
  </si>
  <si>
    <t>andres correa</t>
  </si>
  <si>
    <t>marchiori</t>
  </si>
  <si>
    <t>javier oscar arbelaiz</t>
  </si>
  <si>
    <t>arbelaiz</t>
  </si>
  <si>
    <t>analista oracle pl/sql senior + bi latam</t>
  </si>
  <si>
    <t>vicky</t>
  </si>
  <si>
    <t>marziali</t>
  </si>
  <si>
    <t>rolf</t>
  </si>
  <si>
    <t>managing director sales andean region &amp; panama</t>
  </si>
  <si>
    <t>kas</t>
  </si>
  <si>
    <t>caimer</t>
  </si>
  <si>
    <t>directora de desarrollo institucional</t>
  </si>
  <si>
    <t>bosch</t>
  </si>
  <si>
    <t>content director, online</t>
  </si>
  <si>
    <t>welsh</t>
  </si>
  <si>
    <t>ww corporate recruiting</t>
  </si>
  <si>
    <t>luiz fernando</t>
  </si>
  <si>
    <t>girolamo</t>
  </si>
  <si>
    <t>pazzano</t>
  </si>
  <si>
    <t>líder funcional</t>
  </si>
  <si>
    <t>susana b</t>
  </si>
  <si>
    <t>zabala</t>
  </si>
  <si>
    <t>sap basis administrator / sap security</t>
  </si>
  <si>
    <t>queizan</t>
  </si>
  <si>
    <t>it support at emc computer systems argentina sa</t>
  </si>
  <si>
    <t>paione</t>
  </si>
  <si>
    <t>famá</t>
  </si>
  <si>
    <t>redrado</t>
  </si>
  <si>
    <t>pailhe</t>
  </si>
  <si>
    <t>field service manager</t>
  </si>
  <si>
    <t>del negro</t>
  </si>
  <si>
    <t>senior sales trainer</t>
  </si>
  <si>
    <t>agostinelli</t>
  </si>
  <si>
    <t>education segment manager</t>
  </si>
  <si>
    <t>doglio</t>
  </si>
  <si>
    <t>brm manager</t>
  </si>
  <si>
    <t>system z technical sales specialist</t>
  </si>
  <si>
    <t>rodriguez bordon</t>
  </si>
  <si>
    <t>storage sales specialist</t>
  </si>
  <si>
    <t>kanelson</t>
  </si>
  <si>
    <t>vice president of operations - latam and caribbean</t>
  </si>
  <si>
    <t>arroyo</t>
  </si>
  <si>
    <t>malanca</t>
  </si>
  <si>
    <t>analista testing / qa</t>
  </si>
  <si>
    <t>vazquez bahurlet</t>
  </si>
  <si>
    <t>veca</t>
  </si>
  <si>
    <t>naveed</t>
  </si>
  <si>
    <t>talent acquisition manager, north &amp; latin america</t>
  </si>
  <si>
    <t>gestora de proyecto / oficina de proyecto (pmo)</t>
  </si>
  <si>
    <t>kahuna</t>
  </si>
  <si>
    <t>big kahuna</t>
  </si>
  <si>
    <t>mosconi pmp</t>
  </si>
  <si>
    <t>suriani</t>
  </si>
  <si>
    <t>grisoni</t>
  </si>
  <si>
    <t>casuso</t>
  </si>
  <si>
    <t>architect evangelist</t>
  </si>
  <si>
    <t>fort lauderdale, florida</t>
  </si>
  <si>
    <t>heras</t>
  </si>
  <si>
    <t>latam regional manager</t>
  </si>
  <si>
    <t>consultor tecnología documental</t>
  </si>
  <si>
    <t>jose leonardo</t>
  </si>
  <si>
    <t>serres</t>
  </si>
  <si>
    <t>director, customer services delivery</t>
  </si>
  <si>
    <t>uva</t>
  </si>
  <si>
    <t>storage &amp; san senior specialist</t>
  </si>
  <si>
    <t>mangini</t>
  </si>
  <si>
    <t>fernandez elisegui</t>
  </si>
  <si>
    <t>software platform management services - sr manager</t>
  </si>
  <si>
    <t>brian brian scott</t>
  </si>
  <si>
    <t>toney</t>
  </si>
  <si>
    <t>head - worldwide sales &amp; business development</t>
  </si>
  <si>
    <t>czikk</t>
  </si>
  <si>
    <t>presidente congreso nacional psicología del trabajo 2013</t>
  </si>
  <si>
    <t>qa leader</t>
  </si>
  <si>
    <t>denkiewicz</t>
  </si>
  <si>
    <t>solutions development manager / southern cone</t>
  </si>
  <si>
    <t>miret</t>
  </si>
  <si>
    <t>oracle dba team coordinator</t>
  </si>
  <si>
    <t>mastrogiovanni</t>
  </si>
  <si>
    <t>bt senior manager americas</t>
  </si>
  <si>
    <t>nueva york y alrededores, estados unidos</t>
  </si>
  <si>
    <t>brunori</t>
  </si>
  <si>
    <t>technical lead</t>
  </si>
  <si>
    <t>kominiarz</t>
  </si>
  <si>
    <t>consultor mm/abap</t>
  </si>
  <si>
    <t>amie</t>
  </si>
  <si>
    <t>drahos</t>
  </si>
  <si>
    <t>cianciulli</t>
  </si>
  <si>
    <t>co-founder - director</t>
  </si>
  <si>
    <t>tagwerker</t>
  </si>
  <si>
    <t>pallo</t>
  </si>
  <si>
    <t>consultora en seleccion it</t>
  </si>
  <si>
    <t>sesar</t>
  </si>
  <si>
    <t>selección it - analista de rrhh</t>
  </si>
  <si>
    <t>capmany fleischer</t>
  </si>
  <si>
    <t>director of operations- brazil - amec oil and gas</t>
  </si>
  <si>
    <t>23,5136363636364</t>
  </si>
  <si>
    <t>barbagallo lewin</t>
  </si>
  <si>
    <t>prof. pruthwiraj</t>
  </si>
  <si>
    <t>23,67</t>
  </si>
  <si>
    <t>piergallini</t>
  </si>
  <si>
    <t>consultor it - procesos, ingeniería , outsourcing, continuidad del negocio, producción, infraestructura</t>
  </si>
  <si>
    <t>19,51875</t>
  </si>
  <si>
    <t>bolotchi</t>
  </si>
  <si>
    <t>technology services - sales channel partner</t>
  </si>
  <si>
    <t>regional sales manager at intermountain electronics</t>
  </si>
  <si>
    <t>charleston, west virginia area, united states</t>
  </si>
  <si>
    <t>james tutak</t>
  </si>
  <si>
    <t>financial systems – manager</t>
  </si>
  <si>
    <t>birmingham, michigan</t>
  </si>
  <si>
    <t>salimbene</t>
  </si>
  <si>
    <t>intel system administrator</t>
  </si>
  <si>
    <t>daddino</t>
  </si>
  <si>
    <t>account sme (coordinador de cuentas)</t>
  </si>
  <si>
    <t>neter</t>
  </si>
  <si>
    <t>owner. consultora en cambio</t>
  </si>
  <si>
    <t>buchholz</t>
  </si>
  <si>
    <t>mike o'neil, president, co-founder, 3rd party linkedin celebrity</t>
  </si>
  <si>
    <t>patricia laura</t>
  </si>
  <si>
    <t>loria</t>
  </si>
  <si>
    <t>stamoulis</t>
  </si>
  <si>
    <t>adnan</t>
  </si>
  <si>
    <t>avdic</t>
  </si>
  <si>
    <t>bain</t>
  </si>
  <si>
    <t>national channel sales manager</t>
  </si>
  <si>
    <t>piastrellini</t>
  </si>
  <si>
    <t>software factory manager</t>
  </si>
  <si>
    <t>tiraferri</t>
  </si>
  <si>
    <t>carlos a.</t>
  </si>
  <si>
    <t>líder técnico</t>
  </si>
  <si>
    <t>blaine</t>
  </si>
  <si>
    <t>director, south america operations</t>
  </si>
  <si>
    <t>internal audit manager</t>
  </si>
  <si>
    <t>lanteri</t>
  </si>
  <si>
    <t>alfredo daniel</t>
  </si>
  <si>
    <t>mastrangelo ozores</t>
  </si>
  <si>
    <t>mambrin ms pmp</t>
  </si>
  <si>
    <t>vp of operations</t>
  </si>
  <si>
    <t>zuleta</t>
  </si>
  <si>
    <t>external experiences extensions ww channel publishing – marketing strategy &amp; innovation</t>
  </si>
  <si>
    <t>madrid y alrededores, españa</t>
  </si>
  <si>
    <t>del valle</t>
  </si>
  <si>
    <t>specialist leader, social business</t>
  </si>
  <si>
    <t>trombotto</t>
  </si>
  <si>
    <t>best shore wintel manager</t>
  </si>
  <si>
    <t>bruzoni</t>
  </si>
  <si>
    <t>bruno pgmp pmp</t>
  </si>
  <si>
    <t>henderson, nevada</t>
  </si>
  <si>
    <t>depianti</t>
  </si>
  <si>
    <t>22,29</t>
  </si>
  <si>
    <t>besso pianetto</t>
  </si>
  <si>
    <t>delivery cons ii at hewlett-packard enterprise services</t>
  </si>
  <si>
    <t>mccormick freddie</t>
  </si>
  <si>
    <t>roberts eggmann</t>
  </si>
  <si>
    <t>blando</t>
  </si>
  <si>
    <t>vp, mobile product development</t>
  </si>
  <si>
    <t>magarinos</t>
  </si>
  <si>
    <t>cofman</t>
  </si>
  <si>
    <t>rivoldini</t>
  </si>
  <si>
    <t>alberto rubén</t>
  </si>
  <si>
    <t>barbeito</t>
  </si>
  <si>
    <t>director, global business development</t>
  </si>
  <si>
    <t>coronel</t>
  </si>
  <si>
    <t>unix engineer - implementation &amp; support</t>
  </si>
  <si>
    <t>mac gaul</t>
  </si>
  <si>
    <t>ciruelos</t>
  </si>
  <si>
    <t>director, americas sales operations</t>
  </si>
  <si>
    <t>reidy</t>
  </si>
  <si>
    <t>tobio</t>
  </si>
  <si>
    <t>ayanz</t>
  </si>
  <si>
    <t>arraigada</t>
  </si>
  <si>
    <t>escardó</t>
  </si>
  <si>
    <t>owner / editor</t>
  </si>
  <si>
    <t>roccia</t>
  </si>
  <si>
    <t>kraefft</t>
  </si>
  <si>
    <t>responsable de contenidos</t>
  </si>
  <si>
    <t>yungman</t>
  </si>
  <si>
    <t>license compliance and anti-piracy director, latin america</t>
  </si>
  <si>
    <t>sofía</t>
  </si>
  <si>
    <t>jungberg</t>
  </si>
  <si>
    <t>kruyff</t>
  </si>
  <si>
    <t>communications &amp; media industry lead @ microsoft</t>
  </si>
  <si>
    <t>boca raton, florida, United States</t>
  </si>
  <si>
    <t>crupnik</t>
  </si>
  <si>
    <t>ssr. sales analyst</t>
  </si>
  <si>
    <t>duarte de leidigh</t>
  </si>
  <si>
    <t>chamorro gyssels</t>
  </si>
  <si>
    <t>benzaquén</t>
  </si>
  <si>
    <t>kusmaul</t>
  </si>
  <si>
    <t>marketing manager - tier 1 partners latin america</t>
  </si>
  <si>
    <t>fishman</t>
  </si>
  <si>
    <t>chamatropulos</t>
  </si>
  <si>
    <t>simone</t>
  </si>
  <si>
    <t>hr regional business partner</t>
  </si>
  <si>
    <t>nostrala</t>
  </si>
  <si>
    <t>ferro</t>
  </si>
  <si>
    <t>wengrovsky</t>
  </si>
  <si>
    <t>hirata</t>
  </si>
  <si>
    <t>pre sales engineer</t>
  </si>
  <si>
    <t>24,27</t>
  </si>
  <si>
    <t>robert c.</t>
  </si>
  <si>
    <t>freeman</t>
  </si>
  <si>
    <t>schulze</t>
  </si>
  <si>
    <t>finardi</t>
  </si>
  <si>
    <t>partner business manager from enterprise servers, storage, networking &amp; services business unit</t>
  </si>
  <si>
    <t>maas</t>
  </si>
  <si>
    <t>websphere software sales - latin america</t>
  </si>
  <si>
    <t>urban</t>
  </si>
  <si>
    <t>araque</t>
  </si>
  <si>
    <t>analista de comunicación</t>
  </si>
  <si>
    <t>battistoni</t>
  </si>
  <si>
    <t>services manager</t>
  </si>
  <si>
    <t>fosaro</t>
  </si>
  <si>
    <t>transition &amp; transformation project manager</t>
  </si>
  <si>
    <t>love</t>
  </si>
  <si>
    <t>sr. marketing brand manager in latam</t>
  </si>
  <si>
    <t>lecuona</t>
  </si>
  <si>
    <t>fabricio hernán</t>
  </si>
  <si>
    <t>norberto horacio</t>
  </si>
  <si>
    <t>analista funcional y líder de implementación proyectos it</t>
  </si>
  <si>
    <t>eillman</t>
  </si>
  <si>
    <t>adolfo</t>
  </si>
  <si>
    <t>kunz</t>
  </si>
  <si>
    <t>engagement director</t>
  </si>
  <si>
    <t>rodrigo andrés</t>
  </si>
  <si>
    <t>de mingo</t>
  </si>
  <si>
    <t>web programmer</t>
  </si>
  <si>
    <t>levada polimeni</t>
  </si>
  <si>
    <t>business inteligence online en the walt disney company</t>
  </si>
  <si>
    <t>20,8866666666667</t>
  </si>
  <si>
    <t>lemaitre</t>
  </si>
  <si>
    <t>aiello</t>
  </si>
  <si>
    <t>directora de relaciones institucionales en fundación global</t>
  </si>
  <si>
    <t>maiz</t>
  </si>
  <si>
    <t>director general creativo</t>
  </si>
  <si>
    <t>diaz cardona</t>
  </si>
  <si>
    <t>mauro marchesi</t>
  </si>
  <si>
    <t>marchesi</t>
  </si>
  <si>
    <t>jefe de diseño</t>
  </si>
  <si>
    <t>agentbot - account manager argentina -latam</t>
  </si>
  <si>
    <t>rigoni</t>
  </si>
  <si>
    <t>owner and co founder at knowlogy solutions // bi principal at performant systems group</t>
  </si>
  <si>
    <t>elizondo</t>
  </si>
  <si>
    <t>senior director - business consulting</t>
  </si>
  <si>
    <t>moretta</t>
  </si>
  <si>
    <t>editor-in-chief &amp; community manager</t>
  </si>
  <si>
    <t>lopeznegretederegil</t>
  </si>
  <si>
    <t>ceo at mercury development, llc</t>
  </si>
  <si>
    <t>gicella</t>
  </si>
  <si>
    <t>moroyoqui</t>
  </si>
  <si>
    <t>scheibenhofer</t>
  </si>
  <si>
    <t>regional manager, information technology</t>
  </si>
  <si>
    <t>yolanda</t>
  </si>
  <si>
    <t>senior systems / sales engineer</t>
  </si>
  <si>
    <t>kruger</t>
  </si>
  <si>
    <t>patt</t>
  </si>
  <si>
    <t>cimato</t>
  </si>
  <si>
    <t>strategic planning &amp; business developer</t>
  </si>
  <si>
    <t>marketing director - sony and toshiba</t>
  </si>
  <si>
    <t>landeira</t>
  </si>
  <si>
    <t>desarrollador web c# php</t>
  </si>
  <si>
    <t>donadio manolidis pmp</t>
  </si>
  <si>
    <t>project manager it</t>
  </si>
  <si>
    <t>stirparo</t>
  </si>
  <si>
    <t>broadband business unit director</t>
  </si>
  <si>
    <t>martinez crovetto</t>
  </si>
  <si>
    <t>regional project manager - operations</t>
  </si>
  <si>
    <t>banuet</t>
  </si>
  <si>
    <t>vice president, alliances and partnerships</t>
  </si>
  <si>
    <t>georgetti brizzotti</t>
  </si>
  <si>
    <t>sevilla</t>
  </si>
  <si>
    <t>responsable de factory</t>
  </si>
  <si>
    <t>larzábal</t>
  </si>
  <si>
    <t>szabo</t>
  </si>
  <si>
    <t>winik</t>
  </si>
  <si>
    <t>responsable de rrhh</t>
  </si>
  <si>
    <t>verdi</t>
  </si>
  <si>
    <t>business channels manager latin america</t>
  </si>
  <si>
    <t>lemos</t>
  </si>
  <si>
    <t>gestora de contenidos</t>
  </si>
  <si>
    <t>19,275</t>
  </si>
  <si>
    <t>mesquita</t>
  </si>
  <si>
    <t>vp of sales for spain, portugal and latin america at constellation research</t>
  </si>
  <si>
    <t>crescente</t>
  </si>
  <si>
    <t>actionscript development</t>
  </si>
  <si>
    <t>lavely</t>
  </si>
  <si>
    <t>ootb director</t>
  </si>
  <si>
    <t>suso</t>
  </si>
  <si>
    <t>tormo trilles</t>
  </si>
  <si>
    <t>director de marketing online</t>
  </si>
  <si>
    <t>anez</t>
  </si>
  <si>
    <t>mcla territory manager - cala region (except mexico and brazil)</t>
  </si>
  <si>
    <t>gabriel n. miguel</t>
  </si>
  <si>
    <t>alesi</t>
  </si>
  <si>
    <t>elgin, illinois, United States</t>
  </si>
  <si>
    <t>kossakowski</t>
  </si>
  <si>
    <t>partner business manager</t>
  </si>
  <si>
    <t>schifini gladchtein</t>
  </si>
  <si>
    <t>hr coordinator</t>
  </si>
  <si>
    <t>meghan</t>
  </si>
  <si>
    <t>cannizzaro</t>
  </si>
  <si>
    <t>mobile ux lead</t>
  </si>
  <si>
    <t>houston, texas, United States</t>
  </si>
  <si>
    <t>pato herrera</t>
  </si>
  <si>
    <t>certified customer solution executive (cse)</t>
  </si>
  <si>
    <t>regio</t>
  </si>
  <si>
    <t>puresystems sales</t>
  </si>
  <si>
    <t>managing director at bunaro marketing services</t>
  </si>
  <si>
    <t>socio y presidente</t>
  </si>
  <si>
    <t>johnny</t>
  </si>
  <si>
    <t>barrett bstm mba</t>
  </si>
  <si>
    <t>business growth</t>
  </si>
  <si>
    <t>errandonea</t>
  </si>
  <si>
    <t>busqueda activa de empleo</t>
  </si>
  <si>
    <t>gorostegui</t>
  </si>
  <si>
    <t>irigoyen</t>
  </si>
  <si>
    <t>massaini</t>
  </si>
  <si>
    <t>consultor técnico funcional. administrador quality center</t>
  </si>
  <si>
    <t>shawna</t>
  </si>
  <si>
    <t>malecki</t>
  </si>
  <si>
    <t>klenner</t>
  </si>
  <si>
    <t>area director, latin america</t>
  </si>
  <si>
    <t>dominoni</t>
  </si>
  <si>
    <t>oria</t>
  </si>
  <si>
    <t>laveran</t>
  </si>
  <si>
    <t>analista funcional, sr | project manager</t>
  </si>
  <si>
    <t>manzewitsch</t>
  </si>
  <si>
    <t>talent acquisition</t>
  </si>
  <si>
    <t>marlan</t>
  </si>
  <si>
    <t>nolt</t>
  </si>
  <si>
    <t>lancaster, pennsylvania area, united states, United States</t>
  </si>
  <si>
    <t>zavaleta</t>
  </si>
  <si>
    <t>crespi</t>
  </si>
  <si>
    <t>manager or project manager</t>
  </si>
  <si>
    <t>aufgang</t>
  </si>
  <si>
    <t>lucina</t>
  </si>
  <si>
    <t>sr. global account manager</t>
  </si>
  <si>
    <t>berutti</t>
  </si>
  <si>
    <t>cordovero</t>
  </si>
  <si>
    <t>temkin</t>
  </si>
  <si>
    <t>customer experience transformist and managing partner</t>
  </si>
  <si>
    <t>abiad</t>
  </si>
  <si>
    <t>garbus</t>
  </si>
  <si>
    <t>gomez richter</t>
  </si>
  <si>
    <t>ushe vod / av</t>
  </si>
  <si>
    <t>gomez soler</t>
  </si>
  <si>
    <t>director de diseño y producción</t>
  </si>
  <si>
    <t>enzo augusto</t>
  </si>
  <si>
    <t>marchionni</t>
  </si>
  <si>
    <t>ho</t>
  </si>
  <si>
    <t>co-founder &amp; cio</t>
  </si>
  <si>
    <t>leiva</t>
  </si>
  <si>
    <t>lead deal manager</t>
  </si>
  <si>
    <t>dagostino</t>
  </si>
  <si>
    <t>niklison</t>
  </si>
  <si>
    <t>horacio g.</t>
  </si>
  <si>
    <t>corbière</t>
  </si>
  <si>
    <t>barucca</t>
  </si>
  <si>
    <t>gastaldi</t>
  </si>
  <si>
    <t>bpm architect</t>
  </si>
  <si>
    <t>hatfield</t>
  </si>
  <si>
    <t>diego e.</t>
  </si>
  <si>
    <t>uriel</t>
  </si>
  <si>
    <t>jaroslawski</t>
  </si>
  <si>
    <t>mckernan</t>
  </si>
  <si>
    <t>job board coordinator and member of the board of directors</t>
  </si>
  <si>
    <t>torok</t>
  </si>
  <si>
    <t>alessia</t>
  </si>
  <si>
    <t>petrucci</t>
  </si>
  <si>
    <t>f.d.</t>
  </si>
  <si>
    <t>schiaffino</t>
  </si>
  <si>
    <t>multilingual talent acquisition project/account manager</t>
  </si>
  <si>
    <t>antorena</t>
  </si>
  <si>
    <t>sr. sales engineer and sales support</t>
  </si>
  <si>
    <t>19,0526315789474</t>
  </si>
  <si>
    <t>arpón</t>
  </si>
  <si>
    <t>technology trends &amp; architecture manager</t>
  </si>
  <si>
    <t>sr. manager, human resources (china, recruiting, sourcing, social media, immigration, 4g, 3g)</t>
  </si>
  <si>
    <t>adad</t>
  </si>
  <si>
    <t>desarrollador ssr.</t>
  </si>
  <si>
    <t>emmanuel</t>
  </si>
  <si>
    <t>sabbatini</t>
  </si>
  <si>
    <t>developer - service information developer ii</t>
  </si>
  <si>
    <t>co-founder - software architect</t>
  </si>
  <si>
    <t>garzón</t>
  </si>
  <si>
    <t>j2ee senior developer</t>
  </si>
  <si>
    <t>19,4611111111111</t>
  </si>
  <si>
    <t>service delivery mgr. rfs coordinator</t>
  </si>
  <si>
    <t>deledda</t>
  </si>
  <si>
    <t>caparroz</t>
  </si>
  <si>
    <t>pompano beach, florida</t>
  </si>
  <si>
    <t>blumer bastos neto</t>
  </si>
  <si>
    <t>chad k.</t>
  </si>
  <si>
    <t>vogelgesang</t>
  </si>
  <si>
    <t>global ce/pv integration &amp; process manager</t>
  </si>
  <si>
    <t>burlington, iowa</t>
  </si>
  <si>
    <t>waldfogiel</t>
  </si>
  <si>
    <t>vaccaro</t>
  </si>
  <si>
    <t>weir</t>
  </si>
  <si>
    <t>bertozzi</t>
  </si>
  <si>
    <t>customer quality manager at dell</t>
  </si>
  <si>
    <t>henson</t>
  </si>
  <si>
    <t>infrastructure development mgr</t>
  </si>
  <si>
    <t>hussein</t>
  </si>
  <si>
    <t>support data center infraestructure</t>
  </si>
  <si>
    <t>montefalcone</t>
  </si>
  <si>
    <t>wintel focal point</t>
  </si>
  <si>
    <t>javarros</t>
  </si>
  <si>
    <t>byrd</t>
  </si>
  <si>
    <t>payroll administrator</t>
  </si>
  <si>
    <t>business development and change management</t>
  </si>
  <si>
    <t>cudós</t>
  </si>
  <si>
    <t>nestor gabriel</t>
  </si>
  <si>
    <t>esquivel</t>
  </si>
  <si>
    <t>student</t>
  </si>
  <si>
    <t>22,1785714285714</t>
  </si>
  <si>
    <t>scandroli</t>
  </si>
  <si>
    <t>brand development manager</t>
  </si>
  <si>
    <t>paz soldan</t>
  </si>
  <si>
    <t>dir.</t>
  </si>
  <si>
    <t>scasserra</t>
  </si>
  <si>
    <t>software project leader</t>
  </si>
  <si>
    <t>gurmandi</t>
  </si>
  <si>
    <t>vice presidente</t>
  </si>
  <si>
    <t>trane</t>
  </si>
  <si>
    <t>tomatti</t>
  </si>
  <si>
    <t>tala</t>
  </si>
  <si>
    <t>nokes</t>
  </si>
  <si>
    <t>martinet</t>
  </si>
  <si>
    <t>socio fundador</t>
  </si>
  <si>
    <t>dodero</t>
  </si>
  <si>
    <t>co founder - cfo &amp; account manager</t>
  </si>
  <si>
    <t>maría jose</t>
  </si>
  <si>
    <t>pereyra lucena</t>
  </si>
  <si>
    <t>brossman</t>
  </si>
  <si>
    <t>cecilia maría</t>
  </si>
  <si>
    <t>bértolo narganes</t>
  </si>
  <si>
    <t>de rosa</t>
  </si>
  <si>
    <t>consultor fi</t>
  </si>
  <si>
    <t>federico adrian</t>
  </si>
  <si>
    <t>lammel</t>
  </si>
  <si>
    <t>lewisville, north carolina</t>
  </si>
  <si>
    <t>faerman ccim advisor</t>
  </si>
  <si>
    <t>commercial division director - ccim - mba - b.a.</t>
  </si>
  <si>
    <t>utard</t>
  </si>
  <si>
    <t>mayorá</t>
  </si>
  <si>
    <t>crandles</t>
  </si>
  <si>
    <t>executive talent scout</t>
  </si>
  <si>
    <t>mcclure</t>
  </si>
  <si>
    <t>galeano</t>
  </si>
  <si>
    <t>business it manager</t>
  </si>
  <si>
    <t>luo</t>
  </si>
  <si>
    <t>blogger &amp; builder</t>
  </si>
  <si>
    <t>25,52</t>
  </si>
  <si>
    <t>kaldenbaugh</t>
  </si>
  <si>
    <t>advisor, corporate development</t>
  </si>
  <si>
    <t>director channel &amp; alliances latin america</t>
  </si>
  <si>
    <t>mantilla</t>
  </si>
  <si>
    <t>partner - latam client manager // um latin america</t>
  </si>
  <si>
    <t>gutmacher</t>
  </si>
  <si>
    <t>houck</t>
  </si>
  <si>
    <t>burney</t>
  </si>
  <si>
    <t>ebs/soa recruiter at cedarcrestone</t>
  </si>
  <si>
    <t>vilmar</t>
  </si>
  <si>
    <t>ghizelini</t>
  </si>
  <si>
    <t>regional partner manager</t>
  </si>
  <si>
    <t>25,43</t>
  </si>
  <si>
    <t>verderame</t>
  </si>
  <si>
    <t>digital sales</t>
  </si>
  <si>
    <t>bhatt</t>
  </si>
  <si>
    <t>fesler</t>
  </si>
  <si>
    <t>v.p. special projects</t>
  </si>
  <si>
    <t>dos reis</t>
  </si>
  <si>
    <t>regional sales &amp; marketing manager, latin america</t>
  </si>
  <si>
    <t>ortells</t>
  </si>
  <si>
    <t>svp, commonwealth latin america business director</t>
  </si>
  <si>
    <t>canalis</t>
  </si>
  <si>
    <t>managing principal consultant</t>
  </si>
  <si>
    <t>director, m2m sales and marketing</t>
  </si>
  <si>
    <t>baizán</t>
  </si>
  <si>
    <t>casale</t>
  </si>
  <si>
    <t>stenico</t>
  </si>
  <si>
    <t>rubén a.</t>
  </si>
  <si>
    <t>lorenzo díaz csm</t>
  </si>
  <si>
    <t>sandroni</t>
  </si>
  <si>
    <t>latam marketing manager</t>
  </si>
  <si>
    <t>noriega</t>
  </si>
  <si>
    <t>general manager latam</t>
  </si>
  <si>
    <t>zambrano</t>
  </si>
  <si>
    <t>jasin</t>
  </si>
  <si>
    <t>international sales director</t>
  </si>
  <si>
    <t>lethimonier</t>
  </si>
  <si>
    <t>wall</t>
  </si>
  <si>
    <t>member - board of directors</t>
  </si>
  <si>
    <t>ssa south industry solutions partners facing</t>
  </si>
  <si>
    <t>korbenfeld</t>
  </si>
  <si>
    <t>strategic planning and business development director for pan-regional and local ad sales</t>
  </si>
  <si>
    <t>irschick</t>
  </si>
  <si>
    <t>consultor siebel crm</t>
  </si>
  <si>
    <t>lindsay</t>
  </si>
  <si>
    <t>eraso</t>
  </si>
  <si>
    <t>minich</t>
  </si>
  <si>
    <t>staffing consultant</t>
  </si>
  <si>
    <t>sebastian francisco</t>
  </si>
  <si>
    <t>poblete</t>
  </si>
  <si>
    <t>josé a.</t>
  </si>
  <si>
    <t>botto de barros</t>
  </si>
  <si>
    <t>it executive &amp; consultant</t>
  </si>
  <si>
    <t>kalos</t>
  </si>
  <si>
    <t>network management &amp; partnerships</t>
  </si>
  <si>
    <t>algorta</t>
  </si>
  <si>
    <t>head of capital markets</t>
  </si>
  <si>
    <t>díaz tieghi</t>
  </si>
  <si>
    <t>kalik</t>
  </si>
  <si>
    <t>ismaily</t>
  </si>
  <si>
    <t>piedra</t>
  </si>
  <si>
    <t>sr. human resources manager</t>
  </si>
  <si>
    <t>cantone</t>
  </si>
  <si>
    <t>analista testing y qa</t>
  </si>
  <si>
    <t>kandel</t>
  </si>
  <si>
    <t>okeefe</t>
  </si>
  <si>
    <t>shaull</t>
  </si>
  <si>
    <t>aviram</t>
  </si>
  <si>
    <t>vp sales hp services</t>
  </si>
  <si>
    <t>hollywood, florida</t>
  </si>
  <si>
    <t>isy</t>
  </si>
  <si>
    <t>macadar msc bsc</t>
  </si>
  <si>
    <t>senior it sales director; international sales &amp; business development; strategy, leadership &amp; solutions</t>
  </si>
  <si>
    <t>rodriguez ortega</t>
  </si>
  <si>
    <t>gts - data centre facilities &amp; network manager</t>
  </si>
  <si>
    <t>guichou</t>
  </si>
  <si>
    <t>raffinengo</t>
  </si>
  <si>
    <t>fairfax, virginia, United States</t>
  </si>
  <si>
    <t>latin american partner lead - microsoft business solutions (dynamics)</t>
  </si>
  <si>
    <t>regional manager</t>
  </si>
  <si>
    <t>daniels</t>
  </si>
  <si>
    <t>sr. vp of wholesale &amp; carrier infrastructure, marcatel international</t>
  </si>
  <si>
    <t>kozak</t>
  </si>
  <si>
    <t>carlos raul</t>
  </si>
  <si>
    <t>rios</t>
  </si>
  <si>
    <t>senior regional manager, latin america &amp; the caribbean</t>
  </si>
  <si>
    <t>24,42</t>
  </si>
  <si>
    <t>fabiana</t>
  </si>
  <si>
    <t>berrozpe</t>
  </si>
  <si>
    <t>owner at conectar inc</t>
  </si>
  <si>
    <t>guisasola</t>
  </si>
  <si>
    <t>marketing director - latin america &amp; caribbean</t>
  </si>
  <si>
    <t>fitzner</t>
  </si>
  <si>
    <t>mauricio a.</t>
  </si>
  <si>
    <t>bergallo</t>
  </si>
  <si>
    <t>arquitecto sr.</t>
  </si>
  <si>
    <t>cheret</t>
  </si>
  <si>
    <t>senior manager, ww education programs</t>
  </si>
  <si>
    <t>hakim</t>
  </si>
  <si>
    <t>benzit</t>
  </si>
  <si>
    <t>foureaux frazao</t>
  </si>
  <si>
    <t>ameri</t>
  </si>
  <si>
    <t>directora de it y nuevos medios - socio gerente</t>
  </si>
  <si>
    <t>utin</t>
  </si>
  <si>
    <t>marketing &amp; sales head quarters</t>
  </si>
  <si>
    <t>feder</t>
  </si>
  <si>
    <t>wintel systems administrator</t>
  </si>
  <si>
    <t>maria valeria</t>
  </si>
  <si>
    <t>dunayevich</t>
  </si>
  <si>
    <t>watle</t>
  </si>
  <si>
    <t>zavala</t>
  </si>
  <si>
    <t>cdo - chief disruptive officer</t>
  </si>
  <si>
    <t>public relations and communications</t>
  </si>
  <si>
    <t>german nahuel</t>
  </si>
  <si>
    <t>barrera</t>
  </si>
  <si>
    <t>19,78</t>
  </si>
  <si>
    <t>business analytics &amp; technology sales director</t>
  </si>
  <si>
    <t>bouhadana</t>
  </si>
  <si>
    <t>corporate it director</t>
  </si>
  <si>
    <t>ana maria</t>
  </si>
  <si>
    <t>sr. manager, business innovation office</t>
  </si>
  <si>
    <t>milagros d</t>
  </si>
  <si>
    <t>morantes</t>
  </si>
  <si>
    <t>sales projects coordinator</t>
  </si>
  <si>
    <t>chacin</t>
  </si>
  <si>
    <t>escoto</t>
  </si>
  <si>
    <t>morchon</t>
  </si>
  <si>
    <t>deak</t>
  </si>
  <si>
    <t>vice president - retail global business unit - latin america division</t>
  </si>
  <si>
    <t>hartmann</t>
  </si>
  <si>
    <t>mendoza</t>
  </si>
  <si>
    <t>business development/solution architect</t>
  </si>
  <si>
    <t>cuellar</t>
  </si>
  <si>
    <t>garcia bazarra</t>
  </si>
  <si>
    <t>co-founder partner</t>
  </si>
  <si>
    <t>hudson</t>
  </si>
  <si>
    <t>bartoli</t>
  </si>
  <si>
    <t>co-founder/board director</t>
  </si>
  <si>
    <t>braddy evert</t>
  </si>
  <si>
    <t>consultor sap hcm/hr - py</t>
  </si>
  <si>
    <t>project integration engineer</t>
  </si>
  <si>
    <t>nunezruiz</t>
  </si>
  <si>
    <t>figuera</t>
  </si>
  <si>
    <t>mártire</t>
  </si>
  <si>
    <t>business intelligence manager</t>
  </si>
  <si>
    <t>gerbi</t>
  </si>
  <si>
    <t>campbell mba</t>
  </si>
  <si>
    <t>private wealth management</t>
  </si>
  <si>
    <t>acker</t>
  </si>
  <si>
    <t>senior account executive</t>
  </si>
  <si>
    <t>huerta</t>
  </si>
  <si>
    <t>taiman</t>
  </si>
  <si>
    <t>global delivery senior consultant - latam delivery mgmt.</t>
  </si>
  <si>
    <t>colorio</t>
  </si>
  <si>
    <t>territory sales representative</t>
  </si>
  <si>
    <t>megide</t>
  </si>
  <si>
    <t>schildwachter</t>
  </si>
  <si>
    <t>wasserman</t>
  </si>
  <si>
    <t>dario lucas</t>
  </si>
  <si>
    <t>goldfarb</t>
  </si>
  <si>
    <t>certified it architect and technical sales (swg)</t>
  </si>
  <si>
    <t>creedon</t>
  </si>
  <si>
    <t>emilia</t>
  </si>
  <si>
    <t>lerzo</t>
  </si>
  <si>
    <t>vizcaino</t>
  </si>
  <si>
    <t>global sme channel partner director</t>
  </si>
  <si>
    <t>brunatti</t>
  </si>
  <si>
    <t>director - co-fundador</t>
  </si>
  <si>
    <t>evelyn</t>
  </si>
  <si>
    <t>guerino</t>
  </si>
  <si>
    <t>angelica</t>
  </si>
  <si>
    <t>angelo</t>
  </si>
  <si>
    <t>information technology analyst</t>
  </si>
  <si>
    <t>brouckova pmp</t>
  </si>
  <si>
    <t>szwarcberg</t>
  </si>
  <si>
    <t>founder &amp; country manager argentina</t>
  </si>
  <si>
    <t>juan p.</t>
  </si>
  <si>
    <t>layna</t>
  </si>
  <si>
    <t>fischer</t>
  </si>
  <si>
    <t>fuentes</t>
  </si>
  <si>
    <t>goreglad</t>
  </si>
  <si>
    <t>miguel angel</t>
  </si>
  <si>
    <t>boggiano</t>
  </si>
  <si>
    <t>maitena de amorrortu</t>
  </si>
  <si>
    <t>bronson</t>
  </si>
  <si>
    <t>duerden</t>
  </si>
  <si>
    <t>stallocca</t>
  </si>
  <si>
    <t>furman</t>
  </si>
  <si>
    <t>manager - client financial management</t>
  </si>
  <si>
    <t>santangelo</t>
  </si>
  <si>
    <t>schuvab</t>
  </si>
  <si>
    <t>arriola</t>
  </si>
  <si>
    <t>fiore</t>
  </si>
  <si>
    <t>manager of international on-air and digital marketing partnerships</t>
  </si>
  <si>
    <t>salup</t>
  </si>
  <si>
    <t>armoni</t>
  </si>
  <si>
    <t>guagliardi</t>
  </si>
  <si>
    <t>ling</t>
  </si>
  <si>
    <t>carlos federico gonzalez stautz</t>
  </si>
  <si>
    <t>scavella</t>
  </si>
  <si>
    <t>oscaris</t>
  </si>
  <si>
    <t>markus</t>
  </si>
  <si>
    <t>fiene</t>
  </si>
  <si>
    <t>yanuzzi</t>
  </si>
  <si>
    <t>agustín andres</t>
  </si>
  <si>
    <t>lagresta</t>
  </si>
  <si>
    <t>ssr. applications developer</t>
  </si>
  <si>
    <t>founder &amp; lead moderator</t>
  </si>
  <si>
    <t>martín gsponer</t>
  </si>
  <si>
    <t>luzardo</t>
  </si>
  <si>
    <t>lona</t>
  </si>
  <si>
    <t>schaffer</t>
  </si>
  <si>
    <t>27,25</t>
  </si>
  <si>
    <t>pafumi</t>
  </si>
  <si>
    <t>international executive. latin america/usa/emea</t>
  </si>
  <si>
    <t>20,275</t>
  </si>
  <si>
    <t>aimi</t>
  </si>
  <si>
    <t>pr director</t>
  </si>
  <si>
    <t>cuadros</t>
  </si>
  <si>
    <t>gustavo ariel</t>
  </si>
  <si>
    <t>massoudi</t>
  </si>
  <si>
    <t>senior vice president, business developement &amp; eco-system at space-time insight</t>
  </si>
  <si>
    <t>belmont, california, United States</t>
  </si>
  <si>
    <t>dt&amp;e ssa - advanced cloud solutions and innovation leader</t>
  </si>
  <si>
    <t>shappley</t>
  </si>
  <si>
    <t>director of operations for iden international</t>
  </si>
  <si>
    <t>socio - departamento sistemas</t>
  </si>
  <si>
    <t>serantes</t>
  </si>
  <si>
    <t>system administrator - asd build server - wintel</t>
  </si>
  <si>
    <t>consultor líder sap crm</t>
  </si>
  <si>
    <t>ami</t>
  </si>
  <si>
    <t>dror</t>
  </si>
  <si>
    <t>founder and chief strategist</t>
  </si>
  <si>
    <t>sap security</t>
  </si>
  <si>
    <t>manzato</t>
  </si>
  <si>
    <t>manager &amp; sr software engineer</t>
  </si>
  <si>
    <t>millheim</t>
  </si>
  <si>
    <t>josé enrique</t>
  </si>
  <si>
    <t>prassolo jprassologmail.com</t>
  </si>
  <si>
    <t>storage backup &amp; recovery administrator</t>
  </si>
  <si>
    <t>kathleen</t>
  </si>
  <si>
    <t>marini</t>
  </si>
  <si>
    <t>diseño y desarrollo web</t>
  </si>
  <si>
    <t>esterlus</t>
  </si>
  <si>
    <t>ibm power &amp; pure systems brand manager</t>
  </si>
  <si>
    <t>leeds</t>
  </si>
  <si>
    <t>scranton, pennsylvania area, united states</t>
  </si>
  <si>
    <t>arianna</t>
  </si>
  <si>
    <t>pagès</t>
  </si>
  <si>
    <t>comercial</t>
  </si>
  <si>
    <t>guzzo</t>
  </si>
  <si>
    <t>espert</t>
  </si>
  <si>
    <t>lake mary, florida, United States</t>
  </si>
  <si>
    <t>fermin</t>
  </si>
  <si>
    <t>arougueti</t>
  </si>
  <si>
    <t>absi</t>
  </si>
  <si>
    <t>iñaki</t>
  </si>
  <si>
    <t>domaica</t>
  </si>
  <si>
    <t>miguel ernesto</t>
  </si>
  <si>
    <t>urdinola</t>
  </si>
  <si>
    <t>project analyst</t>
  </si>
  <si>
    <t>santiago alejandro</t>
  </si>
  <si>
    <t>agüero</t>
  </si>
  <si>
    <t>jotimliansky</t>
  </si>
  <si>
    <t>south america medical director (argentina,chile,peru,colombia &amp; venezuela)</t>
  </si>
  <si>
    <t>scaglione</t>
  </si>
  <si>
    <t>director of sales &amp; business development</t>
  </si>
  <si>
    <t>cortés</t>
  </si>
  <si>
    <t>consultora de mejora de procesos e implementación de software.</t>
  </si>
  <si>
    <t>gonzalez ericsson</t>
  </si>
  <si>
    <t>salvador luis</t>
  </si>
  <si>
    <t>ventriglia</t>
  </si>
  <si>
    <t>yisell</t>
  </si>
  <si>
    <t>latin america marketing manager</t>
  </si>
  <si>
    <t>andover, massachusetts, United States</t>
  </si>
  <si>
    <t>bornholdt</t>
  </si>
  <si>
    <t>dittrich</t>
  </si>
  <si>
    <t>senior director - business development</t>
  </si>
  <si>
    <t>rutledge</t>
  </si>
  <si>
    <t>president | medical device recruiter | healthcare recruiter | medical device executive search</t>
  </si>
  <si>
    <t>himitian</t>
  </si>
  <si>
    <t>mapes</t>
  </si>
  <si>
    <t>ma carolla</t>
  </si>
  <si>
    <t>staci</t>
  </si>
  <si>
    <t>king marcus</t>
  </si>
  <si>
    <t>maher</t>
  </si>
  <si>
    <t>senior talent specialist</t>
  </si>
  <si>
    <t>pop</t>
  </si>
  <si>
    <t>owner - photographer</t>
  </si>
  <si>
    <t>teeter</t>
  </si>
  <si>
    <t>affiliate partner</t>
  </si>
  <si>
    <t>cape coral, florida</t>
  </si>
  <si>
    <t>jaquith</t>
  </si>
  <si>
    <t>sr. director, global recruiting strategy &amp; innovation</t>
  </si>
  <si>
    <t>locke</t>
  </si>
  <si>
    <t>alderson  career consultant</t>
  </si>
  <si>
    <t>recruiter resource to those in career transition</t>
  </si>
  <si>
    <t>kort</t>
  </si>
  <si>
    <t>md</t>
  </si>
  <si>
    <t>m. del rosariopiky</t>
  </si>
  <si>
    <t>valicente</t>
  </si>
  <si>
    <t>project manager sap</t>
  </si>
  <si>
    <t>moya</t>
  </si>
  <si>
    <t>hamade</t>
  </si>
  <si>
    <t>wichita, kansas area, united states</t>
  </si>
  <si>
    <t>fabian victor</t>
  </si>
  <si>
    <t>helmut</t>
  </si>
  <si>
    <t>hager</t>
  </si>
  <si>
    <t>director, executive recruitment &amp; strategic sourcing</t>
  </si>
  <si>
    <t>24,58</t>
  </si>
  <si>
    <t>jonah</t>
  </si>
  <si>
    <t>lead candidate developer | research architect | founder</t>
  </si>
  <si>
    <t>tallahassee, florida area, united states</t>
  </si>
  <si>
    <t>guillermo gabriel</t>
  </si>
  <si>
    <t>cavalieri</t>
  </si>
  <si>
    <t>strategic sourcing / sales manager</t>
  </si>
  <si>
    <t>vuelta</t>
  </si>
  <si>
    <t>tammy</t>
  </si>
  <si>
    <t>marks pmp csm</t>
  </si>
  <si>
    <t>temporin</t>
  </si>
  <si>
    <t>experienced supply chain and operations professional</t>
  </si>
  <si>
    <t>23,11</t>
  </si>
  <si>
    <t>marcano</t>
  </si>
  <si>
    <t>finance director americas region</t>
  </si>
  <si>
    <t>alejandro esteban</t>
  </si>
  <si>
    <t>aricó</t>
  </si>
  <si>
    <t>andrea alejandra</t>
  </si>
  <si>
    <t>ibaceta</t>
  </si>
  <si>
    <t>luongo</t>
  </si>
  <si>
    <t>consultor sap</t>
  </si>
  <si>
    <t>cocozza</t>
  </si>
  <si>
    <t>executive director of product marketing - mobile applications and cloud services</t>
  </si>
  <si>
    <t>freidkes</t>
  </si>
  <si>
    <t>26,17</t>
  </si>
  <si>
    <t>cingolani</t>
  </si>
  <si>
    <t>sinisgalli</t>
  </si>
  <si>
    <t>19,2862068965517</t>
  </si>
  <si>
    <t>bulfe</t>
  </si>
  <si>
    <t>analista funcional sap hr - py</t>
  </si>
  <si>
    <t>shailender</t>
  </si>
  <si>
    <t>gunnala</t>
  </si>
  <si>
    <t>service delivery manager - database services</t>
  </si>
  <si>
    <t>di marco</t>
  </si>
  <si>
    <t>oficial mecánico</t>
  </si>
  <si>
    <t>caravello</t>
  </si>
  <si>
    <t>asistente de directorio</t>
  </si>
  <si>
    <t>client sales manager</t>
  </si>
  <si>
    <t>daniella</t>
  </si>
  <si>
    <t>quintero</t>
  </si>
  <si>
    <t>regional client sales manager</t>
  </si>
  <si>
    <t>patroncini</t>
  </si>
  <si>
    <t>maria belen</t>
  </si>
  <si>
    <t>muzzio</t>
  </si>
  <si>
    <t>president - owner</t>
  </si>
  <si>
    <t>garcia castellanos</t>
  </si>
  <si>
    <t>desarrollador abap</t>
  </si>
  <si>
    <t>sap nw pi architect</t>
  </si>
  <si>
    <t>tommy</t>
  </si>
  <si>
    <t>campbell supervielle</t>
  </si>
  <si>
    <t>ruani</t>
  </si>
  <si>
    <t>26,67</t>
  </si>
  <si>
    <t>lisenberg</t>
  </si>
  <si>
    <t>interactive marketing manager</t>
  </si>
  <si>
    <t>jonathan ezequiel</t>
  </si>
  <si>
    <t>denovi</t>
  </si>
  <si>
    <t>maría de los angeles</t>
  </si>
  <si>
    <t>simal russo</t>
  </si>
  <si>
    <t>regional project leader | erp sap | (argentina | perú | chile)</t>
  </si>
  <si>
    <t>fedra</t>
  </si>
  <si>
    <t>piloni</t>
  </si>
  <si>
    <t>durigon</t>
  </si>
  <si>
    <t>damian gaston</t>
  </si>
  <si>
    <t>courteaux</t>
  </si>
  <si>
    <t>responsable en realización</t>
  </si>
  <si>
    <t>fiorini</t>
  </si>
  <si>
    <t>qa program manager</t>
  </si>
  <si>
    <t>robert g</t>
  </si>
  <si>
    <t>barani</t>
  </si>
  <si>
    <t>corporate director real estate sales and marketing</t>
  </si>
  <si>
    <t>j.c.</t>
  </si>
  <si>
    <t>gonzalezmendez</t>
  </si>
  <si>
    <t>svp-global csr, sustainability &amp; philanthropy</t>
  </si>
  <si>
    <t>armario</t>
  </si>
  <si>
    <t>corporate executive vice president, supply chain, development and franchising</t>
  </si>
  <si>
    <t>supervisor help desk customer services</t>
  </si>
  <si>
    <t>tienda</t>
  </si>
  <si>
    <t>fumero</t>
  </si>
  <si>
    <t>software services for tivoli</t>
  </si>
  <si>
    <t>salvá</t>
  </si>
  <si>
    <t>asparch</t>
  </si>
  <si>
    <t>espinola</t>
  </si>
  <si>
    <t>hubert</t>
  </si>
  <si>
    <t>smits</t>
  </si>
  <si>
    <t>korchaguin</t>
  </si>
  <si>
    <t>kreisl mcgough</t>
  </si>
  <si>
    <t>senior recruiting consultant</t>
  </si>
  <si>
    <t>garcia fontan</t>
  </si>
  <si>
    <t>lastra</t>
  </si>
  <si>
    <t>sale manager</t>
  </si>
  <si>
    <t>deby</t>
  </si>
  <si>
    <t>laufer</t>
  </si>
  <si>
    <t>ogara</t>
  </si>
  <si>
    <t>grady</t>
  </si>
  <si>
    <t>booch</t>
  </si>
  <si>
    <t>hawaiian islands, United States</t>
  </si>
  <si>
    <t>kelly mitchell</t>
  </si>
  <si>
    <t>zeller</t>
  </si>
  <si>
    <t>25,08</t>
  </si>
  <si>
    <t>domingo</t>
  </si>
  <si>
    <t>asiain</t>
  </si>
  <si>
    <t>garcia de la barrera</t>
  </si>
  <si>
    <t>greater omaha area, united states</t>
  </si>
  <si>
    <t>groba</t>
  </si>
  <si>
    <t>maría alejandra</t>
  </si>
  <si>
    <t>ayudante de direccion de carrera inegenieria en informatica</t>
  </si>
  <si>
    <t>donato javier</t>
  </si>
  <si>
    <t>founder - information security consultant / researcher</t>
  </si>
  <si>
    <t>22,58</t>
  </si>
  <si>
    <t>cousillas</t>
  </si>
  <si>
    <t>arunachalam</t>
  </si>
  <si>
    <t>software sales executive</t>
  </si>
  <si>
    <t>25,05</t>
  </si>
  <si>
    <t>yaffe</t>
  </si>
  <si>
    <t>latin america director</t>
  </si>
  <si>
    <t>dircks cony</t>
  </si>
  <si>
    <t>maga</t>
  </si>
  <si>
    <t>azambuya</t>
  </si>
  <si>
    <t>director, channel sales ltam</t>
  </si>
  <si>
    <t>director, global strategic alliances, systems integrators</t>
  </si>
  <si>
    <t>cio - responsable de sistemas y ti</t>
  </si>
  <si>
    <t>castanon</t>
  </si>
  <si>
    <t>kristina</t>
  </si>
  <si>
    <t>roser</t>
  </si>
  <si>
    <t>release engineer</t>
  </si>
  <si>
    <t>vivero</t>
  </si>
  <si>
    <t>vp digital and business development, latin america</t>
  </si>
  <si>
    <t>yolette</t>
  </si>
  <si>
    <t>caldwell</t>
  </si>
  <si>
    <t>scaliter</t>
  </si>
  <si>
    <t>alvo</t>
  </si>
  <si>
    <t>fort lauderdale, florida, United States</t>
  </si>
  <si>
    <t>experience executive in sales/marketing &amp; special management projects.</t>
  </si>
  <si>
    <t>de ezcurra</t>
  </si>
  <si>
    <t>nixon</t>
  </si>
  <si>
    <t>executive vice president, revenue integrity</t>
  </si>
  <si>
    <t>40,83</t>
  </si>
  <si>
    <t>nanji</t>
  </si>
  <si>
    <t>global director - service management / global technology services</t>
  </si>
  <si>
    <t>31</t>
  </si>
  <si>
    <t>sternberg</t>
  </si>
  <si>
    <t>30,83</t>
  </si>
  <si>
    <t>gagliardo</t>
  </si>
  <si>
    <t>managing director, business development - finance</t>
  </si>
  <si>
    <t>38,5</t>
  </si>
  <si>
    <t>samanta</t>
  </si>
  <si>
    <t>30,5</t>
  </si>
  <si>
    <t>chief product officer, interim chief information officer</t>
  </si>
  <si>
    <t>32,67</t>
  </si>
  <si>
    <t>43,83</t>
  </si>
  <si>
    <t>crembil</t>
  </si>
  <si>
    <t>technical director - ms cci studio</t>
  </si>
  <si>
    <t>32,5</t>
  </si>
  <si>
    <t>bagini</t>
  </si>
  <si>
    <t>saltiel</t>
  </si>
  <si>
    <t>37</t>
  </si>
  <si>
    <t>andrus</t>
  </si>
  <si>
    <t>37,83</t>
  </si>
  <si>
    <t>32</t>
  </si>
  <si>
    <t>de la cruz</t>
  </si>
  <si>
    <t>hutton</t>
  </si>
  <si>
    <t>soc engineer</t>
  </si>
  <si>
    <t>35</t>
  </si>
  <si>
    <t>piccolo</t>
  </si>
  <si>
    <t>36,83</t>
  </si>
  <si>
    <t>otaegui</t>
  </si>
  <si>
    <t>31,83</t>
  </si>
  <si>
    <t>borrell</t>
  </si>
  <si>
    <t>director of engineering at ideeli</t>
  </si>
  <si>
    <t>32,33</t>
  </si>
  <si>
    <t>flaherty</t>
  </si>
  <si>
    <t>rochester, new york area, united states, United States</t>
  </si>
  <si>
    <t>35,83</t>
  </si>
  <si>
    <t>dyzenchauz</t>
  </si>
  <si>
    <t>gerald gerry</t>
  </si>
  <si>
    <t>ignatius</t>
  </si>
  <si>
    <t>34</t>
  </si>
  <si>
    <t>dimitri</t>
  </si>
  <si>
    <t>senior vice president of sales</t>
  </si>
  <si>
    <t>39,83</t>
  </si>
  <si>
    <t>teijeiro</t>
  </si>
  <si>
    <t>lain</t>
  </si>
  <si>
    <t>jeffrey p.</t>
  </si>
  <si>
    <t>cto at sycle.net</t>
  </si>
  <si>
    <t>36,55</t>
  </si>
  <si>
    <t>legelis</t>
  </si>
  <si>
    <t>37,33</t>
  </si>
  <si>
    <t>blomfield</t>
  </si>
  <si>
    <t>resource director/managing director</t>
  </si>
  <si>
    <t>33</t>
  </si>
  <si>
    <t>38,83</t>
  </si>
  <si>
    <t>flinn</t>
  </si>
  <si>
    <t>mercer</t>
  </si>
  <si>
    <t>vp, institutional na sales</t>
  </si>
  <si>
    <t>bliss</t>
  </si>
  <si>
    <t>40</t>
  </si>
  <si>
    <t>aldo antonio</t>
  </si>
  <si>
    <t>de biase</t>
  </si>
  <si>
    <t>nerz cpc</t>
  </si>
  <si>
    <t>32,17</t>
  </si>
  <si>
    <t>business consultant – project manager/advisor/architect/administrator</t>
  </si>
  <si>
    <t>39</t>
  </si>
  <si>
    <t>truchot cssgb</t>
  </si>
  <si>
    <t>biernat</t>
  </si>
  <si>
    <t>vice president, new media</t>
  </si>
  <si>
    <t>36,17</t>
  </si>
  <si>
    <t>hassan</t>
  </si>
  <si>
    <t>abdelrahman</t>
  </si>
  <si>
    <t>talarico</t>
  </si>
  <si>
    <t>31,33</t>
  </si>
  <si>
    <t>pulgar</t>
  </si>
  <si>
    <t>wulf</t>
  </si>
  <si>
    <t>vp of engineering</t>
  </si>
  <si>
    <t>lackey</t>
  </si>
  <si>
    <t>garret</t>
  </si>
  <si>
    <t>tadlock</t>
  </si>
  <si>
    <t>anisin</t>
  </si>
  <si>
    <t>co-founder - vp of product</t>
  </si>
  <si>
    <t>principal consultant &amp; owner</t>
  </si>
  <si>
    <t>fencken</t>
  </si>
  <si>
    <t>executive vice president of venture services</t>
  </si>
  <si>
    <t>pilip</t>
  </si>
  <si>
    <t>chialin</t>
  </si>
  <si>
    <t>vp, marketing &amp; content</t>
  </si>
  <si>
    <t>31,17</t>
  </si>
  <si>
    <t>dellarroquelle</t>
  </si>
  <si>
    <t>34,83</t>
  </si>
  <si>
    <t>repetto</t>
  </si>
  <si>
    <t>vivek</t>
  </si>
  <si>
    <t>vp, global operations &amp; products and solutions management</t>
  </si>
  <si>
    <t>giordano bruno</t>
  </si>
  <si>
    <t>contestabile</t>
  </si>
  <si>
    <t>executive producer - "bejeweled" franchise</t>
  </si>
  <si>
    <t>kefalas</t>
  </si>
  <si>
    <t>cto-product realization team</t>
  </si>
  <si>
    <t>normand</t>
  </si>
  <si>
    <t>oros</t>
  </si>
  <si>
    <t>rocky</t>
  </si>
  <si>
    <t>caamano</t>
  </si>
  <si>
    <t>buendia</t>
  </si>
  <si>
    <t>pau</t>
  </si>
  <si>
    <t>sabria</t>
  </si>
  <si>
    <t>orourke</t>
  </si>
  <si>
    <t>ramachandran</t>
  </si>
  <si>
    <t>kiran</t>
  </si>
  <si>
    <t>vice president, finance business processes and systems (finbps)</t>
  </si>
  <si>
    <t>atehortua</t>
  </si>
  <si>
    <t>30,67</t>
  </si>
  <si>
    <t>gabriel enzo</t>
  </si>
  <si>
    <t>hilda</t>
  </si>
  <si>
    <t>digital content director</t>
  </si>
  <si>
    <t>los angeles, california</t>
  </si>
  <si>
    <t>valli</t>
  </si>
  <si>
    <t>cto &amp; owner</t>
  </si>
  <si>
    <t>valles</t>
  </si>
  <si>
    <t>president asia pacific japan and china</t>
  </si>
  <si>
    <t>regional vp sales - southern cone</t>
  </si>
  <si>
    <t>30,33</t>
  </si>
  <si>
    <t>duren</t>
  </si>
  <si>
    <t>34,375</t>
  </si>
  <si>
    <t>lim</t>
  </si>
  <si>
    <t>vice president, global customer advocacy</t>
  </si>
  <si>
    <t>ehrhardt</t>
  </si>
  <si>
    <t>reiling</t>
  </si>
  <si>
    <t>atlanta, georgia</t>
  </si>
  <si>
    <t>daigle</t>
  </si>
  <si>
    <t>vp of sales -latin america</t>
  </si>
  <si>
    <t>viceconti</t>
  </si>
  <si>
    <t>malobrodsky</t>
  </si>
  <si>
    <t>stevens</t>
  </si>
  <si>
    <t>wences</t>
  </si>
  <si>
    <t>casares</t>
  </si>
  <si>
    <t>steinman</t>
  </si>
  <si>
    <t>vp emerging markets, advertising and online business</t>
  </si>
  <si>
    <t>crye</t>
  </si>
  <si>
    <t>vice president strategic accounts</t>
  </si>
  <si>
    <t>37,1916666666667</t>
  </si>
  <si>
    <t>elkin</t>
  </si>
  <si>
    <t>vice president support</t>
  </si>
  <si>
    <t>betina</t>
  </si>
  <si>
    <t>kindler</t>
  </si>
  <si>
    <t>36</t>
  </si>
  <si>
    <t>ozcoidi</t>
  </si>
  <si>
    <t>cariati dcariatidabrein.com</t>
  </si>
  <si>
    <t>owner - president</t>
  </si>
  <si>
    <t>sergio daniel</t>
  </si>
  <si>
    <t>lepore</t>
  </si>
  <si>
    <t>ceo &amp; owner</t>
  </si>
  <si>
    <t>32,83</t>
  </si>
  <si>
    <t>jose r.</t>
  </si>
  <si>
    <t>vice president, marketing and r&amp;d, latin america and caribbean</t>
  </si>
  <si>
    <t>31,67</t>
  </si>
  <si>
    <t>pozo</t>
  </si>
  <si>
    <t>cuono</t>
  </si>
  <si>
    <t>executive director and founder</t>
  </si>
  <si>
    <t>33,33</t>
  </si>
  <si>
    <t>stevenson</t>
  </si>
  <si>
    <t>ceo, co-founder, board member</t>
  </si>
  <si>
    <t>schachner</t>
  </si>
  <si>
    <t>founder, managing director</t>
  </si>
  <si>
    <t>maximilian</t>
  </si>
  <si>
    <t>leroux</t>
  </si>
  <si>
    <t>35,33</t>
  </si>
  <si>
    <t>corlatti</t>
  </si>
  <si>
    <t>hartman</t>
  </si>
  <si>
    <t>senior vice president, legal and regulatory affairs</t>
  </si>
  <si>
    <t>35,17</t>
  </si>
  <si>
    <t>33,23</t>
  </si>
  <si>
    <t>global ceo</t>
  </si>
  <si>
    <t>grayson</t>
  </si>
  <si>
    <t>dille</t>
  </si>
  <si>
    <t>c.r. celona</t>
  </si>
  <si>
    <t>kaskade</t>
  </si>
  <si>
    <t>dao</t>
  </si>
  <si>
    <t>hurd</t>
  </si>
  <si>
    <t>founder/managing partner</t>
  </si>
  <si>
    <t>janice</t>
  </si>
  <si>
    <t>encino, california</t>
  </si>
  <si>
    <t>elio</t>
  </si>
  <si>
    <t>maggini</t>
  </si>
  <si>
    <t>cto and co-founder</t>
  </si>
  <si>
    <t>38</t>
  </si>
  <si>
    <t>founder and senior director</t>
  </si>
  <si>
    <t>livings</t>
  </si>
  <si>
    <t>trowe</t>
  </si>
  <si>
    <t>keller</t>
  </si>
  <si>
    <t>33,83</t>
  </si>
  <si>
    <t>deglin</t>
  </si>
  <si>
    <t>kenealy</t>
  </si>
  <si>
    <t>cross</t>
  </si>
  <si>
    <t>vice president, business &amp; corporate development</t>
  </si>
  <si>
    <t>labruna</t>
  </si>
  <si>
    <t>ewald</t>
  </si>
  <si>
    <t>vp data science</t>
  </si>
  <si>
    <t>venkataraman</t>
  </si>
  <si>
    <t>vice president of data and discovery technologies</t>
  </si>
  <si>
    <t>dino</t>
  </si>
  <si>
    <t>munoz</t>
  </si>
  <si>
    <t>vice president, latin america &amp; caribbean</t>
  </si>
  <si>
    <t>38,17</t>
  </si>
  <si>
    <t>gorzelany</t>
  </si>
  <si>
    <t>vancil</t>
  </si>
  <si>
    <t>sr. director, systems engineering</t>
  </si>
  <si>
    <t>36,5</t>
  </si>
  <si>
    <t>dachequi</t>
  </si>
  <si>
    <t>rudinei</t>
  </si>
  <si>
    <t>kalil</t>
  </si>
  <si>
    <t>vp &amp; gm, latin america north</t>
  </si>
  <si>
    <t>key biscayne, florida</t>
  </si>
  <si>
    <t>bochicchio</t>
  </si>
  <si>
    <t>33,5</t>
  </si>
  <si>
    <t>silvio miguel</t>
  </si>
  <si>
    <t>dotolo</t>
  </si>
  <si>
    <t>vice president-business development for latam</t>
  </si>
  <si>
    <t>york</t>
  </si>
  <si>
    <t>riccitelli</t>
  </si>
  <si>
    <t>bochner</t>
  </si>
  <si>
    <t>west orange, new jersey, United States</t>
  </si>
  <si>
    <t>research vice president, mobile &amp; connected platforms</t>
  </si>
  <si>
    <t>teran</t>
  </si>
  <si>
    <t>vp global business intelligence</t>
  </si>
  <si>
    <t>liberini</t>
  </si>
  <si>
    <t>cto/cmo</t>
  </si>
  <si>
    <t>steven mick</t>
  </si>
  <si>
    <t>giles</t>
  </si>
  <si>
    <t>advisor and consulting vice president of platform</t>
  </si>
  <si>
    <t>43</t>
  </si>
  <si>
    <t>parker, colorado</t>
  </si>
  <si>
    <t>winemberg</t>
  </si>
  <si>
    <t>founder &amp; chief executive officer</t>
  </si>
  <si>
    <t>bielecki</t>
  </si>
  <si>
    <t>kalamazoo, michigan area, united states</t>
  </si>
  <si>
    <t>matthias</t>
  </si>
  <si>
    <t>thiele</t>
  </si>
  <si>
    <t>vp global business development</t>
  </si>
  <si>
    <t>matheo</t>
  </si>
  <si>
    <t>pegoraro pmp</t>
  </si>
  <si>
    <t>vp of service delivery</t>
  </si>
  <si>
    <t>viriato</t>
  </si>
  <si>
    <t>leao</t>
  </si>
  <si>
    <t>mantica</t>
  </si>
  <si>
    <t>krym</t>
  </si>
  <si>
    <t>vice president, digital media</t>
  </si>
  <si>
    <t>adrian c</t>
  </si>
  <si>
    <t>tomball, texas, United States</t>
  </si>
  <si>
    <t>sucaet</t>
  </si>
  <si>
    <t>vp - rapid deploymen solutions latin america</t>
  </si>
  <si>
    <t>laiuppa</t>
  </si>
  <si>
    <t>excell</t>
  </si>
  <si>
    <t>gilroy, california</t>
  </si>
  <si>
    <t>zir</t>
  </si>
  <si>
    <t>mahan</t>
  </si>
  <si>
    <t>vice president, platform technologies</t>
  </si>
  <si>
    <t>raman</t>
  </si>
  <si>
    <t>ceo ? social media &amp; ecommerce boardroom consultant, keynote speaker, author, local mobile marketing miami</t>
  </si>
  <si>
    <t>hiram</t>
  </si>
  <si>
    <t>christophe</t>
  </si>
  <si>
    <t>cremault</t>
  </si>
  <si>
    <t>saar</t>
  </si>
  <si>
    <t>paamoni</t>
  </si>
  <si>
    <t>kreuch</t>
  </si>
  <si>
    <t>vp, digital sales</t>
  </si>
  <si>
    <t>pavel krapivin</t>
  </si>
  <si>
    <t>bohn</t>
  </si>
  <si>
    <t>vice president, marketing, home entertainment group</t>
  </si>
  <si>
    <t>wald</t>
  </si>
  <si>
    <t>bramlage</t>
  </si>
  <si>
    <t>vice president, digital</t>
  </si>
  <si>
    <t>tyson</t>
  </si>
  <si>
    <t>verstraete</t>
  </si>
  <si>
    <t>nassif</t>
  </si>
  <si>
    <t>bennion</t>
  </si>
  <si>
    <t>finance and operations executive for high-growth companies</t>
  </si>
  <si>
    <t>vice president, corporate development</t>
  </si>
  <si>
    <t>oflaherty</t>
  </si>
  <si>
    <t>vice president sales, sprint</t>
  </si>
  <si>
    <t>bullen</t>
  </si>
  <si>
    <t>vice president, global head of brightcove consulting</t>
  </si>
  <si>
    <t>mccready</t>
  </si>
  <si>
    <t>ceo - cofounder</t>
  </si>
  <si>
    <t>downing</t>
  </si>
  <si>
    <t>gunnar</t>
  </si>
  <si>
    <t>Östergren</t>
  </si>
  <si>
    <t>42</t>
  </si>
  <si>
    <t>bogin</t>
  </si>
  <si>
    <t>kelli</t>
  </si>
  <si>
    <t>michael p</t>
  </si>
  <si>
    <t>vice president of global real estate</t>
  </si>
  <si>
    <t>chair, mentoring program &amp; co-founder gamementoronline</t>
  </si>
  <si>
    <t>scheinman</t>
  </si>
  <si>
    <t>founder, resident growth hacker, managing partner</t>
  </si>
  <si>
    <t>vp consumer &amp; smb - americas</t>
  </si>
  <si>
    <t>bullingtonmcguire</t>
  </si>
  <si>
    <t>giacomotti</t>
  </si>
  <si>
    <t>breen</t>
  </si>
  <si>
    <t>gainesville, florida</t>
  </si>
  <si>
    <t>owner/moderator</t>
  </si>
  <si>
    <t>schellenberger lss mbb pme pmp</t>
  </si>
  <si>
    <t>uhrmacher</t>
  </si>
  <si>
    <t>member of advisory board</t>
  </si>
  <si>
    <t>van grinsven</t>
  </si>
  <si>
    <t>kahtava</t>
  </si>
  <si>
    <t>beer</t>
  </si>
  <si>
    <t>co-founder and facilitator</t>
  </si>
  <si>
    <t>owen</t>
  </si>
  <si>
    <t>vansickle</t>
  </si>
  <si>
    <t>shellen</t>
  </si>
  <si>
    <t>co-founder at tapedeck, inc.</t>
  </si>
  <si>
    <t>34,1642857142857</t>
  </si>
  <si>
    <t>sears</t>
  </si>
  <si>
    <t>vp, international</t>
  </si>
  <si>
    <t>cao</t>
  </si>
  <si>
    <t>bellows</t>
  </si>
  <si>
    <t>fowler</t>
  </si>
  <si>
    <t>vp revenue operations</t>
  </si>
  <si>
    <t>karen s.</t>
  </si>
  <si>
    <t>sommer</t>
  </si>
  <si>
    <t>co-ceo</t>
  </si>
  <si>
    <t>bessone</t>
  </si>
  <si>
    <t>gueler</t>
  </si>
  <si>
    <t>lavery</t>
  </si>
  <si>
    <t>architect/cto</t>
  </si>
  <si>
    <t>mogetta</t>
  </si>
  <si>
    <t>it manager cto</t>
  </si>
  <si>
    <t>jared</t>
  </si>
  <si>
    <t>height</t>
  </si>
  <si>
    <t>co-owner / founder</t>
  </si>
  <si>
    <t>orlowski</t>
  </si>
  <si>
    <t>yorba linda, california</t>
  </si>
  <si>
    <t>senior vice president, strategy, sales and marketing</t>
  </si>
  <si>
    <t>mcveigh</t>
  </si>
  <si>
    <t>vp ecm solutions</t>
  </si>
  <si>
    <t>chikarmane</t>
  </si>
  <si>
    <t>svp &amp; general manager, global technology solutions</t>
  </si>
  <si>
    <t>granda</t>
  </si>
  <si>
    <t>global vice president of professional services</t>
  </si>
  <si>
    <t>37,08</t>
  </si>
  <si>
    <t>rowell</t>
  </si>
  <si>
    <t>vice president of customer advocacy</t>
  </si>
  <si>
    <t>alcina</t>
  </si>
  <si>
    <t>vice president, software &amp; solutions sales</t>
  </si>
  <si>
    <t>rzezak</t>
  </si>
  <si>
    <t>ap iwan</t>
  </si>
  <si>
    <t>schneider</t>
  </si>
  <si>
    <t>fort pierce, florida area, united states</t>
  </si>
  <si>
    <t>ceo/creative director/director of ux</t>
  </si>
  <si>
    <t>villaabrille</t>
  </si>
  <si>
    <t>director, front end technology at amplifi commerce</t>
  </si>
  <si>
    <t>maranian</t>
  </si>
  <si>
    <t>vp, product management and development</t>
  </si>
  <si>
    <t>naveen</t>
  </si>
  <si>
    <t>sundararajan</t>
  </si>
  <si>
    <t>vice president, global technology leader</t>
  </si>
  <si>
    <t>frederickson</t>
  </si>
  <si>
    <t>ogorman</t>
  </si>
  <si>
    <t>vp talent</t>
  </si>
  <si>
    <t>kumar goel</t>
  </si>
  <si>
    <t>director &amp; svp</t>
  </si>
  <si>
    <t>stack</t>
  </si>
  <si>
    <t>principal staffing specialist, office of the cto</t>
  </si>
  <si>
    <t>curran</t>
  </si>
  <si>
    <t>co-head of sales, vice president, capital markets, global corporate client group</t>
  </si>
  <si>
    <t>defrancesco</t>
  </si>
  <si>
    <t>vp, general manager, telecast fiber systems</t>
  </si>
  <si>
    <t>heinz</t>
  </si>
  <si>
    <t>coshow</t>
  </si>
  <si>
    <t>34,33</t>
  </si>
  <si>
    <t>tucker</t>
  </si>
  <si>
    <t>vice president, global alliances</t>
  </si>
  <si>
    <t>infante</t>
  </si>
  <si>
    <t>salem</t>
  </si>
  <si>
    <t>ramji</t>
  </si>
  <si>
    <t>debasish</t>
  </si>
  <si>
    <t>vp, technical manager</t>
  </si>
  <si>
    <t>sajay</t>
  </si>
  <si>
    <t>sethunath</t>
  </si>
  <si>
    <t>executive architect</t>
  </si>
  <si>
    <t>de tezanos</t>
  </si>
  <si>
    <t>svp, managing creative director - human interactions</t>
  </si>
  <si>
    <t>william bill</t>
  </si>
  <si>
    <t>howell</t>
  </si>
  <si>
    <t>moschini</t>
  </si>
  <si>
    <t>zuccarino</t>
  </si>
  <si>
    <t>vice president, channel manager cartoon network &amp; tooncast latin america</t>
  </si>
  <si>
    <t>matias ezequiel</t>
  </si>
  <si>
    <t>fundador &amp; ceo</t>
  </si>
  <si>
    <t>vartabedian</t>
  </si>
  <si>
    <t>bhatti</t>
  </si>
  <si>
    <t>helanie</t>
  </si>
  <si>
    <t>ceo, align4profit: leadership training, snr team development, keynote speaker &amp; coaching consultant</t>
  </si>
  <si>
    <t>vp - industry solutions (retail)</t>
  </si>
  <si>
    <t>carrasco</t>
  </si>
  <si>
    <t>ceo and chairman</t>
  </si>
  <si>
    <t>luca</t>
  </si>
  <si>
    <t>massasso</t>
  </si>
  <si>
    <t>vice president - professional services &amp; platform strategy and development</t>
  </si>
  <si>
    <t>36,08</t>
  </si>
  <si>
    <t>sarnari</t>
  </si>
  <si>
    <t>gharegozlou</t>
  </si>
  <si>
    <t>villani</t>
  </si>
  <si>
    <t>luketich</t>
  </si>
  <si>
    <t>vp, video conferencing &amp; application services</t>
  </si>
  <si>
    <t>ivory</t>
  </si>
  <si>
    <t>sr. vice president of enterprise business unit</t>
  </si>
  <si>
    <t>36,33</t>
  </si>
  <si>
    <t>dell</t>
  </si>
  <si>
    <t>magolnick</t>
  </si>
  <si>
    <t>ceo / contract chief marketing &amp; communications officer / author</t>
  </si>
  <si>
    <t>frisco, texas</t>
  </si>
  <si>
    <t>fumasoni</t>
  </si>
  <si>
    <t>vice president &amp; head human resources, region latin america &amp; canada</t>
  </si>
  <si>
    <t>ari</t>
  </si>
  <si>
    <t>lisjak</t>
  </si>
  <si>
    <t>ceo &amp; managing director</t>
  </si>
  <si>
    <t>thomas m.</t>
  </si>
  <si>
    <t>mcclendon</t>
  </si>
  <si>
    <t>octavio</t>
  </si>
  <si>
    <t>cadena</t>
  </si>
  <si>
    <t>general manager - enterprise &amp; government services</t>
  </si>
  <si>
    <t>marcello</t>
  </si>
  <si>
    <t>baquero</t>
  </si>
  <si>
    <t>centurion</t>
  </si>
  <si>
    <t>mcintosh</t>
  </si>
  <si>
    <t>co-founder &amp; chief operations officer</t>
  </si>
  <si>
    <t>farmington, connecticut, United States</t>
  </si>
  <si>
    <t>33,17</t>
  </si>
  <si>
    <t>behrens</t>
  </si>
  <si>
    <t>vp latin america</t>
  </si>
  <si>
    <t>founder &amp; president of the board</t>
  </si>
  <si>
    <t>montonen</t>
  </si>
  <si>
    <t>goytortúa</t>
  </si>
  <si>
    <t>sr vice president global sales</t>
  </si>
  <si>
    <t>sarmiento</t>
  </si>
  <si>
    <t>guillermo tomás</t>
  </si>
  <si>
    <t>chialvo</t>
  </si>
  <si>
    <t>corpuz</t>
  </si>
  <si>
    <t>marketing &amp; communications manager</t>
  </si>
  <si>
    <t>meisler</t>
  </si>
  <si>
    <t>evp</t>
  </si>
  <si>
    <t>34,17</t>
  </si>
  <si>
    <t>vice president, strategic marketing</t>
  </si>
  <si>
    <t>executive vice president of sales</t>
  </si>
  <si>
    <t>grinblat</t>
  </si>
  <si>
    <t>vice president of communication for hp latin america</t>
  </si>
  <si>
    <t>sr. carrier product manager</t>
  </si>
  <si>
    <t>ismael</t>
  </si>
  <si>
    <t>chang ghalimi</t>
  </si>
  <si>
    <t>emiliana</t>
  </si>
  <si>
    <t>torrens</t>
  </si>
  <si>
    <t>ceo buenos aires office</t>
  </si>
  <si>
    <t>carlos matias</t>
  </si>
  <si>
    <t>baglieri</t>
  </si>
  <si>
    <t>rubinstein</t>
  </si>
  <si>
    <t>saantosh</t>
  </si>
  <si>
    <t>b kumaar</t>
  </si>
  <si>
    <t>sotuyo dodero</t>
  </si>
  <si>
    <t>w hamilton</t>
  </si>
  <si>
    <t>ceo &amp; cofounder</t>
  </si>
  <si>
    <t>fonolla</t>
  </si>
  <si>
    <t>available ~ 15 years oracle functional contract consultant - all hcm + modules r12.1.4+</t>
  </si>
  <si>
    <t>dearborn, michigan</t>
  </si>
  <si>
    <t>serra</t>
  </si>
  <si>
    <t>ezquerra</t>
  </si>
  <si>
    <t>svp, director of operations</t>
  </si>
  <si>
    <t>parrish</t>
  </si>
  <si>
    <t>senior vice president, ww partner sales</t>
  </si>
  <si>
    <t>rick a.</t>
  </si>
  <si>
    <t>morris pmp mpm itil opm</t>
  </si>
  <si>
    <t>owner / president</t>
  </si>
  <si>
    <t>godfrey</t>
  </si>
  <si>
    <t>past president</t>
  </si>
  <si>
    <t>decatur, alabama area, united states</t>
  </si>
  <si>
    <t>merchan</t>
  </si>
  <si>
    <t>vice president, product management &amp; marketing</t>
  </si>
  <si>
    <t>obrochta pmp acp</t>
  </si>
  <si>
    <t>roanoke, virginia area, united states</t>
  </si>
  <si>
    <t>ditchfield</t>
  </si>
  <si>
    <t>planning &amp; new business vp</t>
  </si>
  <si>
    <t>marianoje</t>
  </si>
  <si>
    <t>doble</t>
  </si>
  <si>
    <t>deane</t>
  </si>
  <si>
    <t>ludwig</t>
  </si>
  <si>
    <t>haderer</t>
  </si>
  <si>
    <t>managing director latam</t>
  </si>
  <si>
    <t>lopez casanello</t>
  </si>
  <si>
    <t>sr. vice president strategic accounts</t>
  </si>
  <si>
    <t>33,11</t>
  </si>
  <si>
    <t>amaury</t>
  </si>
  <si>
    <t>gallisa</t>
  </si>
  <si>
    <t>vice president, latin america dell software group</t>
  </si>
  <si>
    <t>giba itsm</t>
  </si>
  <si>
    <t>principal and founder</t>
  </si>
  <si>
    <t>williamson</t>
  </si>
  <si>
    <t>president, developer, social media promotion</t>
  </si>
  <si>
    <t>estigarribia</t>
  </si>
  <si>
    <t>roberson mba bsme</t>
  </si>
  <si>
    <t>pickering</t>
  </si>
  <si>
    <t>cheltenham, gloucestershire, united kingdom</t>
  </si>
  <si>
    <t>getz</t>
  </si>
  <si>
    <t>haschek</t>
  </si>
  <si>
    <t>austria</t>
  </si>
  <si>
    <t>notaro</t>
  </si>
  <si>
    <t>kobrossi</t>
  </si>
  <si>
    <t>founder, investor, board of directors</t>
  </si>
  <si>
    <t>beverly hills, california</t>
  </si>
  <si>
    <t>carges</t>
  </si>
  <si>
    <t>vice president, global talent acquisition</t>
  </si>
  <si>
    <t>conrado</t>
  </si>
  <si>
    <t>senior vice president - chief marketing officer</t>
  </si>
  <si>
    <t>39,33</t>
  </si>
  <si>
    <t>cavanna</t>
  </si>
  <si>
    <t>sinur</t>
  </si>
  <si>
    <t>leinwand</t>
  </si>
  <si>
    <t>pinkett</t>
  </si>
  <si>
    <t>vp product management</t>
  </si>
  <si>
    <t>camarotti</t>
  </si>
  <si>
    <t>national vice president us east for sag us and country manager for sag canada</t>
  </si>
  <si>
    <t>noam</t>
  </si>
  <si>
    <t>lotan</t>
  </si>
  <si>
    <t>president, ceo and director</t>
  </si>
  <si>
    <t>naslund</t>
  </si>
  <si>
    <t>mainetto</t>
  </si>
  <si>
    <t>senior vice president, global consulting + cto</t>
  </si>
  <si>
    <t>vp general manager - south florida</t>
  </si>
  <si>
    <t>francisco pancho</t>
  </si>
  <si>
    <t>qsc vice president. greater chicago region</t>
  </si>
  <si>
    <t>chicago y alrededores, estados unidos</t>
  </si>
  <si>
    <t>derechin</t>
  </si>
  <si>
    <t>bluvstein</t>
  </si>
  <si>
    <t>president and vp sales</t>
  </si>
  <si>
    <t>sperman</t>
  </si>
  <si>
    <t>owner/founder</t>
  </si>
  <si>
    <t>damore</t>
  </si>
  <si>
    <t>bellingham, washington</t>
  </si>
  <si>
    <t>clif</t>
  </si>
  <si>
    <t>critchlow</t>
  </si>
  <si>
    <t>svp sales &amp; business development</t>
  </si>
  <si>
    <t>executive vice-president business development</t>
  </si>
  <si>
    <t>syracuse, new york area, united states</t>
  </si>
  <si>
    <t>charles enrique</t>
  </si>
  <si>
    <t>arizmendi</t>
  </si>
  <si>
    <t>chief operating officer and executive vp enterprise business</t>
  </si>
  <si>
    <t>pentecost</t>
  </si>
  <si>
    <t>perusse</t>
  </si>
  <si>
    <t>cto/svp engineering</t>
  </si>
  <si>
    <t>40,33</t>
  </si>
  <si>
    <t>michael c.</t>
  </si>
  <si>
    <t>co-ceo / co-owner</t>
  </si>
  <si>
    <t>tylim</t>
  </si>
  <si>
    <t>vice president, the americas</t>
  </si>
  <si>
    <t>mel</t>
  </si>
  <si>
    <t>zeledon</t>
  </si>
  <si>
    <t>vice president, channels and mid market - business analytics</t>
  </si>
  <si>
    <t>39,5</t>
  </si>
  <si>
    <t>albizu</t>
  </si>
  <si>
    <t>ebdm / global account general manager latin america / latinoamerica director</t>
  </si>
  <si>
    <t>kris</t>
  </si>
  <si>
    <t>kramer</t>
  </si>
  <si>
    <t>laz</t>
  </si>
  <si>
    <t>*interim: cto</t>
  </si>
  <si>
    <t>tan</t>
  </si>
  <si>
    <t>30,17</t>
  </si>
  <si>
    <t>pelosi</t>
  </si>
  <si>
    <t>general manager (promoted from director of operations)</t>
  </si>
  <si>
    <t>vp. sales and marketing iluv creative technology</t>
  </si>
  <si>
    <t>fetherolf</t>
  </si>
  <si>
    <t>cto, vp of product development</t>
  </si>
  <si>
    <t>justice</t>
  </si>
  <si>
    <t>ceo &amp; cto</t>
  </si>
  <si>
    <t>paulo henrique</t>
  </si>
  <si>
    <t>bolgar</t>
  </si>
  <si>
    <t>human resources vice president - latin america &amp; canada</t>
  </si>
  <si>
    <t>melbourne, florida area, united states, United States</t>
  </si>
  <si>
    <t>a schroeder</t>
  </si>
  <si>
    <t>vice president, operations &amp; industry relations</t>
  </si>
  <si>
    <t>montemurro</t>
  </si>
  <si>
    <t>creative director &amp; producer / founder</t>
  </si>
  <si>
    <t>syed a.</t>
  </si>
  <si>
    <t>vice president, channel expansion</t>
  </si>
  <si>
    <t>sr. client strategy director | interactive recruiting technology | employment marketing @ jobs2web</t>
  </si>
  <si>
    <t>britany allen lion</t>
  </si>
  <si>
    <t>dhelfor del</t>
  </si>
  <si>
    <t>balbin</t>
  </si>
  <si>
    <t>beverly</t>
  </si>
  <si>
    <t>braian</t>
  </si>
  <si>
    <t>bressan</t>
  </si>
  <si>
    <t>carlos blanco</t>
  </si>
  <si>
    <t>boirie</t>
  </si>
  <si>
    <t>vice president/general manager</t>
  </si>
  <si>
    <t>borges</t>
  </si>
  <si>
    <t>everett</t>
  </si>
  <si>
    <t>bracken</t>
  </si>
  <si>
    <t>lexington, kentucky area, united states</t>
  </si>
  <si>
    <t>moreno albarracin</t>
  </si>
  <si>
    <t>cto - cardiff</t>
  </si>
  <si>
    <t>42,83</t>
  </si>
  <si>
    <t>brindley</t>
  </si>
  <si>
    <t>president, the americas</t>
  </si>
  <si>
    <t>adar</t>
  </si>
  <si>
    <t>belle mead, new jersey, United States</t>
  </si>
  <si>
    <t>calabria</t>
  </si>
  <si>
    <t>senior vice president, engineering</t>
  </si>
  <si>
    <t>cheadle</t>
  </si>
  <si>
    <t>grandville, michigan</t>
  </si>
  <si>
    <t>vp advanced systems and technologies</t>
  </si>
  <si>
    <t>collie</t>
  </si>
  <si>
    <t>boone, north carolina</t>
  </si>
  <si>
    <t>stas</t>
  </si>
  <si>
    <t>khirman</t>
  </si>
  <si>
    <t>cto &amp; cofounder</t>
  </si>
  <si>
    <t>allbritten</t>
  </si>
  <si>
    <t>retired senior executive</t>
  </si>
  <si>
    <t>37,1769230769231</t>
  </si>
  <si>
    <t>gadsby</t>
  </si>
  <si>
    <t>ceo, smg multicultural</t>
  </si>
  <si>
    <t>dario a.</t>
  </si>
  <si>
    <t>senior vice president, human capital</t>
  </si>
  <si>
    <t>messinger</t>
  </si>
  <si>
    <t>community architect</t>
  </si>
  <si>
    <t>ceo, board member, and international commercial director</t>
  </si>
  <si>
    <t>alexei</t>
  </si>
  <si>
    <t>alankin</t>
  </si>
  <si>
    <t>seva</t>
  </si>
  <si>
    <t>perezsoto</t>
  </si>
  <si>
    <t>alfonso javier</t>
  </si>
  <si>
    <t>ana luisa</t>
  </si>
  <si>
    <t>director of digital accounts, latin america</t>
  </si>
  <si>
    <t>30,09</t>
  </si>
  <si>
    <t>michael mike</t>
  </si>
  <si>
    <t>head, north america advisor relations</t>
  </si>
  <si>
    <t>moshe</t>
  </si>
  <si>
    <t>balistrieri</t>
  </si>
  <si>
    <t>executive vice president marketing and partner strategy</t>
  </si>
  <si>
    <t>inventor/founder/ceo/cto</t>
  </si>
  <si>
    <t>deve</t>
  </si>
  <si>
    <t>olivero</t>
  </si>
  <si>
    <t>cahill</t>
  </si>
  <si>
    <t>managing director u.s.</t>
  </si>
  <si>
    <t>cairns</t>
  </si>
  <si>
    <t>western regional director, greenplum - a division of emc</t>
  </si>
  <si>
    <t>32,8235294117647</t>
  </si>
  <si>
    <t>sr director of ad sales</t>
  </si>
  <si>
    <t>37,17</t>
  </si>
  <si>
    <t>manu</t>
  </si>
  <si>
    <t>vice president of sales, information management</t>
  </si>
  <si>
    <t>bowman</t>
  </si>
  <si>
    <t>nashville, tennessee, United States</t>
  </si>
  <si>
    <t>hillman</t>
  </si>
  <si>
    <t>fort wayne, indiana area</t>
  </si>
  <si>
    <t>adelson</t>
  </si>
  <si>
    <t>director - global integration, it &amp; professional services</t>
  </si>
  <si>
    <t>diamond</t>
  </si>
  <si>
    <t>ceo &amp; founder of wintheview on-line interview presentation and personal branding tools</t>
  </si>
  <si>
    <t>burroughs open networker</t>
  </si>
  <si>
    <t>las vegas, nevada area, united states</t>
  </si>
  <si>
    <t>woodland park, colorado</t>
  </si>
  <si>
    <t>vella</t>
  </si>
  <si>
    <t>maya</t>
  </si>
  <si>
    <t>founder &amp; co-moderator</t>
  </si>
  <si>
    <t>croft</t>
  </si>
  <si>
    <t>inside ecommerce sales account manager</t>
  </si>
  <si>
    <t>greater nashville area, tn</t>
  </si>
  <si>
    <t>34,23</t>
  </si>
  <si>
    <t>baldo</t>
  </si>
  <si>
    <t>rochman</t>
  </si>
  <si>
    <t>miljan</t>
  </si>
  <si>
    <t>milan</t>
  </si>
  <si>
    <t>global vice president</t>
  </si>
  <si>
    <t>hanburger</t>
  </si>
  <si>
    <t>fassett</t>
  </si>
  <si>
    <t>len</t>
  </si>
  <si>
    <t>fechter</t>
  </si>
  <si>
    <t>partner &amp; executive vice president</t>
  </si>
  <si>
    <t>palavecino</t>
  </si>
  <si>
    <t>vp sales and operations</t>
  </si>
  <si>
    <t>genet</t>
  </si>
  <si>
    <t>rozman</t>
  </si>
  <si>
    <t>haman</t>
  </si>
  <si>
    <t>b.j.</t>
  </si>
  <si>
    <t>president | founder | ceo</t>
  </si>
  <si>
    <t>kasick</t>
  </si>
  <si>
    <t>kincaid open networker</t>
  </si>
  <si>
    <t>vice president, business segment communications</t>
  </si>
  <si>
    <t>columbus, ohio</t>
  </si>
  <si>
    <t>mckay  asq cmqoe cqa</t>
  </si>
  <si>
    <t>vice president, quality and ehs</t>
  </si>
  <si>
    <t>board member - dfwtrn</t>
  </si>
  <si>
    <t>flower mound, texas</t>
  </si>
  <si>
    <t>jered</t>
  </si>
  <si>
    <t>haddad</t>
  </si>
  <si>
    <t>nico</t>
  </si>
  <si>
    <t>kicillof</t>
  </si>
  <si>
    <t>vp, business development</t>
  </si>
  <si>
    <t>co-founder / cto</t>
  </si>
  <si>
    <t>34,5</t>
  </si>
  <si>
    <t>sas</t>
  </si>
  <si>
    <t>evp, business analytics, database &amp; technology</t>
  </si>
  <si>
    <t>macdonald  www.iwebwork.com</t>
  </si>
  <si>
    <t>nova scotia, canada</t>
  </si>
  <si>
    <t>presidente @ capítulo argentina</t>
  </si>
  <si>
    <t>jesús</t>
  </si>
  <si>
    <t>hoyos</t>
  </si>
  <si>
    <t>co-founder, board member</t>
  </si>
  <si>
    <t>stankiewicz</t>
  </si>
  <si>
    <t>senior vice president business development</t>
  </si>
  <si>
    <t>duerr</t>
  </si>
  <si>
    <t>founder, president, ceo</t>
  </si>
  <si>
    <t>soloway</t>
  </si>
  <si>
    <t>consorti</t>
  </si>
  <si>
    <t>stringfellow</t>
  </si>
  <si>
    <t>ceo / president</t>
  </si>
  <si>
    <t>farne cpmcpmmpmc</t>
  </si>
  <si>
    <t>vice president - email routing &amp; security product manager</t>
  </si>
  <si>
    <t>styers</t>
  </si>
  <si>
    <t>filipowski</t>
  </si>
  <si>
    <t>vice president and general manager (ret.)</t>
  </si>
  <si>
    <t>fahlsing cpccts</t>
  </si>
  <si>
    <t>rafael a.</t>
  </si>
  <si>
    <t>fantauzzi</t>
  </si>
  <si>
    <t>courtney</t>
  </si>
  <si>
    <t>gartin</t>
  </si>
  <si>
    <t>vp of hr &amp; compliance at empowered careers</t>
  </si>
  <si>
    <t>vinett</t>
  </si>
  <si>
    <t>lombardi freitas</t>
  </si>
  <si>
    <t>co-owner &amp; ceo</t>
  </si>
  <si>
    <t>yoder</t>
  </si>
  <si>
    <t>tullahoma, tennessee, United States</t>
  </si>
  <si>
    <t>lawley</t>
  </si>
  <si>
    <t>venture partner</t>
  </si>
  <si>
    <t>gillespie mba ms</t>
  </si>
  <si>
    <t>co-founder &amp; president</t>
  </si>
  <si>
    <t>zukowski</t>
  </si>
  <si>
    <t>svp and founder</t>
  </si>
  <si>
    <t>charlotte, north carolina</t>
  </si>
  <si>
    <t>uchida</t>
  </si>
  <si>
    <t>a. metz</t>
  </si>
  <si>
    <t>gruen</t>
  </si>
  <si>
    <t>henricks</t>
  </si>
  <si>
    <t>vice president and corporate controller</t>
  </si>
  <si>
    <t>poapst</t>
  </si>
  <si>
    <t>vp marketing and sales</t>
  </si>
  <si>
    <t>van horn</t>
  </si>
  <si>
    <t>co-founder &amp; chief optimization officer</t>
  </si>
  <si>
    <t>sherry</t>
  </si>
  <si>
    <t>paramita</t>
  </si>
  <si>
    <t>chakraborty pmp csm</t>
  </si>
  <si>
    <t>director, lifecycle management</t>
  </si>
  <si>
    <t>schaff</t>
  </si>
  <si>
    <t>vice president - digital - gaming</t>
  </si>
  <si>
    <t>hillyer</t>
  </si>
  <si>
    <t>fields</t>
  </si>
  <si>
    <t>russo pmp cspo</t>
  </si>
  <si>
    <t>30,25</t>
  </si>
  <si>
    <t>blocker</t>
  </si>
  <si>
    <t>yaber</t>
  </si>
  <si>
    <t>zachary</t>
  </si>
  <si>
    <t>besnoy</t>
  </si>
  <si>
    <t>campbell</t>
  </si>
  <si>
    <t>senior vice president, digital business, global digital business group</t>
  </si>
  <si>
    <t>mezzetta de cossio</t>
  </si>
  <si>
    <t>vice president, customer and partner marketing, sales enablement programs</t>
  </si>
  <si>
    <t>di vincenzo</t>
  </si>
  <si>
    <t>vice president business development &amp; technology</t>
  </si>
  <si>
    <t>mario s.</t>
  </si>
  <si>
    <t>mullins</t>
  </si>
  <si>
    <t>president &amp; principal consultant</t>
  </si>
  <si>
    <t>32,25</t>
  </si>
  <si>
    <t>nofsinger</t>
  </si>
  <si>
    <t>smith kellycuriousoffice.com</t>
  </si>
  <si>
    <t>pulver</t>
  </si>
  <si>
    <t>co- founder</t>
  </si>
  <si>
    <t>grenier</t>
  </si>
  <si>
    <t>berson</t>
  </si>
  <si>
    <t>porreca</t>
  </si>
  <si>
    <t>vice president, professional services, sales and delivery</t>
  </si>
  <si>
    <t>alvio</t>
  </si>
  <si>
    <t>barrios</t>
  </si>
  <si>
    <t>svp americas enterprise</t>
  </si>
  <si>
    <t>romanchik</t>
  </si>
  <si>
    <t>craig a.</t>
  </si>
  <si>
    <t>lesser</t>
  </si>
  <si>
    <t>jonathan wood</t>
  </si>
  <si>
    <t>logan jd</t>
  </si>
  <si>
    <t>john c</t>
  </si>
  <si>
    <t>yali</t>
  </si>
  <si>
    <t>vice president of purchasing</t>
  </si>
  <si>
    <t>costigan</t>
  </si>
  <si>
    <t>john luis</t>
  </si>
  <si>
    <t>christie</t>
  </si>
  <si>
    <t>a. cordes</t>
  </si>
  <si>
    <t>mcgehrin  first connections</t>
  </si>
  <si>
    <t>jaxon</t>
  </si>
  <si>
    <t>nadler count me inall invites accepted</t>
  </si>
  <si>
    <t>nieves</t>
  </si>
  <si>
    <t>pablo j</t>
  </si>
  <si>
    <t>oatis</t>
  </si>
  <si>
    <t>jane</t>
  </si>
  <si>
    <t>swift</t>
  </si>
  <si>
    <t>williamstown, massachusetts</t>
  </si>
  <si>
    <t>espuelas</t>
  </si>
  <si>
    <t>sinval</t>
  </si>
  <si>
    <t>medeiros</t>
  </si>
  <si>
    <t>business executive - general manager leader</t>
  </si>
  <si>
    <t>32,45</t>
  </si>
  <si>
    <t>bia</t>
  </si>
  <si>
    <t>marketing /brand management</t>
  </si>
  <si>
    <t>urquijo</t>
  </si>
  <si>
    <t>vice president business development</t>
  </si>
  <si>
    <t>lissette</t>
  </si>
  <si>
    <t>valdesbrito</t>
  </si>
  <si>
    <t>vp research</t>
  </si>
  <si>
    <t>project manager / líder técnico</t>
  </si>
  <si>
    <t>lattunen</t>
  </si>
  <si>
    <t>vice president of sales, mobile security, north america</t>
  </si>
  <si>
    <t>anshu</t>
  </si>
  <si>
    <t>vice president, product management &amp; product strategy</t>
  </si>
  <si>
    <t>razzetti</t>
  </si>
  <si>
    <t>evp, managing director</t>
  </si>
  <si>
    <t>krishnaswamy</t>
  </si>
  <si>
    <t>director, global alliances</t>
  </si>
  <si>
    <t>co-founder -senior managing partner</t>
  </si>
  <si>
    <t>puente msit</t>
  </si>
  <si>
    <t>pukita</t>
  </si>
  <si>
    <t>abelicio</t>
  </si>
  <si>
    <t>general manager miami distributors and the caribbean region</t>
  </si>
  <si>
    <t>internet marketing consultant &amp; co-founder</t>
  </si>
  <si>
    <t>32,08</t>
  </si>
  <si>
    <t>ceo/owner</t>
  </si>
  <si>
    <t>redwing</t>
  </si>
  <si>
    <t>reingold</t>
  </si>
  <si>
    <t>maria rodriguez</t>
  </si>
  <si>
    <t>ceo and president - a woman owned business</t>
  </si>
  <si>
    <t>adelman</t>
  </si>
  <si>
    <t>yuda</t>
  </si>
  <si>
    <t>saydun</t>
  </si>
  <si>
    <t>shutts</t>
  </si>
  <si>
    <t>vp customer service</t>
  </si>
  <si>
    <t>sifflard</t>
  </si>
  <si>
    <t>senior vice president - bbi elite consulting</t>
  </si>
  <si>
    <t>sirbasku</t>
  </si>
  <si>
    <t>chairman and chief executive officer</t>
  </si>
  <si>
    <t>toppi</t>
  </si>
  <si>
    <t>gord</t>
  </si>
  <si>
    <t>breese</t>
  </si>
  <si>
    <t>douroux</t>
  </si>
  <si>
    <t>farid</t>
  </si>
  <si>
    <t>askari</t>
  </si>
  <si>
    <t>ochagavía</t>
  </si>
  <si>
    <t>owner &amp; general manager</t>
  </si>
  <si>
    <t>software engineer sr</t>
  </si>
  <si>
    <t>sunny</t>
  </si>
  <si>
    <t>rodnitzky</t>
  </si>
  <si>
    <t>goodman</t>
  </si>
  <si>
    <t>graber</t>
  </si>
  <si>
    <t>director, global center of excellence for cloud and mobile analytics</t>
  </si>
  <si>
    <t>grandinetti</t>
  </si>
  <si>
    <t>landry</t>
  </si>
  <si>
    <t>beisel</t>
  </si>
  <si>
    <t>co-founder &amp; partner</t>
  </si>
  <si>
    <t>go</t>
  </si>
  <si>
    <t>kreisa</t>
  </si>
  <si>
    <t>vp marketing</t>
  </si>
  <si>
    <t>managing director internal it</t>
  </si>
  <si>
    <t>medipor</t>
  </si>
  <si>
    <t>ceo / chief executive officer ? technology consulting ? cloud solutions ? process improvement</t>
  </si>
  <si>
    <t>garcia mba ccsa</t>
  </si>
  <si>
    <t>peketz</t>
  </si>
  <si>
    <t>epstein</t>
  </si>
  <si>
    <t>vp-marketing &amp; social navigator</t>
  </si>
  <si>
    <t>raul bruno</t>
  </si>
  <si>
    <t>pico rodriguez</t>
  </si>
  <si>
    <t>director of operations and vicepresident</t>
  </si>
  <si>
    <t>tom o</t>
  </si>
  <si>
    <t>a states lion</t>
  </si>
  <si>
    <t>rory</t>
  </si>
  <si>
    <t>ricord</t>
  </si>
  <si>
    <t>derow</t>
  </si>
  <si>
    <t>co-founder, strategic consultant</t>
  </si>
  <si>
    <t>manhattan beach, california, United States</t>
  </si>
  <si>
    <t>timothy c.</t>
  </si>
  <si>
    <t>president - pmp in process</t>
  </si>
  <si>
    <t>rockwall, texas</t>
  </si>
  <si>
    <t>yamano</t>
  </si>
  <si>
    <t>brook</t>
  </si>
  <si>
    <t>schaaf</t>
  </si>
  <si>
    <t>trisha lyn</t>
  </si>
  <si>
    <t>fawver</t>
  </si>
  <si>
    <t>wise</t>
  </si>
  <si>
    <t>vice president, global ito solutions</t>
  </si>
  <si>
    <t>jasper</t>
  </si>
  <si>
    <t>mullarney</t>
  </si>
  <si>
    <t>vice president, direct response advertising</t>
  </si>
  <si>
    <t>seiman</t>
  </si>
  <si>
    <t>ceo and owner</t>
  </si>
  <si>
    <t>addante</t>
  </si>
  <si>
    <t>rasko</t>
  </si>
  <si>
    <t>vice president, sales &amp; operations - latin america &amp; caribbean</t>
  </si>
  <si>
    <t>ceo and vp sales</t>
  </si>
  <si>
    <t>alacant area, spain</t>
  </si>
  <si>
    <t>bull</t>
  </si>
  <si>
    <t>stocks</t>
  </si>
  <si>
    <t>abdelnour</t>
  </si>
  <si>
    <t>founder &amp; chairman of the board</t>
  </si>
  <si>
    <t>svatik</t>
  </si>
  <si>
    <t>senior vice president, solution engineering</t>
  </si>
  <si>
    <t>executive solution engineer</t>
  </si>
  <si>
    <t>wissam</t>
  </si>
  <si>
    <t>hershey</t>
  </si>
  <si>
    <t>deirdre</t>
  </si>
  <si>
    <t>toner</t>
  </si>
  <si>
    <t>gvp, hana global center of excellence</t>
  </si>
  <si>
    <t>punit</t>
  </si>
  <si>
    <t>soni</t>
  </si>
  <si>
    <t>duprat</t>
  </si>
  <si>
    <t>wellington</t>
  </si>
  <si>
    <t>sculley</t>
  </si>
  <si>
    <t>valter</t>
  </si>
  <si>
    <t>klug</t>
  </si>
  <si>
    <t>associate creative director</t>
  </si>
  <si>
    <t>kriegel</t>
  </si>
  <si>
    <t>head of product strategy &amp; business operations, retail services</t>
  </si>
  <si>
    <t>lehmann</t>
  </si>
  <si>
    <t>mobile marketing executive</t>
  </si>
  <si>
    <t>feinman</t>
  </si>
  <si>
    <t>freelance digital media executive</t>
  </si>
  <si>
    <t>national sr. supply chain recruiting expert; managing owner</t>
  </si>
  <si>
    <t>mickie</t>
  </si>
  <si>
    <t>rosen</t>
  </si>
  <si>
    <t>svp, global media &amp; commerce</t>
  </si>
  <si>
    <t>chief technology officer for acotel group s.p.a</t>
  </si>
  <si>
    <t>vice president, americas sales engineering</t>
  </si>
  <si>
    <t>nerea</t>
  </si>
  <si>
    <t>zuluaga</t>
  </si>
  <si>
    <t>president, co-founder</t>
  </si>
  <si>
    <t>karna</t>
  </si>
  <si>
    <t>doughty</t>
  </si>
  <si>
    <t>regional vp sales - north america</t>
  </si>
  <si>
    <t>algarme sr</t>
  </si>
  <si>
    <t>eve</t>
  </si>
  <si>
    <t>white glp</t>
  </si>
  <si>
    <t>vice president, global markets</t>
  </si>
  <si>
    <t>baadsgaard</t>
  </si>
  <si>
    <t>svp, strategic account development</t>
  </si>
  <si>
    <t>redell</t>
  </si>
  <si>
    <t>president &amp; ceo - chief hunter</t>
  </si>
  <si>
    <t>marts</t>
  </si>
  <si>
    <t>stiles</t>
  </si>
  <si>
    <t>sales director, americas/canada</t>
  </si>
  <si>
    <t>nelso</t>
  </si>
  <si>
    <t>villamizar mba ssbb</t>
  </si>
  <si>
    <t>vp/gm latin america</t>
  </si>
  <si>
    <t>carr</t>
  </si>
  <si>
    <t>ernie</t>
  </si>
  <si>
    <t>eichenbaum</t>
  </si>
  <si>
    <t>vp consulting operations</t>
  </si>
  <si>
    <t>leiter</t>
  </si>
  <si>
    <t>vp, aml compliance officer for west coast region (commercial and retail banking)</t>
  </si>
  <si>
    <t>luttmann</t>
  </si>
  <si>
    <t>president / ceo / founder</t>
  </si>
  <si>
    <t>henao</t>
  </si>
  <si>
    <t>de la torriente</t>
  </si>
  <si>
    <t>grund</t>
  </si>
  <si>
    <t>vice president of national sales</t>
  </si>
  <si>
    <t>gunst</t>
  </si>
  <si>
    <t>chaw</t>
  </si>
  <si>
    <t>san francisco bay area</t>
  </si>
  <si>
    <t>vice president solutions engineering</t>
  </si>
  <si>
    <t>johnson city, tennessee area, united states</t>
  </si>
  <si>
    <t>allen hrjobsatt.net</t>
  </si>
  <si>
    <t>francesco</t>
  </si>
  <si>
    <t>chief information officer - north america</t>
  </si>
  <si>
    <t>vp, director it relationship management</t>
  </si>
  <si>
    <t>seran</t>
  </si>
  <si>
    <t>magee</t>
  </si>
  <si>
    <t>evp/ client relations and strategy</t>
  </si>
  <si>
    <t>macha</t>
  </si>
  <si>
    <t>bos mba</t>
  </si>
  <si>
    <t>vp global strategies &amp; solutions</t>
  </si>
  <si>
    <t>antoinette anton</t>
  </si>
  <si>
    <t>forth</t>
  </si>
  <si>
    <t>vp and regional counsel latin america ush</t>
  </si>
  <si>
    <t>aragone</t>
  </si>
  <si>
    <t>vp and associate general counsel - latin america</t>
  </si>
  <si>
    <t>robb</t>
  </si>
  <si>
    <t>auber</t>
  </si>
  <si>
    <t>vice president - call centers</t>
  </si>
  <si>
    <t>sheryl</t>
  </si>
  <si>
    <t>wolbrum</t>
  </si>
  <si>
    <t>ceo/ technology recruiting firm</t>
  </si>
  <si>
    <t>urreta</t>
  </si>
  <si>
    <t>quilombero, toma mate, co-founder &amp; director</t>
  </si>
  <si>
    <t>sas experienced business intelligence and advanced analytics scientist</t>
  </si>
  <si>
    <t>faddoul</t>
  </si>
  <si>
    <t>forte</t>
  </si>
  <si>
    <t>principal, co-founder</t>
  </si>
  <si>
    <t>zanabone</t>
  </si>
  <si>
    <t>foellmer k</t>
  </si>
  <si>
    <t>cologne area, germany</t>
  </si>
  <si>
    <t>vice president, strategy &amp; analytics</t>
  </si>
  <si>
    <t>kerins</t>
  </si>
  <si>
    <t>kohler</t>
  </si>
  <si>
    <t>svp systems</t>
  </si>
  <si>
    <t>baudouin</t>
  </si>
  <si>
    <t>corman</t>
  </si>
  <si>
    <t>vp publishing americas</t>
  </si>
  <si>
    <t>leifer</t>
  </si>
  <si>
    <t>cultural anthropologist &amp; ceo</t>
  </si>
  <si>
    <t>mallon</t>
  </si>
  <si>
    <t>vice president of sales and client management</t>
  </si>
  <si>
    <t>mcginn</t>
  </si>
  <si>
    <t>pusceddu</t>
  </si>
  <si>
    <t>maslo</t>
  </si>
  <si>
    <t>bergeron</t>
  </si>
  <si>
    <t>president of business development</t>
  </si>
  <si>
    <t>vice president, corporate quality and compliance</t>
  </si>
  <si>
    <t>bhargava</t>
  </si>
  <si>
    <t>charlottesville, virginia, United States</t>
  </si>
  <si>
    <t>de allende</t>
  </si>
  <si>
    <t>37,19</t>
  </si>
  <si>
    <t>schauder</t>
  </si>
  <si>
    <t>vp/gm, b2b services</t>
  </si>
  <si>
    <t>bodmer</t>
  </si>
  <si>
    <t>vice president; small business banking</t>
  </si>
  <si>
    <t>bollinger</t>
  </si>
  <si>
    <t>paul j.</t>
  </si>
  <si>
    <t>reed</t>
  </si>
  <si>
    <t>hastings</t>
  </si>
  <si>
    <t>vice president - talnet and talent acquisition</t>
  </si>
  <si>
    <t>auburn, california</t>
  </si>
  <si>
    <t>padro</t>
  </si>
  <si>
    <t>general manager latin america</t>
  </si>
  <si>
    <t>gray</t>
  </si>
  <si>
    <t>canberra area, australia</t>
  </si>
  <si>
    <t>sellers</t>
  </si>
  <si>
    <t>lansing, michigan area, united states</t>
  </si>
  <si>
    <t>javier scavino</t>
  </si>
  <si>
    <t>scavino</t>
  </si>
  <si>
    <t>joni</t>
  </si>
  <si>
    <t>girardi</t>
  </si>
  <si>
    <t>aizer</t>
  </si>
  <si>
    <t>category manager</t>
  </si>
  <si>
    <t>visca</t>
  </si>
  <si>
    <t>saul j.</t>
  </si>
  <si>
    <t>global &amp; americas lead partner strategy &amp; change services</t>
  </si>
  <si>
    <t>cuny</t>
  </si>
  <si>
    <t>burrington</t>
  </si>
  <si>
    <t>carlos mauricio</t>
  </si>
  <si>
    <t>vice president engineering and luminate operations</t>
  </si>
  <si>
    <t>beckett</t>
  </si>
  <si>
    <t>co-founder-chairman</t>
  </si>
  <si>
    <t>vp, total rewards &amp; performance</t>
  </si>
  <si>
    <t>33,67</t>
  </si>
  <si>
    <t>arturo</t>
  </si>
  <si>
    <t>executive vice president &amp; chief digital officer</t>
  </si>
  <si>
    <t>bant</t>
  </si>
  <si>
    <t>poonen</t>
  </si>
  <si>
    <t>berrio</t>
  </si>
  <si>
    <t>vice president, north america engineering</t>
  </si>
  <si>
    <t>director, business and solution consulting, americas</t>
  </si>
  <si>
    <t>trevino</t>
  </si>
  <si>
    <t>regional vice president cala - sales</t>
  </si>
  <si>
    <t>mcallen, texas area, united states</t>
  </si>
  <si>
    <t>good</t>
  </si>
  <si>
    <t>32,14</t>
  </si>
  <si>
    <t>moussa</t>
  </si>
  <si>
    <t>nickleberry</t>
  </si>
  <si>
    <t>mccabe</t>
  </si>
  <si>
    <t>groenendaal</t>
  </si>
  <si>
    <t>president &amp; ceo, grey latin america</t>
  </si>
  <si>
    <t>koike</t>
  </si>
  <si>
    <t>vp of digital ad sales</t>
  </si>
  <si>
    <t>vp, executive creative director at the vidal partnership</t>
  </si>
  <si>
    <t>billie</t>
  </si>
  <si>
    <t>haggard</t>
  </si>
  <si>
    <t>goodwin</t>
  </si>
  <si>
    <t>vp, information systems</t>
  </si>
  <si>
    <t>weinstein ph.d.</t>
  </si>
  <si>
    <t>shannph</t>
  </si>
  <si>
    <t>studio head / co-founder</t>
  </si>
  <si>
    <t>karoline</t>
  </si>
  <si>
    <t>lariviere</t>
  </si>
  <si>
    <t>sr. director hr - global field software</t>
  </si>
  <si>
    <t>mccormack</t>
  </si>
  <si>
    <t>ogden</t>
  </si>
  <si>
    <t>38,33</t>
  </si>
  <si>
    <t>bethesda, maryland</t>
  </si>
  <si>
    <t>leonard</t>
  </si>
  <si>
    <t>finch jr.</t>
  </si>
  <si>
    <t>ihara</t>
  </si>
  <si>
    <t>tee carson</t>
  </si>
  <si>
    <t>zipparro</t>
  </si>
  <si>
    <t>mack</t>
  </si>
  <si>
    <t>treece</t>
  </si>
  <si>
    <t>einterz</t>
  </si>
  <si>
    <t>senior vice president, americas</t>
  </si>
  <si>
    <t>raiczyk</t>
  </si>
  <si>
    <t>naaserden</t>
  </si>
  <si>
    <t>vice president - asean region</t>
  </si>
  <si>
    <t>chohan</t>
  </si>
  <si>
    <t>rono</t>
  </si>
  <si>
    <t>senning</t>
  </si>
  <si>
    <t>vice president product development</t>
  </si>
  <si>
    <t>libertyville, illinois</t>
  </si>
  <si>
    <t>boyks</t>
  </si>
  <si>
    <t>duran alva</t>
  </si>
  <si>
    <t>strategic partner development - youtube</t>
  </si>
  <si>
    <t>business development / marketing / sales</t>
  </si>
  <si>
    <t>premet</t>
  </si>
  <si>
    <t>abud</t>
  </si>
  <si>
    <t>vp digital director for mv42 (multicultural, primary us hispanic agency)</t>
  </si>
  <si>
    <t>irving</t>
  </si>
  <si>
    <t>fain</t>
  </si>
  <si>
    <t>revich</t>
  </si>
  <si>
    <t>cto &amp; partner</t>
  </si>
  <si>
    <t>agarwala</t>
  </si>
  <si>
    <t>henryk</t>
  </si>
  <si>
    <t>dabrowski</t>
  </si>
  <si>
    <t>thania</t>
  </si>
  <si>
    <t>segura</t>
  </si>
  <si>
    <t>general manager-cluster new markets (guate, el salvador, hond/nic, paraguay, bolivia, jamaica, other</t>
  </si>
  <si>
    <t>jose miguel</t>
  </si>
  <si>
    <t>government lead. latin america and the caribbean</t>
  </si>
  <si>
    <t>otto rotto.linkedingmail.com</t>
  </si>
  <si>
    <t>vice president, board of trustees</t>
  </si>
  <si>
    <t>hedi</t>
  </si>
  <si>
    <t>enghelberg</t>
  </si>
  <si>
    <t>finops regional process owner (latam)</t>
  </si>
  <si>
    <t>wintz</t>
  </si>
  <si>
    <t>adan</t>
  </si>
  <si>
    <t>zweig</t>
  </si>
  <si>
    <t>vegas</t>
  </si>
  <si>
    <t>vp of marketing</t>
  </si>
  <si>
    <t>otermin</t>
  </si>
  <si>
    <t>senior vp technology and operations</t>
  </si>
  <si>
    <t>plumley</t>
  </si>
  <si>
    <t>coo &amp; co-founder</t>
  </si>
  <si>
    <t>carvao</t>
  </si>
  <si>
    <t>vice president, north america systems &amp; technology group</t>
  </si>
  <si>
    <t>gustavo roberto</t>
  </si>
  <si>
    <t>perez seib</t>
  </si>
  <si>
    <t>chief of staff, office of the president, sap latin america</t>
  </si>
  <si>
    <t>chitaranjan</t>
  </si>
  <si>
    <t>nagrecha</t>
  </si>
  <si>
    <t>nicolo</t>
  </si>
  <si>
    <t>alaimo</t>
  </si>
  <si>
    <t>33,86</t>
  </si>
  <si>
    <t>bentonville, arkansas</t>
  </si>
  <si>
    <t>mathieu</t>
  </si>
  <si>
    <t>montserrat</t>
  </si>
  <si>
    <t>tellabs channel development manager for latin america and caribbean</t>
  </si>
  <si>
    <t>louks</t>
  </si>
  <si>
    <t>chief strategy officer at htc</t>
  </si>
  <si>
    <t>winick</t>
  </si>
  <si>
    <t>managing director, executive vice president</t>
  </si>
  <si>
    <t>marques</t>
  </si>
  <si>
    <t>holoubek</t>
  </si>
  <si>
    <t>rosini</t>
  </si>
  <si>
    <t>corporate vice president</t>
  </si>
  <si>
    <t>34,55</t>
  </si>
  <si>
    <t>vicepresident - senior consultant</t>
  </si>
  <si>
    <t>security services executive</t>
  </si>
  <si>
    <t>jacqueline</t>
  </si>
  <si>
    <t>thong</t>
  </si>
  <si>
    <t>hamana</t>
  </si>
  <si>
    <t>executive vice president latin america</t>
  </si>
  <si>
    <t>gluskin</t>
  </si>
  <si>
    <t>rockledge, florida</t>
  </si>
  <si>
    <t>garms</t>
  </si>
  <si>
    <t>managing director, business development</t>
  </si>
  <si>
    <t>eglin</t>
  </si>
  <si>
    <t>vice president, online engagement</t>
  </si>
  <si>
    <t>mcgrory</t>
  </si>
  <si>
    <t>president, cala</t>
  </si>
  <si>
    <t>weiser</t>
  </si>
  <si>
    <t>suleman suli</t>
  </si>
  <si>
    <t>ali</t>
  </si>
  <si>
    <t>hage</t>
  </si>
  <si>
    <t>morabito</t>
  </si>
  <si>
    <t>vp finance - open product management and strategy</t>
  </si>
  <si>
    <t>senior vice president and chief marketing officer</t>
  </si>
  <si>
    <t>aguirre gphr</t>
  </si>
  <si>
    <t>vp of human resources emea and latin america</t>
  </si>
  <si>
    <t>mastovich</t>
  </si>
  <si>
    <t>donais</t>
  </si>
  <si>
    <t>london, canada area</t>
  </si>
  <si>
    <t>ricke</t>
  </si>
  <si>
    <t>centis</t>
  </si>
  <si>
    <t>vp network build</t>
  </si>
  <si>
    <t>ceo/ owner</t>
  </si>
  <si>
    <t>dimauro</t>
  </si>
  <si>
    <t>vice-president, latin american sales</t>
  </si>
  <si>
    <t>jodee</t>
  </si>
  <si>
    <t>flournoy</t>
  </si>
  <si>
    <t>director ecommerce &amp; marketing</t>
  </si>
  <si>
    <t>beraudo</t>
  </si>
  <si>
    <t>evp worldwide sales, gm north america</t>
  </si>
  <si>
    <t>meisel</t>
  </si>
  <si>
    <t>fabian j.</t>
  </si>
  <si>
    <t>co-founder, ceo</t>
  </si>
  <si>
    <t>evert</t>
  </si>
  <si>
    <t>niccolo</t>
  </si>
  <si>
    <t>de masi</t>
  </si>
  <si>
    <t>founder, manager &amp; moderator at</t>
  </si>
  <si>
    <t>barba</t>
  </si>
  <si>
    <t>ceo | cto</t>
  </si>
  <si>
    <t>executive vice president of operations</t>
  </si>
  <si>
    <t>zanyk</t>
  </si>
  <si>
    <t>vp sales - latin america and caribbean</t>
  </si>
  <si>
    <t>scribner</t>
  </si>
  <si>
    <t>talcott smith</t>
  </si>
  <si>
    <t>ceo, master ruby on rails developer and ios developer</t>
  </si>
  <si>
    <t>valencia rivera</t>
  </si>
  <si>
    <t>sisson</t>
  </si>
  <si>
    <t>vice president, media</t>
  </si>
  <si>
    <t>ceo and general creative director</t>
  </si>
  <si>
    <t>miami beach, florida, United States</t>
  </si>
  <si>
    <t>vice president of membership and customer retention marketing at barnes &amp; noble</t>
  </si>
  <si>
    <t>33,3333333333333</t>
  </si>
  <si>
    <t>cazares</t>
  </si>
  <si>
    <t>senior vice president, worldwide sales</t>
  </si>
  <si>
    <t>armistead</t>
  </si>
  <si>
    <t>vice president of product management</t>
  </si>
  <si>
    <t>vice president - senior regional sales manager, global trade &amp; receivables finance</t>
  </si>
  <si>
    <t>maheshwar</t>
  </si>
  <si>
    <t>tiruchinapalli</t>
  </si>
  <si>
    <t>roitberg</t>
  </si>
  <si>
    <t>president &amp; ceo of newlink group</t>
  </si>
  <si>
    <t>bary</t>
  </si>
  <si>
    <t>sfeir</t>
  </si>
  <si>
    <t>mark grant</t>
  </si>
  <si>
    <t>davis esq bahons jdllb mmgt llm</t>
  </si>
  <si>
    <t>principal &amp; managing director</t>
  </si>
  <si>
    <t>lovera</t>
  </si>
  <si>
    <t>reginald ray</t>
  </si>
  <si>
    <t>marketer, sales, ceo</t>
  </si>
  <si>
    <t>svp, client partnerships</t>
  </si>
  <si>
    <t>venice, california, United States</t>
  </si>
  <si>
    <t>glaze</t>
  </si>
  <si>
    <t>dallas, texas, United States</t>
  </si>
  <si>
    <t>tessler</t>
  </si>
  <si>
    <t>rohrer</t>
  </si>
  <si>
    <t>director of business development, north america</t>
  </si>
  <si>
    <t>edgerton</t>
  </si>
  <si>
    <t>trombetta</t>
  </si>
  <si>
    <t>regional vice president of sales</t>
  </si>
  <si>
    <t>svp- office of the cob and ceo</t>
  </si>
  <si>
    <t>goodness</t>
  </si>
  <si>
    <t>bhuvana</t>
  </si>
  <si>
    <t>nagarajan</t>
  </si>
  <si>
    <t>thrower</t>
  </si>
  <si>
    <t>ceo, founder</t>
  </si>
  <si>
    <t>la jolla, california</t>
  </si>
  <si>
    <t>e kilzer</t>
  </si>
  <si>
    <t>kriste</t>
  </si>
  <si>
    <t>kolasa mba pmp itil csm</t>
  </si>
  <si>
    <t>founder || it director | architect | pmp</t>
  </si>
  <si>
    <t>zaslowrethaber</t>
  </si>
  <si>
    <t>sieger</t>
  </si>
  <si>
    <t>pedrotti</t>
  </si>
  <si>
    <t>vice president - gobal consulting services lead</t>
  </si>
  <si>
    <t>skip</t>
  </si>
  <si>
    <t>prather</t>
  </si>
  <si>
    <t>schneid</t>
  </si>
  <si>
    <t>directv business unit manager (cbe)</t>
  </si>
  <si>
    <t>bowie</t>
  </si>
  <si>
    <t>quackenbush</t>
  </si>
  <si>
    <t>gerhard</t>
  </si>
  <si>
    <t>schwandt</t>
  </si>
  <si>
    <t>alexandria, virginia</t>
  </si>
  <si>
    <t>tewari</t>
  </si>
  <si>
    <t>pickett</t>
  </si>
  <si>
    <t>friedman</t>
  </si>
  <si>
    <t>bloom m.s.</t>
  </si>
  <si>
    <t>demarcello</t>
  </si>
  <si>
    <t>principal / vice president</t>
  </si>
  <si>
    <t>miron</t>
  </si>
  <si>
    <t>lulic</t>
  </si>
  <si>
    <t>schwarzinger  invite me</t>
  </si>
  <si>
    <t>sotomayor  open networker  invite me</t>
  </si>
  <si>
    <t>michal mic</t>
  </si>
  <si>
    <t>kitchener, canada area</t>
  </si>
  <si>
    <t>greene</t>
  </si>
  <si>
    <t>handyandy</t>
  </si>
  <si>
    <t>marvin</t>
  </si>
  <si>
    <t>centreville, virginia, United States</t>
  </si>
  <si>
    <t>gottu</t>
  </si>
  <si>
    <t>vice president - operations</t>
  </si>
  <si>
    <t>crcr</t>
  </si>
  <si>
    <t>vp aaham evergreen chapter, active in hfma, naham &amp; aaham - multiple chapters in regions 10 &amp; 11</t>
  </si>
  <si>
    <t>parsons cissp msm</t>
  </si>
  <si>
    <t>ceo, cio, cto, security consultant</t>
  </si>
  <si>
    <t>35,92</t>
  </si>
  <si>
    <t>michael v</t>
  </si>
  <si>
    <t>michalski</t>
  </si>
  <si>
    <t>rein</t>
  </si>
  <si>
    <t>mcmurray</t>
  </si>
  <si>
    <t>social media chief technical officer - cto</t>
  </si>
  <si>
    <t>rempel</t>
  </si>
  <si>
    <t>lena hunt</t>
  </si>
  <si>
    <t>seo writing online marketing mobile mktg</t>
  </si>
  <si>
    <t>ohrenberger</t>
  </si>
  <si>
    <t>sumit</t>
  </si>
  <si>
    <t>panjabi</t>
  </si>
  <si>
    <t>cordero</t>
  </si>
  <si>
    <t>owner, chairman &amp; ceo</t>
  </si>
  <si>
    <t>coo, co-founder and game designer</t>
  </si>
  <si>
    <t>mimi</t>
  </si>
  <si>
    <t>gigoux</t>
  </si>
  <si>
    <t>ceo, chief catalyst &amp; sales trainer</t>
  </si>
  <si>
    <t>baydin</t>
  </si>
  <si>
    <t>befera</t>
  </si>
  <si>
    <t>cto/new media</t>
  </si>
  <si>
    <t>winter garden, florida</t>
  </si>
  <si>
    <t>layne</t>
  </si>
  <si>
    <t>davlin peo employeeleasing payroll</t>
  </si>
  <si>
    <t>founder &amp; ceo (payroll services) hr outsourcing peo</t>
  </si>
  <si>
    <t>deremiens</t>
  </si>
  <si>
    <t>founder | senior project manager</t>
  </si>
  <si>
    <t>durnhofer</t>
  </si>
  <si>
    <t>etay</t>
  </si>
  <si>
    <t>gafni</t>
  </si>
  <si>
    <t>debbie</t>
  </si>
  <si>
    <t>bingham</t>
  </si>
  <si>
    <t>nassi</t>
  </si>
  <si>
    <t>brauner</t>
  </si>
  <si>
    <t>vice president, marketing communications</t>
  </si>
  <si>
    <t>khanna</t>
  </si>
  <si>
    <t>taft</t>
  </si>
  <si>
    <t>hoehn</t>
  </si>
  <si>
    <t>conley</t>
  </si>
  <si>
    <t>craswell</t>
  </si>
  <si>
    <t>vice president, mobile applications</t>
  </si>
  <si>
    <t>tompkins</t>
  </si>
  <si>
    <t>monty</t>
  </si>
  <si>
    <t>senior director, corporate development</t>
  </si>
  <si>
    <t>darwin</t>
  </si>
  <si>
    <t>hanson</t>
  </si>
  <si>
    <t>deyoung</t>
  </si>
  <si>
    <t>shrikant</t>
  </si>
  <si>
    <t>lohokare ph.d.</t>
  </si>
  <si>
    <t>gershik</t>
  </si>
  <si>
    <t>douenias</t>
  </si>
  <si>
    <t>von kenric</t>
  </si>
  <si>
    <t>kaneshiro</t>
  </si>
  <si>
    <t>vice president smb operations and strategy</t>
  </si>
  <si>
    <t>shelby</t>
  </si>
  <si>
    <t>group manager, intuit payments web/mobile marketing</t>
  </si>
  <si>
    <t>pleasanton, california</t>
  </si>
  <si>
    <t>flake</t>
  </si>
  <si>
    <t>wyllie</t>
  </si>
  <si>
    <t>gilles gil</t>
  </si>
  <si>
    <t>aouizerat</t>
  </si>
  <si>
    <t>huntington beach, california</t>
  </si>
  <si>
    <t>haig</t>
  </si>
  <si>
    <t>kayserian</t>
  </si>
  <si>
    <t>crowther</t>
  </si>
  <si>
    <t>klesitz</t>
  </si>
  <si>
    <t>kosch</t>
  </si>
  <si>
    <t>chairman and co-founder</t>
  </si>
  <si>
    <t>herb</t>
  </si>
  <si>
    <t>kraft</t>
  </si>
  <si>
    <t>krafft ph.d. candidate mba ba hons</t>
  </si>
  <si>
    <t>lopezseco</t>
  </si>
  <si>
    <t>deerfield beach, florida</t>
  </si>
  <si>
    <t>cooper pmp</t>
  </si>
  <si>
    <t>owner and author</t>
  </si>
  <si>
    <t>northcutt</t>
  </si>
  <si>
    <t>fodell mott</t>
  </si>
  <si>
    <t>suzan</t>
  </si>
  <si>
    <t>newman phd</t>
  </si>
  <si>
    <t>misra</t>
  </si>
  <si>
    <t>cloud development strategies</t>
  </si>
  <si>
    <t>oliva mba  marketing strategist</t>
  </si>
  <si>
    <t>sarkis</t>
  </si>
  <si>
    <t>karayan</t>
  </si>
  <si>
    <t>president / consultant</t>
  </si>
  <si>
    <t>executive vice president of sales | sms text marketing | yellow pages</t>
  </si>
  <si>
    <t>benoit</t>
  </si>
  <si>
    <t>pecqueur</t>
  </si>
  <si>
    <t>after 3 years of retirement, time to get back in the game</t>
  </si>
  <si>
    <t>31,32</t>
  </si>
  <si>
    <t>zabroski</t>
  </si>
  <si>
    <t>director of channel management</t>
  </si>
  <si>
    <t>mcdougal</t>
  </si>
  <si>
    <t>des moines, iowa</t>
  </si>
  <si>
    <t>snell</t>
  </si>
  <si>
    <t>vice president &amp; general manager, americas</t>
  </si>
  <si>
    <t>technology global channels and regional vice president</t>
  </si>
  <si>
    <t>director of sales - north america</t>
  </si>
  <si>
    <t>rvp west</t>
  </si>
  <si>
    <t>hensz</t>
  </si>
  <si>
    <t>kurner</t>
  </si>
  <si>
    <t>principle/sales</t>
  </si>
  <si>
    <t>jr</t>
  </si>
  <si>
    <t>dew</t>
  </si>
  <si>
    <t>bowerman</t>
  </si>
  <si>
    <t>worrell</t>
  </si>
  <si>
    <t>juhasz</t>
  </si>
  <si>
    <t>hujik</t>
  </si>
  <si>
    <t>it manager / sales engineer</t>
  </si>
  <si>
    <t>harding</t>
  </si>
  <si>
    <t>mckinley cloudmanaged services</t>
  </si>
  <si>
    <t>regional sales manager - unified communications platform, messaging software solutions</t>
  </si>
  <si>
    <t>31,08</t>
  </si>
  <si>
    <t>regional vice president, sales</t>
  </si>
  <si>
    <t>gunther</t>
  </si>
  <si>
    <t>vp sales, federal</t>
  </si>
  <si>
    <t>mclean, virginia</t>
  </si>
  <si>
    <t>carson</t>
  </si>
  <si>
    <t>combs</t>
  </si>
  <si>
    <t>chattanooga, tennessee area, united states</t>
  </si>
  <si>
    <t>kneller</t>
  </si>
  <si>
    <t>punta gorda, florida area, united states</t>
  </si>
  <si>
    <t>sansone</t>
  </si>
  <si>
    <t>dickman</t>
  </si>
  <si>
    <t>vice president / general manager, global sales</t>
  </si>
  <si>
    <t>howorth</t>
  </si>
  <si>
    <t>area vice president global services</t>
  </si>
  <si>
    <t>phythian</t>
  </si>
  <si>
    <t>s robert</t>
  </si>
  <si>
    <t>founder &amp; ceo - president</t>
  </si>
  <si>
    <t>schonewolf</t>
  </si>
  <si>
    <t>pensacola, florida area, united states, United States</t>
  </si>
  <si>
    <t>silver talenfeld</t>
  </si>
  <si>
    <t>rasciel</t>
  </si>
  <si>
    <t>socarras</t>
  </si>
  <si>
    <t>stayton</t>
  </si>
  <si>
    <t>studdard</t>
  </si>
  <si>
    <t>co-founder &amp; managing partner</t>
  </si>
  <si>
    <t>ulibarri</t>
  </si>
  <si>
    <t>trent</t>
  </si>
  <si>
    <t>voigt</t>
  </si>
  <si>
    <t>vice president of the americas</t>
  </si>
  <si>
    <t>omara</t>
  </si>
  <si>
    <t>east coast recruiting leader, aws</t>
  </si>
  <si>
    <t>reza garduño</t>
  </si>
  <si>
    <t>anderholt</t>
  </si>
  <si>
    <t>svp colocation global operations north america &amp; latam regions</t>
  </si>
  <si>
    <t>alegria</t>
  </si>
  <si>
    <t>director mexico and latin america / country manager, mexico /senior sales rep</t>
  </si>
  <si>
    <t>auren</t>
  </si>
  <si>
    <t>chun</t>
  </si>
  <si>
    <t>entrepreneur-in-residence</t>
  </si>
  <si>
    <t>abrams</t>
  </si>
  <si>
    <t>ceo / owner</t>
  </si>
  <si>
    <t>alarco vallucci</t>
  </si>
  <si>
    <t>vice-president &amp; general manager, international</t>
  </si>
  <si>
    <t>bauer lion ruonoutlook.com</t>
  </si>
  <si>
    <t>senior vice president &amp; general manager platform</t>
  </si>
  <si>
    <t>bourque</t>
  </si>
  <si>
    <t>crigger</t>
  </si>
  <si>
    <t>nielsen</t>
  </si>
  <si>
    <t>co-founder, unconference creator</t>
  </si>
  <si>
    <t>klaus</t>
  </si>
  <si>
    <t>raneri</t>
  </si>
  <si>
    <t>mccalla</t>
  </si>
  <si>
    <t>ma</t>
  </si>
  <si>
    <t>omanoff</t>
  </si>
  <si>
    <t>mcclure brmechotouch.com</t>
  </si>
  <si>
    <t>primiani</t>
  </si>
  <si>
    <t>rodger</t>
  </si>
  <si>
    <t>desai</t>
  </si>
  <si>
    <t>co-founder/ ceo</t>
  </si>
  <si>
    <t>shira</t>
  </si>
  <si>
    <t>merguerian</t>
  </si>
  <si>
    <t>herman</t>
  </si>
  <si>
    <t>vice president, corporate communications &amp; customer marketing</t>
  </si>
  <si>
    <t>ronen</t>
  </si>
  <si>
    <t>gow</t>
  </si>
  <si>
    <t>co-founder &amp; board director</t>
  </si>
  <si>
    <t>gansky</t>
  </si>
  <si>
    <t>orit</t>
  </si>
  <si>
    <t>keren</t>
  </si>
  <si>
    <t>president/ceo of okt corp travel management</t>
  </si>
  <si>
    <t>thauvin</t>
  </si>
  <si>
    <t>solomon</t>
  </si>
  <si>
    <t>vice president north america videogaming</t>
  </si>
  <si>
    <t>pirillo</t>
  </si>
  <si>
    <t>may</t>
  </si>
  <si>
    <t>drabkin</t>
  </si>
  <si>
    <t>vp, online marketing and business development</t>
  </si>
  <si>
    <t>taber</t>
  </si>
  <si>
    <t>bijoy</t>
  </si>
  <si>
    <t>cofounder &amp; evangelist</t>
  </si>
  <si>
    <t>kevin d.</t>
  </si>
  <si>
    <t>vikki</t>
  </si>
  <si>
    <t>pachera</t>
  </si>
  <si>
    <t>giancarlo</t>
  </si>
  <si>
    <t>mori</t>
  </si>
  <si>
    <t>evp product development</t>
  </si>
  <si>
    <t>massaker</t>
  </si>
  <si>
    <t>rosenblum</t>
  </si>
  <si>
    <t>baliff</t>
  </si>
  <si>
    <t>owner | president</t>
  </si>
  <si>
    <t>shue</t>
  </si>
  <si>
    <t>younger</t>
  </si>
  <si>
    <t>board member and co-founder</t>
  </si>
  <si>
    <t>larkspur, california</t>
  </si>
  <si>
    <t>jeffrey b.</t>
  </si>
  <si>
    <t>reeves</t>
  </si>
  <si>
    <t>chief human resources officer &amp; executive, vice president</t>
  </si>
  <si>
    <t>lochridge</t>
  </si>
  <si>
    <t>ellenton, florida</t>
  </si>
  <si>
    <t>neelbauer</t>
  </si>
  <si>
    <t>co-founder, ceo &amp; chairman</t>
  </si>
  <si>
    <t>lawson iii</t>
  </si>
  <si>
    <t>lou</t>
  </si>
  <si>
    <t>montulli</t>
  </si>
  <si>
    <t>krista</t>
  </si>
  <si>
    <t>bradford</t>
  </si>
  <si>
    <t>george r</t>
  </si>
  <si>
    <t>jensen jr</t>
  </si>
  <si>
    <t>founder | vp software engineering</t>
  </si>
  <si>
    <t>riazanska</t>
  </si>
  <si>
    <t>co-founder, marketing and sales manager</t>
  </si>
  <si>
    <t>taneja</t>
  </si>
  <si>
    <t>bobby</t>
  </si>
  <si>
    <t>alverts</t>
  </si>
  <si>
    <t>noerr</t>
  </si>
  <si>
    <t>avp, sales and operations</t>
  </si>
  <si>
    <t>putnam</t>
  </si>
  <si>
    <t>vice president of sales / general manager for the americas</t>
  </si>
  <si>
    <t>ouellette</t>
  </si>
  <si>
    <t>36,18</t>
  </si>
  <si>
    <t>bruce j.</t>
  </si>
  <si>
    <t>trimbur leed ap bdc  lc  ies</t>
  </si>
  <si>
    <t>director - national accounts + north carolina representative</t>
  </si>
  <si>
    <t>cornelius, north carolina</t>
  </si>
  <si>
    <t>greenwood</t>
  </si>
  <si>
    <t>asiaf</t>
  </si>
  <si>
    <t>ahuja</t>
  </si>
  <si>
    <t>lena</t>
  </si>
  <si>
    <t>packaging equipment president - packaging films sales director</t>
  </si>
  <si>
    <t>darby</t>
  </si>
  <si>
    <t>c.j.</t>
  </si>
  <si>
    <t>hauptmeier</t>
  </si>
  <si>
    <t>bazeley</t>
  </si>
  <si>
    <t>morrissey</t>
  </si>
  <si>
    <t>illango</t>
  </si>
  <si>
    <t>dhandayudham ingo</t>
  </si>
  <si>
    <t>kornfeld</t>
  </si>
  <si>
    <t>vice president/area sales manager</t>
  </si>
  <si>
    <t>partner - executive vice president</t>
  </si>
  <si>
    <t>farst  sales  marketing consultant</t>
  </si>
  <si>
    <t>jimenez iii</t>
  </si>
  <si>
    <t>global sap practice | global industry solution |  global sap deal solutioning  | sap sales/presales</t>
  </si>
  <si>
    <t>alan w.</t>
  </si>
  <si>
    <t>sipe</t>
  </si>
  <si>
    <t>president and general manager</t>
  </si>
  <si>
    <t>connolly</t>
  </si>
  <si>
    <t>solutions sales manager latam at microsoft and computer software consultant</t>
  </si>
  <si>
    <t>gozdor</t>
  </si>
  <si>
    <t>luckey</t>
  </si>
  <si>
    <t>senior account manager - channel sales at black box network services</t>
  </si>
  <si>
    <t>31,1</t>
  </si>
  <si>
    <t>co-founder and executive director</t>
  </si>
  <si>
    <t>iem</t>
  </si>
  <si>
    <t>adamaitis</t>
  </si>
  <si>
    <t>area vice president of sales</t>
  </si>
  <si>
    <t>manager of sales new business- north america</t>
  </si>
  <si>
    <t>teague</t>
  </si>
  <si>
    <t>central regional sales manager</t>
  </si>
  <si>
    <t>hyland</t>
  </si>
  <si>
    <t>springfield, massachusetts area, united states, United States</t>
  </si>
  <si>
    <t>jennie l.</t>
  </si>
  <si>
    <t>boeckmann</t>
  </si>
  <si>
    <t>brinks</t>
  </si>
  <si>
    <t>director of marketing - managed services</t>
  </si>
  <si>
    <t>connelly</t>
  </si>
  <si>
    <t>weissleder</t>
  </si>
  <si>
    <t>durand</t>
  </si>
  <si>
    <t>founder, chairman &amp; ceo</t>
  </si>
  <si>
    <t>souheil</t>
  </si>
  <si>
    <t>badran</t>
  </si>
  <si>
    <t>svp &amp; gm</t>
  </si>
  <si>
    <t>lizun</t>
  </si>
  <si>
    <t>senior vice president - public relations</t>
  </si>
  <si>
    <t>ostrow</t>
  </si>
  <si>
    <t>ceo &amp; publisher</t>
  </si>
  <si>
    <t>mathison</t>
  </si>
  <si>
    <t>koehn</t>
  </si>
  <si>
    <t>vp of product management for oracle cloud taleo learn</t>
  </si>
  <si>
    <t>gion</t>
  </si>
  <si>
    <t>vice president business solutions</t>
  </si>
  <si>
    <t>dwayne</t>
  </si>
  <si>
    <t>spradlin</t>
  </si>
  <si>
    <t>barrall</t>
  </si>
  <si>
    <t>dubinsky</t>
  </si>
  <si>
    <t>hytry derrington</t>
  </si>
  <si>
    <t>interim ceo</t>
  </si>
  <si>
    <t>two rivers, wisconsin</t>
  </si>
  <si>
    <t>downey</t>
  </si>
  <si>
    <t>edward m.</t>
  </si>
  <si>
    <t>bender</t>
  </si>
  <si>
    <t>spec ops / grand ambassador to the cloud</t>
  </si>
  <si>
    <t>lebrun</t>
  </si>
  <si>
    <t>clements</t>
  </si>
  <si>
    <t>president tyco vertical markets; chief technology officer tyco international</t>
  </si>
  <si>
    <t>gruebele</t>
  </si>
  <si>
    <t>ceo &amp; portfolio manager</t>
  </si>
  <si>
    <t>senior vice president - worldwide channels, services &amp; support</t>
  </si>
  <si>
    <t>jamison</t>
  </si>
  <si>
    <t>celia</t>
  </si>
  <si>
    <t>eliot eli</t>
  </si>
  <si>
    <t>neumann</t>
  </si>
  <si>
    <t>vice president of global security engineers</t>
  </si>
  <si>
    <t>tiemann</t>
  </si>
  <si>
    <t>board advisor</t>
  </si>
  <si>
    <t>helcio</t>
  </si>
  <si>
    <t>nobre</t>
  </si>
  <si>
    <t>avinash</t>
  </si>
  <si>
    <t>kaushik</t>
  </si>
  <si>
    <t>geoffrey</t>
  </si>
  <si>
    <t>berneck</t>
  </si>
  <si>
    <t>inside sales &amp; telebusiness executive</t>
  </si>
  <si>
    <t>executive vice president and chief technology officer</t>
  </si>
  <si>
    <t>ved prakash</t>
  </si>
  <si>
    <t>32,69</t>
  </si>
  <si>
    <t>jayaraman raghu</t>
  </si>
  <si>
    <t>raghuraman</t>
  </si>
  <si>
    <t>duleepa dups</t>
  </si>
  <si>
    <t>wijayawardhana</t>
  </si>
  <si>
    <t>jeana</t>
  </si>
  <si>
    <t>zirolikobielsky</t>
  </si>
  <si>
    <t>http://www.linkedin.com/pub/dir/Jeana/Ziroli-kobielsky (949) 233-5635</t>
  </si>
  <si>
    <t>vice president, sales and operations</t>
  </si>
  <si>
    <t>mcmurdo</t>
  </si>
  <si>
    <t>david allen</t>
  </si>
  <si>
    <t>ibsen</t>
  </si>
  <si>
    <t>popovic</t>
  </si>
  <si>
    <t>wyatt</t>
  </si>
  <si>
    <t>glynwilliams</t>
  </si>
  <si>
    <t>founder - ceo</t>
  </si>
  <si>
    <t>decrem</t>
  </si>
  <si>
    <t>svp &amp; gm, disney mobile</t>
  </si>
  <si>
    <t>spangler ii</t>
  </si>
  <si>
    <t>steve  jaklina</t>
  </si>
  <si>
    <t>abigail</t>
  </si>
  <si>
    <t>joerin</t>
  </si>
  <si>
    <t>marlow, buckinghamshire, united kingdom</t>
  </si>
  <si>
    <t>roger dean</t>
  </si>
  <si>
    <t>huffstetler</t>
  </si>
  <si>
    <t>co-founder and coo</t>
  </si>
  <si>
    <t>ashcroft</t>
  </si>
  <si>
    <t>usa and canada sales director / general manager arteche usa</t>
  </si>
  <si>
    <t>rahn</t>
  </si>
  <si>
    <t>manager of channel sales, eastern region</t>
  </si>
  <si>
    <t>wahl</t>
  </si>
  <si>
    <t>sales development manager - cast iron / ibm</t>
  </si>
  <si>
    <t>setlak</t>
  </si>
  <si>
    <t>shepard</t>
  </si>
  <si>
    <t>errol</t>
  </si>
  <si>
    <t>wirasinghe ph.d.</t>
  </si>
  <si>
    <t>magnes</t>
  </si>
  <si>
    <t>gale</t>
  </si>
  <si>
    <t>caselton</t>
  </si>
  <si>
    <t>bemis</t>
  </si>
  <si>
    <t>kirti</t>
  </si>
  <si>
    <t>vashee</t>
  </si>
  <si>
    <t>emerton</t>
  </si>
  <si>
    <t>sr. delivery director, utilities global business unit - americas</t>
  </si>
  <si>
    <t>asnes</t>
  </si>
  <si>
    <t>mironov</t>
  </si>
  <si>
    <t>seasoned product executive, start-up entrepreneur, author and technologist</t>
  </si>
  <si>
    <t>31,5</t>
  </si>
  <si>
    <t>krovi</t>
  </si>
  <si>
    <t>mandosa</t>
  </si>
  <si>
    <t>orler</t>
  </si>
  <si>
    <t>crofton</t>
  </si>
  <si>
    <t>eschelbeck</t>
  </si>
  <si>
    <t>cto &amp; svp</t>
  </si>
  <si>
    <t>barrington, illinois</t>
  </si>
  <si>
    <t>oneal</t>
  </si>
  <si>
    <t>director of staffing</t>
  </si>
  <si>
    <t>rasmussen</t>
  </si>
  <si>
    <t>vp engineering</t>
  </si>
  <si>
    <t>dima</t>
  </si>
  <si>
    <t>melnik</t>
  </si>
  <si>
    <t>vice president, sap rapid deployment solutions</t>
  </si>
  <si>
    <t>vp marketing &amp; product management</t>
  </si>
  <si>
    <t>sebastien</t>
  </si>
  <si>
    <t>provencher</t>
  </si>
  <si>
    <t>conru</t>
  </si>
  <si>
    <t>staenberg</t>
  </si>
  <si>
    <t>founder and el jefe</t>
  </si>
  <si>
    <t>muoto</t>
  </si>
  <si>
    <t>co-founder, former vp marketing, board member</t>
  </si>
  <si>
    <t>sowers</t>
  </si>
  <si>
    <t>cerda</t>
  </si>
  <si>
    <t>senior vice president of product &amp; technology</t>
  </si>
  <si>
    <t>eisenhauer</t>
  </si>
  <si>
    <t>robert m.cohen</t>
  </si>
  <si>
    <t>bba mba dba</t>
  </si>
  <si>
    <t>haykin</t>
  </si>
  <si>
    <t>ma kissling</t>
  </si>
  <si>
    <t>raji</t>
  </si>
  <si>
    <t>conn</t>
  </si>
  <si>
    <t>amnon</t>
  </si>
  <si>
    <t>aliphas</t>
  </si>
  <si>
    <t>darrin alex</t>
  </si>
  <si>
    <t>fallon</t>
  </si>
  <si>
    <t>global director of strategic marketing</t>
  </si>
  <si>
    <t>portland, oregon, United States</t>
  </si>
  <si>
    <t>39,17</t>
  </si>
  <si>
    <t>farrell</t>
  </si>
  <si>
    <t>weekly</t>
  </si>
  <si>
    <t>huckaby</t>
  </si>
  <si>
    <t>chairman / founder</t>
  </si>
  <si>
    <t>augusto savio</t>
  </si>
  <si>
    <t>founder, lead developer</t>
  </si>
  <si>
    <t>blount</t>
  </si>
  <si>
    <t>vice president of software development</t>
  </si>
  <si>
    <t>mulvihill</t>
  </si>
  <si>
    <t>guillaume</t>
  </si>
  <si>
    <t>vives</t>
  </si>
  <si>
    <t>sr. vp professional services</t>
  </si>
  <si>
    <t>gasco</t>
  </si>
  <si>
    <t>rosin</t>
  </si>
  <si>
    <t>vp &amp; gm, business development, skype division</t>
  </si>
  <si>
    <t>seamus</t>
  </si>
  <si>
    <t>mcateer</t>
  </si>
  <si>
    <t>vice president, global services and support</t>
  </si>
  <si>
    <t>peele</t>
  </si>
  <si>
    <t>co-founder, time adjuster</t>
  </si>
  <si>
    <t>genkin</t>
  </si>
  <si>
    <t>sarasota, florida area, united states, United States</t>
  </si>
  <si>
    <t>gerry</t>
  </si>
  <si>
    <t>glynn</t>
  </si>
  <si>
    <t>jacksonville beach, florida, United States</t>
  </si>
  <si>
    <t>vice president, membership &amp; marketing</t>
  </si>
  <si>
    <t>crane</t>
  </si>
  <si>
    <t>vice president, global business development</t>
  </si>
  <si>
    <t>adriaan</t>
  </si>
  <si>
    <t>theron</t>
  </si>
  <si>
    <t>gunell</t>
  </si>
  <si>
    <t>silona</t>
  </si>
  <si>
    <t>bonewald</t>
  </si>
  <si>
    <t>co-founder producer</t>
  </si>
  <si>
    <t>vice president marketing</t>
  </si>
  <si>
    <t>mapstead</t>
  </si>
  <si>
    <t>vice president, world wide sales</t>
  </si>
  <si>
    <t>clapper</t>
  </si>
  <si>
    <t>gissiner</t>
  </si>
  <si>
    <t>gonda</t>
  </si>
  <si>
    <t>hampton</t>
  </si>
  <si>
    <t>vice president product management - identity, content and cloud security</t>
  </si>
  <si>
    <t>gerba</t>
  </si>
  <si>
    <t>scottsdale, arizona, United States</t>
  </si>
  <si>
    <t>svp advertising effectiveness</t>
  </si>
  <si>
    <t>rosti</t>
  </si>
  <si>
    <t>vp, search engine marketing</t>
  </si>
  <si>
    <t>waddell</t>
  </si>
  <si>
    <t>vice president, unified communications and collaborations civilian group sales</t>
  </si>
  <si>
    <t>deb</t>
  </si>
  <si>
    <t>vp, sales &amp; marketing operations</t>
  </si>
  <si>
    <t>durbin</t>
  </si>
  <si>
    <t>social media headhunter</t>
  </si>
  <si>
    <t>francine</t>
  </si>
  <si>
    <t>bacchini</t>
  </si>
  <si>
    <t>jatin</t>
  </si>
  <si>
    <t>maniar</t>
  </si>
  <si>
    <t>mary hope</t>
  </si>
  <si>
    <t>mcquiston</t>
  </si>
  <si>
    <t>safe</t>
  </si>
  <si>
    <t>director oem - americas</t>
  </si>
  <si>
    <t>burlingame, california, United States</t>
  </si>
  <si>
    <t>ceo of domestic affairs</t>
  </si>
  <si>
    <t>male</t>
  </si>
  <si>
    <t>gonsenhauser</t>
  </si>
  <si>
    <t>senior vice president, chief marketing officer</t>
  </si>
  <si>
    <t>lan</t>
  </si>
  <si>
    <t>ranieri a</t>
  </si>
  <si>
    <t>mestroni</t>
  </si>
  <si>
    <t>entrepreneur, it executive</t>
  </si>
  <si>
    <t>donoghue</t>
  </si>
  <si>
    <t>president - integration developer news</t>
  </si>
  <si>
    <t>noderer</t>
  </si>
  <si>
    <t>gerland</t>
  </si>
  <si>
    <t>clarence center, new york</t>
  </si>
  <si>
    <t>regional sales manager enterprise business</t>
  </si>
  <si>
    <t>wayne c</t>
  </si>
  <si>
    <t>tighe</t>
  </si>
  <si>
    <t>vice president sales, tridium inc.</t>
  </si>
  <si>
    <t>37,5</t>
  </si>
  <si>
    <t>dowd</t>
  </si>
  <si>
    <t>central u.s. regional sales manager</t>
  </si>
  <si>
    <t>manager pre-sales se team, vplex /recoverpoint pre-sales specialist</t>
  </si>
  <si>
    <t>de rose</t>
  </si>
  <si>
    <t>ceo / operational management</t>
  </si>
  <si>
    <t>30,2263157894737</t>
  </si>
  <si>
    <t>scymanski</t>
  </si>
  <si>
    <t>founder and lead strategest.</t>
  </si>
  <si>
    <t>degnan</t>
  </si>
  <si>
    <t>vp western region</t>
  </si>
  <si>
    <t>redwood city, california</t>
  </si>
  <si>
    <t>keegan</t>
  </si>
  <si>
    <t>chagnon</t>
  </si>
  <si>
    <t>connally</t>
  </si>
  <si>
    <t>devito</t>
  </si>
  <si>
    <t>vice president sales west region</t>
  </si>
  <si>
    <t>hilari titia</t>
  </si>
  <si>
    <t>vice president-co founder</t>
  </si>
  <si>
    <t>forde</t>
  </si>
  <si>
    <t>stafford</t>
  </si>
  <si>
    <t>ghosal</t>
  </si>
  <si>
    <t>engagement manager/account manager mid west region</t>
  </si>
  <si>
    <t>garner</t>
  </si>
  <si>
    <t>behrend</t>
  </si>
  <si>
    <t>zuriel</t>
  </si>
  <si>
    <t>agurto</t>
  </si>
  <si>
    <t>avp- senior operations manager</t>
  </si>
  <si>
    <t>tuma</t>
  </si>
  <si>
    <t>area vp of sales</t>
  </si>
  <si>
    <t>ewalt</t>
  </si>
  <si>
    <t>vice president / co-owner / founder</t>
  </si>
  <si>
    <t>fleckner</t>
  </si>
  <si>
    <t>national enterprise data management sales director</t>
  </si>
  <si>
    <t>cienian</t>
  </si>
  <si>
    <t>vice president, operations for mach 1 development</t>
  </si>
  <si>
    <t>colbert</t>
  </si>
  <si>
    <t>vice president, north american sales</t>
  </si>
  <si>
    <t>burns sr.</t>
  </si>
  <si>
    <t>moe</t>
  </si>
  <si>
    <t>mathews</t>
  </si>
  <si>
    <t>owner/manager</t>
  </si>
  <si>
    <t>imbault</t>
  </si>
  <si>
    <t>previte</t>
  </si>
  <si>
    <t>weisman</t>
  </si>
  <si>
    <t>director of projects and project it</t>
  </si>
  <si>
    <t>ricardo antonio</t>
  </si>
  <si>
    <t>nicoud</t>
  </si>
  <si>
    <t>kainth prince</t>
  </si>
  <si>
    <t>john jj</t>
  </si>
  <si>
    <t>kuper</t>
  </si>
  <si>
    <t>sales manager and managing partner</t>
  </si>
  <si>
    <t>bradley e.</t>
  </si>
  <si>
    <t>hodge</t>
  </si>
  <si>
    <t>mortgage advisor</t>
  </si>
  <si>
    <t>rancho cucamonga, california</t>
  </si>
  <si>
    <t>krutsinger</t>
  </si>
  <si>
    <t>division vice president</t>
  </si>
  <si>
    <t>natalie</t>
  </si>
  <si>
    <t>minh</t>
  </si>
  <si>
    <t>centrella</t>
  </si>
  <si>
    <t>rain making executive</t>
  </si>
  <si>
    <t>maddock</t>
  </si>
  <si>
    <t>vice president - sales executive and relationship manager for latin america and caribbean</t>
  </si>
  <si>
    <t>hansen</t>
  </si>
  <si>
    <t>columbus, ohio, United States</t>
  </si>
  <si>
    <t>ping</t>
  </si>
  <si>
    <t>glennon</t>
  </si>
  <si>
    <t>general manager - u.s.</t>
  </si>
  <si>
    <t>abramsmelman</t>
  </si>
  <si>
    <t>jarrett</t>
  </si>
  <si>
    <t>co-founder &amp; advisor</t>
  </si>
  <si>
    <t>riggs</t>
  </si>
  <si>
    <t>eckelberry</t>
  </si>
  <si>
    <t>debecker</t>
  </si>
  <si>
    <t>ceo &amp; founder of find-and-meet.com</t>
  </si>
  <si>
    <t>jourdier</t>
  </si>
  <si>
    <t>ceo &amp; partner</t>
  </si>
  <si>
    <t>jenik</t>
  </si>
  <si>
    <t>president / co-founder</t>
  </si>
  <si>
    <t>eugene, oregon area, united states</t>
  </si>
  <si>
    <t>buscher</t>
  </si>
  <si>
    <t>lafferty</t>
  </si>
  <si>
    <t>scholl</t>
  </si>
  <si>
    <t>founder | business development sales manager</t>
  </si>
  <si>
    <t>ritchie</t>
  </si>
  <si>
    <t>regional sales manager - eastern united states</t>
  </si>
  <si>
    <t>piluso</t>
  </si>
  <si>
    <t>productivity sales manager</t>
  </si>
  <si>
    <t>fletcher</t>
  </si>
  <si>
    <t>previn</t>
  </si>
  <si>
    <t>delmolino</t>
  </si>
  <si>
    <t>sales career guide</t>
  </si>
  <si>
    <t>kumar ak</t>
  </si>
  <si>
    <t>fotoohi</t>
  </si>
  <si>
    <t>ceferino cef</t>
  </si>
  <si>
    <t>coy</t>
  </si>
  <si>
    <t>sales director and partner manager at new horizons computer learning centers</t>
  </si>
  <si>
    <t>louis m.</t>
  </si>
  <si>
    <t>morrone r.t.</t>
  </si>
  <si>
    <t>frase</t>
  </si>
  <si>
    <t>atkinson</t>
  </si>
  <si>
    <t>vp sales engineering, project manager, sales, operations</t>
  </si>
  <si>
    <t>huryn</t>
  </si>
  <si>
    <t>senior manager, sales engineering productivity</t>
  </si>
  <si>
    <t>provo, utah area, united states, United States</t>
  </si>
  <si>
    <t>deanna</t>
  </si>
  <si>
    <t>customer service &amp; support manager 2</t>
  </si>
  <si>
    <t>kesler</t>
  </si>
  <si>
    <t>hortel</t>
  </si>
  <si>
    <t>founder and head creative</t>
  </si>
  <si>
    <t>cincinnati, ohio</t>
  </si>
  <si>
    <t>driest</t>
  </si>
  <si>
    <t>vice president and general manager</t>
  </si>
  <si>
    <t>35,31</t>
  </si>
  <si>
    <t>andrew cordell cpc</t>
  </si>
  <si>
    <t>resnick</t>
  </si>
  <si>
    <t>founder, president, board member</t>
  </si>
  <si>
    <t>wendell</t>
  </si>
  <si>
    <t>global vice president of sales</t>
  </si>
  <si>
    <t>arlington, texas</t>
  </si>
  <si>
    <t>bush</t>
  </si>
  <si>
    <t>co-founder, vp business development, erp consulting</t>
  </si>
  <si>
    <t>ottawa, canada area</t>
  </si>
  <si>
    <t>jan paul</t>
  </si>
  <si>
    <t>roodbol</t>
  </si>
  <si>
    <t>vice president: corporate treasury: international capital management</t>
  </si>
  <si>
    <t>hoke mba pmp</t>
  </si>
  <si>
    <t>vice president, global it</t>
  </si>
  <si>
    <t>groleau</t>
  </si>
  <si>
    <t>pravir</t>
  </si>
  <si>
    <t>malik</t>
  </si>
  <si>
    <t>berkeley, california, United States</t>
  </si>
  <si>
    <t>rallon</t>
  </si>
  <si>
    <t>assistant vice-president, consulting and deals, infrastructure and project finance</t>
  </si>
  <si>
    <t>hagit</t>
  </si>
  <si>
    <t>glickman</t>
  </si>
  <si>
    <t>svp, technology partnerships</t>
  </si>
  <si>
    <t>manorville, new york, United States</t>
  </si>
  <si>
    <t>kirsten</t>
  </si>
  <si>
    <t>osolind</t>
  </si>
  <si>
    <t>moesta</t>
  </si>
  <si>
    <t>carmichael</t>
  </si>
  <si>
    <t>malcolmson</t>
  </si>
  <si>
    <t>lily</t>
  </si>
  <si>
    <t>yeoh cissp cbcp</t>
  </si>
  <si>
    <t>saumier tim.saumiertyges.com</t>
  </si>
  <si>
    <t>vak</t>
  </si>
  <si>
    <t>sambath</t>
  </si>
  <si>
    <t>cofounder/principal managing director</t>
  </si>
  <si>
    <t>rudychev</t>
  </si>
  <si>
    <t>aleksandra</t>
  </si>
  <si>
    <t>darrah</t>
  </si>
  <si>
    <t>schreiman</t>
  </si>
  <si>
    <t>upton</t>
  </si>
  <si>
    <t>dewald</t>
  </si>
  <si>
    <t>fiveson</t>
  </si>
  <si>
    <t>board member &amp; vice president</t>
  </si>
  <si>
    <t>braz</t>
  </si>
  <si>
    <t>longwood, florida, United States</t>
  </si>
  <si>
    <t>whitney</t>
  </si>
  <si>
    <t>director of marketing, communities</t>
  </si>
  <si>
    <t>dau</t>
  </si>
  <si>
    <t>managing partner - telecommunications, media and entertainment</t>
  </si>
  <si>
    <t>irvine</t>
  </si>
  <si>
    <t>founder,</t>
  </si>
  <si>
    <t>38,25</t>
  </si>
  <si>
    <t>frank abrams</t>
  </si>
  <si>
    <t>limena</t>
  </si>
  <si>
    <t>vice president - operator business to business channels</t>
  </si>
  <si>
    <t>loring</t>
  </si>
  <si>
    <t>vice president of sales, north america</t>
  </si>
  <si>
    <t>ain</t>
  </si>
  <si>
    <t>mckendrick</t>
  </si>
  <si>
    <t>vp user experience &amp; software / co-founder</t>
  </si>
  <si>
    <t>taffet</t>
  </si>
  <si>
    <t>arnie</t>
  </si>
  <si>
    <t>fertig</t>
  </si>
  <si>
    <t>winenger</t>
  </si>
  <si>
    <t>lawlor</t>
  </si>
  <si>
    <t>mary kay</t>
  </si>
  <si>
    <t>hyde</t>
  </si>
  <si>
    <t>peglar</t>
  </si>
  <si>
    <t>cto, americas, isilon</t>
  </si>
  <si>
    <t>holzsager</t>
  </si>
  <si>
    <t>adi</t>
  </si>
  <si>
    <t>regev</t>
  </si>
  <si>
    <t>vice president, video conferencing business</t>
  </si>
  <si>
    <t>mcninch</t>
  </si>
  <si>
    <t>zig</t>
  </si>
  <si>
    <t>serafin</t>
  </si>
  <si>
    <t>saltzman</t>
  </si>
  <si>
    <t>managing director - alliance and strategic partner program</t>
  </si>
  <si>
    <t>ange</t>
  </si>
  <si>
    <t>barak</t>
  </si>
  <si>
    <t>capuzzo</t>
  </si>
  <si>
    <t>vice president global channels &amp; alliance marketing</t>
  </si>
  <si>
    <t>blume</t>
  </si>
  <si>
    <t>yaphe</t>
  </si>
  <si>
    <t>barrow</t>
  </si>
  <si>
    <t>kam</t>
  </si>
  <si>
    <t>rawal</t>
  </si>
  <si>
    <t>sr. director national support</t>
  </si>
  <si>
    <t>cy</t>
  </si>
  <si>
    <t>founder, lead dogood'er</t>
  </si>
  <si>
    <t>pinkham</t>
  </si>
  <si>
    <t>svp, strategic events</t>
  </si>
  <si>
    <t>holladay</t>
  </si>
  <si>
    <t>principal &amp; ceo</t>
  </si>
  <si>
    <t>preece</t>
  </si>
  <si>
    <t>ron g</t>
  </si>
  <si>
    <t>springhorn</t>
  </si>
  <si>
    <t>ceo &amp; founder of employeetalent</t>
  </si>
  <si>
    <t>daniel conn</t>
  </si>
  <si>
    <t>elfort</t>
  </si>
  <si>
    <t>fine</t>
  </si>
  <si>
    <t>vp, middle enterprise sales</t>
  </si>
  <si>
    <t>stephen w.</t>
  </si>
  <si>
    <t>vice president of business development, new products and services</t>
  </si>
  <si>
    <t>assar</t>
  </si>
  <si>
    <t>sales management - greater pacific, software sales</t>
  </si>
  <si>
    <t>david d.</t>
  </si>
  <si>
    <t>kearney</t>
  </si>
  <si>
    <t>castle rock, colorado</t>
  </si>
  <si>
    <t>skarritt</t>
  </si>
  <si>
    <t>shulkin</t>
  </si>
  <si>
    <t>vice president for global direct sales and channel management</t>
  </si>
  <si>
    <t>ronjon</t>
  </si>
  <si>
    <t>nag</t>
  </si>
  <si>
    <t>vice president app world &amp; intelligent systems group</t>
  </si>
  <si>
    <t>mountain view, california</t>
  </si>
  <si>
    <t>burt</t>
  </si>
  <si>
    <t>salop</t>
  </si>
  <si>
    <t>vice president of sales &amp; alliances (enterprise software and technology services)</t>
  </si>
  <si>
    <t>corcoran</t>
  </si>
  <si>
    <t>president-elect, international board of directors</t>
  </si>
  <si>
    <t>esterhuizen</t>
  </si>
  <si>
    <t>vice president business intelligence</t>
  </si>
  <si>
    <t>plotnikov</t>
  </si>
  <si>
    <t>grodnitzky</t>
  </si>
  <si>
    <t>vice president and general manager, americas</t>
  </si>
  <si>
    <t>l.j.</t>
  </si>
  <si>
    <t>vice president, talent acquisition and infrastructure</t>
  </si>
  <si>
    <t>geelan</t>
  </si>
  <si>
    <t>austin</t>
  </si>
  <si>
    <t>dong</t>
  </si>
  <si>
    <t>bourne</t>
  </si>
  <si>
    <t>stargardt</t>
  </si>
  <si>
    <t>vell</t>
  </si>
  <si>
    <t>haviland</t>
  </si>
  <si>
    <t>managing partner of vox strat and vox mobile cmo</t>
  </si>
  <si>
    <t>chagrin falls, ohio</t>
  </si>
  <si>
    <t>raffaele</t>
  </si>
  <si>
    <t>mautone</t>
  </si>
  <si>
    <t>vice president, worldwide sales &amp; marketing operations</t>
  </si>
  <si>
    <t>tumulak</t>
  </si>
  <si>
    <t>kerrest</t>
  </si>
  <si>
    <t>haskin</t>
  </si>
  <si>
    <t>evp, enterprise crm practice</t>
  </si>
  <si>
    <t>r.woody</t>
  </si>
  <si>
    <t>daroca</t>
  </si>
  <si>
    <t>nichols</t>
  </si>
  <si>
    <t>fanning</t>
  </si>
  <si>
    <t>dolbier</t>
  </si>
  <si>
    <t>cto interactive and social media</t>
  </si>
  <si>
    <t>42,5</t>
  </si>
  <si>
    <t>mersand</t>
  </si>
  <si>
    <t>selheimer</t>
  </si>
  <si>
    <t>guy</t>
  </si>
  <si>
    <t>levyyurista</t>
  </si>
  <si>
    <t>gustafson</t>
  </si>
  <si>
    <t>eli j.</t>
  </si>
  <si>
    <t>vice president enterprise security sw global sales channels</t>
  </si>
  <si>
    <t>ming</t>
  </si>
  <si>
    <t>director, client solutions</t>
  </si>
  <si>
    <t>michael x.</t>
  </si>
  <si>
    <t>regional vice president of sales - western north america</t>
  </si>
  <si>
    <t>marina del rey, california</t>
  </si>
  <si>
    <t>javed</t>
  </si>
  <si>
    <t>senior vice president, endpoint security product management</t>
  </si>
  <si>
    <t>tennant</t>
  </si>
  <si>
    <t>delatorre</t>
  </si>
  <si>
    <t>svp sales ww</t>
  </si>
  <si>
    <t>perkins</t>
  </si>
  <si>
    <t>vice president: global sales support &amp; global pmo - engineered systems</t>
  </si>
  <si>
    <t>sheffey</t>
  </si>
  <si>
    <t>evp product management</t>
  </si>
  <si>
    <t>santa barbara, california area, united states, United States</t>
  </si>
  <si>
    <t>bogue</t>
  </si>
  <si>
    <t>black blacky</t>
  </si>
  <si>
    <t>maziarz</t>
  </si>
  <si>
    <t>porter</t>
  </si>
  <si>
    <t>bergelson</t>
  </si>
  <si>
    <t>vice president strategy &amp; product management</t>
  </si>
  <si>
    <t>neighbors</t>
  </si>
  <si>
    <t>arvidson</t>
  </si>
  <si>
    <t>livingstone</t>
  </si>
  <si>
    <t>lehman</t>
  </si>
  <si>
    <t>applemanvassil manccbcc</t>
  </si>
  <si>
    <t>sanger</t>
  </si>
  <si>
    <t>balint</t>
  </si>
  <si>
    <t>lynch</t>
  </si>
  <si>
    <t>vice president of sales &amp; marketing/general manager</t>
  </si>
  <si>
    <t>vice president, sales &amp; marketing</t>
  </si>
  <si>
    <t>hobart</t>
  </si>
  <si>
    <t>diane m.</t>
  </si>
  <si>
    <t>mcaveeney</t>
  </si>
  <si>
    <t>general manager, vice president sales, north america</t>
  </si>
  <si>
    <t>semmie</t>
  </si>
  <si>
    <t>taylor mba</t>
  </si>
  <si>
    <t>holler</t>
  </si>
  <si>
    <t>kalkwarf</t>
  </si>
  <si>
    <t>weeks</t>
  </si>
  <si>
    <t>cto co-founder</t>
  </si>
  <si>
    <t>new london/norwich, connecticut area, united states</t>
  </si>
  <si>
    <t>lodico</t>
  </si>
  <si>
    <t>co-founder / general manager</t>
  </si>
  <si>
    <t>soohoo</t>
  </si>
  <si>
    <t>cofounder &amp; ceo</t>
  </si>
  <si>
    <t>newman  cissp</t>
  </si>
  <si>
    <t>co-founder &amp; security architect</t>
  </si>
  <si>
    <t>traci</t>
  </si>
  <si>
    <t>robert j.</t>
  </si>
  <si>
    <t>moreau</t>
  </si>
  <si>
    <t>eckelboom</t>
  </si>
  <si>
    <t>executive vice president, business development</t>
  </si>
  <si>
    <t>risto</t>
  </si>
  <si>
    <t>haukioja</t>
  </si>
  <si>
    <t>heffner</t>
  </si>
  <si>
    <t>bedser</t>
  </si>
  <si>
    <t>darnell</t>
  </si>
  <si>
    <t>baim</t>
  </si>
  <si>
    <t>vice president corporate development</t>
  </si>
  <si>
    <t>vp, security innovation alliance</t>
  </si>
  <si>
    <t>hallac</t>
  </si>
  <si>
    <t>dowling</t>
  </si>
  <si>
    <t>internet executive</t>
  </si>
  <si>
    <t>32,5533333333333</t>
  </si>
  <si>
    <t>schepps</t>
  </si>
  <si>
    <t>link</t>
  </si>
  <si>
    <t>vice president global sales - enterprise itsm</t>
  </si>
  <si>
    <t>ned</t>
  </si>
  <si>
    <t>sahin</t>
  </si>
  <si>
    <t>fellow in cognitive neuroscience</t>
  </si>
  <si>
    <t>kukral</t>
  </si>
  <si>
    <t>maliyil</t>
  </si>
  <si>
    <t>dukes</t>
  </si>
  <si>
    <t>chief product officer &amp; founder</t>
  </si>
  <si>
    <t>mahendra</t>
  </si>
  <si>
    <t>durai</t>
  </si>
  <si>
    <t>senior vice president - it</t>
  </si>
  <si>
    <t>yasinovsky</t>
  </si>
  <si>
    <t>geils</t>
  </si>
  <si>
    <t>vice president associate broker</t>
  </si>
  <si>
    <t>fries</t>
  </si>
  <si>
    <t>nicklas</t>
  </si>
  <si>
    <t>lundblad</t>
  </si>
  <si>
    <t>director of public policy</t>
  </si>
  <si>
    <t>41,5</t>
  </si>
  <si>
    <t>c.h. hwang</t>
  </si>
  <si>
    <t>carilli</t>
  </si>
  <si>
    <t>ceo / owner / founder</t>
  </si>
  <si>
    <t>iospa ceo medicalophth investor</t>
  </si>
  <si>
    <t>gambirasi</t>
  </si>
  <si>
    <t>crenshaw</t>
  </si>
  <si>
    <t>cmo &amp; co-founder</t>
  </si>
  <si>
    <t>debroff</t>
  </si>
  <si>
    <t>fricker</t>
  </si>
  <si>
    <t>experienced software product management executive</t>
  </si>
  <si>
    <t>fineran</t>
  </si>
  <si>
    <t>regional vice president &amp; general manager</t>
  </si>
  <si>
    <t>wayman</t>
  </si>
  <si>
    <t>vick viren</t>
  </si>
  <si>
    <t>vaishnavi</t>
  </si>
  <si>
    <t>nekvinda phd</t>
  </si>
  <si>
    <t>senior vice president, director of global learning operations</t>
  </si>
  <si>
    <t>athens, georgia area, united states</t>
  </si>
  <si>
    <t>quayle</t>
  </si>
  <si>
    <t>ido</t>
  </si>
  <si>
    <t>ben moshe</t>
  </si>
  <si>
    <t>board director and co-founder</t>
  </si>
  <si>
    <t>clss</t>
  </si>
  <si>
    <t>founder | cio cto vp it</t>
  </si>
  <si>
    <t>aj</t>
  </si>
  <si>
    <t>ragosta</t>
  </si>
  <si>
    <t>vp of sales &amp; marketing</t>
  </si>
  <si>
    <t>pravat</t>
  </si>
  <si>
    <t>lall</t>
  </si>
  <si>
    <t>cumbee</t>
  </si>
  <si>
    <t>41,67</t>
  </si>
  <si>
    <t>erikka</t>
  </si>
  <si>
    <t>buico</t>
  </si>
  <si>
    <t>vp, talent management</t>
  </si>
  <si>
    <t>gettemy</t>
  </si>
  <si>
    <t>arie</t>
  </si>
  <si>
    <t>vanderstroom</t>
  </si>
  <si>
    <t>vice president - sales &amp; business development - americas</t>
  </si>
  <si>
    <t>abhas</t>
  </si>
  <si>
    <t>art agrawal</t>
  </si>
  <si>
    <t>mccurdy</t>
  </si>
  <si>
    <t>cinello</t>
  </si>
  <si>
    <t>beam</t>
  </si>
  <si>
    <t>sr. director, software qa</t>
  </si>
  <si>
    <t>barnard</t>
  </si>
  <si>
    <t>jerry c.</t>
  </si>
  <si>
    <t>huskins</t>
  </si>
  <si>
    <t>arlington, virginia, United States</t>
  </si>
  <si>
    <t>gadi</t>
  </si>
  <si>
    <t>bashvitz</t>
  </si>
  <si>
    <t>founder president &amp; fellow traveler</t>
  </si>
  <si>
    <t>berenbaum</t>
  </si>
  <si>
    <t>vice president of business development &amp; strategic relations</t>
  </si>
  <si>
    <t>aruna</t>
  </si>
  <si>
    <t>ravichandran</t>
  </si>
  <si>
    <t>vice president, product marketing, software solutions division</t>
  </si>
  <si>
    <t>condit</t>
  </si>
  <si>
    <t>owner - director corporate communications</t>
  </si>
  <si>
    <t>schmelzer</t>
  </si>
  <si>
    <t>shahbaz</t>
  </si>
  <si>
    <t>hoyer</t>
  </si>
  <si>
    <t>senior vice president sales and marketing</t>
  </si>
  <si>
    <t>bias</t>
  </si>
  <si>
    <t>drust</t>
  </si>
  <si>
    <t>leveille</t>
  </si>
  <si>
    <t>sharepoint subject matter expert (sme/smx) with 50+ recommendations and 2,300+ level 1 connections</t>
  </si>
  <si>
    <t>boise, idaho area, united states, United States</t>
  </si>
  <si>
    <t>bressler</t>
  </si>
  <si>
    <t>daman</t>
  </si>
  <si>
    <t>evp, sales &amp; customer care</t>
  </si>
  <si>
    <t>ceo/chairman</t>
  </si>
  <si>
    <t>garms gabehubfunnel.com</t>
  </si>
  <si>
    <t>abe</t>
  </si>
  <si>
    <t>gurjal</t>
  </si>
  <si>
    <t>vice president, digital and local market practice</t>
  </si>
  <si>
    <t>western</t>
  </si>
  <si>
    <t>rowan</t>
  </si>
  <si>
    <t>scranage</t>
  </si>
  <si>
    <t>isernia</t>
  </si>
  <si>
    <t>corporate vice president for strategy and alliances</t>
  </si>
  <si>
    <t>tulsa, oklahoma area, united states, United States</t>
  </si>
  <si>
    <t>yale a.</t>
  </si>
  <si>
    <t>tankus</t>
  </si>
  <si>
    <t>vice president financial services industry solutions</t>
  </si>
  <si>
    <t>vice president of design architecture</t>
  </si>
  <si>
    <t>gilley</t>
  </si>
  <si>
    <t>vice president, western area sales</t>
  </si>
  <si>
    <t>yankowski</t>
  </si>
  <si>
    <t>ceo/founder/chief operating partner</t>
  </si>
  <si>
    <t>sprankling</t>
  </si>
  <si>
    <t>vp worldwide education services</t>
  </si>
  <si>
    <t>selway</t>
  </si>
  <si>
    <t>co-founder, president</t>
  </si>
  <si>
    <t>grubb</t>
  </si>
  <si>
    <t>founder and principal</t>
  </si>
  <si>
    <t>privitera</t>
  </si>
  <si>
    <t>pickeral</t>
  </si>
  <si>
    <t>vice president, global technology services</t>
  </si>
  <si>
    <t>nimrod</t>
  </si>
  <si>
    <t>vered</t>
  </si>
  <si>
    <t>cas</t>
  </si>
  <si>
    <t>purdy</t>
  </si>
  <si>
    <t>vp, corporate communications</t>
  </si>
  <si>
    <t>zichermann</t>
  </si>
  <si>
    <t>azelby</t>
  </si>
  <si>
    <t>kempenich</t>
  </si>
  <si>
    <t>vice president of information technology</t>
  </si>
  <si>
    <t>waco, texas area, united states</t>
  </si>
  <si>
    <t>fadi</t>
  </si>
  <si>
    <t>bishara</t>
  </si>
  <si>
    <t>warden</t>
  </si>
  <si>
    <t>oleg a.</t>
  </si>
  <si>
    <t>vyadro</t>
  </si>
  <si>
    <t>cambridge, massachusetts, United States</t>
  </si>
  <si>
    <t>page</t>
  </si>
  <si>
    <t>oborn</t>
  </si>
  <si>
    <t>founder, vp of business development</t>
  </si>
  <si>
    <t>soley</t>
  </si>
  <si>
    <t>yo</t>
  </si>
  <si>
    <t>delmar</t>
  </si>
  <si>
    <t>vice president, grc</t>
  </si>
  <si>
    <t>huff</t>
  </si>
  <si>
    <t>vice president of talent management</t>
  </si>
  <si>
    <t>mobley</t>
  </si>
  <si>
    <t>fishkin</t>
  </si>
  <si>
    <t>jeremiah</t>
  </si>
  <si>
    <t>ceo, chief culture officer and co-founder</t>
  </si>
  <si>
    <t>heidi wald</t>
  </si>
  <si>
    <t>byerly</t>
  </si>
  <si>
    <t>avizur</t>
  </si>
  <si>
    <t>interrante</t>
  </si>
  <si>
    <t>vp cloud products</t>
  </si>
  <si>
    <t>vice president sales and business development</t>
  </si>
  <si>
    <t>klapow</t>
  </si>
  <si>
    <t>vice president - managing officer</t>
  </si>
  <si>
    <t>isley</t>
  </si>
  <si>
    <t>broudy</t>
  </si>
  <si>
    <t>p. d.</t>
  </si>
  <si>
    <t>madden p. e.</t>
  </si>
  <si>
    <t>ceo/general manager</t>
  </si>
  <si>
    <t>mansfield, ohio</t>
  </si>
  <si>
    <t>walk</t>
  </si>
  <si>
    <t>kopanon</t>
  </si>
  <si>
    <t>marquette</t>
  </si>
  <si>
    <t>vice president store operations finance</t>
  </si>
  <si>
    <t>steffen</t>
  </si>
  <si>
    <t>land</t>
  </si>
  <si>
    <t>kaish</t>
  </si>
  <si>
    <t>sterbling</t>
  </si>
  <si>
    <t>senior vp of operations</t>
  </si>
  <si>
    <t>gundersen</t>
  </si>
  <si>
    <t>pmp</t>
  </si>
  <si>
    <t>vice president, curriculum development</t>
  </si>
  <si>
    <t>35,67</t>
  </si>
  <si>
    <t>beti</t>
  </si>
  <si>
    <t>anschuetz</t>
  </si>
  <si>
    <t>joey</t>
  </si>
  <si>
    <t>peloquin</t>
  </si>
  <si>
    <t>ww security architect</t>
  </si>
  <si>
    <t>boynton beach, florida</t>
  </si>
  <si>
    <t>cage</t>
  </si>
  <si>
    <t>bogdan</t>
  </si>
  <si>
    <t>baliuc</t>
  </si>
  <si>
    <t>bouchard</t>
  </si>
  <si>
    <t>president &amp; creative director</t>
  </si>
  <si>
    <t>freedman</t>
  </si>
  <si>
    <t>senior director of sales operations</t>
  </si>
  <si>
    <t>adler</t>
  </si>
  <si>
    <t>sr. vice president, business development</t>
  </si>
  <si>
    <t>engelmeier</t>
  </si>
  <si>
    <t>lubin</t>
  </si>
  <si>
    <t>dover</t>
  </si>
  <si>
    <t>president, board of directors</t>
  </si>
  <si>
    <t>stamper mpia ms cisa itil foundation</t>
  </si>
  <si>
    <t>vice president of managed and professional services</t>
  </si>
  <si>
    <t>slaga</t>
  </si>
  <si>
    <t>svp of solutions and cto</t>
  </si>
  <si>
    <t>bruzzi</t>
  </si>
  <si>
    <t>vp, technology</t>
  </si>
  <si>
    <t>managing director and co-founder</t>
  </si>
  <si>
    <t>tincup sphr</t>
  </si>
  <si>
    <t>folz</t>
  </si>
  <si>
    <t>ritesh</t>
  </si>
  <si>
    <t>ritz pathak</t>
  </si>
  <si>
    <t>vp &amp; global head of sales – new client acquisition</t>
  </si>
  <si>
    <t>seal</t>
  </si>
  <si>
    <t>jessie</t>
  </si>
  <si>
    <t>williamsburg, virginia, United States</t>
  </si>
  <si>
    <t>oberhuber</t>
  </si>
  <si>
    <t>vice president sales eastern half of the united states</t>
  </si>
  <si>
    <t>paul v.</t>
  </si>
  <si>
    <t>experienced tech executive</t>
  </si>
  <si>
    <t>34,025</t>
  </si>
  <si>
    <t>vp, sales, business and corporate development</t>
  </si>
  <si>
    <t>president and performer</t>
  </si>
  <si>
    <t>monnes</t>
  </si>
  <si>
    <t>vp sales/owner</t>
  </si>
  <si>
    <t>chambron</t>
  </si>
  <si>
    <t>principal catalyst</t>
  </si>
  <si>
    <t>chief operations officer and co-founder</t>
  </si>
  <si>
    <t>nate</t>
  </si>
  <si>
    <t>ungerott</t>
  </si>
  <si>
    <t>dublin, ohio, United States</t>
  </si>
  <si>
    <t>kanakasabai</t>
  </si>
  <si>
    <t>grundstrom</t>
  </si>
  <si>
    <t>vice president of technology</t>
  </si>
  <si>
    <t>president - director of talent acquisition</t>
  </si>
  <si>
    <t>minaglia</t>
  </si>
  <si>
    <t>vp, strategic alliances</t>
  </si>
  <si>
    <t>fatma</t>
  </si>
  <si>
    <t>president-owner</t>
  </si>
  <si>
    <t>donham</t>
  </si>
  <si>
    <t>blomgren nicoleblueoceanrecruiting.com</t>
  </si>
  <si>
    <t>? founder &amp; president</t>
  </si>
  <si>
    <t>henry e</t>
  </si>
  <si>
    <t>ceo and partner</t>
  </si>
  <si>
    <t>castoro</t>
  </si>
  <si>
    <t>goodall</t>
  </si>
  <si>
    <t>vp &amp; general manager - travel</t>
  </si>
  <si>
    <t>andreae</t>
  </si>
  <si>
    <t>roberts  kennethinteriortalent.com</t>
  </si>
  <si>
    <t>asaf</t>
  </si>
  <si>
    <t>silberstein</t>
  </si>
  <si>
    <t>vice president of worldwide operations</t>
  </si>
  <si>
    <t>35,5</t>
  </si>
  <si>
    <t>thy</t>
  </si>
  <si>
    <t>co-founder &amp; owner</t>
  </si>
  <si>
    <t>founder and president | customer solutions management | telecommunications simplifier</t>
  </si>
  <si>
    <t>potter</t>
  </si>
  <si>
    <t>crandall</t>
  </si>
  <si>
    <t>hipp</t>
  </si>
  <si>
    <t>dynamic, results-focused senior executive with experience in global management and operations in software and technology &lt;/p&gt; &lt;dl id="headline" class="demographic-info adr"&gt; &lt;dt&gt;location&lt;/dt&gt; &lt;dd&gt; &lt;span class="locality"&gt; greater atlanta area &lt;/span&gt; &lt;/dd&gt; &lt;dt&gt;industry&lt;/dt&gt; &lt;dd class="industry"&gt; comp</t>
  </si>
  <si>
    <t>34,8583333333333</t>
  </si>
  <si>
    <t>haldar</t>
  </si>
  <si>
    <t>ferrar</t>
  </si>
  <si>
    <t>vice president of sales and marketing</t>
  </si>
  <si>
    <t>huenink</t>
  </si>
  <si>
    <t>vice president - local sales</t>
  </si>
  <si>
    <t>genia</t>
  </si>
  <si>
    <t>vice president of employer sales</t>
  </si>
  <si>
    <t>dahn cpa mst</t>
  </si>
  <si>
    <t>vice president, architecture</t>
  </si>
  <si>
    <t>fukuda</t>
  </si>
  <si>
    <t>co-founder / principal</t>
  </si>
  <si>
    <t>balakrishna</t>
  </si>
  <si>
    <t>vp, marketing and strategy</t>
  </si>
  <si>
    <t>vice president strategic partnerships</t>
  </si>
  <si>
    <t>founder and non-executive board director</t>
  </si>
  <si>
    <t>mucci</t>
  </si>
  <si>
    <t>ceo &amp; editorial director</t>
  </si>
  <si>
    <t>arnett</t>
  </si>
  <si>
    <t>vp marketing &amp; sales</t>
  </si>
  <si>
    <t>shapira</t>
  </si>
  <si>
    <t>dietzen</t>
  </si>
  <si>
    <t>ramani</t>
  </si>
  <si>
    <t>narayan</t>
  </si>
  <si>
    <t>brutin</t>
  </si>
  <si>
    <t>drill</t>
  </si>
  <si>
    <t>svp ww sales</t>
  </si>
  <si>
    <t>stabenow</t>
  </si>
  <si>
    <t>chase</t>
  </si>
  <si>
    <t>holland</t>
  </si>
  <si>
    <t>vice-president of sales</t>
  </si>
  <si>
    <t>strange</t>
  </si>
  <si>
    <t>director of sales enablement</t>
  </si>
  <si>
    <t>liszewski</t>
  </si>
  <si>
    <t>filippone</t>
  </si>
  <si>
    <t>executive vice president, sourcing, governance, and healthcare strategies</t>
  </si>
  <si>
    <t>keim</t>
  </si>
  <si>
    <t>vice president sales &amp; marketing</t>
  </si>
  <si>
    <t>founder &amp; vp of operations</t>
  </si>
  <si>
    <t>mccarthy</t>
  </si>
  <si>
    <t>ceo|president|coo|board|sales|marketing|global|technology|telecom|private equity|m&amp;a|investor</t>
  </si>
  <si>
    <t>30,7545454545455</t>
  </si>
  <si>
    <t>dektas</t>
  </si>
  <si>
    <t>norma</t>
  </si>
  <si>
    <t>senior vice president, human resources</t>
  </si>
  <si>
    <t>co-founder, vp ad operations</t>
  </si>
  <si>
    <t>vice president of sales - americas</t>
  </si>
  <si>
    <t>corbo</t>
  </si>
  <si>
    <t>senior vice president of sales &amp; marketing</t>
  </si>
  <si>
    <t>kate</t>
  </si>
  <si>
    <t>flanagan</t>
  </si>
  <si>
    <t>brady</t>
  </si>
  <si>
    <t>levine</t>
  </si>
  <si>
    <t>digital marketing &amp; ecommerce executive</t>
  </si>
  <si>
    <t>brickman</t>
  </si>
  <si>
    <t>finley k</t>
  </si>
  <si>
    <t>manager, accounts development</t>
  </si>
  <si>
    <t>co-founder &amp; senior vp</t>
  </si>
  <si>
    <t>managing partner - vp sales</t>
  </si>
  <si>
    <t>uri</t>
  </si>
  <si>
    <t>benedek</t>
  </si>
  <si>
    <t>zahara</t>
  </si>
  <si>
    <t>mossman</t>
  </si>
  <si>
    <t>pessotti</t>
  </si>
  <si>
    <t>mccoy pmp csm itil v</t>
  </si>
  <si>
    <t>vp, application development section mgr</t>
  </si>
  <si>
    <t>armando j.</t>
  </si>
  <si>
    <t>escalante</t>
  </si>
  <si>
    <t>head</t>
  </si>
  <si>
    <t>tonya</t>
  </si>
  <si>
    <t>lipuma</t>
  </si>
  <si>
    <t>vp of u.s. sales</t>
  </si>
  <si>
    <t>pack</t>
  </si>
  <si>
    <t>director, federal business development</t>
  </si>
  <si>
    <t>crofts</t>
  </si>
  <si>
    <t>vice-president hr at flextronics</t>
  </si>
  <si>
    <t>31,92</t>
  </si>
  <si>
    <t>mcclurg</t>
  </si>
  <si>
    <t>vp, global midmarket sales</t>
  </si>
  <si>
    <t>chaniot</t>
  </si>
  <si>
    <t>maiuri</t>
  </si>
  <si>
    <t>subero</t>
  </si>
  <si>
    <t>vice president of client development</t>
  </si>
  <si>
    <t>senior product marketing manager</t>
  </si>
  <si>
    <t>guerrero</t>
  </si>
  <si>
    <t>kieran</t>
  </si>
  <si>
    <t>farr</t>
  </si>
  <si>
    <t>debolt</t>
  </si>
  <si>
    <t>maloney</t>
  </si>
  <si>
    <t>quantrell</t>
  </si>
  <si>
    <t>non executive director</t>
  </si>
  <si>
    <t>swindon, united kingdom</t>
  </si>
  <si>
    <t>vice president - north america east</t>
  </si>
  <si>
    <t>shell</t>
  </si>
  <si>
    <t>vice president of global business development</t>
  </si>
  <si>
    <t>venetia, pennsylvania, United States</t>
  </si>
  <si>
    <t>mark stouse</t>
  </si>
  <si>
    <t>ha</t>
  </si>
  <si>
    <t>zaragoza</t>
  </si>
  <si>
    <t>schweitzer larryawinnersedge.com</t>
  </si>
  <si>
    <t>carole</t>
  </si>
  <si>
    <t>sacino</t>
  </si>
  <si>
    <t>sitar</t>
  </si>
  <si>
    <t>founder, ceo &amp; head of business development</t>
  </si>
  <si>
    <t>dewan</t>
  </si>
  <si>
    <t>president\ceo</t>
  </si>
  <si>
    <t>daymude</t>
  </si>
  <si>
    <t>vice president chapter development</t>
  </si>
  <si>
    <t>mac</t>
  </si>
  <si>
    <t>linville</t>
  </si>
  <si>
    <t>schultz</t>
  </si>
  <si>
    <t>ciappa</t>
  </si>
  <si>
    <t>senior vice president-agency sales</t>
  </si>
  <si>
    <t>justinich</t>
  </si>
  <si>
    <t>vice president, account management</t>
  </si>
  <si>
    <t>woodland hills, california</t>
  </si>
  <si>
    <t>elsaessersphr shrmscp</t>
  </si>
  <si>
    <t>cincinnati, ohio, United States</t>
  </si>
  <si>
    <t>swim</t>
  </si>
  <si>
    <t>ellen</t>
  </si>
  <si>
    <t>reagan</t>
  </si>
  <si>
    <t>senior sales director</t>
  </si>
  <si>
    <t>fieldman</t>
  </si>
  <si>
    <t>mcbride</t>
  </si>
  <si>
    <t>daa president</t>
  </si>
  <si>
    <t>jeanlouis</t>
  </si>
  <si>
    <t>fages</t>
  </si>
  <si>
    <t>pres. &amp; ceo</t>
  </si>
  <si>
    <t>buckley</t>
  </si>
  <si>
    <t>founder and chief technology officer</t>
  </si>
  <si>
    <t>nevillmanning</t>
  </si>
  <si>
    <t>fishburne</t>
  </si>
  <si>
    <t>joyner</t>
  </si>
  <si>
    <t>business and technology strategist</t>
  </si>
  <si>
    <t>pierreloïc</t>
  </si>
  <si>
    <t>assayag</t>
  </si>
  <si>
    <t>jen</t>
  </si>
  <si>
    <t>founder and contributor</t>
  </si>
  <si>
    <t>zyla</t>
  </si>
  <si>
    <t>vice president - chief information officer</t>
  </si>
  <si>
    <t>mcmanis</t>
  </si>
  <si>
    <t>vallabhaneni</t>
  </si>
  <si>
    <t>westerkamp</t>
  </si>
  <si>
    <t>vice president sales, west</t>
  </si>
  <si>
    <t>perrochon</t>
  </si>
  <si>
    <t>senior director, engineering</t>
  </si>
  <si>
    <t>karon</t>
  </si>
  <si>
    <t>evanoff</t>
  </si>
  <si>
    <t>vp global supply chain</t>
  </si>
  <si>
    <t>olsson</t>
  </si>
  <si>
    <t>co-founder and vice president marketing</t>
  </si>
  <si>
    <t>okmyansky</t>
  </si>
  <si>
    <t>cielto</t>
  </si>
  <si>
    <t>gainer</t>
  </si>
  <si>
    <t>sr. director of engineering</t>
  </si>
  <si>
    <t>giuseppe</t>
  </si>
  <si>
    <t>mascarella</t>
  </si>
  <si>
    <t>partner and ceo</t>
  </si>
  <si>
    <t>fitzpatrick</t>
  </si>
  <si>
    <t>cto / vp of engineering</t>
  </si>
  <si>
    <t>heilbock</t>
  </si>
  <si>
    <t>regional vice president national sales usa</t>
  </si>
  <si>
    <t>reading, pennsylvania area, united states</t>
  </si>
  <si>
    <t>yourdon</t>
  </si>
  <si>
    <t>skeels</t>
  </si>
  <si>
    <t>swack</t>
  </si>
  <si>
    <t>gigliotti</t>
  </si>
  <si>
    <t>lisa k.</t>
  </si>
  <si>
    <t>chief operations &amp; financial officer</t>
  </si>
  <si>
    <t>31,875</t>
  </si>
  <si>
    <t>daryle</t>
  </si>
  <si>
    <t>isaacs</t>
  </si>
  <si>
    <t>franchise owner</t>
  </si>
  <si>
    <t>kansas city, missouri</t>
  </si>
  <si>
    <t>schirmer</t>
  </si>
  <si>
    <t>vice president worldwide sales</t>
  </si>
  <si>
    <t>euglow</t>
  </si>
  <si>
    <t>vp, executive search</t>
  </si>
  <si>
    <t>mireles</t>
  </si>
  <si>
    <t>andreas m.</t>
  </si>
  <si>
    <t>antonopoulos</t>
  </si>
  <si>
    <t>visionary technology entrepreneur</t>
  </si>
  <si>
    <t>chesterfield, missouri</t>
  </si>
  <si>
    <t>tipton</t>
  </si>
  <si>
    <t>regional vice president - sales | cloud computing &amp; hosting provider</t>
  </si>
  <si>
    <t>obey</t>
  </si>
  <si>
    <t>amith</t>
  </si>
  <si>
    <t>new orleans, louisiana, United States</t>
  </si>
  <si>
    <t>cirrito lion open networker</t>
  </si>
  <si>
    <t>vice president, national champion</t>
  </si>
  <si>
    <t>marmer joshaclion.com</t>
  </si>
  <si>
    <t>vice president, interactive recruiting</t>
  </si>
  <si>
    <t>kristy</t>
  </si>
  <si>
    <t>mcdonnell ortiz</t>
  </si>
  <si>
    <t>rishi</t>
  </si>
  <si>
    <t>vice president, product management, datacenter &amp; server security</t>
  </si>
  <si>
    <t>siano</t>
  </si>
  <si>
    <t>president - global aftermarket</t>
  </si>
  <si>
    <t>sheboygan, wisconsin area, united states</t>
  </si>
  <si>
    <t>mclaren</t>
  </si>
  <si>
    <t>mash</t>
  </si>
  <si>
    <t>bonigala</t>
  </si>
  <si>
    <t>james r.</t>
  </si>
  <si>
    <t>technology solutions executive</t>
  </si>
  <si>
    <t>burke, virginia</t>
  </si>
  <si>
    <t>33,1666666666667</t>
  </si>
  <si>
    <t>capers</t>
  </si>
  <si>
    <t>vp and chief technology officer</t>
  </si>
  <si>
    <t>cochrane</t>
  </si>
  <si>
    <t>mcleod</t>
  </si>
  <si>
    <t>director of product marketing, industry standard servers</t>
  </si>
  <si>
    <t>koulopoulos</t>
  </si>
  <si>
    <t>piper</t>
  </si>
  <si>
    <t>vice president digital sales</t>
  </si>
  <si>
    <t>gentry</t>
  </si>
  <si>
    <t>ganote</t>
  </si>
  <si>
    <t>jennifer k.</t>
  </si>
  <si>
    <t>barone</t>
  </si>
  <si>
    <t>vice president - regional talent acquisition manager - florida region</t>
  </si>
  <si>
    <t>haider ali</t>
  </si>
  <si>
    <t>roderick</t>
  </si>
  <si>
    <t>svp, marketing and operations</t>
  </si>
  <si>
    <t>earle</t>
  </si>
  <si>
    <t>corona, california</t>
  </si>
  <si>
    <t>gagnon</t>
  </si>
  <si>
    <t>vice president of channel sales</t>
  </si>
  <si>
    <t>31,4705882352941</t>
  </si>
  <si>
    <t>rangel</t>
  </si>
  <si>
    <t>taitelbaum</t>
  </si>
  <si>
    <t>charlottesville, virginia area, united states</t>
  </si>
  <si>
    <t>leader in it systems development process improvement and quality management</t>
  </si>
  <si>
    <t>vice president, customer delivery</t>
  </si>
  <si>
    <t>32,61</t>
  </si>
  <si>
    <t>boe</t>
  </si>
  <si>
    <t>hoeft</t>
  </si>
  <si>
    <t>30,3157894736842</t>
  </si>
  <si>
    <t>malagrinò</t>
  </si>
  <si>
    <t>dr. nathan</t>
  </si>
  <si>
    <t>baruch</t>
  </si>
  <si>
    <t>surett</t>
  </si>
  <si>
    <t>svp of financial planning &amp; analysis and corporate development</t>
  </si>
  <si>
    <t>chesover</t>
  </si>
  <si>
    <t>great bookham, surrey, united kingdom</t>
  </si>
  <si>
    <t>andre cvr</t>
  </si>
  <si>
    <t>vice president, executive search &amp; human capital consulting</t>
  </si>
  <si>
    <t>lovell</t>
  </si>
  <si>
    <t>ceo, president, sales &amp; marketing</t>
  </si>
  <si>
    <t>jesup, georgia</t>
  </si>
  <si>
    <t>aziza</t>
  </si>
  <si>
    <t>vice president, ww marketing &amp; data geek</t>
  </si>
  <si>
    <t>dillard</t>
  </si>
  <si>
    <t>co-founder/inventor/ceo</t>
  </si>
  <si>
    <t>vice president, talent acquisition</t>
  </si>
  <si>
    <t>rhett</t>
  </si>
  <si>
    <t>founder &amp; programmer</t>
  </si>
  <si>
    <t>dalton</t>
  </si>
  <si>
    <t>vice president - strategic planning &amp; corporate development</t>
  </si>
  <si>
    <t>wilbraham, massachusetts, United States</t>
  </si>
  <si>
    <t>david g.</t>
  </si>
  <si>
    <t>ullman</t>
  </si>
  <si>
    <t>independence, oregon, United States</t>
  </si>
  <si>
    <t>jeannie</t>
  </si>
  <si>
    <t>ladesso</t>
  </si>
  <si>
    <t>bsm devlopment rep.</t>
  </si>
  <si>
    <t>lawrenson</t>
  </si>
  <si>
    <t>head of marketing</t>
  </si>
  <si>
    <t>oshkosh, wisconsin area, united states</t>
  </si>
  <si>
    <t>brown mba</t>
  </si>
  <si>
    <t>eiref</t>
  </si>
  <si>
    <t>senior vice president &amp; chief operating officer</t>
  </si>
  <si>
    <t>mattiazzi</t>
  </si>
  <si>
    <t>vp and cfo at innocentive</t>
  </si>
  <si>
    <t>32,22</t>
  </si>
  <si>
    <t>keynan</t>
  </si>
  <si>
    <t>matawan, new jersey, United States</t>
  </si>
  <si>
    <t>41,33</t>
  </si>
  <si>
    <t>throop</t>
  </si>
  <si>
    <t>founder/ceo/lead designer and developer</t>
  </si>
  <si>
    <t>director, alliances</t>
  </si>
  <si>
    <t>jazayeri</t>
  </si>
  <si>
    <t>irvine, california, United States</t>
  </si>
  <si>
    <t>free</t>
  </si>
  <si>
    <t>bruininga</t>
  </si>
  <si>
    <t>vp, information management practice</t>
  </si>
  <si>
    <t>johns</t>
  </si>
  <si>
    <t>vp of product management</t>
  </si>
  <si>
    <t>finlayson</t>
  </si>
  <si>
    <t>senior vice president, theatrical productions</t>
  </si>
  <si>
    <t>billings, montana area, united states, United States</t>
  </si>
  <si>
    <t>jasserme</t>
  </si>
  <si>
    <t>vendor manager, international</t>
  </si>
  <si>
    <t>dunn cpcu</t>
  </si>
  <si>
    <t>ceo, principal agent</t>
  </si>
  <si>
    <t>newport news, virginia, United States</t>
  </si>
  <si>
    <t>vp, national champion</t>
  </si>
  <si>
    <t>madhur</t>
  </si>
  <si>
    <t>vice president &amp; head of worldwide marketing strategy, office of cmo</t>
  </si>
  <si>
    <t>baron</t>
  </si>
  <si>
    <t>founder and head maven</t>
  </si>
  <si>
    <t>irestone</t>
  </si>
  <si>
    <t>naselli</t>
  </si>
  <si>
    <t>greenville, south carolina</t>
  </si>
  <si>
    <t>binder</t>
  </si>
  <si>
    <t>vp marketing and business development</t>
  </si>
  <si>
    <t>virzi</t>
  </si>
  <si>
    <t>tonnison</t>
  </si>
  <si>
    <t>executive vice president and chief information officer</t>
  </si>
  <si>
    <t>robert d</t>
  </si>
  <si>
    <t>ceo president</t>
  </si>
  <si>
    <t>malibu, california</t>
  </si>
  <si>
    <t>Mali</t>
  </si>
  <si>
    <t>vin</t>
  </si>
  <si>
    <t>mccaffrey</t>
  </si>
  <si>
    <t>greenville, north carolina area, united states, United States</t>
  </si>
  <si>
    <t>gm &amp; svp</t>
  </si>
  <si>
    <t>frey</t>
  </si>
  <si>
    <t>asobayire</t>
  </si>
  <si>
    <t>farler</t>
  </si>
  <si>
    <t>vassil</t>
  </si>
  <si>
    <t>lefterov</t>
  </si>
  <si>
    <t>forest hills, new york</t>
  </si>
  <si>
    <t>aceti</t>
  </si>
  <si>
    <t>washington crossing, pennsylvania</t>
  </si>
  <si>
    <t>sonesh</t>
  </si>
  <si>
    <t>vice president of strategic financial planning &amp; analysis</t>
  </si>
  <si>
    <t>lightening</t>
  </si>
  <si>
    <t>senior vice president / co- founder</t>
  </si>
  <si>
    <t>vice president, public relations</t>
  </si>
  <si>
    <t>cpc</t>
  </si>
  <si>
    <t>roanoke, texas, United States</t>
  </si>
  <si>
    <t>pfeffermann</t>
  </si>
  <si>
    <t>president &amp; ceo central ohio</t>
  </si>
  <si>
    <t>pepper</t>
  </si>
  <si>
    <t>vice president and managing partner</t>
  </si>
  <si>
    <t>vp of sales and marketing</t>
  </si>
  <si>
    <t>grant</t>
  </si>
  <si>
    <t>jurgeneit</t>
  </si>
  <si>
    <t>ceo and co founder</t>
  </si>
  <si>
    <t>tatum</t>
  </si>
  <si>
    <t>hindman</t>
  </si>
  <si>
    <t>president &amp; trusted web strategist</t>
  </si>
  <si>
    <t>buckeridge</t>
  </si>
  <si>
    <t>marion, iowa</t>
  </si>
  <si>
    <t>brooke</t>
  </si>
  <si>
    <t>vp of technology operations</t>
  </si>
  <si>
    <t>gregson</t>
  </si>
  <si>
    <t>meyers</t>
  </si>
  <si>
    <t>giessuebel</t>
  </si>
  <si>
    <t>pine brook, new jersey, United States</t>
  </si>
  <si>
    <t>davyn</t>
  </si>
  <si>
    <t>richau</t>
  </si>
  <si>
    <t>consultant fink consulting llc.</t>
  </si>
  <si>
    <t>akash</t>
  </si>
  <si>
    <t>agarwal</t>
  </si>
  <si>
    <t>gvp head of mobile business development</t>
  </si>
  <si>
    <t>walhus</t>
  </si>
  <si>
    <t>lopezcamacho</t>
  </si>
  <si>
    <t>nuss</t>
  </si>
  <si>
    <t>vp of business development and cofounder</t>
  </si>
  <si>
    <t>nasson</t>
  </si>
  <si>
    <t>vice president - alliances, channels &amp; partner programs</t>
  </si>
  <si>
    <t>liwen</t>
  </si>
  <si>
    <t>odonnell</t>
  </si>
  <si>
    <t>hobson</t>
  </si>
  <si>
    <t>rogier</t>
  </si>
  <si>
    <t>fentener van vlissingen</t>
  </si>
  <si>
    <t>marder</t>
  </si>
  <si>
    <t>chairman/ co-founder</t>
  </si>
  <si>
    <t>toomey aams</t>
  </si>
  <si>
    <t>vice president - investment officer</t>
  </si>
  <si>
    <t>coo and svp delivery</t>
  </si>
  <si>
    <t>heltzel</t>
  </si>
  <si>
    <t>managing partner, vp business development, strategic advisor</t>
  </si>
  <si>
    <t>conklin</t>
  </si>
  <si>
    <t>hibbert</t>
  </si>
  <si>
    <t>maxwell</t>
  </si>
  <si>
    <t>ellman</t>
  </si>
  <si>
    <t>herbst</t>
  </si>
  <si>
    <t>senior vice president / managing director</t>
  </si>
  <si>
    <t>national partner manager, hp</t>
  </si>
  <si>
    <t>founder &amp; cto</t>
  </si>
  <si>
    <t>silverstone</t>
  </si>
  <si>
    <t>chief security officer</t>
  </si>
  <si>
    <t>los altos, california, United States</t>
  </si>
  <si>
    <t>fuca</t>
  </si>
  <si>
    <t>senior vice president of world wide sales</t>
  </si>
  <si>
    <t>barker</t>
  </si>
  <si>
    <t>trusted ceo advisor</t>
  </si>
  <si>
    <t>bassett</t>
  </si>
  <si>
    <t>wolpert</t>
  </si>
  <si>
    <t>industry director, media and entertainment</t>
  </si>
  <si>
    <t>sr. vice president</t>
  </si>
  <si>
    <t>kwarsick</t>
  </si>
  <si>
    <t>senior director of sales, north america</t>
  </si>
  <si>
    <t>vp business development - north america</t>
  </si>
  <si>
    <t>executive vice president of engineering</t>
  </si>
  <si>
    <t>gerhardt</t>
  </si>
  <si>
    <t>managing partner, ceo</t>
  </si>
  <si>
    <t>hoopes</t>
  </si>
  <si>
    <t>vice president north american operations</t>
  </si>
  <si>
    <t>hartig</t>
  </si>
  <si>
    <t>warburg warb</t>
  </si>
  <si>
    <t>leist</t>
  </si>
  <si>
    <t>hugues</t>
  </si>
  <si>
    <t>delannoy</t>
  </si>
  <si>
    <t>gehlen</t>
  </si>
  <si>
    <t>bourdon keeffe</t>
  </si>
  <si>
    <t>beatty</t>
  </si>
  <si>
    <t>parish</t>
  </si>
  <si>
    <t>eagle</t>
  </si>
  <si>
    <t>vp gm storage at dell</t>
  </si>
  <si>
    <t>30,025</t>
  </si>
  <si>
    <t>nordby</t>
  </si>
  <si>
    <t>executive vice president, chief revenue officer</t>
  </si>
  <si>
    <t>jonno</t>
  </si>
  <si>
    <t>vandegrift</t>
  </si>
  <si>
    <t>ceo and cofounder</t>
  </si>
  <si>
    <t>ash</t>
  </si>
  <si>
    <t>ruse</t>
  </si>
  <si>
    <t>vice president america's sales and marketing</t>
  </si>
  <si>
    <t>connie</t>
  </si>
  <si>
    <t>twynham</t>
  </si>
  <si>
    <t>sklar</t>
  </si>
  <si>
    <t>farshid</t>
  </si>
  <si>
    <t>sedghi</t>
  </si>
  <si>
    <t>goldsberry</t>
  </si>
  <si>
    <t>ceo, founding partner</t>
  </si>
  <si>
    <t>executive vice president &amp; chief talent strategist</t>
  </si>
  <si>
    <t>weinkrantz</t>
  </si>
  <si>
    <t>sheevaun</t>
  </si>
  <si>
    <t>thatcher</t>
  </si>
  <si>
    <t>vp, sales enablement</t>
  </si>
  <si>
    <t>toprac</t>
  </si>
  <si>
    <t>marlborough, massachusetts, United States</t>
  </si>
  <si>
    <t>hafner</t>
  </si>
  <si>
    <t>president &amp; chief executive officer</t>
  </si>
  <si>
    <t>wyckoff</t>
  </si>
  <si>
    <t>predmore</t>
  </si>
  <si>
    <t>cation</t>
  </si>
  <si>
    <t>co-founder, chairman &amp; ceo</t>
  </si>
  <si>
    <t>camprubi</t>
  </si>
  <si>
    <t>moxley</t>
  </si>
  <si>
    <t>junior</t>
  </si>
  <si>
    <t>mackinlay</t>
  </si>
  <si>
    <t>dipankar</t>
  </si>
  <si>
    <t>choudhury</t>
  </si>
  <si>
    <t>vice president, research</t>
  </si>
  <si>
    <t>presales lead, northeast and canada division</t>
  </si>
  <si>
    <t>collison</t>
  </si>
  <si>
    <t>margolis</t>
  </si>
  <si>
    <t>inside district manager</t>
  </si>
  <si>
    <t>gita</t>
  </si>
  <si>
    <t>jagarnauth</t>
  </si>
  <si>
    <t>cheves</t>
  </si>
  <si>
    <t>denton, texas</t>
  </si>
  <si>
    <t>jacobson</t>
  </si>
  <si>
    <t>woelk</t>
  </si>
  <si>
    <t>budko</t>
  </si>
  <si>
    <t>stephen a.</t>
  </si>
  <si>
    <t>mccall</t>
  </si>
  <si>
    <t>schwam</t>
  </si>
  <si>
    <t>nataly</t>
  </si>
  <si>
    <t>enrique quique</t>
  </si>
  <si>
    <t>vice president, b2b &amp; commerce sales, worldwide</t>
  </si>
  <si>
    <t>loys duncan</t>
  </si>
  <si>
    <t>mueller</t>
  </si>
  <si>
    <t>levie</t>
  </si>
  <si>
    <t>general manager - digital video services</t>
  </si>
  <si>
    <t>vp world wide sales</t>
  </si>
  <si>
    <t>belanger hcs</t>
  </si>
  <si>
    <t>senior vice president, talent management</t>
  </si>
  <si>
    <t>clawson</t>
  </si>
  <si>
    <t>keath</t>
  </si>
  <si>
    <t>darling</t>
  </si>
  <si>
    <t>vp, corporate marketing</t>
  </si>
  <si>
    <t>easterling</t>
  </si>
  <si>
    <t>ceo, co-founder &amp; chief evangelist</t>
  </si>
  <si>
    <t>geist</t>
  </si>
  <si>
    <t>roymoulik</t>
  </si>
  <si>
    <t>sumter</t>
  </si>
  <si>
    <t>boyle</t>
  </si>
  <si>
    <t>group vp isv and oem alliances</t>
  </si>
  <si>
    <t>vp, social strategy</t>
  </si>
  <si>
    <t>pearson</t>
  </si>
  <si>
    <t>vice president puresystems marketing</t>
  </si>
  <si>
    <t>meyerowitz</t>
  </si>
  <si>
    <t>avp data center technical services</t>
  </si>
  <si>
    <t>35,25</t>
  </si>
  <si>
    <t>vice president, ww sales</t>
  </si>
  <si>
    <t>curme</t>
  </si>
  <si>
    <t>burdumy</t>
  </si>
  <si>
    <t>vice president, smarter analytics, banking and financial markets</t>
  </si>
  <si>
    <t>chief executive officer, kgbdeals usa</t>
  </si>
  <si>
    <t>charlottesville, virginia</t>
  </si>
  <si>
    <t>31,2263157894737</t>
  </si>
  <si>
    <t>shon</t>
  </si>
  <si>
    <t>alcazar mib</t>
  </si>
  <si>
    <t>co - founder and partner</t>
  </si>
  <si>
    <t>mountain</t>
  </si>
  <si>
    <t>reardon</t>
  </si>
  <si>
    <t>gcubed cto</t>
  </si>
  <si>
    <t>li</t>
  </si>
  <si>
    <t>pedro augusto</t>
  </si>
  <si>
    <t>leite costa</t>
  </si>
  <si>
    <t>martinez jr mba</t>
  </si>
  <si>
    <t>hobika</t>
  </si>
  <si>
    <t>board member - properties committee</t>
  </si>
  <si>
    <t>pittsford, new york</t>
  </si>
  <si>
    <t>shabana</t>
  </si>
  <si>
    <t>seidl</t>
  </si>
  <si>
    <t>senior vice president &amp; general manager, hp enterprise group – us</t>
  </si>
  <si>
    <t>wellesley hills, massachusetts</t>
  </si>
  <si>
    <t>stein</t>
  </si>
  <si>
    <t>vander meer</t>
  </si>
  <si>
    <t>vice president, program management - europe</t>
  </si>
  <si>
    <t>helm jr.</t>
  </si>
  <si>
    <t>seaber</t>
  </si>
  <si>
    <t>moritz</t>
  </si>
  <si>
    <t>lynne</t>
  </si>
  <si>
    <t>washburn</t>
  </si>
  <si>
    <t>vp of business development</t>
  </si>
  <si>
    <t>nylander</t>
  </si>
  <si>
    <t>eberhard ryanplanetgreensearch.com</t>
  </si>
  <si>
    <t>president, executive search</t>
  </si>
  <si>
    <t>cto, vp r&amp;d</t>
  </si>
  <si>
    <t>vp digital marketing solutions, emea</t>
  </si>
  <si>
    <t>vice president, mobile apps &amp; connected devices</t>
  </si>
  <si>
    <t>dellutri</t>
  </si>
  <si>
    <t>haver</t>
  </si>
  <si>
    <t>portman</t>
  </si>
  <si>
    <t>cresta</t>
  </si>
  <si>
    <t>andrew r.</t>
  </si>
  <si>
    <t>ceo/human capital best practices expert</t>
  </si>
  <si>
    <t>fahey</t>
  </si>
  <si>
    <t>zack</t>
  </si>
  <si>
    <t>sangeeta</t>
  </si>
  <si>
    <t>massin</t>
  </si>
  <si>
    <t>gary s.</t>
  </si>
  <si>
    <t>bonamassa</t>
  </si>
  <si>
    <t>bursey</t>
  </si>
  <si>
    <t>vp products</t>
  </si>
  <si>
    <t>danville, california</t>
  </si>
  <si>
    <t>acquisition account director, federal services</t>
  </si>
  <si>
    <t>kilinc</t>
  </si>
  <si>
    <t>keaney</t>
  </si>
  <si>
    <t>director/cto , engineering - vplex integration</t>
  </si>
  <si>
    <t>trueblood</t>
  </si>
  <si>
    <t>vice president of us west region sales</t>
  </si>
  <si>
    <t>boudraa</t>
  </si>
  <si>
    <t>director of partner community</t>
  </si>
  <si>
    <t>bontrager</t>
  </si>
  <si>
    <t>vice president, social business evangelism and sales</t>
  </si>
  <si>
    <t>poston</t>
  </si>
  <si>
    <t>san antonio, texas area, united states, United States</t>
  </si>
  <si>
    <t>hank</t>
  </si>
  <si>
    <t>hafley</t>
  </si>
  <si>
    <t>lando</t>
  </si>
  <si>
    <t>kravetz</t>
  </si>
  <si>
    <t>sales head north america - infrastructure services</t>
  </si>
  <si>
    <t>president &amp; ceo americas</t>
  </si>
  <si>
    <t>zirl</t>
  </si>
  <si>
    <t>avp healthcare and life sciences solutions sales</t>
  </si>
  <si>
    <t>31,26</t>
  </si>
  <si>
    <t>watson</t>
  </si>
  <si>
    <t>brelsford</t>
  </si>
  <si>
    <t>wornell</t>
  </si>
  <si>
    <t>cardiology career specialist/ceo</t>
  </si>
  <si>
    <t>dayon</t>
  </si>
  <si>
    <t>president applications and platform</t>
  </si>
  <si>
    <t>creative inspiration/owner</t>
  </si>
  <si>
    <t>morrow</t>
  </si>
  <si>
    <t>svp, corporate development and legal affairs, general counsel and secretary</t>
  </si>
  <si>
    <t>pedigo</t>
  </si>
  <si>
    <t>rowley</t>
  </si>
  <si>
    <t>group program manager</t>
  </si>
  <si>
    <t>31,66</t>
  </si>
  <si>
    <t>vice president of marketing and community</t>
  </si>
  <si>
    <t>omeara</t>
  </si>
  <si>
    <t>pechal</t>
  </si>
  <si>
    <t>http://www.linkedin.com/pub/emily-pechal/3/676/292?trk=pub-pbmap'&gt;&lt;img class=</t>
  </si>
  <si>
    <t>willaman</t>
  </si>
  <si>
    <t>hauswirth</t>
  </si>
  <si>
    <t>jan maarten</t>
  </si>
  <si>
    <t>van dongen</t>
  </si>
  <si>
    <t>benny</t>
  </si>
  <si>
    <t>sterental</t>
  </si>
  <si>
    <t>haavisto</t>
  </si>
  <si>
    <t>keele</t>
  </si>
  <si>
    <t>sonnier</t>
  </si>
  <si>
    <t>laverty</t>
  </si>
  <si>
    <t>president, partner healthcare it &amp; technology divisions</t>
  </si>
  <si>
    <t>bresette</t>
  </si>
  <si>
    <t>bridges</t>
  </si>
  <si>
    <t>sheri</t>
  </si>
  <si>
    <t>santa clara, california, United States</t>
  </si>
  <si>
    <t>engdahl</t>
  </si>
  <si>
    <t>svp, product strategy at goldensource</t>
  </si>
  <si>
    <t>vice president &amp; client executive for the department of homeland security (dhs)</t>
  </si>
  <si>
    <t>mcneely</t>
  </si>
  <si>
    <t>shayne</t>
  </si>
  <si>
    <t>vice president, justice &amp; public safety</t>
  </si>
  <si>
    <t>mcdaniel</t>
  </si>
  <si>
    <t>30,57</t>
  </si>
  <si>
    <t>kowalonek</t>
  </si>
  <si>
    <t>le</t>
  </si>
  <si>
    <t>managing partner, vp of client services</t>
  </si>
  <si>
    <t>alesia</t>
  </si>
  <si>
    <t>benedict</t>
  </si>
  <si>
    <t>fumbi</t>
  </si>
  <si>
    <t>chima</t>
  </si>
  <si>
    <t>vice president of international integrations</t>
  </si>
  <si>
    <t>fatzinger</t>
  </si>
  <si>
    <t>leah</t>
  </si>
  <si>
    <t>jochim</t>
  </si>
  <si>
    <t>zaveri</t>
  </si>
  <si>
    <t>wilmington, north carolina area, united states</t>
  </si>
  <si>
    <t>miki</t>
  </si>
  <si>
    <t>costello</t>
  </si>
  <si>
    <t>bruhnke growth nation</t>
  </si>
  <si>
    <t>ceo / growth partner</t>
  </si>
  <si>
    <t>fuhr</t>
  </si>
  <si>
    <t>experienced technology executive</t>
  </si>
  <si>
    <t>31,4416666666667</t>
  </si>
  <si>
    <t>leary</t>
  </si>
  <si>
    <t>foristall</t>
  </si>
  <si>
    <t>evp &amp; chief financial officer</t>
  </si>
  <si>
    <t>azzara</t>
  </si>
  <si>
    <t>goswamy</t>
  </si>
  <si>
    <t>birju</t>
  </si>
  <si>
    <t>vp sales operations</t>
  </si>
  <si>
    <t>vp, client development</t>
  </si>
  <si>
    <t>director, product marketing - strategy | agile marketing | product launch | sales enablement</t>
  </si>
  <si>
    <t>sabrin</t>
  </si>
  <si>
    <t>vice president americas</t>
  </si>
  <si>
    <t>rathaus</t>
  </si>
  <si>
    <t>narendra</t>
  </si>
  <si>
    <t>patil kellogg executive mba</t>
  </si>
  <si>
    <t>branley</t>
  </si>
  <si>
    <t>hollander</t>
  </si>
  <si>
    <t>chiara</t>
  </si>
  <si>
    <t>sarata</t>
  </si>
  <si>
    <t>e. j. jay</t>
  </si>
  <si>
    <t>williams jr. lion  toplinked</t>
  </si>
  <si>
    <t>elkins</t>
  </si>
  <si>
    <t>vice president of client strategy</t>
  </si>
  <si>
    <t>voll</t>
  </si>
  <si>
    <t>co-founder and managing principal</t>
  </si>
  <si>
    <t>gambino</t>
  </si>
  <si>
    <t>senior vice president, global product management</t>
  </si>
  <si>
    <t>healey</t>
  </si>
  <si>
    <t>koonings</t>
  </si>
  <si>
    <t>vice president marketing &amp; product management</t>
  </si>
  <si>
    <t>john e</t>
  </si>
  <si>
    <t>spriggs</t>
  </si>
  <si>
    <t>hopewell, virginia</t>
  </si>
  <si>
    <t>gus</t>
  </si>
  <si>
    <t>cawley cpa</t>
  </si>
  <si>
    <t>jauhal</t>
  </si>
  <si>
    <t>cooks</t>
  </si>
  <si>
    <t>eder</t>
  </si>
  <si>
    <t>vp, strategic partnering</t>
  </si>
  <si>
    <t>killebrew</t>
  </si>
  <si>
    <t>sponsorship chair</t>
  </si>
  <si>
    <t>jesper</t>
  </si>
  <si>
    <t>løvendahl</t>
  </si>
  <si>
    <t>wesson</t>
  </si>
  <si>
    <t>fukushima</t>
  </si>
  <si>
    <t>woodstra</t>
  </si>
  <si>
    <t>vice president ww strategic partner alliances</t>
  </si>
  <si>
    <t>vice president, global consulting operations</t>
  </si>
  <si>
    <t>koch</t>
  </si>
  <si>
    <t>vp product</t>
  </si>
  <si>
    <t>audrey</t>
  </si>
  <si>
    <t>joao</t>
  </si>
  <si>
    <t>vice president, global sales, ibm puresystems</t>
  </si>
  <si>
    <t>hamburg pe cciso</t>
  </si>
  <si>
    <t>member, board of directors</t>
  </si>
  <si>
    <t>dr. simon r. r.</t>
  </si>
  <si>
    <t>atkins mba phd dsc am</t>
  </si>
  <si>
    <t>ceo; climate risk economist; planetary threat advisor</t>
  </si>
  <si>
    <t>carrithers</t>
  </si>
  <si>
    <t>barcelos</t>
  </si>
  <si>
    <t>program executive</t>
  </si>
  <si>
    <t>31,0166666666667</t>
  </si>
  <si>
    <t>vitti</t>
  </si>
  <si>
    <t>vice president, logistics</t>
  </si>
  <si>
    <t>mcmanamon</t>
  </si>
  <si>
    <t>chagrin falls, ohio, United States</t>
  </si>
  <si>
    <t>thomas w.</t>
  </si>
  <si>
    <t>baros</t>
  </si>
  <si>
    <t>owner of launchpoint, llc</t>
  </si>
  <si>
    <t>parolisi</t>
  </si>
  <si>
    <t>vice president - infrastructure solutions gtm</t>
  </si>
  <si>
    <t>glefke</t>
  </si>
  <si>
    <t>vice president local</t>
  </si>
  <si>
    <t>brookins</t>
  </si>
  <si>
    <t>muller</t>
  </si>
  <si>
    <t>vp software marketing</t>
  </si>
  <si>
    <t>investor, co-founder</t>
  </si>
  <si>
    <t>lowry</t>
  </si>
  <si>
    <t>31,69</t>
  </si>
  <si>
    <t>mazzocco</t>
  </si>
  <si>
    <t>cahn</t>
  </si>
  <si>
    <t>co founder / president / director</t>
  </si>
  <si>
    <t>vp, marketing</t>
  </si>
  <si>
    <t>campbell melmelcampbell.com</t>
  </si>
  <si>
    <t>eversoll</t>
  </si>
  <si>
    <t>corbera</t>
  </si>
  <si>
    <t>dilley</t>
  </si>
  <si>
    <t>hemmady</t>
  </si>
  <si>
    <t>vice president product technology</t>
  </si>
  <si>
    <t>morrell</t>
  </si>
  <si>
    <t>senior vice president &amp; general manager, small business division</t>
  </si>
  <si>
    <t>aditya</t>
  </si>
  <si>
    <t>vice president, alliances &amp; program management</t>
  </si>
  <si>
    <t>sam cooper</t>
  </si>
  <si>
    <t>successful serial entrepreneur marketer</t>
  </si>
  <si>
    <t>vp, engineering</t>
  </si>
  <si>
    <t>barlow</t>
  </si>
  <si>
    <t>cornelius</t>
  </si>
  <si>
    <t>economou</t>
  </si>
  <si>
    <t>vice president of global sales</t>
  </si>
  <si>
    <t>fullerton</t>
  </si>
  <si>
    <t>vp of client fulfillment &amp; recruiting</t>
  </si>
  <si>
    <t>donata</t>
  </si>
  <si>
    <t>davenport</t>
  </si>
  <si>
    <t>vp, global recruiting</t>
  </si>
  <si>
    <t>jakobsen</t>
  </si>
  <si>
    <t>vp of sales, smb markets</t>
  </si>
  <si>
    <t>svp business to consumer operations</t>
  </si>
  <si>
    <t>steven m.</t>
  </si>
  <si>
    <t>executive vice president, managing director</t>
  </si>
  <si>
    <t>husting</t>
  </si>
  <si>
    <t>harron</t>
  </si>
  <si>
    <t>vp, sales</t>
  </si>
  <si>
    <t>choksi</t>
  </si>
  <si>
    <t>mannix</t>
  </si>
  <si>
    <t>tech lead, user interest modeling (personalization and recommender systems)</t>
  </si>
  <si>
    <t>holberton</t>
  </si>
  <si>
    <t>heman</t>
  </si>
  <si>
    <t>leopando</t>
  </si>
  <si>
    <t>barbier</t>
  </si>
  <si>
    <t>assaf</t>
  </si>
  <si>
    <t>halevy</t>
  </si>
  <si>
    <t>co-founder &amp; vp strategic accounts and business development</t>
  </si>
  <si>
    <t>co-founder and organizer</t>
  </si>
  <si>
    <t>ayers</t>
  </si>
  <si>
    <t>hartnett</t>
  </si>
  <si>
    <t>mckissick</t>
  </si>
  <si>
    <t>mehra</t>
  </si>
  <si>
    <t>vice president, platform management</t>
  </si>
  <si>
    <t>felten</t>
  </si>
  <si>
    <t>senior vice president, technology catalyst</t>
  </si>
  <si>
    <t>partner/owner/investor</t>
  </si>
  <si>
    <t>ran</t>
  </si>
  <si>
    <t>34,4846153846154</t>
  </si>
  <si>
    <t>brathall</t>
  </si>
  <si>
    <t>business development officer</t>
  </si>
  <si>
    <t>mcclelland</t>
  </si>
  <si>
    <t>glasgow, united kingdom</t>
  </si>
  <si>
    <t>desarmes</t>
  </si>
  <si>
    <t>esparza</t>
  </si>
  <si>
    <t>scozzari</t>
  </si>
  <si>
    <t>president, north america</t>
  </si>
  <si>
    <t>hilton mba</t>
  </si>
  <si>
    <t>tonguç</t>
  </si>
  <si>
    <t>yaman</t>
  </si>
  <si>
    <t>deputy chief information officer - south manhattan healthcare network</t>
  </si>
  <si>
    <t>bilfield</t>
  </si>
  <si>
    <t>cowing</t>
  </si>
  <si>
    <t>vp and managing director</t>
  </si>
  <si>
    <t>vp mobility</t>
  </si>
  <si>
    <t>weaver pmp csm itil</t>
  </si>
  <si>
    <t>co-founder and vice president, business development</t>
  </si>
  <si>
    <t>blos  long</t>
  </si>
  <si>
    <t>nevada city, california</t>
  </si>
  <si>
    <t>narayanan</t>
  </si>
  <si>
    <t>adlakha</t>
  </si>
  <si>
    <t>anchorage, alaska area, united states</t>
  </si>
  <si>
    <t>toll</t>
  </si>
  <si>
    <t>gothelf</t>
  </si>
  <si>
    <t>kline</t>
  </si>
  <si>
    <t>director of engineering services</t>
  </si>
  <si>
    <t>cody</t>
  </si>
  <si>
    <t>lerum</t>
  </si>
  <si>
    <t>co-founder / vp engineering</t>
  </si>
  <si>
    <t>billings, montana area, united states</t>
  </si>
  <si>
    <t>paynotta</t>
  </si>
  <si>
    <t>neher</t>
  </si>
  <si>
    <t>ceo, social media trainer, social media educator</t>
  </si>
  <si>
    <t>bove</t>
  </si>
  <si>
    <t>vice president, personnel aquisition</t>
  </si>
  <si>
    <t>arcadio</t>
  </si>
  <si>
    <t>bignayan</t>
  </si>
  <si>
    <t>sascha</t>
  </si>
  <si>
    <t>meinrath</t>
  </si>
  <si>
    <t>raxter</t>
  </si>
  <si>
    <t>goldwater</t>
  </si>
  <si>
    <t>slaughter</t>
  </si>
  <si>
    <t>president / managing partner</t>
  </si>
  <si>
    <t>executive chairman and ceo</t>
  </si>
  <si>
    <t>lenexa, kansas</t>
  </si>
  <si>
    <t>hartzberg</t>
  </si>
  <si>
    <t>carvallo</t>
  </si>
  <si>
    <t>evp energy solutions and chief strategy officer</t>
  </si>
  <si>
    <t>porcaro</t>
  </si>
  <si>
    <t>vice president - interactive media</t>
  </si>
  <si>
    <t>vp / partner</t>
  </si>
  <si>
    <t>pogorzelski</t>
  </si>
  <si>
    <t>co-founder &amp; chief technology officer</t>
  </si>
  <si>
    <t>longmoor</t>
  </si>
  <si>
    <t>senior user experience designer</t>
  </si>
  <si>
    <t>svp worldwide sales</t>
  </si>
  <si>
    <t>failing</t>
  </si>
  <si>
    <t>vice president; supply chain practice leader</t>
  </si>
  <si>
    <t>vp business development &amp; marketing (acting)</t>
  </si>
  <si>
    <t>vice president, global sales</t>
  </si>
  <si>
    <t>van dillen</t>
  </si>
  <si>
    <t>self</t>
  </si>
  <si>
    <t>vice president- jp morgan securities llc</t>
  </si>
  <si>
    <t>vice president &amp; general manager, america's enterprise - east</t>
  </si>
  <si>
    <t>occasio</t>
  </si>
  <si>
    <t>gee</t>
  </si>
  <si>
    <t>vice president, technology &amp; product development</t>
  </si>
  <si>
    <t>ting</t>
  </si>
  <si>
    <t>geers</t>
  </si>
  <si>
    <t>vp, customer success</t>
  </si>
  <si>
    <t>mateer</t>
  </si>
  <si>
    <t>vice president/partner</t>
  </si>
  <si>
    <t>kang</t>
  </si>
  <si>
    <t>co-founder and vice president</t>
  </si>
  <si>
    <t>peltekian</t>
  </si>
  <si>
    <t>cio advisor</t>
  </si>
  <si>
    <t>sheppard</t>
  </si>
  <si>
    <t>vice president - sales &amp; marketing</t>
  </si>
  <si>
    <t>clarke</t>
  </si>
  <si>
    <t>co-founder and chief technology officer</t>
  </si>
  <si>
    <t>mowat</t>
  </si>
  <si>
    <t>kanas</t>
  </si>
  <si>
    <t>c. n. madhu</t>
  </si>
  <si>
    <t>madhusudan</t>
  </si>
  <si>
    <t>puri</t>
  </si>
  <si>
    <t>vp sales, marketing and alliances</t>
  </si>
  <si>
    <t>e.j.</t>
  </si>
  <si>
    <t>dieterle</t>
  </si>
  <si>
    <t>president &amp; ceo (global executive search)</t>
  </si>
  <si>
    <t>freier</t>
  </si>
  <si>
    <t>naeem</t>
  </si>
  <si>
    <t>zafar</t>
  </si>
  <si>
    <t>scrimshire</t>
  </si>
  <si>
    <t>chief instigator, co-founder + health and social technology consultant</t>
  </si>
  <si>
    <t>berg</t>
  </si>
  <si>
    <t>rutherford</t>
  </si>
  <si>
    <t>vice president, communications industry sales</t>
  </si>
  <si>
    <t>nicolai</t>
  </si>
  <si>
    <t>wadstrom</t>
  </si>
  <si>
    <t>giese</t>
  </si>
  <si>
    <t>steger</t>
  </si>
  <si>
    <t>vp worldwide marketing</t>
  </si>
  <si>
    <t>hulsey tomhulsey</t>
  </si>
  <si>
    <t>conrad</t>
  </si>
  <si>
    <t>harjit</t>
  </si>
  <si>
    <t>sabharwal</t>
  </si>
  <si>
    <t>vp, telco api solution delivery</t>
  </si>
  <si>
    <t>florian</t>
  </si>
  <si>
    <t>brody</t>
  </si>
  <si>
    <t>co-founder, marketing strategy</t>
  </si>
  <si>
    <t>corson</t>
  </si>
  <si>
    <t>vice president global systems engineering</t>
  </si>
  <si>
    <t>herndon, virginia</t>
  </si>
  <si>
    <t>wayrynen</t>
  </si>
  <si>
    <t>president, ceo, and chief bottle washer</t>
  </si>
  <si>
    <t>salil</t>
  </si>
  <si>
    <t>deshpande</t>
  </si>
  <si>
    <t>general partner</t>
  </si>
  <si>
    <t>starchman</t>
  </si>
  <si>
    <t>mcfarland</t>
  </si>
  <si>
    <t>beal</t>
  </si>
  <si>
    <t>busch</t>
  </si>
  <si>
    <t>co-founder &amp; strategic partner</t>
  </si>
  <si>
    <t>neubert</t>
  </si>
  <si>
    <t>monk</t>
  </si>
  <si>
    <t>vice president, patent brokerage</t>
  </si>
  <si>
    <t>coppola</t>
  </si>
  <si>
    <t>president &amp; executive director</t>
  </si>
  <si>
    <t>shantanu</t>
  </si>
  <si>
    <t>mitra</t>
  </si>
  <si>
    <t>vice president, marketing, physical layer products</t>
  </si>
  <si>
    <t>landman</t>
  </si>
  <si>
    <t>gaydos</t>
  </si>
  <si>
    <t>svp, worldwide marketing</t>
  </si>
  <si>
    <t>peizer</t>
  </si>
  <si>
    <t>adit</t>
  </si>
  <si>
    <t>uppal</t>
  </si>
  <si>
    <t>vice president - americas (south east us and latam practice)</t>
  </si>
  <si>
    <t>ehlers</t>
  </si>
  <si>
    <t>sr. managing partner</t>
  </si>
  <si>
    <t>rau</t>
  </si>
  <si>
    <t>yakov</t>
  </si>
  <si>
    <t>kamen</t>
  </si>
  <si>
    <t>schmitz</t>
  </si>
  <si>
    <t>founder | vp sales business development</t>
  </si>
  <si>
    <t>lukas</t>
  </si>
  <si>
    <t>software architect and engineer</t>
  </si>
  <si>
    <t>34,1</t>
  </si>
  <si>
    <t>litton</t>
  </si>
  <si>
    <t>laswell</t>
  </si>
  <si>
    <t>networking event founder &amp; facilitator</t>
  </si>
  <si>
    <t>dr. sudhi</t>
  </si>
  <si>
    <t>gautam md.</t>
  </si>
  <si>
    <t>vice president &amp; head - medical devices</t>
  </si>
  <si>
    <t>hoffert</t>
  </si>
  <si>
    <t>lueders</t>
  </si>
  <si>
    <t>vice president, worldwide marketing</t>
  </si>
  <si>
    <t>koerberwalker</t>
  </si>
  <si>
    <t>orton katz</t>
  </si>
  <si>
    <t>melden</t>
  </si>
  <si>
    <t>hawk</t>
  </si>
  <si>
    <t>kristie</t>
  </si>
  <si>
    <t>senior vice president, corporate technology</t>
  </si>
  <si>
    <t>ceo and chief staffing strategist | speaker | networker |</t>
  </si>
  <si>
    <t>ketan</t>
  </si>
  <si>
    <t>board member and president</t>
  </si>
  <si>
    <t>dipietro</t>
  </si>
  <si>
    <t>wiefling m.s.</t>
  </si>
  <si>
    <t>bard</t>
  </si>
  <si>
    <t>svp &amp; gm service cloud &amp; desk.com</t>
  </si>
  <si>
    <t>molitor cpcc pcc</t>
  </si>
  <si>
    <t>benitt</t>
  </si>
  <si>
    <t>david wendell dave phillips</t>
  </si>
  <si>
    <t>youstra</t>
  </si>
  <si>
    <t>metherell</t>
  </si>
  <si>
    <t>tarik</t>
  </si>
  <si>
    <t>taman</t>
  </si>
  <si>
    <t>general manager human capital managment &amp; cloud erp businesses</t>
  </si>
  <si>
    <t>anupam</t>
  </si>
  <si>
    <t>manglik</t>
  </si>
  <si>
    <t>president - searchpath ny metro - global technology practice</t>
  </si>
  <si>
    <t>tauber</t>
  </si>
  <si>
    <t>ceo, cto and co-founder</t>
  </si>
  <si>
    <t>logue</t>
  </si>
  <si>
    <t>stuppy</t>
  </si>
  <si>
    <t>gaithersburg, maryland</t>
  </si>
  <si>
    <t>steel</t>
  </si>
  <si>
    <t>ceo us green chamber of commerce,social media expert,speaker, business advisor</t>
  </si>
  <si>
    <t>karl</t>
  </si>
  <si>
    <t>waldman</t>
  </si>
  <si>
    <t>svp worldwide customer operations</t>
  </si>
  <si>
    <t>kehler</t>
  </si>
  <si>
    <t>ayyoub</t>
  </si>
  <si>
    <t>vp, business operations</t>
  </si>
  <si>
    <t>cumberland</t>
  </si>
  <si>
    <t>darbyshire</t>
  </si>
  <si>
    <t>vannatta</t>
  </si>
  <si>
    <t>president, chicago</t>
  </si>
  <si>
    <t>evanston, illinois</t>
  </si>
  <si>
    <t>gladstone</t>
  </si>
  <si>
    <t>vp, talent acquisition management and strategy / co-founder</t>
  </si>
  <si>
    <t>philadelphia, pennsylvania</t>
  </si>
  <si>
    <t>mcaleer</t>
  </si>
  <si>
    <t>founder/principle</t>
  </si>
  <si>
    <t>boeing</t>
  </si>
  <si>
    <t>vice president, ecommerce</t>
  </si>
  <si>
    <t>31,71</t>
  </si>
  <si>
    <t>rickel</t>
  </si>
  <si>
    <t>lewkowicz</t>
  </si>
  <si>
    <t>telly</t>
  </si>
  <si>
    <t>devanan</t>
  </si>
  <si>
    <t>jukka</t>
  </si>
  <si>
    <t>alanen</t>
  </si>
  <si>
    <t>vice president, client services</t>
  </si>
  <si>
    <t>kogon</t>
  </si>
  <si>
    <t>agovino</t>
  </si>
  <si>
    <t>shaukat</t>
  </si>
  <si>
    <t>shamim</t>
  </si>
  <si>
    <t>near</t>
  </si>
  <si>
    <t>margalit</t>
  </si>
  <si>
    <t>ramsayer</t>
  </si>
  <si>
    <t>sonya</t>
  </si>
  <si>
    <t>sigler</t>
  </si>
  <si>
    <t>co-inventor, co-owner</t>
  </si>
  <si>
    <t>sacerdoti</t>
  </si>
  <si>
    <t>blum</t>
  </si>
  <si>
    <t>maxson</t>
  </si>
  <si>
    <t>president and cto at front porch</t>
  </si>
  <si>
    <t>esposti</t>
  </si>
  <si>
    <t>breyer</t>
  </si>
  <si>
    <t>azhar</t>
  </si>
  <si>
    <t>syracuse</t>
  </si>
  <si>
    <t>locust grove, georgia</t>
  </si>
  <si>
    <t>dickerson</t>
  </si>
  <si>
    <t>general manager &amp; svp, global collaboration services</t>
  </si>
  <si>
    <t>intoccio</t>
  </si>
  <si>
    <t>vice president sales/business development - managed hosting</t>
  </si>
  <si>
    <t>julius</t>
  </si>
  <si>
    <t>heil</t>
  </si>
  <si>
    <t>executive vice president, operations and supply chain</t>
  </si>
  <si>
    <t>pettitt</t>
  </si>
  <si>
    <t>jotwani</t>
  </si>
  <si>
    <t>netter</t>
  </si>
  <si>
    <t>bean</t>
  </si>
  <si>
    <t>lezama</t>
  </si>
  <si>
    <t>joseph a.</t>
  </si>
  <si>
    <t>business intelligence consultant/developer, solutions architect</t>
  </si>
  <si>
    <t>jaffe</t>
  </si>
  <si>
    <t>founder &amp; partner</t>
  </si>
  <si>
    <t>bayme</t>
  </si>
  <si>
    <t>gary w.</t>
  </si>
  <si>
    <t>druckenmiller jr.</t>
  </si>
  <si>
    <t>vice-president, strategic services</t>
  </si>
  <si>
    <t>regional president</t>
  </si>
  <si>
    <t>sioux falls, south dakota area, united states</t>
  </si>
  <si>
    <t>jorge m.</t>
  </si>
  <si>
    <t>chiriboga</t>
  </si>
  <si>
    <t>tyree</t>
  </si>
  <si>
    <t>leyda</t>
  </si>
  <si>
    <t>vice president of marketing, home robot division</t>
  </si>
  <si>
    <t>beddows</t>
  </si>
  <si>
    <t>director and president of 2ergo inc.</t>
  </si>
  <si>
    <t>tobin</t>
  </si>
  <si>
    <t>vice president development, risk and compliance</t>
  </si>
  <si>
    <t>delisle</t>
  </si>
  <si>
    <t>kerr</t>
  </si>
  <si>
    <t>33,08</t>
  </si>
  <si>
    <t>fogel</t>
  </si>
  <si>
    <t>colantino</t>
  </si>
  <si>
    <t>sales vice president</t>
  </si>
  <si>
    <t>gimble</t>
  </si>
  <si>
    <t>herndon, virginia, United States</t>
  </si>
  <si>
    <t>herzog</t>
  </si>
  <si>
    <t>senior vice president, product management and product marketing</t>
  </si>
  <si>
    <t>messina</t>
  </si>
  <si>
    <t>president/coo/co-founder</t>
  </si>
  <si>
    <t>stern</t>
  </si>
  <si>
    <t>congdon mba</t>
  </si>
  <si>
    <t>mackean</t>
  </si>
  <si>
    <t>40,5</t>
  </si>
  <si>
    <t>nanda</t>
  </si>
  <si>
    <t>kishore</t>
  </si>
  <si>
    <t>morten</t>
  </si>
  <si>
    <t>brante</t>
  </si>
  <si>
    <t>vice president, north america professional services</t>
  </si>
  <si>
    <t>coover</t>
  </si>
  <si>
    <t>warner</t>
  </si>
  <si>
    <t>head of business development &amp; content partnerships, home printing</t>
  </si>
  <si>
    <t>jobe</t>
  </si>
  <si>
    <t>fredericks</t>
  </si>
  <si>
    <t>senior vice president of research and development</t>
  </si>
  <si>
    <t>cole</t>
  </si>
  <si>
    <t>kohn</t>
  </si>
  <si>
    <t>founder &amp; vice president</t>
  </si>
  <si>
    <t>ramneek</t>
  </si>
  <si>
    <t>vice president &amp; general manager mobile/catalogue</t>
  </si>
  <si>
    <t>shackelford</t>
  </si>
  <si>
    <t>shay</t>
  </si>
  <si>
    <t>co-founder, chief revenue officer</t>
  </si>
  <si>
    <t>heynen</t>
  </si>
  <si>
    <t>searfoss</t>
  </si>
  <si>
    <t>quintos</t>
  </si>
  <si>
    <t>doust</t>
  </si>
  <si>
    <t>rochester, united kingdom</t>
  </si>
  <si>
    <t>conery</t>
  </si>
  <si>
    <t>vice president, construction solutions</t>
  </si>
  <si>
    <t>oberfest</t>
  </si>
  <si>
    <t>landa</t>
  </si>
  <si>
    <t>mencher</t>
  </si>
  <si>
    <t>valeska i.</t>
  </si>
  <si>
    <t>co-founder/partner channel/strategic agency partnerships</t>
  </si>
  <si>
    <t>jeneane</t>
  </si>
  <si>
    <t>sessum</t>
  </si>
  <si>
    <t>schwab</t>
  </si>
  <si>
    <t>wertheimer</t>
  </si>
  <si>
    <t>feinstein</t>
  </si>
  <si>
    <t>chief technology officer, entertainment services</t>
  </si>
  <si>
    <t>vp of corporate development, co-founder</t>
  </si>
  <si>
    <t>steudler</t>
  </si>
  <si>
    <t>viega</t>
  </si>
  <si>
    <t>executive vice president of products, strategy and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</si>
</sst>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9617" Type="http://schemas.openxmlformats.org/officeDocument/2006/relationships/hyperlink" Target="http://www.linkedin.com/in/tomodonnellnj" TargetMode="External"/><Relationship Id="rId9618" Type="http://schemas.openxmlformats.org/officeDocument/2006/relationships/hyperlink" Target="http://www.linkedin.com/pub/rick-pedigo/0/854/290" TargetMode="External"/><Relationship Id="rId9619" Type="http://schemas.openxmlformats.org/officeDocument/2006/relationships/hyperlink" Target="http://www.linkedin.com/in/matthewrowley" TargetMode="External"/><Relationship Id="rId9613" Type="http://schemas.openxmlformats.org/officeDocument/2006/relationships/hyperlink" Target="http://www.linkedin.com/in/debrawornell" TargetMode="External"/><Relationship Id="rId9614" Type="http://schemas.openxmlformats.org/officeDocument/2006/relationships/hyperlink" Target="http://www.linkedin.com/in/adayon" TargetMode="External"/><Relationship Id="rId9615" Type="http://schemas.openxmlformats.org/officeDocument/2006/relationships/hyperlink" Target="http://www.linkedin.com/in/yvonnetsilva" TargetMode="External"/><Relationship Id="rId9616" Type="http://schemas.openxmlformats.org/officeDocument/2006/relationships/hyperlink" Target="http://www.linkedin.com/in/johnmorrow" TargetMode="External"/><Relationship Id="rId9610" Type="http://schemas.openxmlformats.org/officeDocument/2006/relationships/hyperlink" Target="http://www.linkedin.com/pub/david-zirl/0/77/289" TargetMode="External"/><Relationship Id="rId9611" Type="http://schemas.openxmlformats.org/officeDocument/2006/relationships/hyperlink" Target="http://uk.linkedin.com/pub/paul-watson/0/450/647" TargetMode="External"/><Relationship Id="rId9612" Type="http://schemas.openxmlformats.org/officeDocument/2006/relationships/hyperlink" Target="https://www.linkedin.com/in/harryb" TargetMode="External"/><Relationship Id="rId9606" Type="http://schemas.openxmlformats.org/officeDocument/2006/relationships/hyperlink" Target="http://www.linkedin.com/pub/hank-hafley/1/715/30" TargetMode="External"/><Relationship Id="rId9607" Type="http://schemas.openxmlformats.org/officeDocument/2006/relationships/hyperlink" Target="http://www.linkedin.com/in/landokravetz" TargetMode="External"/><Relationship Id="rId9608" Type="http://schemas.openxmlformats.org/officeDocument/2006/relationships/hyperlink" Target="http://www.linkedin.com/in/chriscalebmay" TargetMode="External"/><Relationship Id="rId9609" Type="http://schemas.openxmlformats.org/officeDocument/2006/relationships/hyperlink" Target="http://www.linkedin.com/pub/kent-winter/0/353/527" TargetMode="External"/><Relationship Id="rId9602" Type="http://schemas.openxmlformats.org/officeDocument/2006/relationships/hyperlink" Target="http://www.linkedin.com/in/davesobel" TargetMode="External"/><Relationship Id="rId9603" Type="http://schemas.openxmlformats.org/officeDocument/2006/relationships/hyperlink" Target="http://www.linkedin.com/in/anthonybontrager" TargetMode="External"/><Relationship Id="rId9604" Type="http://schemas.openxmlformats.org/officeDocument/2006/relationships/hyperlink" Target="http://www.linkedin.com/in/sandyacarter" TargetMode="External"/><Relationship Id="rId9605" Type="http://schemas.openxmlformats.org/officeDocument/2006/relationships/hyperlink" Target="http://www.linkedin.com/in/billposton" TargetMode="External"/><Relationship Id="rId9600" Type="http://schemas.openxmlformats.org/officeDocument/2006/relationships/hyperlink" Target="http://www.linkedin.com/in/joshgreene" TargetMode="External"/><Relationship Id="rId9601" Type="http://schemas.openxmlformats.org/officeDocument/2006/relationships/hyperlink" Target="http://www.linkedin.com/pub/dylan-boudraa/0/406/162" TargetMode="External"/><Relationship Id="rId8309" Type="http://schemas.openxmlformats.org/officeDocument/2006/relationships/hyperlink" Target="http://www.linkedin.com/in/dawngluskin" TargetMode="External"/><Relationship Id="rId8308" Type="http://schemas.openxmlformats.org/officeDocument/2006/relationships/hyperlink" Target="http://www.linkedin.com/pub/harold-hamana/3/B75/608" TargetMode="External"/><Relationship Id="rId9639" Type="http://schemas.openxmlformats.org/officeDocument/2006/relationships/hyperlink" Target="http://www.linkedin.com/in/johnkowaloneksorrisotech" TargetMode="External"/><Relationship Id="rId9630" Type="http://schemas.openxmlformats.org/officeDocument/2006/relationships/hyperlink" Target="http://www.linkedin.com/in/billlaverty" TargetMode="External"/><Relationship Id="rId8303" Type="http://schemas.openxmlformats.org/officeDocument/2006/relationships/hyperlink" Target="http://www.linkedin.com/pub/eduardo-rosini/19/483/316" TargetMode="External"/><Relationship Id="rId9635" Type="http://schemas.openxmlformats.org/officeDocument/2006/relationships/hyperlink" Target="http://www.linkedin.com/in/chuckbrooks" TargetMode="External"/><Relationship Id="rId8302" Type="http://schemas.openxmlformats.org/officeDocument/2006/relationships/hyperlink" Target="http://www.linkedin.com/in/saraholoubek" TargetMode="External"/><Relationship Id="rId9636" Type="http://schemas.openxmlformats.org/officeDocument/2006/relationships/hyperlink" Target="http://www.linkedin.com/in/noahmcneely" TargetMode="External"/><Relationship Id="rId8301" Type="http://schemas.openxmlformats.org/officeDocument/2006/relationships/hyperlink" Target="http://www.linkedin.com/pub/alexandre-marques-pmp-emba/0/22A/565" TargetMode="External"/><Relationship Id="rId9637" Type="http://schemas.openxmlformats.org/officeDocument/2006/relationships/hyperlink" Target="http://www.linkedin.com/pub/shayne-boyd/0/9B1/A2A" TargetMode="External"/><Relationship Id="rId8300" Type="http://schemas.openxmlformats.org/officeDocument/2006/relationships/hyperlink" Target="http://www.linkedin.com/pub/leila-winick/5/779/323" TargetMode="External"/><Relationship Id="rId9638" Type="http://schemas.openxmlformats.org/officeDocument/2006/relationships/hyperlink" Target="http://www.linkedin.com/in/claymcdaniel" TargetMode="External"/><Relationship Id="rId8307" Type="http://schemas.openxmlformats.org/officeDocument/2006/relationships/hyperlink" Target="http://www.linkedin.com/in/jthong" TargetMode="External"/><Relationship Id="rId9631" Type="http://schemas.openxmlformats.org/officeDocument/2006/relationships/hyperlink" Target="http://www.linkedin.com/in/joshbresette" TargetMode="External"/><Relationship Id="rId8306" Type="http://schemas.openxmlformats.org/officeDocument/2006/relationships/hyperlink" Target="http://www.linkedin.com/pub/michael-moreno/12/6A1/A37" TargetMode="External"/><Relationship Id="rId9632" Type="http://schemas.openxmlformats.org/officeDocument/2006/relationships/hyperlink" Target="http://www.linkedin.com/pub/mike-bridges/3/966/394" TargetMode="External"/><Relationship Id="rId8305" Type="http://schemas.openxmlformats.org/officeDocument/2006/relationships/hyperlink" Target="http://www.linkedin.com/in/octaviolara" TargetMode="External"/><Relationship Id="rId9633" Type="http://schemas.openxmlformats.org/officeDocument/2006/relationships/hyperlink" Target="http://www.linkedin.com/in/sheriatwood" TargetMode="External"/><Relationship Id="rId8304" Type="http://schemas.openxmlformats.org/officeDocument/2006/relationships/hyperlink" Target="http://www.linkedin.com/in/creativeworldmedia" TargetMode="External"/><Relationship Id="rId9634" Type="http://schemas.openxmlformats.org/officeDocument/2006/relationships/hyperlink" Target="http://www.linkedin.com/in/stephenengdahl" TargetMode="External"/><Relationship Id="rId9628" Type="http://schemas.openxmlformats.org/officeDocument/2006/relationships/hyperlink" Target="http://www.linkedin.com/in/lkeele" TargetMode="External"/><Relationship Id="rId9629" Type="http://schemas.openxmlformats.org/officeDocument/2006/relationships/hyperlink" Target="http://www.linkedin.com/in/garysonnier" TargetMode="External"/><Relationship Id="rId9624" Type="http://schemas.openxmlformats.org/officeDocument/2006/relationships/hyperlink" Target="https://www.linkedin.com/in/shaus" TargetMode="External"/><Relationship Id="rId9625" Type="http://schemas.openxmlformats.org/officeDocument/2006/relationships/hyperlink" Target="http://www.linkedin.com/in/janmaartenvandongen" TargetMode="External"/><Relationship Id="rId9626" Type="http://schemas.openxmlformats.org/officeDocument/2006/relationships/hyperlink" Target="http://www.linkedin.com/in/bennysterental" TargetMode="External"/><Relationship Id="rId9627" Type="http://schemas.openxmlformats.org/officeDocument/2006/relationships/hyperlink" Target="http://www.linkedin.com/in/scotthaavisto" TargetMode="External"/><Relationship Id="rId9620" Type="http://schemas.openxmlformats.org/officeDocument/2006/relationships/hyperlink" Target="http://www.linkedin.com/in/brianconnell" TargetMode="External"/><Relationship Id="rId9621" Type="http://schemas.openxmlformats.org/officeDocument/2006/relationships/hyperlink" Target="http://www.linkedin.com/in/dmsmith" TargetMode="External"/><Relationship Id="rId9622" Type="http://schemas.openxmlformats.org/officeDocument/2006/relationships/hyperlink" Target="http://www.linkedin.com/in/christianomeara" TargetMode="External"/><Relationship Id="rId9623" Type="http://schemas.openxmlformats.org/officeDocument/2006/relationships/hyperlink" Target="https://www.linkedin.com/in/markwillaman" TargetMode="External"/><Relationship Id="rId2180" Type="http://schemas.openxmlformats.org/officeDocument/2006/relationships/hyperlink" Target="http://www.linkedin.com/pub/leandro-camargo/2B/136/178" TargetMode="External"/><Relationship Id="rId2181" Type="http://schemas.openxmlformats.org/officeDocument/2006/relationships/hyperlink" Target="http://www.linkedin.com/pub/martin-knott/3/259/898" TargetMode="External"/><Relationship Id="rId2182" Type="http://schemas.openxmlformats.org/officeDocument/2006/relationships/hyperlink" Target="http://www.linkedin.com/pub/eduardo-carvalho/2B/4A8/B97" TargetMode="External"/><Relationship Id="rId2183" Type="http://schemas.openxmlformats.org/officeDocument/2006/relationships/hyperlink" Target="http://www.linkedin.com/pub/chris-maltby/7/122/410" TargetMode="External"/><Relationship Id="rId2184" Type="http://schemas.openxmlformats.org/officeDocument/2006/relationships/hyperlink" Target="http://www.linkedin.com/pub/jennifer-walton/3/A36/869" TargetMode="External"/><Relationship Id="rId2185" Type="http://schemas.openxmlformats.org/officeDocument/2006/relationships/hyperlink" Target="http://in.linkedin.com/pub/jaun-rizvi/6/B74/499" TargetMode="External"/><Relationship Id="rId2186" Type="http://schemas.openxmlformats.org/officeDocument/2006/relationships/hyperlink" Target="http://www.linkedin.com/in/leisaanderson100" TargetMode="External"/><Relationship Id="rId2187" Type="http://schemas.openxmlformats.org/officeDocument/2006/relationships/hyperlink" Target="http://www.linkedin.com/pub/s-arnie-johnson/4/74A/487" TargetMode="External"/><Relationship Id="rId2188" Type="http://schemas.openxmlformats.org/officeDocument/2006/relationships/hyperlink" Target="http://www.linkedin.com/pub/paulocastanheira/32/2a5/995" TargetMode="External"/><Relationship Id="rId2189" Type="http://schemas.openxmlformats.org/officeDocument/2006/relationships/hyperlink" Target="http://uk.linkedin.com/in/assedali" TargetMode="External"/><Relationship Id="rId2170" Type="http://schemas.openxmlformats.org/officeDocument/2006/relationships/hyperlink" Target="http://www.linkedin.com/pub/d-bora-santos/2B/723/B10" TargetMode="External"/><Relationship Id="rId2171" Type="http://schemas.openxmlformats.org/officeDocument/2006/relationships/hyperlink" Target="http://br.linkedin.com/pub/haelysan-lins/2A/90/6A0" TargetMode="External"/><Relationship Id="rId2172" Type="http://schemas.openxmlformats.org/officeDocument/2006/relationships/hyperlink" Target="http://uk.linkedin.com/in/kerstybletso" TargetMode="External"/><Relationship Id="rId2173" Type="http://schemas.openxmlformats.org/officeDocument/2006/relationships/hyperlink" Target="http://ca.linkedin.com/in/monasadatakhavi" TargetMode="External"/><Relationship Id="rId2174" Type="http://schemas.openxmlformats.org/officeDocument/2006/relationships/hyperlink" Target="http://www.linkedin.com/in/richardadamwhite" TargetMode="External"/><Relationship Id="rId2175" Type="http://schemas.openxmlformats.org/officeDocument/2006/relationships/hyperlink" Target="http://www.linkedin.com/in/marketingmelodie" TargetMode="External"/><Relationship Id="rId2176" Type="http://schemas.openxmlformats.org/officeDocument/2006/relationships/hyperlink" Target="http://www.linkedin.com/in/emlin" TargetMode="External"/><Relationship Id="rId2177" Type="http://schemas.openxmlformats.org/officeDocument/2006/relationships/hyperlink" Target="http://www.linkedin.com/in/jenniferlmalloy" TargetMode="External"/><Relationship Id="rId2178" Type="http://schemas.openxmlformats.org/officeDocument/2006/relationships/hyperlink" Target="http://www.linkedin.com/pub/john-eichten/3/2BB/93" TargetMode="External"/><Relationship Id="rId2179" Type="http://schemas.openxmlformats.org/officeDocument/2006/relationships/hyperlink" Target="http://www.linkedin.com/pub/patricia-didek/30/832/833" TargetMode="External"/><Relationship Id="rId2190" Type="http://schemas.openxmlformats.org/officeDocument/2006/relationships/hyperlink" Target="http://au.linkedin.com/in/peterthomas73" TargetMode="External"/><Relationship Id="rId2191" Type="http://schemas.openxmlformats.org/officeDocument/2006/relationships/hyperlink" Target="http://nl.linkedin.com/pub/ernst-jan-bergman/1/38A/243" TargetMode="External"/><Relationship Id="rId2192" Type="http://schemas.openxmlformats.org/officeDocument/2006/relationships/hyperlink" Target="http://www.linkedin.com/pub/john-belville/3/B34/A3" TargetMode="External"/><Relationship Id="rId2193" Type="http://schemas.openxmlformats.org/officeDocument/2006/relationships/hyperlink" Target="http://www.linkedin.com/pub/maria-jos%C3%A9-mayor-torres/23/374/394" TargetMode="External"/><Relationship Id="rId2194" Type="http://schemas.openxmlformats.org/officeDocument/2006/relationships/hyperlink" Target="http://www.linkedin.com/pub/ryan-guynn/7/957/8B7" TargetMode="External"/><Relationship Id="rId2195" Type="http://schemas.openxmlformats.org/officeDocument/2006/relationships/hyperlink" Target="http://www.linkedin.com/pub/walker-donna/A/213/A41" TargetMode="External"/><Relationship Id="rId2196" Type="http://schemas.openxmlformats.org/officeDocument/2006/relationships/hyperlink" Target="http://www.linkedin.com/in/sinbosier" TargetMode="External"/><Relationship Id="rId2197" Type="http://schemas.openxmlformats.org/officeDocument/2006/relationships/hyperlink" Target="http://www.linkedin.com/pub/pinak-mehta/B/50/301" TargetMode="External"/><Relationship Id="rId2198" Type="http://schemas.openxmlformats.org/officeDocument/2006/relationships/hyperlink" Target="http://uk.linkedin.com/pub/david-johnson/23/450/B27" TargetMode="External"/><Relationship Id="rId2199" Type="http://schemas.openxmlformats.org/officeDocument/2006/relationships/hyperlink" Target="http://www.linkedin.com/pub/joe-matz/7/B2B/800" TargetMode="External"/><Relationship Id="rId7030" Type="http://schemas.openxmlformats.org/officeDocument/2006/relationships/hyperlink" Target="http://ar.linkedin.com/in/martynostrala" TargetMode="External"/><Relationship Id="rId8361" Type="http://schemas.openxmlformats.org/officeDocument/2006/relationships/hyperlink" Target="http://www.linkedin.com/in/michaeltessler1" TargetMode="External"/><Relationship Id="rId9693" Type="http://schemas.openxmlformats.org/officeDocument/2006/relationships/hyperlink" Target="http://www.linkedin.com/in/woodstra" TargetMode="External"/><Relationship Id="rId8360" Type="http://schemas.openxmlformats.org/officeDocument/2006/relationships/hyperlink" Target="http://www.linkedin.com/in/manuelglaze" TargetMode="External"/><Relationship Id="rId9694" Type="http://schemas.openxmlformats.org/officeDocument/2006/relationships/hyperlink" Target="http://www.linkedin.com/pub/rob-friedman/0/7/A7A" TargetMode="External"/><Relationship Id="rId9695" Type="http://schemas.openxmlformats.org/officeDocument/2006/relationships/hyperlink" Target="http://www.linkedin.com/pub/richard-weaver/0/725/679" TargetMode="External"/><Relationship Id="rId9696" Type="http://schemas.openxmlformats.org/officeDocument/2006/relationships/hyperlink" Target="http://www.linkedin.com/in/michaeljamesdayton" TargetMode="External"/><Relationship Id="rId7034" Type="http://schemas.openxmlformats.org/officeDocument/2006/relationships/hyperlink" Target="http://www.linkedin.com/in/robertcfreeman" TargetMode="External"/><Relationship Id="rId8365" Type="http://schemas.openxmlformats.org/officeDocument/2006/relationships/hyperlink" Target="http://www.linkedin.com/pub/carlos-dominguez/13/95/BB3" TargetMode="External"/><Relationship Id="rId7033" Type="http://schemas.openxmlformats.org/officeDocument/2006/relationships/hyperlink" Target="http://www.linkedin.com/pub/renato-hirata/0/372/188" TargetMode="External"/><Relationship Id="rId8364" Type="http://schemas.openxmlformats.org/officeDocument/2006/relationships/hyperlink" Target="http://www.linkedin.com/pub/nick-trombetta/4/6A2/45" TargetMode="External"/><Relationship Id="rId9690" Type="http://schemas.openxmlformats.org/officeDocument/2006/relationships/hyperlink" Target="http://www.linkedin.com/pub/marisol-wesson/0/71B/947" TargetMode="External"/><Relationship Id="rId7032" Type="http://schemas.openxmlformats.org/officeDocument/2006/relationships/hyperlink" Target="http://ar.linkedin.com/pub/marcelo-wengrovsky/9/759/764" TargetMode="External"/><Relationship Id="rId8363" Type="http://schemas.openxmlformats.org/officeDocument/2006/relationships/hyperlink" Target="http://www.linkedin.com/in/djedgerton" TargetMode="External"/><Relationship Id="rId9691" Type="http://schemas.openxmlformats.org/officeDocument/2006/relationships/hyperlink" Target="http://www.linkedin.com/in/mlloyd" TargetMode="External"/><Relationship Id="rId7031" Type="http://schemas.openxmlformats.org/officeDocument/2006/relationships/hyperlink" Target="http://ar.linkedin.com/pub/valeria-ferro/13/2B4/819" TargetMode="External"/><Relationship Id="rId8362" Type="http://schemas.openxmlformats.org/officeDocument/2006/relationships/hyperlink" Target="http://www.linkedin.com/in/donrohrer" TargetMode="External"/><Relationship Id="rId9692" Type="http://schemas.openxmlformats.org/officeDocument/2006/relationships/hyperlink" Target="http://www.linkedin.com/pub/dan-fukushima/0/11/496" TargetMode="External"/><Relationship Id="rId7038" Type="http://schemas.openxmlformats.org/officeDocument/2006/relationships/hyperlink" Target="http://www.linkedin.com/pub/john-maas/0/B89/9A5" TargetMode="External"/><Relationship Id="rId8369" Type="http://schemas.openxmlformats.org/officeDocument/2006/relationships/hyperlink" Target="http://www.linkedin.com/in/paulkilzer" TargetMode="External"/><Relationship Id="rId7037" Type="http://schemas.openxmlformats.org/officeDocument/2006/relationships/hyperlink" Target="http://ar.linkedin.com/pub/jorge-finardi/0/334/890" TargetMode="External"/><Relationship Id="rId8368" Type="http://schemas.openxmlformats.org/officeDocument/2006/relationships/hyperlink" Target="http://www.linkedin.com/in/mitchthrower" TargetMode="External"/><Relationship Id="rId7036" Type="http://schemas.openxmlformats.org/officeDocument/2006/relationships/hyperlink" Target="http://www.linkedin.com/pub/gerardo-leon/0/7B3/918" TargetMode="External"/><Relationship Id="rId8367" Type="http://schemas.openxmlformats.org/officeDocument/2006/relationships/hyperlink" Target="http://www.linkedin.com/pub/bhuvana-nagarajan/3/94B/915" TargetMode="External"/><Relationship Id="rId7035" Type="http://schemas.openxmlformats.org/officeDocument/2006/relationships/hyperlink" Target="http://www.linkedin.com/pub/ana-schulze/3/6B1/664" TargetMode="External"/><Relationship Id="rId8366" Type="http://schemas.openxmlformats.org/officeDocument/2006/relationships/hyperlink" Target="http://www.linkedin.com/in/efg101863" TargetMode="External"/><Relationship Id="rId9697" Type="http://schemas.openxmlformats.org/officeDocument/2006/relationships/hyperlink" Target="http://www.linkedin.com/in/andrewkoch" TargetMode="External"/><Relationship Id="rId9698" Type="http://schemas.openxmlformats.org/officeDocument/2006/relationships/hyperlink" Target="http://www.linkedin.com/pub/les-russell/0/3A3/554" TargetMode="External"/><Relationship Id="rId9699" Type="http://schemas.openxmlformats.org/officeDocument/2006/relationships/hyperlink" Target="http://www.linkedin.com/pub/audrey-levi/0/4B1/A32" TargetMode="External"/><Relationship Id="rId7039" Type="http://schemas.openxmlformats.org/officeDocument/2006/relationships/hyperlink" Target="http://ar.linkedin.com/in/urbchip" TargetMode="External"/><Relationship Id="rId8350" Type="http://schemas.openxmlformats.org/officeDocument/2006/relationships/hyperlink" Target="http://www.linkedin.com/pub/bret-douglas/4/504/1A0" TargetMode="External"/><Relationship Id="rId9682" Type="http://schemas.openxmlformats.org/officeDocument/2006/relationships/hyperlink" Target="http://www.linkedin.com/in/guscawley" TargetMode="External"/><Relationship Id="rId9683" Type="http://schemas.openxmlformats.org/officeDocument/2006/relationships/hyperlink" Target="http://www.linkedin.com/in/narenjauhal" TargetMode="External"/><Relationship Id="rId9684" Type="http://schemas.openxmlformats.org/officeDocument/2006/relationships/hyperlink" Target="http://www.linkedin.com/in/barryjcooks" TargetMode="External"/><Relationship Id="rId9685" Type="http://schemas.openxmlformats.org/officeDocument/2006/relationships/hyperlink" Target="http://www.linkedin.com/in/johngeder" TargetMode="External"/><Relationship Id="rId7023" Type="http://schemas.openxmlformats.org/officeDocument/2006/relationships/hyperlink" Target="http://www.linkedin.com/pub/guadalupe-duarte-de-leidigh/1/B20/59" TargetMode="External"/><Relationship Id="rId8354" Type="http://schemas.openxmlformats.org/officeDocument/2006/relationships/hyperlink" Target="http://ar.linkedin.com/in/fersfeir" TargetMode="External"/><Relationship Id="rId7022" Type="http://schemas.openxmlformats.org/officeDocument/2006/relationships/hyperlink" Target="http://ar.linkedin.com/in/marielacrupnik" TargetMode="External"/><Relationship Id="rId8353" Type="http://schemas.openxmlformats.org/officeDocument/2006/relationships/hyperlink" Target="http://www.linkedin.com/in/joelbary" TargetMode="External"/><Relationship Id="rId7021" Type="http://schemas.openxmlformats.org/officeDocument/2006/relationships/hyperlink" Target="http://www.linkedin.com/pub/jose-l-kruyff/0/95/B60" TargetMode="External"/><Relationship Id="rId8352" Type="http://schemas.openxmlformats.org/officeDocument/2006/relationships/hyperlink" Target="http://www.linkedin.com/in/sergioroitberg" TargetMode="External"/><Relationship Id="rId9680" Type="http://schemas.openxmlformats.org/officeDocument/2006/relationships/hyperlink" Target="http://www.linkedin.com/in/johnespriggs" TargetMode="External"/><Relationship Id="rId7020" Type="http://schemas.openxmlformats.org/officeDocument/2006/relationships/hyperlink" Target="http://www.linkedin.com/pub/sof%C3%ADa-jungberg/24/8ab/286" TargetMode="External"/><Relationship Id="rId8351" Type="http://schemas.openxmlformats.org/officeDocument/2006/relationships/hyperlink" Target="http://www.linkedin.com/in/tmmaheshwar" TargetMode="External"/><Relationship Id="rId9681" Type="http://schemas.openxmlformats.org/officeDocument/2006/relationships/hyperlink" Target="https://www.linkedin.com/in/christinawestsalesexecutive" TargetMode="External"/><Relationship Id="rId7027" Type="http://schemas.openxmlformats.org/officeDocument/2006/relationships/hyperlink" Target="http://ar.linkedin.com/in/alefishman" TargetMode="External"/><Relationship Id="rId8358" Type="http://schemas.openxmlformats.org/officeDocument/2006/relationships/hyperlink" Target="http://www.linkedin.com/pub/rob-carlson/3/657/5B7" TargetMode="External"/><Relationship Id="rId7026" Type="http://schemas.openxmlformats.org/officeDocument/2006/relationships/hyperlink" Target="http://www.linkedin.com/in/kusmaul" TargetMode="External"/><Relationship Id="rId8357" Type="http://schemas.openxmlformats.org/officeDocument/2006/relationships/hyperlink" Target="http://www.linkedin.com/pub/reginald-ray-tanner/23/893/74A" TargetMode="External"/><Relationship Id="rId7025" Type="http://schemas.openxmlformats.org/officeDocument/2006/relationships/hyperlink" Target="http://www.linkedin.com/pub/luc%C3%ADa-benzaqu%C3%A9n/8/452/b46" TargetMode="External"/><Relationship Id="rId8356" Type="http://schemas.openxmlformats.org/officeDocument/2006/relationships/hyperlink" Target="http://www.linkedin.com/in/leticia007" TargetMode="External"/><Relationship Id="rId7024" Type="http://schemas.openxmlformats.org/officeDocument/2006/relationships/hyperlink" Target="http://www.linkedin.com/in/hernanrchamorrogyssels" TargetMode="External"/><Relationship Id="rId8355" Type="http://schemas.openxmlformats.org/officeDocument/2006/relationships/hyperlink" Target="http://www.linkedin.com/in/markgrantdavis" TargetMode="External"/><Relationship Id="rId9686" Type="http://schemas.openxmlformats.org/officeDocument/2006/relationships/hyperlink" Target="http://www.linkedin.com/in/dougdennis" TargetMode="External"/><Relationship Id="rId9687" Type="http://schemas.openxmlformats.org/officeDocument/2006/relationships/hyperlink" Target="http://www.linkedin.com/in/raykillebrew" TargetMode="External"/><Relationship Id="rId7029" Type="http://schemas.openxmlformats.org/officeDocument/2006/relationships/hyperlink" Target="http://ar.linkedin.com/pub/celeste-simone/13/281/674" TargetMode="External"/><Relationship Id="rId9688" Type="http://schemas.openxmlformats.org/officeDocument/2006/relationships/hyperlink" Target="http://www.linkedin.com/in/hunterdp" TargetMode="External"/><Relationship Id="rId7028" Type="http://schemas.openxmlformats.org/officeDocument/2006/relationships/hyperlink" Target="http://ar.linkedin.com/in/chamatropulos" TargetMode="External"/><Relationship Id="rId8359" Type="http://schemas.openxmlformats.org/officeDocument/2006/relationships/hyperlink" Target="http://www.linkedin.com/in/andrewscottharris" TargetMode="External"/><Relationship Id="rId9689" Type="http://schemas.openxmlformats.org/officeDocument/2006/relationships/hyperlink" Target="http://www.linkedin.com/in/lovendahl" TargetMode="External"/><Relationship Id="rId8390" Type="http://schemas.openxmlformats.org/officeDocument/2006/relationships/hyperlink" Target="http://www.linkedin.com/in/isabellas" TargetMode="External"/><Relationship Id="rId7052" Type="http://schemas.openxmlformats.org/officeDocument/2006/relationships/hyperlink" Target="http://ar.linkedin.com/pub/paola-aiello/13/6A0/230" TargetMode="External"/><Relationship Id="rId8383" Type="http://schemas.openxmlformats.org/officeDocument/2006/relationships/hyperlink" Target="http://www.linkedin.com/in/dcohen35" TargetMode="External"/><Relationship Id="rId7051" Type="http://schemas.openxmlformats.org/officeDocument/2006/relationships/hyperlink" Target="http://www.linkedin.com/in/felipelemaitre" TargetMode="External"/><Relationship Id="rId8382" Type="http://schemas.openxmlformats.org/officeDocument/2006/relationships/hyperlink" Target="http://www.linkedin.com/in/naveentewari" TargetMode="External"/><Relationship Id="rId7050" Type="http://schemas.openxmlformats.org/officeDocument/2006/relationships/hyperlink" Target="http://ar.linkedin.com/in/daniellevadapolimeni" TargetMode="External"/><Relationship Id="rId8381" Type="http://schemas.openxmlformats.org/officeDocument/2006/relationships/hyperlink" Target="http://www.linkedin.com/in/otgerhard" TargetMode="External"/><Relationship Id="rId8380" Type="http://schemas.openxmlformats.org/officeDocument/2006/relationships/hyperlink" Target="http://www.linkedin.com/in/billquackenbush" TargetMode="External"/><Relationship Id="rId7056" Type="http://schemas.openxmlformats.org/officeDocument/2006/relationships/hyperlink" Target="http://ar.linkedin.com/pub/agustin-henry/21/9B7/103" TargetMode="External"/><Relationship Id="rId8387" Type="http://schemas.openxmlformats.org/officeDocument/2006/relationships/hyperlink" Target="http://www.linkedin.com/in/ddemarcello" TargetMode="External"/><Relationship Id="rId7055" Type="http://schemas.openxmlformats.org/officeDocument/2006/relationships/hyperlink" Target="http://www.linkedin.com/in/mauromarchesi" TargetMode="External"/><Relationship Id="rId8386" Type="http://schemas.openxmlformats.org/officeDocument/2006/relationships/hyperlink" Target="http://www.linkedin.com/in/pattibloom" TargetMode="External"/><Relationship Id="rId7054" Type="http://schemas.openxmlformats.org/officeDocument/2006/relationships/hyperlink" Target="http://www.linkedin.com/pub/mauricio-diaz-cardona/B/A42/BBA" TargetMode="External"/><Relationship Id="rId8385" Type="http://schemas.openxmlformats.org/officeDocument/2006/relationships/hyperlink" Target="http://www.linkedin.com/pub/rob-friedman/6/319/25" TargetMode="External"/><Relationship Id="rId7053" Type="http://schemas.openxmlformats.org/officeDocument/2006/relationships/hyperlink" Target="http://ar.linkedin.com/in/santiagomaiz" TargetMode="External"/><Relationship Id="rId8384" Type="http://schemas.openxmlformats.org/officeDocument/2006/relationships/hyperlink" Target="http://www.linkedin.com/pub/rob-pickett/7/870/2A" TargetMode="External"/><Relationship Id="rId7059" Type="http://schemas.openxmlformats.org/officeDocument/2006/relationships/hyperlink" Target="http://www.linkedin.com/pub/adrian-moretta/20/b40/837" TargetMode="External"/><Relationship Id="rId7058" Type="http://schemas.openxmlformats.org/officeDocument/2006/relationships/hyperlink" Target="http://www.linkedin.com/pub/rodolfo-elizondo/0/104/74" TargetMode="External"/><Relationship Id="rId8389" Type="http://schemas.openxmlformats.org/officeDocument/2006/relationships/hyperlink" Target="http://www.linkedin.com/in/mironlulic" TargetMode="External"/><Relationship Id="rId7057" Type="http://schemas.openxmlformats.org/officeDocument/2006/relationships/hyperlink" Target="http://www.linkedin.com/in/andresrigoni" TargetMode="External"/><Relationship Id="rId8388" Type="http://schemas.openxmlformats.org/officeDocument/2006/relationships/hyperlink" Target="http://www.linkedin.com/pub/mark-cook/13/2B3/734" TargetMode="External"/><Relationship Id="rId7041" Type="http://schemas.openxmlformats.org/officeDocument/2006/relationships/hyperlink" Target="http://www.linkedin.com/pub/eduardo-battistoni/12/268/595" TargetMode="External"/><Relationship Id="rId8372" Type="http://schemas.openxmlformats.org/officeDocument/2006/relationships/hyperlink" Target="http://www.linkedin.com/pub/anthony-marino/3/B99/527" TargetMode="External"/><Relationship Id="rId7040" Type="http://schemas.openxmlformats.org/officeDocument/2006/relationships/hyperlink" Target="http://ar.linkedin.com/pub/nadia-araque/14/2AB/737" TargetMode="External"/><Relationship Id="rId8371" Type="http://schemas.openxmlformats.org/officeDocument/2006/relationships/hyperlink" Target="http://www.linkedin.com/in/annzaslowrethaber" TargetMode="External"/><Relationship Id="rId8370" Type="http://schemas.openxmlformats.org/officeDocument/2006/relationships/hyperlink" Target="http://www.linkedin.com/in/kolasa" TargetMode="External"/><Relationship Id="rId7045" Type="http://schemas.openxmlformats.org/officeDocument/2006/relationships/hyperlink" Target="http://ar.linkedin.com/in/fabriciobustos" TargetMode="External"/><Relationship Id="rId8376" Type="http://schemas.openxmlformats.org/officeDocument/2006/relationships/hyperlink" Target="http://www.linkedin.com/in/skipfreeman" TargetMode="External"/><Relationship Id="rId7044" Type="http://schemas.openxmlformats.org/officeDocument/2006/relationships/hyperlink" Target="http://www.linkedin.com/in/marianolecuona" TargetMode="External"/><Relationship Id="rId8375" Type="http://schemas.openxmlformats.org/officeDocument/2006/relationships/hyperlink" Target="http://www.linkedin.com/pub/wade-pedrotti/7/71/633" TargetMode="External"/><Relationship Id="rId7043" Type="http://schemas.openxmlformats.org/officeDocument/2006/relationships/hyperlink" Target="http://www.linkedin.com/in/carloslove" TargetMode="External"/><Relationship Id="rId8374" Type="http://schemas.openxmlformats.org/officeDocument/2006/relationships/hyperlink" Target="http://www.linkedin.com/in/robertsieger" TargetMode="External"/><Relationship Id="rId7042" Type="http://schemas.openxmlformats.org/officeDocument/2006/relationships/hyperlink" Target="http://ar.linkedin.com/pub/juan-fosaro/24/2/A42" TargetMode="External"/><Relationship Id="rId8373" Type="http://schemas.openxmlformats.org/officeDocument/2006/relationships/hyperlink" Target="http://www.linkedin.com/in/davidlorenzo" TargetMode="External"/><Relationship Id="rId7049" Type="http://schemas.openxmlformats.org/officeDocument/2006/relationships/hyperlink" Target="http://ar.linkedin.com/in/rodrigodemingo" TargetMode="External"/><Relationship Id="rId7048" Type="http://schemas.openxmlformats.org/officeDocument/2006/relationships/hyperlink" Target="http://www.linkedin.com/in/adolfokunz" TargetMode="External"/><Relationship Id="rId8379" Type="http://schemas.openxmlformats.org/officeDocument/2006/relationships/hyperlink" Target="http://www.linkedin.com/in/bowiejim" TargetMode="External"/><Relationship Id="rId7047" Type="http://schemas.openxmlformats.org/officeDocument/2006/relationships/hyperlink" Target="http://ar.linkedin.com/pub/matias-eillman/A/BB6/477" TargetMode="External"/><Relationship Id="rId8378" Type="http://schemas.openxmlformats.org/officeDocument/2006/relationships/hyperlink" Target="http://www.linkedin.com/in/eschneid" TargetMode="External"/><Relationship Id="rId7046" Type="http://schemas.openxmlformats.org/officeDocument/2006/relationships/hyperlink" Target="http://ar.linkedin.com/in/nohobu" TargetMode="External"/><Relationship Id="rId8377" Type="http://schemas.openxmlformats.org/officeDocument/2006/relationships/hyperlink" Target="https://www.linkedin.com/in/sprather" TargetMode="External"/><Relationship Id="rId9650" Type="http://schemas.openxmlformats.org/officeDocument/2006/relationships/hyperlink" Target="http://www.linkedin.com/in/johnbutlerrecruiter" TargetMode="External"/><Relationship Id="rId9651" Type="http://schemas.openxmlformats.org/officeDocument/2006/relationships/hyperlink" Target="http://www.linkedin.com/pub/andrew-rosenthal/5/653/353" TargetMode="External"/><Relationship Id="rId9652" Type="http://schemas.openxmlformats.org/officeDocument/2006/relationships/hyperlink" Target="http://www.linkedin.com/in/mikicostello" TargetMode="External"/><Relationship Id="rId8321" Type="http://schemas.openxmlformats.org/officeDocument/2006/relationships/hyperlink" Target="http://ca.linkedin.com/pub/mark-donais/14/859/142" TargetMode="External"/><Relationship Id="rId8320" Type="http://schemas.openxmlformats.org/officeDocument/2006/relationships/hyperlink" Target="http://www.linkedin.com/in/davidmmastovich" TargetMode="External"/><Relationship Id="rId8325" Type="http://schemas.openxmlformats.org/officeDocument/2006/relationships/hyperlink" Target="https://www.linkedin.com/in/vanessadimauro" TargetMode="External"/><Relationship Id="rId9657" Type="http://schemas.openxmlformats.org/officeDocument/2006/relationships/hyperlink" Target="http://www.linkedin.com/in/mattshaffer" TargetMode="External"/><Relationship Id="rId8324" Type="http://schemas.openxmlformats.org/officeDocument/2006/relationships/hyperlink" Target="http://www.linkedin.com/pub/brian-dean/20/8B6/758" TargetMode="External"/><Relationship Id="rId9658" Type="http://schemas.openxmlformats.org/officeDocument/2006/relationships/hyperlink" Target="http://www.linkedin.com/pub/john-foristall/5/85/B44" TargetMode="External"/><Relationship Id="rId8323" Type="http://schemas.openxmlformats.org/officeDocument/2006/relationships/hyperlink" Target="http://www.linkedin.com/pub/ron-centis/9/159/466" TargetMode="External"/><Relationship Id="rId9659" Type="http://schemas.openxmlformats.org/officeDocument/2006/relationships/hyperlink" Target="http://www.linkedin.com/in/careyvazzara" TargetMode="External"/><Relationship Id="rId8322" Type="http://schemas.openxmlformats.org/officeDocument/2006/relationships/hyperlink" Target="http://www.linkedin.com/in/billricke/" TargetMode="External"/><Relationship Id="rId8329" Type="http://schemas.openxmlformats.org/officeDocument/2006/relationships/hyperlink" Target="http://www.linkedin.com/in/robertwflournoy" TargetMode="External"/><Relationship Id="rId9653" Type="http://schemas.openxmlformats.org/officeDocument/2006/relationships/hyperlink" Target="http://www.linkedin.com/in/dougbruhnke" TargetMode="External"/><Relationship Id="rId8328" Type="http://schemas.openxmlformats.org/officeDocument/2006/relationships/hyperlink" Target="http://www.linkedin.com/in/jodeerich" TargetMode="External"/><Relationship Id="rId9654" Type="http://schemas.openxmlformats.org/officeDocument/2006/relationships/hyperlink" Target="http://www.linkedin.com/in/robertmichaelbrooks" TargetMode="External"/><Relationship Id="rId8327" Type="http://schemas.openxmlformats.org/officeDocument/2006/relationships/hyperlink" Target="http://www.linkedin.com/pub/raul-rincon/B/A58/271" TargetMode="External"/><Relationship Id="rId9655" Type="http://schemas.openxmlformats.org/officeDocument/2006/relationships/hyperlink" Target="http://www.linkedin.com/in/bfuhr" TargetMode="External"/><Relationship Id="rId8326" Type="http://schemas.openxmlformats.org/officeDocument/2006/relationships/hyperlink" Target="http://www.linkedin.com/in/traviswallis" TargetMode="External"/><Relationship Id="rId9656" Type="http://schemas.openxmlformats.org/officeDocument/2006/relationships/hyperlink" Target="http://www.linkedin.com/in/ryanleary" TargetMode="External"/><Relationship Id="rId8319" Type="http://schemas.openxmlformats.org/officeDocument/2006/relationships/hyperlink" Target="http://www.linkedin.com/pub/adriana-huerta/3/B5B/965" TargetMode="External"/><Relationship Id="rId9640" Type="http://schemas.openxmlformats.org/officeDocument/2006/relationships/hyperlink" Target="http://www.linkedin.com/pub/vince-cahill/0/367/AB4" TargetMode="External"/><Relationship Id="rId9641" Type="http://schemas.openxmlformats.org/officeDocument/2006/relationships/hyperlink" Target="http://www.linkedin.com/pub/kevin-west/5/348/9A2" TargetMode="External"/><Relationship Id="rId8310" Type="http://schemas.openxmlformats.org/officeDocument/2006/relationships/hyperlink" Target="http://www.linkedin.com/in/dangarms" TargetMode="External"/><Relationship Id="rId8314" Type="http://schemas.openxmlformats.org/officeDocument/2006/relationships/hyperlink" Target="http://www.linkedin.com/in/sulemanali/" TargetMode="External"/><Relationship Id="rId9646" Type="http://schemas.openxmlformats.org/officeDocument/2006/relationships/hyperlink" Target="http://www.linkedin.com/pub/fumbi-chima/0/577/252" TargetMode="External"/><Relationship Id="rId8313" Type="http://schemas.openxmlformats.org/officeDocument/2006/relationships/hyperlink" Target="http://www.linkedin.com/pub/jeff-weiser/24/1A6/862" TargetMode="External"/><Relationship Id="rId9647" Type="http://schemas.openxmlformats.org/officeDocument/2006/relationships/hyperlink" Target="http://www.linkedin.com/in/leighfatzinger" TargetMode="External"/><Relationship Id="rId8312" Type="http://schemas.openxmlformats.org/officeDocument/2006/relationships/hyperlink" Target="http://www.linkedin.com/pub/patrick-mcgrory/A/337/869" TargetMode="External"/><Relationship Id="rId9648" Type="http://schemas.openxmlformats.org/officeDocument/2006/relationships/hyperlink" Target="http://www.linkedin.com/in/leahac" TargetMode="External"/><Relationship Id="rId8311" Type="http://schemas.openxmlformats.org/officeDocument/2006/relationships/hyperlink" Target="http://www.linkedin.com/in/jameseglin" TargetMode="External"/><Relationship Id="rId9649" Type="http://schemas.openxmlformats.org/officeDocument/2006/relationships/hyperlink" Target="http://www.linkedin.com/in/jayzaveri" TargetMode="External"/><Relationship Id="rId8318" Type="http://schemas.openxmlformats.org/officeDocument/2006/relationships/hyperlink" Target="http://www.linkedin.com/in/cesaraguirre" TargetMode="External"/><Relationship Id="rId9642" Type="http://schemas.openxmlformats.org/officeDocument/2006/relationships/hyperlink" Target="http://www.linkedin.com/in/minhqle" TargetMode="External"/><Relationship Id="rId8317" Type="http://schemas.openxmlformats.org/officeDocument/2006/relationships/hyperlink" Target="http://www.linkedin.com/pub/peter-alexander/6/393/15B" TargetMode="External"/><Relationship Id="rId9643" Type="http://schemas.openxmlformats.org/officeDocument/2006/relationships/hyperlink" Target="http://www.linkedin.com/in/getinterviews" TargetMode="External"/><Relationship Id="rId8316" Type="http://schemas.openxmlformats.org/officeDocument/2006/relationships/hyperlink" Target="http://www.linkedin.com/pub/jose-morabito/3/5B2/835" TargetMode="External"/><Relationship Id="rId9644" Type="http://schemas.openxmlformats.org/officeDocument/2006/relationships/hyperlink" Target="http://www.linkedin.com/in/wanichols" TargetMode="External"/><Relationship Id="rId8315" Type="http://schemas.openxmlformats.org/officeDocument/2006/relationships/hyperlink" Target="http://www.linkedin.com/in/joehageonline" TargetMode="External"/><Relationship Id="rId9645" Type="http://schemas.openxmlformats.org/officeDocument/2006/relationships/hyperlink" Target="http://www.linkedin.com/pub/brent-friedman/2/289/947" TargetMode="External"/><Relationship Id="rId9671" Type="http://schemas.openxmlformats.org/officeDocument/2006/relationships/hyperlink" Target="http://www.linkedin.com/pub/chiara-sarata/5/B8A/87A" TargetMode="External"/><Relationship Id="rId9672" Type="http://schemas.openxmlformats.org/officeDocument/2006/relationships/hyperlink" Target="http://www.linkedin.com/in/jaywilliams" TargetMode="External"/><Relationship Id="rId9673" Type="http://schemas.openxmlformats.org/officeDocument/2006/relationships/hyperlink" Target="http://www.linkedin.com/in/saraelkins" TargetMode="External"/><Relationship Id="rId9674" Type="http://schemas.openxmlformats.org/officeDocument/2006/relationships/hyperlink" Target="http://www.linkedin.com/pub/erica-voll/0/AB4/AAB" TargetMode="External"/><Relationship Id="rId7012" Type="http://schemas.openxmlformats.org/officeDocument/2006/relationships/hyperlink" Target="http://www.linkedin.com/pub/ignacio-ayanz/5/250/351" TargetMode="External"/><Relationship Id="rId8343" Type="http://schemas.openxmlformats.org/officeDocument/2006/relationships/hyperlink" Target="http://www.linkedin.com/pub/christian-valencia-rivera/4/294/647" TargetMode="External"/><Relationship Id="rId7011" Type="http://schemas.openxmlformats.org/officeDocument/2006/relationships/hyperlink" Target="http://ar.linkedin.com/pub/carolina-tobio/9/657/470" TargetMode="External"/><Relationship Id="rId8342" Type="http://schemas.openxmlformats.org/officeDocument/2006/relationships/hyperlink" Target="http://www.linkedin.com/in/steventalcottsmith" TargetMode="External"/><Relationship Id="rId7010" Type="http://schemas.openxmlformats.org/officeDocument/2006/relationships/hyperlink" Target="http://www.linkedin.com/pub/rick-reidy/3/B4/313" TargetMode="External"/><Relationship Id="rId8341" Type="http://schemas.openxmlformats.org/officeDocument/2006/relationships/hyperlink" Target="http://www.linkedin.com/in/peterscribner" TargetMode="External"/><Relationship Id="rId8340" Type="http://schemas.openxmlformats.org/officeDocument/2006/relationships/hyperlink" Target="http://www.linkedin.com/in/joseguerra" TargetMode="External"/><Relationship Id="rId9670" Type="http://schemas.openxmlformats.org/officeDocument/2006/relationships/hyperlink" Target="http://www.linkedin.com/in/shollander" TargetMode="External"/><Relationship Id="rId7016" Type="http://schemas.openxmlformats.org/officeDocument/2006/relationships/hyperlink" Target="http://ar.linkedin.com/in/wlucero" TargetMode="External"/><Relationship Id="rId8347" Type="http://schemas.openxmlformats.org/officeDocument/2006/relationships/hyperlink" Target="http://www.linkedin.com/in/arturocazares" TargetMode="External"/><Relationship Id="rId9679" Type="http://schemas.openxmlformats.org/officeDocument/2006/relationships/hyperlink" Target="http://www.linkedin.com/in/karinkoonings" TargetMode="External"/><Relationship Id="rId7015" Type="http://schemas.openxmlformats.org/officeDocument/2006/relationships/hyperlink" Target="http://www.linkedin.com/pub/ana-laura-roccia/2a/855/284" TargetMode="External"/><Relationship Id="rId8346" Type="http://schemas.openxmlformats.org/officeDocument/2006/relationships/hyperlink" Target="http://www.linkedin.com/in/marcparrish" TargetMode="External"/><Relationship Id="rId7014" Type="http://schemas.openxmlformats.org/officeDocument/2006/relationships/hyperlink" Target="http://ar.linkedin.com/in/robertoescardo" TargetMode="External"/><Relationship Id="rId8345" Type="http://schemas.openxmlformats.org/officeDocument/2006/relationships/hyperlink" Target="http://www.linkedin.com/pub/diego-castillo/22/510/865" TargetMode="External"/><Relationship Id="rId7013" Type="http://schemas.openxmlformats.org/officeDocument/2006/relationships/hyperlink" Target="http://ar.linkedin.com/pub/mario-arraigada/27/291/97B" TargetMode="External"/><Relationship Id="rId8344" Type="http://schemas.openxmlformats.org/officeDocument/2006/relationships/hyperlink" Target="http://www.linkedin.com/pub/kristen-sisson/4/771/A64" TargetMode="External"/><Relationship Id="rId9675" Type="http://schemas.openxmlformats.org/officeDocument/2006/relationships/hyperlink" Target="http://www.linkedin.com/pub/steve-delaney/5/852/849" TargetMode="External"/><Relationship Id="rId7019" Type="http://schemas.openxmlformats.org/officeDocument/2006/relationships/hyperlink" Target="http://www.linkedin.com/in/fyungman" TargetMode="External"/><Relationship Id="rId9676" Type="http://schemas.openxmlformats.org/officeDocument/2006/relationships/hyperlink" Target="http://www.linkedin.com/pub/brian-raposo/5/868/313" TargetMode="External"/><Relationship Id="rId7018" Type="http://schemas.openxmlformats.org/officeDocument/2006/relationships/hyperlink" Target="http://ar.linkedin.com/in/sheilaschuster" TargetMode="External"/><Relationship Id="rId8349" Type="http://schemas.openxmlformats.org/officeDocument/2006/relationships/hyperlink" Target="http://www.linkedin.com/in/kerryarmistead" TargetMode="External"/><Relationship Id="rId9677" Type="http://schemas.openxmlformats.org/officeDocument/2006/relationships/hyperlink" Target="http://www.linkedin.com/in/mattgambino" TargetMode="External"/><Relationship Id="rId7017" Type="http://schemas.openxmlformats.org/officeDocument/2006/relationships/hyperlink" Target="http://www.linkedin.com/in/marianokraefft" TargetMode="External"/><Relationship Id="rId8348" Type="http://schemas.openxmlformats.org/officeDocument/2006/relationships/hyperlink" Target="http://www.linkedin.com/in/marklhall" TargetMode="External"/><Relationship Id="rId9678" Type="http://schemas.openxmlformats.org/officeDocument/2006/relationships/hyperlink" Target="http://www.linkedin.com/in/dhealey" TargetMode="External"/><Relationship Id="rId9660" Type="http://schemas.openxmlformats.org/officeDocument/2006/relationships/hyperlink" Target="http://www.linkedin.com/in/bartb" TargetMode="External"/><Relationship Id="rId9661" Type="http://schemas.openxmlformats.org/officeDocument/2006/relationships/hyperlink" Target="http://www.linkedin.com/pub/amit-goswamy/0/2/8A" TargetMode="External"/><Relationship Id="rId9662" Type="http://schemas.openxmlformats.org/officeDocument/2006/relationships/hyperlink" Target="http://www.linkedin.com/pub/birju-shah/1/223/49B" TargetMode="External"/><Relationship Id="rId9663" Type="http://schemas.openxmlformats.org/officeDocument/2006/relationships/hyperlink" Target="http://www.linkedin.com/in/jackdjohnson" TargetMode="External"/><Relationship Id="rId7001" Type="http://schemas.openxmlformats.org/officeDocument/2006/relationships/hyperlink" Target="http://www.linkedin.com/pub/federico-cofman/1b/693/142" TargetMode="External"/><Relationship Id="rId8332" Type="http://schemas.openxmlformats.org/officeDocument/2006/relationships/hyperlink" Target="http://www.linkedin.com/in/fabianjoliva" TargetMode="External"/><Relationship Id="rId7000" Type="http://schemas.openxmlformats.org/officeDocument/2006/relationships/hyperlink" Target="http://ar.linkedin.com/in/marinamagarinos" TargetMode="External"/><Relationship Id="rId8331" Type="http://schemas.openxmlformats.org/officeDocument/2006/relationships/hyperlink" Target="http://www.linkedin.com/in/arimeisel" TargetMode="External"/><Relationship Id="rId8330" Type="http://schemas.openxmlformats.org/officeDocument/2006/relationships/hyperlink" Target="http://www.linkedin.com/pub/nicolas-beraudo/0/26/80B" TargetMode="External"/><Relationship Id="rId7005" Type="http://schemas.openxmlformats.org/officeDocument/2006/relationships/hyperlink" Target="http://ar.linkedin.com/pub/horacio-barbeito/13/435/310" TargetMode="External"/><Relationship Id="rId8336" Type="http://schemas.openxmlformats.org/officeDocument/2006/relationships/hyperlink" Target="http://www.linkedin.com/in/sethgordonmiami" TargetMode="External"/><Relationship Id="rId9668" Type="http://schemas.openxmlformats.org/officeDocument/2006/relationships/hyperlink" Target="https://www.linkedin.com/in/narenpatil" TargetMode="External"/><Relationship Id="rId7004" Type="http://schemas.openxmlformats.org/officeDocument/2006/relationships/hyperlink" Target="http://www.linkedin.com/pub/alberto-rub%C3%A9n-ojeda/5/ab3/599" TargetMode="External"/><Relationship Id="rId8335" Type="http://schemas.openxmlformats.org/officeDocument/2006/relationships/hyperlink" Target="http://www.linkedin.com/pub/niccolo-de-masi/14/299/259" TargetMode="External"/><Relationship Id="rId9669" Type="http://schemas.openxmlformats.org/officeDocument/2006/relationships/hyperlink" Target="http://www.linkedin.com/in/branley" TargetMode="External"/><Relationship Id="rId7003" Type="http://schemas.openxmlformats.org/officeDocument/2006/relationships/hyperlink" Target="http://www.linkedin.com/in/brianandersonbasearchgroup" TargetMode="External"/><Relationship Id="rId8334" Type="http://schemas.openxmlformats.org/officeDocument/2006/relationships/hyperlink" Target="http://www.linkedin.com/pub/jennifer-cook/2/16A/86" TargetMode="External"/><Relationship Id="rId7002" Type="http://schemas.openxmlformats.org/officeDocument/2006/relationships/hyperlink" Target="http://ar.linkedin.com/in/leandrorivoldini" TargetMode="External"/><Relationship Id="rId8333" Type="http://schemas.openxmlformats.org/officeDocument/2006/relationships/hyperlink" Target="http://www.linkedin.com/in/boydevert" TargetMode="External"/><Relationship Id="rId7009" Type="http://schemas.openxmlformats.org/officeDocument/2006/relationships/hyperlink" Target="http://www.linkedin.com/pub/carlos-ciruelos/0/198/243" TargetMode="External"/><Relationship Id="rId9664" Type="http://schemas.openxmlformats.org/officeDocument/2006/relationships/hyperlink" Target="http://www.linkedin.com/in/lancewilliams1" TargetMode="External"/><Relationship Id="rId7008" Type="http://schemas.openxmlformats.org/officeDocument/2006/relationships/hyperlink" Target="http://ar.linkedin.com/pub/hugo-mac-gaul/1/198/87" TargetMode="External"/><Relationship Id="rId8339" Type="http://schemas.openxmlformats.org/officeDocument/2006/relationships/hyperlink" Target="http://www.linkedin.com/in/chriszanyk" TargetMode="External"/><Relationship Id="rId9665" Type="http://schemas.openxmlformats.org/officeDocument/2006/relationships/hyperlink" Target="http://www.linkedin.com/in/walkers" TargetMode="External"/><Relationship Id="rId7007" Type="http://schemas.openxmlformats.org/officeDocument/2006/relationships/hyperlink" Target="http://ar.linkedin.com/in/marcelocoronel" TargetMode="External"/><Relationship Id="rId8338" Type="http://schemas.openxmlformats.org/officeDocument/2006/relationships/hyperlink" Target="http://www.linkedin.com/in/kbclay2" TargetMode="External"/><Relationship Id="rId9666" Type="http://schemas.openxmlformats.org/officeDocument/2006/relationships/hyperlink" Target="http://www.linkedin.com/in/bsabrin" TargetMode="External"/><Relationship Id="rId7006" Type="http://schemas.openxmlformats.org/officeDocument/2006/relationships/hyperlink" Target="http://www.linkedin.com/pub/ivan-martinez/0/53B/878" TargetMode="External"/><Relationship Id="rId8337" Type="http://schemas.openxmlformats.org/officeDocument/2006/relationships/hyperlink" Target="http://www.linkedin.com/pub/fernando-barba/5/89A/234" TargetMode="External"/><Relationship Id="rId9667" Type="http://schemas.openxmlformats.org/officeDocument/2006/relationships/hyperlink" Target="http://www.linkedin.com/in/noamrathaus" TargetMode="External"/><Relationship Id="rId3513" Type="http://schemas.openxmlformats.org/officeDocument/2006/relationships/hyperlink" Target="http://www.linkedin.com/pub/diego-carrocera/24/211/396" TargetMode="External"/><Relationship Id="rId4844" Type="http://schemas.openxmlformats.org/officeDocument/2006/relationships/hyperlink" Target="http://ar.linkedin.com/in/mirtaoldrini" TargetMode="External"/><Relationship Id="rId3512" Type="http://schemas.openxmlformats.org/officeDocument/2006/relationships/hyperlink" Target="http://ar.linkedin.com/pub/carolina-david/2A/729/8A7" TargetMode="External"/><Relationship Id="rId4843" Type="http://schemas.openxmlformats.org/officeDocument/2006/relationships/hyperlink" Target="http://ar.linkedin.com/in/juegoserio" TargetMode="External"/><Relationship Id="rId3515" Type="http://schemas.openxmlformats.org/officeDocument/2006/relationships/hyperlink" Target="http://ar.linkedin.com/pub/edgardo-aravena/13/3B8/122" TargetMode="External"/><Relationship Id="rId4846" Type="http://schemas.openxmlformats.org/officeDocument/2006/relationships/hyperlink" Target="http://ar.linkedin.com/in/arielalbertobruno" TargetMode="External"/><Relationship Id="rId3514" Type="http://schemas.openxmlformats.org/officeDocument/2006/relationships/hyperlink" Target="http://ar.linkedin.com/in/claudiopatino" TargetMode="External"/><Relationship Id="rId4845" Type="http://schemas.openxmlformats.org/officeDocument/2006/relationships/hyperlink" Target="http://ar.linkedin.com/pub/mariana-de-los-santos/24/676/334" TargetMode="External"/><Relationship Id="rId3517" Type="http://schemas.openxmlformats.org/officeDocument/2006/relationships/hyperlink" Target="http://www.linkedin.com/in/dnofal" TargetMode="External"/><Relationship Id="rId4848" Type="http://schemas.openxmlformats.org/officeDocument/2006/relationships/hyperlink" Target="http://ar.linkedin.com/in/bienvenidoperez" TargetMode="External"/><Relationship Id="rId3516" Type="http://schemas.openxmlformats.org/officeDocument/2006/relationships/hyperlink" Target="http://ar.linkedin.com/pub/luis-rodriguez/18/54/AB1" TargetMode="External"/><Relationship Id="rId4847" Type="http://schemas.openxmlformats.org/officeDocument/2006/relationships/hyperlink" Target="https://www.linkedin.com/in/jazanza" TargetMode="External"/><Relationship Id="rId3519" Type="http://schemas.openxmlformats.org/officeDocument/2006/relationships/hyperlink" Target="http://www.linkedin.com/pub/fernando-martin-morelli/30/732/21b" TargetMode="External"/><Relationship Id="rId3518" Type="http://schemas.openxmlformats.org/officeDocument/2006/relationships/hyperlink" Target="http://ar.linkedin.com/pub/alan-venn/25/850/48A" TargetMode="External"/><Relationship Id="rId4849" Type="http://schemas.openxmlformats.org/officeDocument/2006/relationships/hyperlink" Target="http://ar.linkedin.com/pub/fernanda-tapia/9/8BA/517" TargetMode="External"/><Relationship Id="rId4840" Type="http://schemas.openxmlformats.org/officeDocument/2006/relationships/hyperlink" Target="http://ar.linkedin.com/in/tferronatto" TargetMode="External"/><Relationship Id="rId3511" Type="http://schemas.openxmlformats.org/officeDocument/2006/relationships/hyperlink" Target="http://www.linkedin.com/pub/pablo-ordinskas/11/9/bb3" TargetMode="External"/><Relationship Id="rId4842" Type="http://schemas.openxmlformats.org/officeDocument/2006/relationships/hyperlink" Target="http://ar.linkedin.com/in/marinamiro" TargetMode="External"/><Relationship Id="rId3510" Type="http://schemas.openxmlformats.org/officeDocument/2006/relationships/hyperlink" Target="http://ar.linkedin.com/pub/alejandro-poncio/5/740/550" TargetMode="External"/><Relationship Id="rId4841" Type="http://schemas.openxmlformats.org/officeDocument/2006/relationships/hyperlink" Target="http://www.linkedin.com/in/dldavispmp" TargetMode="External"/><Relationship Id="rId3502" Type="http://schemas.openxmlformats.org/officeDocument/2006/relationships/hyperlink" Target="http://www.linkedin.com/pub/pablo-j-mendonca/7/697/875" TargetMode="External"/><Relationship Id="rId4833" Type="http://schemas.openxmlformats.org/officeDocument/2006/relationships/hyperlink" Target="http://www.linkedin.com/pub/jos%C3%A9-ignacio-bano/16/880/834" TargetMode="External"/><Relationship Id="rId3501" Type="http://schemas.openxmlformats.org/officeDocument/2006/relationships/hyperlink" Target="http://ar.linkedin.com/pub/juan-becerra/13/ABB/368" TargetMode="External"/><Relationship Id="rId4832" Type="http://schemas.openxmlformats.org/officeDocument/2006/relationships/hyperlink" Target="http://ar.linkedin.com/in/jesicagregorio" TargetMode="External"/><Relationship Id="rId3504" Type="http://schemas.openxmlformats.org/officeDocument/2006/relationships/hyperlink" Target="http://www.linkedin.com/pub/sebasti%C3%A1n-rey-sumay/0/b99/9a8" TargetMode="External"/><Relationship Id="rId4835" Type="http://schemas.openxmlformats.org/officeDocument/2006/relationships/hyperlink" Target="http://ar.linkedin.com/pub/eric-lang/6/6AB/B1A" TargetMode="External"/><Relationship Id="rId3503" Type="http://schemas.openxmlformats.org/officeDocument/2006/relationships/hyperlink" Target="http://ar.linkedin.com/in/cristinaguarin" TargetMode="External"/><Relationship Id="rId4834" Type="http://schemas.openxmlformats.org/officeDocument/2006/relationships/hyperlink" Target="http://www.linkedin.com/pub/mario-j-vargas-valles/0/687/4A0" TargetMode="External"/><Relationship Id="rId3506" Type="http://schemas.openxmlformats.org/officeDocument/2006/relationships/hyperlink" Target="http://ar.linkedin.com/in/patricioryan" TargetMode="External"/><Relationship Id="rId4837" Type="http://schemas.openxmlformats.org/officeDocument/2006/relationships/hyperlink" Target="http://ar.linkedin.com/pub/javier-zajaczkowski/13/685/356" TargetMode="External"/><Relationship Id="rId3505" Type="http://schemas.openxmlformats.org/officeDocument/2006/relationships/hyperlink" Target="http://www.linkedin.com/pub/glenn-hunter/0/858/6BB" TargetMode="External"/><Relationship Id="rId4836" Type="http://schemas.openxmlformats.org/officeDocument/2006/relationships/hyperlink" Target="http://ar.linkedin.com/pub/gonzalo-pag-s/30/810/B03" TargetMode="External"/><Relationship Id="rId3508" Type="http://schemas.openxmlformats.org/officeDocument/2006/relationships/hyperlink" Target="http://www.linkedin.com/pub/rick-kleczkowski/0/2B1/602" TargetMode="External"/><Relationship Id="rId4839" Type="http://schemas.openxmlformats.org/officeDocument/2006/relationships/hyperlink" Target="http://ar.linkedin.com/in/renatapica" TargetMode="External"/><Relationship Id="rId3507" Type="http://schemas.openxmlformats.org/officeDocument/2006/relationships/hyperlink" Target="http://www.linkedin.com/in/aktaylor" TargetMode="External"/><Relationship Id="rId4838" Type="http://schemas.openxmlformats.org/officeDocument/2006/relationships/hyperlink" Target="http://ar.linkedin.com/in/luzadaniel" TargetMode="External"/><Relationship Id="rId3509" Type="http://schemas.openxmlformats.org/officeDocument/2006/relationships/hyperlink" Target="http://www.linkedin.com/in/halahemayssi" TargetMode="External"/><Relationship Id="rId3500" Type="http://schemas.openxmlformats.org/officeDocument/2006/relationships/hyperlink" Target="http://ar.linkedin.com/pub/miguel-rubino/5/4A7/2A9" TargetMode="External"/><Relationship Id="rId4831" Type="http://schemas.openxmlformats.org/officeDocument/2006/relationships/hyperlink" Target="http://ar.linkedin.com/in/damianguntin" TargetMode="External"/><Relationship Id="rId4830" Type="http://schemas.openxmlformats.org/officeDocument/2006/relationships/hyperlink" Target="http://www.linkedin.com/pub/mariano-muniagorri/1b/316/a8b" TargetMode="External"/><Relationship Id="rId2203" Type="http://schemas.openxmlformats.org/officeDocument/2006/relationships/hyperlink" Target="http://www.linkedin.com/pub/henry-bar-levav/0/12/67" TargetMode="External"/><Relationship Id="rId3535" Type="http://schemas.openxmlformats.org/officeDocument/2006/relationships/hyperlink" Target="http://ar.linkedin.com/pub/rosario-cornejo/28/954/832" TargetMode="External"/><Relationship Id="rId4866" Type="http://schemas.openxmlformats.org/officeDocument/2006/relationships/hyperlink" Target="http://www.linkedin.com/pub/adrian-ghelman/6/a10/2a7" TargetMode="External"/><Relationship Id="rId2204" Type="http://schemas.openxmlformats.org/officeDocument/2006/relationships/hyperlink" Target="http://www.linkedin.com/in/kensteinberg" TargetMode="External"/><Relationship Id="rId3534" Type="http://schemas.openxmlformats.org/officeDocument/2006/relationships/hyperlink" Target="http://ar.linkedin.com/pub/human-links-consultores/22/7B1/6B" TargetMode="External"/><Relationship Id="rId4865" Type="http://schemas.openxmlformats.org/officeDocument/2006/relationships/hyperlink" Target="http://ar.linkedin.com/pub/javier-bavaro/23/948/655" TargetMode="External"/><Relationship Id="rId2205" Type="http://schemas.openxmlformats.org/officeDocument/2006/relationships/hyperlink" Target="http://www.linkedin.com/pub/mike-kistner/0/150/338" TargetMode="External"/><Relationship Id="rId3537" Type="http://schemas.openxmlformats.org/officeDocument/2006/relationships/hyperlink" Target="http://ar.linkedin.com/pub/melisa-aguiar/28/335/51B" TargetMode="External"/><Relationship Id="rId4868" Type="http://schemas.openxmlformats.org/officeDocument/2006/relationships/hyperlink" Target="http://ar.linkedin.com/in/gustavoghirardi" TargetMode="External"/><Relationship Id="rId2206" Type="http://schemas.openxmlformats.org/officeDocument/2006/relationships/hyperlink" Target="http://au.linkedin.com/in/turkeychop" TargetMode="External"/><Relationship Id="rId3536" Type="http://schemas.openxmlformats.org/officeDocument/2006/relationships/hyperlink" Target="http://ar.linkedin.com/pub/nicol%C3%A1s-h-antelo/B/8B5/963" TargetMode="External"/><Relationship Id="rId4867" Type="http://schemas.openxmlformats.org/officeDocument/2006/relationships/hyperlink" Target="http://ar.linkedin.com/pub/bernardo-hidalgo/1/408/A79" TargetMode="External"/><Relationship Id="rId2207" Type="http://schemas.openxmlformats.org/officeDocument/2006/relationships/hyperlink" Target="http://br.linkedin.com/pub/luciana-omae/0/2B1/334" TargetMode="External"/><Relationship Id="rId3539" Type="http://schemas.openxmlformats.org/officeDocument/2006/relationships/hyperlink" Target="http://ar.linkedin.com/pub/patricio-mahon/24/270/21B" TargetMode="External"/><Relationship Id="rId2208" Type="http://schemas.openxmlformats.org/officeDocument/2006/relationships/hyperlink" Target="http://www.linkedin.com/in/golwala" TargetMode="External"/><Relationship Id="rId3538" Type="http://schemas.openxmlformats.org/officeDocument/2006/relationships/hyperlink" Target="http://ar.linkedin.com/in/andreaarguello" TargetMode="External"/><Relationship Id="rId4869" Type="http://schemas.openxmlformats.org/officeDocument/2006/relationships/hyperlink" Target="http://ar.linkedin.com/in/pablodevoto" TargetMode="External"/><Relationship Id="rId2209" Type="http://schemas.openxmlformats.org/officeDocument/2006/relationships/hyperlink" Target="https://www.linkedin.com/in/aastarita" TargetMode="External"/><Relationship Id="rId4860" Type="http://schemas.openxmlformats.org/officeDocument/2006/relationships/hyperlink" Target="http://ar.linkedin.com/pub/alejandra-rojas/26/246/4B8" TargetMode="External"/><Relationship Id="rId3531" Type="http://schemas.openxmlformats.org/officeDocument/2006/relationships/hyperlink" Target="http://ar.linkedin.com/in/juanpablocuntin" TargetMode="External"/><Relationship Id="rId4862" Type="http://schemas.openxmlformats.org/officeDocument/2006/relationships/hyperlink" Target="http://www.linkedin.com/pub/luis-arturo-diaz/0/167/AB1" TargetMode="External"/><Relationship Id="rId2200" Type="http://schemas.openxmlformats.org/officeDocument/2006/relationships/hyperlink" Target="http://www.linkedin.com/in/arthurmanzi" TargetMode="External"/><Relationship Id="rId3530" Type="http://schemas.openxmlformats.org/officeDocument/2006/relationships/hyperlink" Target="http://ar.linkedin.com/in/adriarburu" TargetMode="External"/><Relationship Id="rId4861" Type="http://schemas.openxmlformats.org/officeDocument/2006/relationships/hyperlink" Target="http://www.linkedin.com/in/mariacelestebritos" TargetMode="External"/><Relationship Id="rId2201" Type="http://schemas.openxmlformats.org/officeDocument/2006/relationships/hyperlink" Target="http://www.linkedin.com/in/pierresavignac" TargetMode="External"/><Relationship Id="rId3533" Type="http://schemas.openxmlformats.org/officeDocument/2006/relationships/hyperlink" Target="http://ar.linkedin.com/pub/andrea-ruiz/9/80B/A" TargetMode="External"/><Relationship Id="rId4864" Type="http://schemas.openxmlformats.org/officeDocument/2006/relationships/hyperlink" Target="http://ar.linkedin.com/pub/guillermo-bray/6/B44/579" TargetMode="External"/><Relationship Id="rId2202" Type="http://schemas.openxmlformats.org/officeDocument/2006/relationships/hyperlink" Target="http://www.linkedin.com/pub/rod-brylawski-rbrylawski-lucasgroup-com/0/113/38A" TargetMode="External"/><Relationship Id="rId3532" Type="http://schemas.openxmlformats.org/officeDocument/2006/relationships/hyperlink" Target="http://ar.linkedin.com/pub/maria-fernanda-aguirre/B/196/A20" TargetMode="External"/><Relationship Id="rId4863" Type="http://schemas.openxmlformats.org/officeDocument/2006/relationships/hyperlink" Target="http://www.linkedin.com/in/revistaergo" TargetMode="External"/><Relationship Id="rId3524" Type="http://schemas.openxmlformats.org/officeDocument/2006/relationships/hyperlink" Target="http://ar.linkedin.com/pub/mariana-rial/A/5B3/439" TargetMode="External"/><Relationship Id="rId4855" Type="http://schemas.openxmlformats.org/officeDocument/2006/relationships/hyperlink" Target="http://ar.linkedin.com/pub/andres-vela/25/A58/405" TargetMode="External"/><Relationship Id="rId3523" Type="http://schemas.openxmlformats.org/officeDocument/2006/relationships/hyperlink" Target="http://www.linkedin.com/pub/maria-paula-bargero/2/500/5b4" TargetMode="External"/><Relationship Id="rId4854" Type="http://schemas.openxmlformats.org/officeDocument/2006/relationships/hyperlink" Target="http://www.linkedin.com/pub/miguel-queimali%C3%B1os/14/2a3/56" TargetMode="External"/><Relationship Id="rId3526" Type="http://schemas.openxmlformats.org/officeDocument/2006/relationships/hyperlink" Target="http://www.linkedin.com/in/ricardohrodriguez" TargetMode="External"/><Relationship Id="rId4857" Type="http://schemas.openxmlformats.org/officeDocument/2006/relationships/hyperlink" Target="http://www.linkedin.com/pub/laura-bitocco/9/2b0/646" TargetMode="External"/><Relationship Id="rId3525" Type="http://schemas.openxmlformats.org/officeDocument/2006/relationships/hyperlink" Target="http://www.linkedin.com/pub/angeles-destefano/6/37b/4a4" TargetMode="External"/><Relationship Id="rId4856" Type="http://schemas.openxmlformats.org/officeDocument/2006/relationships/hyperlink" Target="http://uk.linkedin.com/pub/carolina-giordano/16/537/933" TargetMode="External"/><Relationship Id="rId3528" Type="http://schemas.openxmlformats.org/officeDocument/2006/relationships/hyperlink" Target="http://ar.linkedin.com/pub/ariel-carrera/14/775/12B" TargetMode="External"/><Relationship Id="rId4859" Type="http://schemas.openxmlformats.org/officeDocument/2006/relationships/hyperlink" Target="http://ar.linkedin.com/pub/nora-martinez/5/831/152" TargetMode="External"/><Relationship Id="rId3527" Type="http://schemas.openxmlformats.org/officeDocument/2006/relationships/hyperlink" Target="http://ar.linkedin.com/in/javieramorin" TargetMode="External"/><Relationship Id="rId4858" Type="http://schemas.openxmlformats.org/officeDocument/2006/relationships/hyperlink" Target="http://www.linkedin.com/pub/fernando-tchechenistky/13/2a7/b9a" TargetMode="External"/><Relationship Id="rId3529" Type="http://schemas.openxmlformats.org/officeDocument/2006/relationships/hyperlink" Target="http://ar.linkedin.com/pub/andrea-isabel-castro/19/366/4A1" TargetMode="External"/><Relationship Id="rId3520" Type="http://schemas.openxmlformats.org/officeDocument/2006/relationships/hyperlink" Target="http://ar.linkedin.com/pub/gonzalo-leon/24/8B5/991" TargetMode="External"/><Relationship Id="rId4851" Type="http://schemas.openxmlformats.org/officeDocument/2006/relationships/hyperlink" Target="http://ar.linkedin.com/pub/sebastian-fillmann/3/342/287" TargetMode="External"/><Relationship Id="rId4850" Type="http://schemas.openxmlformats.org/officeDocument/2006/relationships/hyperlink" Target="http://ar.linkedin.com/pub/antonela-coco/28/756/7A2" TargetMode="External"/><Relationship Id="rId3522" Type="http://schemas.openxmlformats.org/officeDocument/2006/relationships/hyperlink" Target="http://www.linkedin.com/pub/laura-melisa-rodr%C3%ADguez/9/574/417" TargetMode="External"/><Relationship Id="rId4853" Type="http://schemas.openxmlformats.org/officeDocument/2006/relationships/hyperlink" Target="http://ar.linkedin.com/pub/nicolas-andelman/7/984/B28" TargetMode="External"/><Relationship Id="rId3521" Type="http://schemas.openxmlformats.org/officeDocument/2006/relationships/hyperlink" Target="http://ar.linkedin.com/pub/cristian-javier-de-luca/23/966/664" TargetMode="External"/><Relationship Id="rId4852" Type="http://schemas.openxmlformats.org/officeDocument/2006/relationships/hyperlink" Target="http://ar.linkedin.com/in/diegodariorodriguez" TargetMode="External"/><Relationship Id="rId4800" Type="http://schemas.openxmlformats.org/officeDocument/2006/relationships/hyperlink" Target="http://www.linkedin.com/pub/gaston-daniel-de-angelis/30/675/b3b" TargetMode="External"/><Relationship Id="rId4802" Type="http://schemas.openxmlformats.org/officeDocument/2006/relationships/hyperlink" Target="http://ar.linkedin.com/pub/maximiliano-saba/10/177/62" TargetMode="External"/><Relationship Id="rId4801" Type="http://schemas.openxmlformats.org/officeDocument/2006/relationships/hyperlink" Target="http://ar.linkedin.com/in/marcelofedele" TargetMode="External"/><Relationship Id="rId4804" Type="http://schemas.openxmlformats.org/officeDocument/2006/relationships/hyperlink" Target="http://www.linkedin.com/pub/florencia-caccavo/8/261/11a" TargetMode="External"/><Relationship Id="rId4803" Type="http://schemas.openxmlformats.org/officeDocument/2006/relationships/hyperlink" Target="http://ar.linkedin.com/in/juliabujan" TargetMode="External"/><Relationship Id="rId4806" Type="http://schemas.openxmlformats.org/officeDocument/2006/relationships/hyperlink" Target="http://www.linkedin.com/in/marianaariasduval" TargetMode="External"/><Relationship Id="rId4805" Type="http://schemas.openxmlformats.org/officeDocument/2006/relationships/hyperlink" Target="http://ar.linkedin.com/pub/javier-rivas/1B/441/17B" TargetMode="External"/><Relationship Id="rId4808" Type="http://schemas.openxmlformats.org/officeDocument/2006/relationships/hyperlink" Target="http://www.linkedin.com/pub/nicolas-stier/0/283/B37" TargetMode="External"/><Relationship Id="rId4807" Type="http://schemas.openxmlformats.org/officeDocument/2006/relationships/hyperlink" Target="http://ar.linkedin.com/pub/lorena-limardo/26/620/A41" TargetMode="External"/><Relationship Id="rId4809" Type="http://schemas.openxmlformats.org/officeDocument/2006/relationships/hyperlink" Target="http://ar.linkedin.com/in/ericamicaelavega" TargetMode="External"/><Relationship Id="rId7081" Type="http://schemas.openxmlformats.org/officeDocument/2006/relationships/hyperlink" Target="http://www.linkedin.com/in/marceloszabo" TargetMode="External"/><Relationship Id="rId7080" Type="http://schemas.openxmlformats.org/officeDocument/2006/relationships/hyperlink" Target="http://www.linkedin.com/in/larzabalm" TargetMode="External"/><Relationship Id="rId7074" Type="http://schemas.openxmlformats.org/officeDocument/2006/relationships/hyperlink" Target="http://ar.linkedin.com/in/federicostirparo" TargetMode="External"/><Relationship Id="rId7073" Type="http://schemas.openxmlformats.org/officeDocument/2006/relationships/hyperlink" Target="http://ar.linkedin.com/in/nicolasdonadio" TargetMode="External"/><Relationship Id="rId7072" Type="http://schemas.openxmlformats.org/officeDocument/2006/relationships/hyperlink" Target="http://ar.linkedin.com/in/pablolandeira" TargetMode="External"/><Relationship Id="rId7071" Type="http://schemas.openxmlformats.org/officeDocument/2006/relationships/hyperlink" Target="http://www.linkedin.com/in/rodrigoprocha" TargetMode="External"/><Relationship Id="rId7078" Type="http://schemas.openxmlformats.org/officeDocument/2006/relationships/hyperlink" Target="http://www.linkedin.com/pub/pamela-reyes/0/29A/3A1" TargetMode="External"/><Relationship Id="rId7077" Type="http://schemas.openxmlformats.org/officeDocument/2006/relationships/hyperlink" Target="http://www.linkedin.com/pub/tatiana-georgetti-brizzotti/0/970/53A" TargetMode="External"/><Relationship Id="rId7076" Type="http://schemas.openxmlformats.org/officeDocument/2006/relationships/hyperlink" Target="http://www.linkedin.com/pub/sergio-banuet/2/828/259" TargetMode="External"/><Relationship Id="rId7075" Type="http://schemas.openxmlformats.org/officeDocument/2006/relationships/hyperlink" Target="http://ar.linkedin.com/in/cristianmartinezcrovetto" TargetMode="External"/><Relationship Id="rId7079" Type="http://schemas.openxmlformats.org/officeDocument/2006/relationships/hyperlink" Target="http://ar.linkedin.com/in/worksarray" TargetMode="External"/><Relationship Id="rId7070" Type="http://schemas.openxmlformats.org/officeDocument/2006/relationships/hyperlink" Target="http://www.linkedin.com/pub/fernando-cimato/10/876/299" TargetMode="External"/><Relationship Id="rId7063" Type="http://schemas.openxmlformats.org/officeDocument/2006/relationships/hyperlink" Target="http://www.linkedin.com/pub/noelia-scheibenhofer/7/b1/827" TargetMode="External"/><Relationship Id="rId8394" Type="http://schemas.openxmlformats.org/officeDocument/2006/relationships/hyperlink" Target="http://www.linkedin.com/in/brettgreene" TargetMode="External"/><Relationship Id="rId7062" Type="http://schemas.openxmlformats.org/officeDocument/2006/relationships/hyperlink" Target="http://www.linkedin.com/pub/gicella-moroyoqui/6/7B/648" TargetMode="External"/><Relationship Id="rId8393" Type="http://schemas.openxmlformats.org/officeDocument/2006/relationships/hyperlink" Target="http://ca.linkedin.com/in/michalberman" TargetMode="External"/><Relationship Id="rId7061" Type="http://schemas.openxmlformats.org/officeDocument/2006/relationships/hyperlink" Target="http://www.linkedin.com/in/enegrete" TargetMode="External"/><Relationship Id="rId8392" Type="http://schemas.openxmlformats.org/officeDocument/2006/relationships/hyperlink" Target="http://www.linkedin.com/in/andrewjjenkins" TargetMode="External"/><Relationship Id="rId7060" Type="http://schemas.openxmlformats.org/officeDocument/2006/relationships/hyperlink" Target="http://ar.linkedin.com/in/pablovallejo" TargetMode="External"/><Relationship Id="rId8391" Type="http://schemas.openxmlformats.org/officeDocument/2006/relationships/hyperlink" Target="http://www.linkedin.com/pub/rob-sotomayor/18/118/A" TargetMode="External"/><Relationship Id="rId7067" Type="http://schemas.openxmlformats.org/officeDocument/2006/relationships/hyperlink" Target="http://www.linkedin.com/pub/diego-miara/0/9a9/235" TargetMode="External"/><Relationship Id="rId8398" Type="http://schemas.openxmlformats.org/officeDocument/2006/relationships/hyperlink" Target="http://www.linkedin.com/in/randyblue" TargetMode="External"/><Relationship Id="rId7066" Type="http://schemas.openxmlformats.org/officeDocument/2006/relationships/hyperlink" Target="http://www.linkedin.com/pub/jon-ortiz/4/195/995" TargetMode="External"/><Relationship Id="rId8397" Type="http://schemas.openxmlformats.org/officeDocument/2006/relationships/hyperlink" Target="http://www.linkedin.com/pub/roger-g/1/155/929" TargetMode="External"/><Relationship Id="rId7065" Type="http://schemas.openxmlformats.org/officeDocument/2006/relationships/hyperlink" Target="http://ar.linkedin.com/pub/yolanda-serrano/6/B00/50B" TargetMode="External"/><Relationship Id="rId8396" Type="http://schemas.openxmlformats.org/officeDocument/2006/relationships/hyperlink" Target="http://www.linkedin.com/pub/marvin-powell/0/b4/416?trk=pub-pbmap" TargetMode="External"/><Relationship Id="rId7064" Type="http://schemas.openxmlformats.org/officeDocument/2006/relationships/hyperlink" Target="http://www.linkedin.com/pub/ruben-moroyoqui/6/1A1/727" TargetMode="External"/><Relationship Id="rId8395" Type="http://schemas.openxmlformats.org/officeDocument/2006/relationships/hyperlink" Target="http://www.linkedin.com/in/handyandygoodman" TargetMode="External"/><Relationship Id="rId7069" Type="http://schemas.openxmlformats.org/officeDocument/2006/relationships/hyperlink" Target="http://www.linkedin.com/pub/patt-cronin/8/6B7/689" TargetMode="External"/><Relationship Id="rId7068" Type="http://schemas.openxmlformats.org/officeDocument/2006/relationships/hyperlink" Target="http://ar.linkedin.com/pub/rodolfo-kruger/11/28A/35A" TargetMode="External"/><Relationship Id="rId8399" Type="http://schemas.openxmlformats.org/officeDocument/2006/relationships/hyperlink" Target="http://www.linkedin.com/in/parsonsconsulting" TargetMode="External"/><Relationship Id="rId4822" Type="http://schemas.openxmlformats.org/officeDocument/2006/relationships/hyperlink" Target="http://www.linkedin.com/pub/martin-stigliano/1/177/26b" TargetMode="External"/><Relationship Id="rId4821" Type="http://schemas.openxmlformats.org/officeDocument/2006/relationships/hyperlink" Target="http://www.linkedin.com/pub/sebasti%C3%A1n-rodr%C3%ADguez-viudez/b/878/1b5" TargetMode="External"/><Relationship Id="rId4824" Type="http://schemas.openxmlformats.org/officeDocument/2006/relationships/hyperlink" Target="http://ar.linkedin.com/pub/eduardo-j-martin-eyras/0/315/121" TargetMode="External"/><Relationship Id="rId4823" Type="http://schemas.openxmlformats.org/officeDocument/2006/relationships/hyperlink" Target="http://www.linkedin.com/pub/juan-mart%C3%ADn-giachino-ch%C3%A1vez/11/303/6" TargetMode="External"/><Relationship Id="rId4826" Type="http://schemas.openxmlformats.org/officeDocument/2006/relationships/hyperlink" Target="http://ar.linkedin.com/in/martinbien" TargetMode="External"/><Relationship Id="rId4825" Type="http://schemas.openxmlformats.org/officeDocument/2006/relationships/hyperlink" Target="http://www.linkedin.com/pub/martin-tomasella/29/227/228" TargetMode="External"/><Relationship Id="rId4828" Type="http://schemas.openxmlformats.org/officeDocument/2006/relationships/hyperlink" Target="http://www.linkedin.com/pub/dario-pettina/0/315/76a" TargetMode="External"/><Relationship Id="rId4827" Type="http://schemas.openxmlformats.org/officeDocument/2006/relationships/hyperlink" Target="http://www.linkedin.com/pub/sebasti%C3%A1n-zimmermann/11/2b1/b04" TargetMode="External"/><Relationship Id="rId4829" Type="http://schemas.openxmlformats.org/officeDocument/2006/relationships/hyperlink" Target="http://ar.linkedin.com/in/jorgerafaellopez" TargetMode="External"/><Relationship Id="rId7096" Type="http://schemas.openxmlformats.org/officeDocument/2006/relationships/hyperlink" Target="http://www.linkedin.com/in/meghancannizzaro" TargetMode="External"/><Relationship Id="rId7095" Type="http://schemas.openxmlformats.org/officeDocument/2006/relationships/hyperlink" Target="http://www.linkedin.com/pub/marcela-schifini-gladchtein/10/4A3/8A7" TargetMode="External"/><Relationship Id="rId7094" Type="http://schemas.openxmlformats.org/officeDocument/2006/relationships/hyperlink" Target="http://ar.linkedin.com/in/ezequielgarcia" TargetMode="External"/><Relationship Id="rId7093" Type="http://schemas.openxmlformats.org/officeDocument/2006/relationships/hyperlink" Target="http://www.linkedin.com/in/glenbenjamin" TargetMode="External"/><Relationship Id="rId7099" Type="http://schemas.openxmlformats.org/officeDocument/2006/relationships/hyperlink" Target="http://www.linkedin.com/in/andreshb" TargetMode="External"/><Relationship Id="rId7098" Type="http://schemas.openxmlformats.org/officeDocument/2006/relationships/hyperlink" Target="http://ar.linkedin.com/pub/alejandro-alvarez/1/1B/284" TargetMode="External"/><Relationship Id="rId7097" Type="http://schemas.openxmlformats.org/officeDocument/2006/relationships/hyperlink" Target="http://ar.linkedin.com/pub/hernan-pato-herrera/24/4B7/451" TargetMode="External"/><Relationship Id="rId4820" Type="http://schemas.openxmlformats.org/officeDocument/2006/relationships/hyperlink" Target="http://ar.linkedin.com/pub/natalia-crosinelli/7/3AA/489" TargetMode="External"/><Relationship Id="rId4811" Type="http://schemas.openxmlformats.org/officeDocument/2006/relationships/hyperlink" Target="http://ar.linkedin.com/pub/lucas-garc%C3%ADa/18/63B/B51" TargetMode="External"/><Relationship Id="rId4810" Type="http://schemas.openxmlformats.org/officeDocument/2006/relationships/hyperlink" Target="http://www.linkedin.com/pub/leonardo-javier-do-pazo/24/226/515" TargetMode="External"/><Relationship Id="rId4813" Type="http://schemas.openxmlformats.org/officeDocument/2006/relationships/hyperlink" Target="http://ar.linkedin.com/pub/francisco-martin-delgado/9/539/451" TargetMode="External"/><Relationship Id="rId4812" Type="http://schemas.openxmlformats.org/officeDocument/2006/relationships/hyperlink" Target="http://ar.linkedin.com/pub/rocio-pons/20/A12/B24" TargetMode="External"/><Relationship Id="rId4815" Type="http://schemas.openxmlformats.org/officeDocument/2006/relationships/hyperlink" Target="http://ar.linkedin.com/in/cscheinkman" TargetMode="External"/><Relationship Id="rId4814" Type="http://schemas.openxmlformats.org/officeDocument/2006/relationships/hyperlink" Target="http://ar.linkedin.com/in/tatianabaigorria" TargetMode="External"/><Relationship Id="rId4817" Type="http://schemas.openxmlformats.org/officeDocument/2006/relationships/hyperlink" Target="http://ar.linkedin.com/pub/felipe-cordeyro-equiza/8/9B0/B41" TargetMode="External"/><Relationship Id="rId4816" Type="http://schemas.openxmlformats.org/officeDocument/2006/relationships/hyperlink" Target="http://ar.linkedin.com/in/guidoguarino" TargetMode="External"/><Relationship Id="rId4819" Type="http://schemas.openxmlformats.org/officeDocument/2006/relationships/hyperlink" Target="http://ar.linkedin.com/pub/elena-guerra/4/927/A46" TargetMode="External"/><Relationship Id="rId4818" Type="http://schemas.openxmlformats.org/officeDocument/2006/relationships/hyperlink" Target="http://ar.linkedin.com/pub/juan-pablo-mon/22/91/367" TargetMode="External"/><Relationship Id="rId7092" Type="http://schemas.openxmlformats.org/officeDocument/2006/relationships/hyperlink" Target="http://www.linkedin.com/pub/pablo-kossakowski/1b/b4b/22a" TargetMode="External"/><Relationship Id="rId7091" Type="http://schemas.openxmlformats.org/officeDocument/2006/relationships/hyperlink" Target="http://www.linkedin.com/pub/gabriel-n-miguel-alesi/17/5a/aa0" TargetMode="External"/><Relationship Id="rId7090" Type="http://schemas.openxmlformats.org/officeDocument/2006/relationships/hyperlink" Target="http://www.linkedin.com/in/hanez" TargetMode="External"/><Relationship Id="rId7085" Type="http://schemas.openxmlformats.org/officeDocument/2006/relationships/hyperlink" Target="http://www.linkedin.com/in/alexandremesquita" TargetMode="External"/><Relationship Id="rId7084" Type="http://schemas.openxmlformats.org/officeDocument/2006/relationships/hyperlink" Target="http://ar.linkedin.com/in/lorenalemos" TargetMode="External"/><Relationship Id="rId7083" Type="http://schemas.openxmlformats.org/officeDocument/2006/relationships/hyperlink" Target="http://www.linkedin.com/pub/pablo-verdi/0/453/80" TargetMode="External"/><Relationship Id="rId7082" Type="http://schemas.openxmlformats.org/officeDocument/2006/relationships/hyperlink" Target="http://ar.linkedin.com/pub/karina-winik/B/162/63A" TargetMode="External"/><Relationship Id="rId7089" Type="http://schemas.openxmlformats.org/officeDocument/2006/relationships/hyperlink" Target="http://www.linkedin.com/pub/suso-tormo-trilles/13/557/143" TargetMode="External"/><Relationship Id="rId7088" Type="http://schemas.openxmlformats.org/officeDocument/2006/relationships/hyperlink" Target="http://www.linkedin.com/pub/luis-crespo/0/113/92B" TargetMode="External"/><Relationship Id="rId7087" Type="http://schemas.openxmlformats.org/officeDocument/2006/relationships/hyperlink" Target="http://www.linkedin.com/pub/eric-lavely/3/801/245" TargetMode="External"/><Relationship Id="rId7086" Type="http://schemas.openxmlformats.org/officeDocument/2006/relationships/hyperlink" Target="http://ar.linkedin.com/in/lucianocrescente" TargetMode="External"/><Relationship Id="rId2269" Type="http://schemas.openxmlformats.org/officeDocument/2006/relationships/hyperlink" Target="http://www.linkedin.com/pub/mark-wolf/1/767/B58" TargetMode="External"/><Relationship Id="rId3591" Type="http://schemas.openxmlformats.org/officeDocument/2006/relationships/hyperlink" Target="http://www.linkedin.com/in/juliamartinez" TargetMode="External"/><Relationship Id="rId2260" Type="http://schemas.openxmlformats.org/officeDocument/2006/relationships/hyperlink" Target="http://www.linkedin.com/in/jeffsmithandassociates" TargetMode="External"/><Relationship Id="rId3590" Type="http://schemas.openxmlformats.org/officeDocument/2006/relationships/hyperlink" Target="http://ar.linkedin.com/pub/cesar-guarinoni/1/B36/360" TargetMode="External"/><Relationship Id="rId2261" Type="http://schemas.openxmlformats.org/officeDocument/2006/relationships/hyperlink" Target="http://www.linkedin.com/pub/jim-heitner/0/353/774" TargetMode="External"/><Relationship Id="rId3593" Type="http://schemas.openxmlformats.org/officeDocument/2006/relationships/hyperlink" Target="http://www.linkedin.com/pub/henrique-corr%C3%AAa/0/37B/50B" TargetMode="External"/><Relationship Id="rId2262" Type="http://schemas.openxmlformats.org/officeDocument/2006/relationships/hyperlink" Target="http://www.linkedin.com/in/philippegauvin" TargetMode="External"/><Relationship Id="rId3592" Type="http://schemas.openxmlformats.org/officeDocument/2006/relationships/hyperlink" Target="http://www.linkedin.com/pub/jorge-salles/15/753/6B2" TargetMode="External"/><Relationship Id="rId2263" Type="http://schemas.openxmlformats.org/officeDocument/2006/relationships/hyperlink" Target="http://www.linkedin.com/pub/devon-wylie/0/3AA/432" TargetMode="External"/><Relationship Id="rId3595" Type="http://schemas.openxmlformats.org/officeDocument/2006/relationships/hyperlink" Target="http://ar.linkedin.com/pub/martin-poletto/0/125/A49" TargetMode="External"/><Relationship Id="rId2264" Type="http://schemas.openxmlformats.org/officeDocument/2006/relationships/hyperlink" Target="http://www.linkedin.com/in/lisahsteele" TargetMode="External"/><Relationship Id="rId3594" Type="http://schemas.openxmlformats.org/officeDocument/2006/relationships/hyperlink" Target="http://www.linkedin.com/in/foryourpeace" TargetMode="External"/><Relationship Id="rId2265" Type="http://schemas.openxmlformats.org/officeDocument/2006/relationships/hyperlink" Target="http://www.linkedin.com/in/frankadvice" TargetMode="External"/><Relationship Id="rId3597" Type="http://schemas.openxmlformats.org/officeDocument/2006/relationships/hyperlink" Target="http://www.linkedin.com/in/cristinagberta" TargetMode="External"/><Relationship Id="rId2266" Type="http://schemas.openxmlformats.org/officeDocument/2006/relationships/hyperlink" Target="http://www.linkedin.com/pub/cynthia-flood/1/722/566" TargetMode="External"/><Relationship Id="rId3596" Type="http://schemas.openxmlformats.org/officeDocument/2006/relationships/hyperlink" Target="http://www.linkedin.com/in/johnsunder" TargetMode="External"/><Relationship Id="rId2267" Type="http://schemas.openxmlformats.org/officeDocument/2006/relationships/hyperlink" Target="http://www.linkedin.com/pub/t-j-oslund/7/906/355" TargetMode="External"/><Relationship Id="rId3599" Type="http://schemas.openxmlformats.org/officeDocument/2006/relationships/hyperlink" Target="http://www.linkedin.com/pub/maurizio-angelone/2/BA5/358" TargetMode="External"/><Relationship Id="rId2268" Type="http://schemas.openxmlformats.org/officeDocument/2006/relationships/hyperlink" Target="http://www.linkedin.com/in/lancehillprofile" TargetMode="External"/><Relationship Id="rId3598" Type="http://schemas.openxmlformats.org/officeDocument/2006/relationships/hyperlink" Target="http://www.linkedin.com/pub/philip-de-la-vega/7/377/5B0" TargetMode="External"/><Relationship Id="rId2258" Type="http://schemas.openxmlformats.org/officeDocument/2006/relationships/hyperlink" Target="http://www.linkedin.com/pub/bob-costanza/1/24/951" TargetMode="External"/><Relationship Id="rId2259" Type="http://schemas.openxmlformats.org/officeDocument/2006/relationships/hyperlink" Target="http://www.linkedin.com/in/tonygillespie" TargetMode="External"/><Relationship Id="rId3589" Type="http://schemas.openxmlformats.org/officeDocument/2006/relationships/hyperlink" Target="http://www.linkedin.com/in/mturina" TargetMode="External"/><Relationship Id="rId3580" Type="http://schemas.openxmlformats.org/officeDocument/2006/relationships/hyperlink" Target="http://ar.linkedin.com/in/carlosmicheltorena" TargetMode="External"/><Relationship Id="rId2250" Type="http://schemas.openxmlformats.org/officeDocument/2006/relationships/hyperlink" Target="http://www.linkedin.com/in/arjenjpront" TargetMode="External"/><Relationship Id="rId3582" Type="http://schemas.openxmlformats.org/officeDocument/2006/relationships/hyperlink" Target="http://ar.linkedin.com/in/gfracassi" TargetMode="External"/><Relationship Id="rId2251" Type="http://schemas.openxmlformats.org/officeDocument/2006/relationships/hyperlink" Target="http://www.linkedin.com/pub/leslie-cumming/0/20A/769" TargetMode="External"/><Relationship Id="rId3581" Type="http://schemas.openxmlformats.org/officeDocument/2006/relationships/hyperlink" Target="http://ar.linkedin.com/pub/daniela-zavalski/14/123/872" TargetMode="External"/><Relationship Id="rId2252" Type="http://schemas.openxmlformats.org/officeDocument/2006/relationships/hyperlink" Target="http://www.linkedin.com/in/robbykowski" TargetMode="External"/><Relationship Id="rId3584" Type="http://schemas.openxmlformats.org/officeDocument/2006/relationships/hyperlink" Target="http://www.linkedin.com/pub/melina-magan/2/49A/117" TargetMode="External"/><Relationship Id="rId2253" Type="http://schemas.openxmlformats.org/officeDocument/2006/relationships/hyperlink" Target="http://www.linkedin.com/in/justinmlewis" TargetMode="External"/><Relationship Id="rId3583" Type="http://schemas.openxmlformats.org/officeDocument/2006/relationships/hyperlink" Target="http://www.linkedin.com/pub/patricia-anal%C3%ADa-doval/10/457/43" TargetMode="External"/><Relationship Id="rId2254" Type="http://schemas.openxmlformats.org/officeDocument/2006/relationships/hyperlink" Target="http://nl.linkedin.com/pub/dick-hoogland/0/2B7/599" TargetMode="External"/><Relationship Id="rId3586" Type="http://schemas.openxmlformats.org/officeDocument/2006/relationships/hyperlink" Target="http://www.linkedin.com/in/margaritabruzzone" TargetMode="External"/><Relationship Id="rId2255" Type="http://schemas.openxmlformats.org/officeDocument/2006/relationships/hyperlink" Target="https://www.linkedin.com/in/johnmatthews" TargetMode="External"/><Relationship Id="rId3585" Type="http://schemas.openxmlformats.org/officeDocument/2006/relationships/hyperlink" Target="http://ar.linkedin.com/in/juanquintela" TargetMode="External"/><Relationship Id="rId2256" Type="http://schemas.openxmlformats.org/officeDocument/2006/relationships/hyperlink" Target="http://www.linkedin.com/pub/ruth-heffler/3/931/A45" TargetMode="External"/><Relationship Id="rId3588" Type="http://schemas.openxmlformats.org/officeDocument/2006/relationships/hyperlink" Target="http://www.linkedin.com/in/alejandramabelruiz" TargetMode="External"/><Relationship Id="rId2257" Type="http://schemas.openxmlformats.org/officeDocument/2006/relationships/hyperlink" Target="http://www.linkedin.com/pub/jim-duke/2/734/B94" TargetMode="External"/><Relationship Id="rId3587" Type="http://schemas.openxmlformats.org/officeDocument/2006/relationships/hyperlink" Target="http://ar.linkedin.com/pub/alejandro-marshall/2/BB8/B75" TargetMode="External"/><Relationship Id="rId2280" Type="http://schemas.openxmlformats.org/officeDocument/2006/relationships/hyperlink" Target="http://www.linkedin.com/in/johnrouthier" TargetMode="External"/><Relationship Id="rId2281" Type="http://schemas.openxmlformats.org/officeDocument/2006/relationships/hyperlink" Target="http://www.linkedin.com/in/kpierannunzi" TargetMode="External"/><Relationship Id="rId2282" Type="http://schemas.openxmlformats.org/officeDocument/2006/relationships/hyperlink" Target="http://www.linkedin.com/pub/david-goldner/3/8/718" TargetMode="External"/><Relationship Id="rId2283" Type="http://schemas.openxmlformats.org/officeDocument/2006/relationships/hyperlink" Target="http://www.linkedin.com/pub/cesar-abadia/5/925/751" TargetMode="External"/><Relationship Id="rId2284" Type="http://schemas.openxmlformats.org/officeDocument/2006/relationships/hyperlink" Target="http://nl.linkedin.com/pub/reza-ahmadi/0/B77/84" TargetMode="External"/><Relationship Id="rId2285" Type="http://schemas.openxmlformats.org/officeDocument/2006/relationships/hyperlink" Target="http://www.linkedin.com/pub/raphael-mestieri/24/198/703" TargetMode="External"/><Relationship Id="rId2286" Type="http://schemas.openxmlformats.org/officeDocument/2006/relationships/hyperlink" Target="http://www.linkedin.com/in/hardeeprandhava" TargetMode="External"/><Relationship Id="rId2287" Type="http://schemas.openxmlformats.org/officeDocument/2006/relationships/hyperlink" Target="http://www.linkedin.com/in/akennedytd" TargetMode="External"/><Relationship Id="rId2288" Type="http://schemas.openxmlformats.org/officeDocument/2006/relationships/hyperlink" Target="http://www.linkedin.com/pub/dustin-hufford-chcio/2/35/ba7" TargetMode="External"/><Relationship Id="rId2289" Type="http://schemas.openxmlformats.org/officeDocument/2006/relationships/hyperlink" Target="http://www.linkedin.com/in/michaelctorres" TargetMode="External"/><Relationship Id="rId2270" Type="http://schemas.openxmlformats.org/officeDocument/2006/relationships/hyperlink" Target="http://www.linkedin.com/pub/crs-sharma/5/B2/B09" TargetMode="External"/><Relationship Id="rId2271" Type="http://schemas.openxmlformats.org/officeDocument/2006/relationships/hyperlink" Target="http://br.linkedin.com/in/lucianapanzera" TargetMode="External"/><Relationship Id="rId2272" Type="http://schemas.openxmlformats.org/officeDocument/2006/relationships/hyperlink" Target="http://www.linkedin.com/in/themainman" TargetMode="External"/><Relationship Id="rId2273" Type="http://schemas.openxmlformats.org/officeDocument/2006/relationships/hyperlink" Target="http://www.linkedin.com/in/kristinroycestancato" TargetMode="External"/><Relationship Id="rId2274" Type="http://schemas.openxmlformats.org/officeDocument/2006/relationships/hyperlink" Target="http://in.linkedin.com/in/jyotirmoydutta" TargetMode="External"/><Relationship Id="rId2275" Type="http://schemas.openxmlformats.org/officeDocument/2006/relationships/hyperlink" Target="http://uk.linkedin.com/in/mikeanthonyedwards" TargetMode="External"/><Relationship Id="rId2276" Type="http://schemas.openxmlformats.org/officeDocument/2006/relationships/hyperlink" Target="http://it.linkedin.com/in/gpalleschi" TargetMode="External"/><Relationship Id="rId2277" Type="http://schemas.openxmlformats.org/officeDocument/2006/relationships/hyperlink" Target="http://www.linkedin.com/pub/nisha-kurien/3/347/645" TargetMode="External"/><Relationship Id="rId2278" Type="http://schemas.openxmlformats.org/officeDocument/2006/relationships/hyperlink" Target="http://www.linkedin.com/pub/miaoqi-zhu/6/5A0/21A" TargetMode="External"/><Relationship Id="rId2279" Type="http://schemas.openxmlformats.org/officeDocument/2006/relationships/hyperlink" Target="http://sg.linkedin.com/pub/kireina-tay/2/614/A94" TargetMode="External"/><Relationship Id="rId2225" Type="http://schemas.openxmlformats.org/officeDocument/2006/relationships/hyperlink" Target="http://uk.linkedin.com/in/praveen" TargetMode="External"/><Relationship Id="rId3557" Type="http://schemas.openxmlformats.org/officeDocument/2006/relationships/hyperlink" Target="http://www.linkedin.com/pub/mia-ferolito-mba-phr-shrm-cp-cdr/3/906/b19" TargetMode="External"/><Relationship Id="rId4888" Type="http://schemas.openxmlformats.org/officeDocument/2006/relationships/hyperlink" Target="http://ar.linkedin.com/in/agregorio" TargetMode="External"/><Relationship Id="rId2226" Type="http://schemas.openxmlformats.org/officeDocument/2006/relationships/hyperlink" Target="http://br.linkedin.com/in/mauricioodery" TargetMode="External"/><Relationship Id="rId3556" Type="http://schemas.openxmlformats.org/officeDocument/2006/relationships/hyperlink" Target="http://www.linkedin.com/pub/florencia-labaronnie/21/b23/a30" TargetMode="External"/><Relationship Id="rId4887" Type="http://schemas.openxmlformats.org/officeDocument/2006/relationships/hyperlink" Target="http://www.linkedin.com/pub/visto-bueno-consultora/1b/152/266" TargetMode="External"/><Relationship Id="rId2227" Type="http://schemas.openxmlformats.org/officeDocument/2006/relationships/hyperlink" Target="http://www.linkedin.com/pub/cynthia-wrasman/0/1B3/6B" TargetMode="External"/><Relationship Id="rId3559" Type="http://schemas.openxmlformats.org/officeDocument/2006/relationships/hyperlink" Target="http://ar.linkedin.com/pub/rodrigo-vidal/31/105/746" TargetMode="External"/><Relationship Id="rId2228" Type="http://schemas.openxmlformats.org/officeDocument/2006/relationships/hyperlink" Target="http://www.linkedin.com/in/michaelgriego" TargetMode="External"/><Relationship Id="rId3558" Type="http://schemas.openxmlformats.org/officeDocument/2006/relationships/hyperlink" Target="http://ar.linkedin.com/in/hilenjordan" TargetMode="External"/><Relationship Id="rId4889" Type="http://schemas.openxmlformats.org/officeDocument/2006/relationships/hyperlink" Target="http://ar.linkedin.com/pub/daniela-mazzei/28/163/759" TargetMode="External"/><Relationship Id="rId2229" Type="http://schemas.openxmlformats.org/officeDocument/2006/relationships/hyperlink" Target="http://www.linkedin.com/pub/aki-fujimura/4/365/B82" TargetMode="External"/><Relationship Id="rId4880" Type="http://schemas.openxmlformats.org/officeDocument/2006/relationships/hyperlink" Target="http://ar.linkedin.com/pub/matias-salvatore-tadey/1B/739/B26" TargetMode="External"/><Relationship Id="rId3551" Type="http://schemas.openxmlformats.org/officeDocument/2006/relationships/hyperlink" Target="http://ar.linkedin.com/pub/lara-yepes/5/64B/B04" TargetMode="External"/><Relationship Id="rId4882" Type="http://schemas.openxmlformats.org/officeDocument/2006/relationships/hyperlink" Target="http://ar.linkedin.com/in/ltcucuzza" TargetMode="External"/><Relationship Id="rId2220" Type="http://schemas.openxmlformats.org/officeDocument/2006/relationships/hyperlink" Target="http://www.linkedin.com/in/giulianostiglitz" TargetMode="External"/><Relationship Id="rId3550" Type="http://schemas.openxmlformats.org/officeDocument/2006/relationships/hyperlink" Target="http://ar.linkedin.com/in/ricardoagra" TargetMode="External"/><Relationship Id="rId4881" Type="http://schemas.openxmlformats.org/officeDocument/2006/relationships/hyperlink" Target="http://ar.linkedin.com/pub/barbara-balian/3/506/A53" TargetMode="External"/><Relationship Id="rId2221" Type="http://schemas.openxmlformats.org/officeDocument/2006/relationships/hyperlink" Target="https://www.linkedin.com/in/michelleshummel" TargetMode="External"/><Relationship Id="rId3553" Type="http://schemas.openxmlformats.org/officeDocument/2006/relationships/hyperlink" Target="http://ar.linkedin.com/pub/zulema-garcia/7/716/350" TargetMode="External"/><Relationship Id="rId4884" Type="http://schemas.openxmlformats.org/officeDocument/2006/relationships/hyperlink" Target="http://ar.linkedin.com/pub/antonio-guarino/8/108/B84" TargetMode="External"/><Relationship Id="rId2222" Type="http://schemas.openxmlformats.org/officeDocument/2006/relationships/hyperlink" Target="http://www.linkedin.com/pub/raymond-val/1/121/70" TargetMode="External"/><Relationship Id="rId3552" Type="http://schemas.openxmlformats.org/officeDocument/2006/relationships/hyperlink" Target="http://ar.linkedin.com/pub/hernan-diego-martin/5/76A/903" TargetMode="External"/><Relationship Id="rId4883" Type="http://schemas.openxmlformats.org/officeDocument/2006/relationships/hyperlink" Target="http://ar.linkedin.com/in/lucasvigolo" TargetMode="External"/><Relationship Id="rId2223" Type="http://schemas.openxmlformats.org/officeDocument/2006/relationships/hyperlink" Target="http://www.linkedin.com/in/jakkiglivickygeiger" TargetMode="External"/><Relationship Id="rId3555" Type="http://schemas.openxmlformats.org/officeDocument/2006/relationships/hyperlink" Target="http://www.linkedin.com/pub/ana-julia-kechichian/8/374/426" TargetMode="External"/><Relationship Id="rId4886" Type="http://schemas.openxmlformats.org/officeDocument/2006/relationships/hyperlink" Target="http://ar.linkedin.com/pub/santiago-magliano/8/361/417" TargetMode="External"/><Relationship Id="rId2224" Type="http://schemas.openxmlformats.org/officeDocument/2006/relationships/hyperlink" Target="http://www.linkedin.com/in/coleenmosher" TargetMode="External"/><Relationship Id="rId3554" Type="http://schemas.openxmlformats.org/officeDocument/2006/relationships/hyperlink" Target="http://ar.linkedin.com/pub/sonia-loizaga/10/B43/6A7" TargetMode="External"/><Relationship Id="rId4885" Type="http://schemas.openxmlformats.org/officeDocument/2006/relationships/hyperlink" Target="http://ar.linkedin.com/pub/raul-arturo-alvarez/24/567/23" TargetMode="External"/><Relationship Id="rId2214" Type="http://schemas.openxmlformats.org/officeDocument/2006/relationships/hyperlink" Target="http://www.linkedin.com/in/richsauser" TargetMode="External"/><Relationship Id="rId3546" Type="http://schemas.openxmlformats.org/officeDocument/2006/relationships/hyperlink" Target="http://www.linkedin.com/pub/marcela-nuccaro/11/b8b/a2" TargetMode="External"/><Relationship Id="rId4877" Type="http://schemas.openxmlformats.org/officeDocument/2006/relationships/hyperlink" Target="http://ar.linkedin.com/pub/rosa-faraone/14/310/532" TargetMode="External"/><Relationship Id="rId2215" Type="http://schemas.openxmlformats.org/officeDocument/2006/relationships/hyperlink" Target="http://www.linkedin.com/in/russmcdonough" TargetMode="External"/><Relationship Id="rId3545" Type="http://schemas.openxmlformats.org/officeDocument/2006/relationships/hyperlink" Target="http://www.linkedin.com/pub/marcos-radic/21/a/623" TargetMode="External"/><Relationship Id="rId4876" Type="http://schemas.openxmlformats.org/officeDocument/2006/relationships/hyperlink" Target="http://www.linkedin.com/pub/feil-gast%C3%B3n-ariel/8/345/695" TargetMode="External"/><Relationship Id="rId2216" Type="http://schemas.openxmlformats.org/officeDocument/2006/relationships/hyperlink" Target="http://www.linkedin.com/pub/john-killcommons/0/362/AA9" TargetMode="External"/><Relationship Id="rId3548" Type="http://schemas.openxmlformats.org/officeDocument/2006/relationships/hyperlink" Target="http://www.linkedin.com/pub/paula-patrignani/15/43/33" TargetMode="External"/><Relationship Id="rId4879" Type="http://schemas.openxmlformats.org/officeDocument/2006/relationships/hyperlink" Target="http://ar.linkedin.com/pub/marta-susana-rodriguez/A/89A/513" TargetMode="External"/><Relationship Id="rId2217" Type="http://schemas.openxmlformats.org/officeDocument/2006/relationships/hyperlink" Target="http://www.linkedin.com/pub/jonyt-meyer/1/977/361" TargetMode="External"/><Relationship Id="rId3547" Type="http://schemas.openxmlformats.org/officeDocument/2006/relationships/hyperlink" Target="http://ar.linkedin.com/in/roxana73" TargetMode="External"/><Relationship Id="rId4878" Type="http://schemas.openxmlformats.org/officeDocument/2006/relationships/hyperlink" Target="http://ar.linkedin.com/in/paulonuchi" TargetMode="External"/><Relationship Id="rId2218" Type="http://schemas.openxmlformats.org/officeDocument/2006/relationships/hyperlink" Target="http://www.linkedin.com/in/shkumar07" TargetMode="External"/><Relationship Id="rId2219" Type="http://schemas.openxmlformats.org/officeDocument/2006/relationships/hyperlink" Target="http://www.linkedin.com/in/tckong" TargetMode="External"/><Relationship Id="rId3549" Type="http://schemas.openxmlformats.org/officeDocument/2006/relationships/hyperlink" Target="http://ar.linkedin.com/pub/eliana-garzia/16/A91/B34" TargetMode="External"/><Relationship Id="rId3540" Type="http://schemas.openxmlformats.org/officeDocument/2006/relationships/hyperlink" Target="http://www.linkedin.com/pub/carlos-gustavo-nervi-quiroga/28/405/979" TargetMode="External"/><Relationship Id="rId4871" Type="http://schemas.openxmlformats.org/officeDocument/2006/relationships/hyperlink" Target="http://ar.linkedin.com/pub/eugenia-fontana/24/B79/173" TargetMode="External"/><Relationship Id="rId4870" Type="http://schemas.openxmlformats.org/officeDocument/2006/relationships/hyperlink" Target="http://www.linkedin.com/pub/guillermo-gonzalez-taboada/0/208/b28" TargetMode="External"/><Relationship Id="rId2210" Type="http://schemas.openxmlformats.org/officeDocument/2006/relationships/hyperlink" Target="http://www.linkedin.com/in/bradleyljones" TargetMode="External"/><Relationship Id="rId3542" Type="http://schemas.openxmlformats.org/officeDocument/2006/relationships/hyperlink" Target="http://www.linkedin.com/pub/fernanda-garrone/2b/5b3/263" TargetMode="External"/><Relationship Id="rId4873" Type="http://schemas.openxmlformats.org/officeDocument/2006/relationships/hyperlink" Target="http://ar.linkedin.com/pub/roxana-santillan/22/920/900" TargetMode="External"/><Relationship Id="rId2211" Type="http://schemas.openxmlformats.org/officeDocument/2006/relationships/hyperlink" Target="http://www.linkedin.com/pub/richard-maggiotto/0/230/8A6" TargetMode="External"/><Relationship Id="rId3541" Type="http://schemas.openxmlformats.org/officeDocument/2006/relationships/hyperlink" Target="http://ar.linkedin.com/in/sebastiangorgas" TargetMode="External"/><Relationship Id="rId4872" Type="http://schemas.openxmlformats.org/officeDocument/2006/relationships/hyperlink" Target="https://www.linkedin.com/in/carolinaboeridollberg" TargetMode="External"/><Relationship Id="rId2212" Type="http://schemas.openxmlformats.org/officeDocument/2006/relationships/hyperlink" Target="http://br.linkedin.com/pub/dan-ioschpe/1/B34/21" TargetMode="External"/><Relationship Id="rId3544" Type="http://schemas.openxmlformats.org/officeDocument/2006/relationships/hyperlink" Target="http://www.linkedin.com/in/diegolionelgonzalez" TargetMode="External"/><Relationship Id="rId4875" Type="http://schemas.openxmlformats.org/officeDocument/2006/relationships/hyperlink" Target="http://ar.linkedin.com/pub/irene-meleg/10/661/671" TargetMode="External"/><Relationship Id="rId2213" Type="http://schemas.openxmlformats.org/officeDocument/2006/relationships/hyperlink" Target="http://www.linkedin.com/pub/suzanne-heinrichs/0/235/671" TargetMode="External"/><Relationship Id="rId3543" Type="http://schemas.openxmlformats.org/officeDocument/2006/relationships/hyperlink" Target="http://www.linkedin.com/in/danielmerayo" TargetMode="External"/><Relationship Id="rId4874" Type="http://schemas.openxmlformats.org/officeDocument/2006/relationships/hyperlink" Target="http://ar.linkedin.com/pub/eduardo-arrocha/1/B85/65" TargetMode="External"/><Relationship Id="rId2247" Type="http://schemas.openxmlformats.org/officeDocument/2006/relationships/hyperlink" Target="http://www.linkedin.com/pub/henning-seip/0/114/957" TargetMode="External"/><Relationship Id="rId3579" Type="http://schemas.openxmlformats.org/officeDocument/2006/relationships/hyperlink" Target="http://ar.linkedin.com/pub/jennifer-cristiano/25/21B/472" TargetMode="External"/><Relationship Id="rId2248" Type="http://schemas.openxmlformats.org/officeDocument/2006/relationships/hyperlink" Target="http://www.linkedin.com/pub/issa-g-yattassaye/1/904/A39" TargetMode="External"/><Relationship Id="rId3578" Type="http://schemas.openxmlformats.org/officeDocument/2006/relationships/hyperlink" Target="http://www.linkedin.com/in/emilianobrito" TargetMode="External"/><Relationship Id="rId2249" Type="http://schemas.openxmlformats.org/officeDocument/2006/relationships/hyperlink" Target="http://www.linkedin.com/pub/daniel-oakes/0/960/7B2" TargetMode="External"/><Relationship Id="rId3571" Type="http://schemas.openxmlformats.org/officeDocument/2006/relationships/hyperlink" Target="http://www.linkedin.com/in/mpedraza" TargetMode="External"/><Relationship Id="rId2240" Type="http://schemas.openxmlformats.org/officeDocument/2006/relationships/hyperlink" Target="http://www.linkedin.com/pub/arvind-goel/0/564/9A0" TargetMode="External"/><Relationship Id="rId3570" Type="http://schemas.openxmlformats.org/officeDocument/2006/relationships/hyperlink" Target="http://ar.linkedin.com/pub/carolina-turner/22/A29/957" TargetMode="External"/><Relationship Id="rId2241" Type="http://schemas.openxmlformats.org/officeDocument/2006/relationships/hyperlink" Target="http://www.linkedin.com/pub/hayden-lindsey/0/29B/985" TargetMode="External"/><Relationship Id="rId3573" Type="http://schemas.openxmlformats.org/officeDocument/2006/relationships/hyperlink" Target="http://www.linkedin.com/pub/federico-szuchet/20/b97/582" TargetMode="External"/><Relationship Id="rId2242" Type="http://schemas.openxmlformats.org/officeDocument/2006/relationships/hyperlink" Target="http://www.linkedin.com/in/adamsingh" TargetMode="External"/><Relationship Id="rId3572" Type="http://schemas.openxmlformats.org/officeDocument/2006/relationships/hyperlink" Target="http://www.linkedin.com/pub/gonzalo-ezequiel-gianturco/20/803/185" TargetMode="External"/><Relationship Id="rId2243" Type="http://schemas.openxmlformats.org/officeDocument/2006/relationships/hyperlink" Target="http://www.linkedin.com/pub/joe-corey/6/881/A97" TargetMode="External"/><Relationship Id="rId3575" Type="http://schemas.openxmlformats.org/officeDocument/2006/relationships/hyperlink" Target="http://ar.linkedin.com/pub/diego-montesinos/9/5A2/933" TargetMode="External"/><Relationship Id="rId2244" Type="http://schemas.openxmlformats.org/officeDocument/2006/relationships/hyperlink" Target="http://www.linkedin.com/pub/bob-livolsi/2/B69/193" TargetMode="External"/><Relationship Id="rId3574" Type="http://schemas.openxmlformats.org/officeDocument/2006/relationships/hyperlink" Target="http://ar.linkedin.com/in/zamborlini" TargetMode="External"/><Relationship Id="rId2245" Type="http://schemas.openxmlformats.org/officeDocument/2006/relationships/hyperlink" Target="http://www.linkedin.com/in/habbott" TargetMode="External"/><Relationship Id="rId3577" Type="http://schemas.openxmlformats.org/officeDocument/2006/relationships/hyperlink" Target="http://www.linkedin.com/pub/alejandro-schuff/9/11b/50" TargetMode="External"/><Relationship Id="rId2246" Type="http://schemas.openxmlformats.org/officeDocument/2006/relationships/hyperlink" Target="http://www.linkedin.com/in/potuluri" TargetMode="External"/><Relationship Id="rId3576" Type="http://schemas.openxmlformats.org/officeDocument/2006/relationships/hyperlink" Target="http://www.linkedin.com/in/marcosredellegandine" TargetMode="External"/><Relationship Id="rId2236" Type="http://schemas.openxmlformats.org/officeDocument/2006/relationships/hyperlink" Target="http://www.linkedin.com/in/douglastkirk" TargetMode="External"/><Relationship Id="rId3568" Type="http://schemas.openxmlformats.org/officeDocument/2006/relationships/hyperlink" Target="http://ar.linkedin.com/pub/guillermo-dausa/9/917/399" TargetMode="External"/><Relationship Id="rId4899" Type="http://schemas.openxmlformats.org/officeDocument/2006/relationships/hyperlink" Target="http://ar.linkedin.com/pub/carlos-veronesi/11/595/958" TargetMode="External"/><Relationship Id="rId2237" Type="http://schemas.openxmlformats.org/officeDocument/2006/relationships/hyperlink" Target="http://www.linkedin.com/in/dougeicher" TargetMode="External"/><Relationship Id="rId3567" Type="http://schemas.openxmlformats.org/officeDocument/2006/relationships/hyperlink" Target="http://ar.linkedin.com/pub/andr%C3%A9s-maccio/3/1B/52" TargetMode="External"/><Relationship Id="rId4898" Type="http://schemas.openxmlformats.org/officeDocument/2006/relationships/hyperlink" Target="http://ar.linkedin.com/pub/carlos-lince/2/564/928" TargetMode="External"/><Relationship Id="rId2238" Type="http://schemas.openxmlformats.org/officeDocument/2006/relationships/hyperlink" Target="http://www.linkedin.com/in/karentraversikovaleski" TargetMode="External"/><Relationship Id="rId2239" Type="http://schemas.openxmlformats.org/officeDocument/2006/relationships/hyperlink" Target="http://www.linkedin.com/in/andrewdodenhoff" TargetMode="External"/><Relationship Id="rId3569" Type="http://schemas.openxmlformats.org/officeDocument/2006/relationships/hyperlink" Target="http://www.linkedin.com/pub/romina-labaton/a/197/743" TargetMode="External"/><Relationship Id="rId3560" Type="http://schemas.openxmlformats.org/officeDocument/2006/relationships/hyperlink" Target="http://www.linkedin.com/pub/ramiro-matias-alonso/10/480/a30" TargetMode="External"/><Relationship Id="rId4891" Type="http://schemas.openxmlformats.org/officeDocument/2006/relationships/hyperlink" Target="http://www.linkedin.com/pub/leonardo-gustavo-denton/20/60b/63b" TargetMode="External"/><Relationship Id="rId4890" Type="http://schemas.openxmlformats.org/officeDocument/2006/relationships/hyperlink" Target="http://www.linkedin.com/pub/maria-victoria-laspoumaderes/9/9b/673" TargetMode="External"/><Relationship Id="rId2230" Type="http://schemas.openxmlformats.org/officeDocument/2006/relationships/hyperlink" Target="http://www.linkedin.com/pub/renard-j-steele/6/26b/2a5" TargetMode="External"/><Relationship Id="rId3562" Type="http://schemas.openxmlformats.org/officeDocument/2006/relationships/hyperlink" Target="http://ar.linkedin.com/in/nataliaravale" TargetMode="External"/><Relationship Id="rId4893" Type="http://schemas.openxmlformats.org/officeDocument/2006/relationships/hyperlink" Target="http://www.linkedin.com/pub/maria-laura-viglione/23/a75/122" TargetMode="External"/><Relationship Id="rId2231" Type="http://schemas.openxmlformats.org/officeDocument/2006/relationships/hyperlink" Target="http://www.linkedin.com/in/newvisionmedia" TargetMode="External"/><Relationship Id="rId3561" Type="http://schemas.openxmlformats.org/officeDocument/2006/relationships/hyperlink" Target="http://ar.linkedin.com/pub/adrian-lambardi/A/95/692" TargetMode="External"/><Relationship Id="rId4892" Type="http://schemas.openxmlformats.org/officeDocument/2006/relationships/hyperlink" Target="http://ar.linkedin.com/pub/norberto-bordon/23/A56/815" TargetMode="External"/><Relationship Id="rId2232" Type="http://schemas.openxmlformats.org/officeDocument/2006/relationships/hyperlink" Target="http://www.linkedin.com/pub/john-guedes/0/33A/133" TargetMode="External"/><Relationship Id="rId3564" Type="http://schemas.openxmlformats.org/officeDocument/2006/relationships/hyperlink" Target="http://ar.linkedin.com/pub/eduardo-asilian/24/676/66" TargetMode="External"/><Relationship Id="rId4895" Type="http://schemas.openxmlformats.org/officeDocument/2006/relationships/hyperlink" Target="https://www.linkedin.com/in/brunocanzutti" TargetMode="External"/><Relationship Id="rId2233" Type="http://schemas.openxmlformats.org/officeDocument/2006/relationships/hyperlink" Target="http://www.linkedin.com/in/ethanbernstein" TargetMode="External"/><Relationship Id="rId3563" Type="http://schemas.openxmlformats.org/officeDocument/2006/relationships/hyperlink" Target="http://ar.linkedin.com/in/oscarferre" TargetMode="External"/><Relationship Id="rId4894" Type="http://schemas.openxmlformats.org/officeDocument/2006/relationships/hyperlink" Target="http://ar.linkedin.com/pub/francisco-del-canto-viterale/15/B9/365" TargetMode="External"/><Relationship Id="rId2234" Type="http://schemas.openxmlformats.org/officeDocument/2006/relationships/hyperlink" Target="http://www.linkedin.com/in/cliff4playerfinancial" TargetMode="External"/><Relationship Id="rId3566" Type="http://schemas.openxmlformats.org/officeDocument/2006/relationships/hyperlink" Target="http://ar.linkedin.com/pub/marina-rosas/24/6A4/679" TargetMode="External"/><Relationship Id="rId4897" Type="http://schemas.openxmlformats.org/officeDocument/2006/relationships/hyperlink" Target="http://ar.linkedin.com/in/martingervan" TargetMode="External"/><Relationship Id="rId2235" Type="http://schemas.openxmlformats.org/officeDocument/2006/relationships/hyperlink" Target="http://www.linkedin.com/in/gganderson" TargetMode="External"/><Relationship Id="rId3565" Type="http://schemas.openxmlformats.org/officeDocument/2006/relationships/hyperlink" Target="http://ar.linkedin.com/pub/matias-rossetti/8/325/6B6" TargetMode="External"/><Relationship Id="rId4896" Type="http://schemas.openxmlformats.org/officeDocument/2006/relationships/hyperlink" Target="http://www.linkedin.com/in/eduardoamaral" TargetMode="External"/><Relationship Id="rId8409" Type="http://schemas.openxmlformats.org/officeDocument/2006/relationships/hyperlink" Target="http://www.linkedin.com/in/brendabrathwaite" TargetMode="External"/><Relationship Id="rId8408" Type="http://schemas.openxmlformats.org/officeDocument/2006/relationships/hyperlink" Target="http://ca.linkedin.com/in/juancarloscordero" TargetMode="External"/><Relationship Id="rId8407" Type="http://schemas.openxmlformats.org/officeDocument/2006/relationships/hyperlink" Target="http://www.linkedin.com/in/sumitpanjabi" TargetMode="External"/><Relationship Id="rId9738" Type="http://schemas.openxmlformats.org/officeDocument/2006/relationships/hyperlink" Target="http://www.linkedin.com/in/corneliuseconomou" TargetMode="External"/><Relationship Id="rId9739" Type="http://schemas.openxmlformats.org/officeDocument/2006/relationships/hyperlink" Target="http://www.linkedin.com/in/thomasfdaly" TargetMode="External"/><Relationship Id="rId8402" Type="http://schemas.openxmlformats.org/officeDocument/2006/relationships/hyperlink" Target="http://www.linkedin.com/in/charlesrein" TargetMode="External"/><Relationship Id="rId9734" Type="http://schemas.openxmlformats.org/officeDocument/2006/relationships/hyperlink" Target="http://www.linkedin.com/in/globalmediamanagementllc" TargetMode="External"/><Relationship Id="rId8401" Type="http://schemas.openxmlformats.org/officeDocument/2006/relationships/hyperlink" Target="http://www.linkedin.com/pub/michael-v-michalski/19/416/226" TargetMode="External"/><Relationship Id="rId9735" Type="http://schemas.openxmlformats.org/officeDocument/2006/relationships/hyperlink" Target="http://www.linkedin.com/in/jcurran" TargetMode="External"/><Relationship Id="rId8400" Type="http://schemas.openxmlformats.org/officeDocument/2006/relationships/hyperlink" Target="http://www.linkedin.com/in/milesrossmilesross" TargetMode="External"/><Relationship Id="rId9736" Type="http://schemas.openxmlformats.org/officeDocument/2006/relationships/hyperlink" Target="http://www.linkedin.com/pub/joe-miller/0/A8/1B2" TargetMode="External"/><Relationship Id="rId9737" Type="http://schemas.openxmlformats.org/officeDocument/2006/relationships/hyperlink" Target="http://www.linkedin.com/in/scottjbarlow" TargetMode="External"/><Relationship Id="rId8406" Type="http://schemas.openxmlformats.org/officeDocument/2006/relationships/hyperlink" Target="http://www.linkedin.com/in/paulohrenberger" TargetMode="External"/><Relationship Id="rId9730" Type="http://schemas.openxmlformats.org/officeDocument/2006/relationships/hyperlink" Target="http://www.linkedin.com/pub/cal-morrell/0/111/435" TargetMode="External"/><Relationship Id="rId8405" Type="http://schemas.openxmlformats.org/officeDocument/2006/relationships/hyperlink" Target="http://www.linkedin.com/in/lenahunt" TargetMode="External"/><Relationship Id="rId9731" Type="http://schemas.openxmlformats.org/officeDocument/2006/relationships/hyperlink" Target="http://www.linkedin.com/in/petelamson" TargetMode="External"/><Relationship Id="rId8404" Type="http://schemas.openxmlformats.org/officeDocument/2006/relationships/hyperlink" Target="http://www.linkedin.com/in/michelerempel" TargetMode="External"/><Relationship Id="rId9732" Type="http://schemas.openxmlformats.org/officeDocument/2006/relationships/hyperlink" Target="http://www.linkedin.com/in/frankeaton" TargetMode="External"/><Relationship Id="rId8403" Type="http://schemas.openxmlformats.org/officeDocument/2006/relationships/hyperlink" Target="http://www.linkedin.com/in/fredmcmurray" TargetMode="External"/><Relationship Id="rId9733" Type="http://schemas.openxmlformats.org/officeDocument/2006/relationships/hyperlink" Target="http://www.linkedin.com/pub/aditya-mohan/0/289/978" TargetMode="External"/><Relationship Id="rId9727" Type="http://schemas.openxmlformats.org/officeDocument/2006/relationships/hyperlink" Target="http://www.linkedin.com/in/johndilley" TargetMode="External"/><Relationship Id="rId9728" Type="http://schemas.openxmlformats.org/officeDocument/2006/relationships/hyperlink" Target="http://www.linkedin.com/in/jayhemmady" TargetMode="External"/><Relationship Id="rId9729" Type="http://schemas.openxmlformats.org/officeDocument/2006/relationships/hyperlink" Target="http://www.linkedin.com/pub/bob-albanese/0/AB4/A17" TargetMode="External"/><Relationship Id="rId9723" Type="http://schemas.openxmlformats.org/officeDocument/2006/relationships/hyperlink" Target="http://www.linkedin.com/pub/brian-carr/0/72/881" TargetMode="External"/><Relationship Id="rId9724" Type="http://schemas.openxmlformats.org/officeDocument/2006/relationships/hyperlink" Target="http://www.linkedin.com/in/melcampbell" TargetMode="External"/><Relationship Id="rId9725" Type="http://schemas.openxmlformats.org/officeDocument/2006/relationships/hyperlink" Target="http://www.linkedin.com/in/lizeversoll" TargetMode="External"/><Relationship Id="rId9726" Type="http://schemas.openxmlformats.org/officeDocument/2006/relationships/hyperlink" Target="http://www.linkedin.com/in/mikecorbera" TargetMode="External"/><Relationship Id="rId9720" Type="http://schemas.openxmlformats.org/officeDocument/2006/relationships/hyperlink" Target="http://www.linkedin.com/in/angelomazzocco" TargetMode="External"/><Relationship Id="rId9721" Type="http://schemas.openxmlformats.org/officeDocument/2006/relationships/hyperlink" Target="http://www.linkedin.com/pub/bob-stack/0/144/B78" TargetMode="External"/><Relationship Id="rId9722" Type="http://schemas.openxmlformats.org/officeDocument/2006/relationships/hyperlink" Target="http://www.linkedin.com/pub/monte-cahn/0/50/72B" TargetMode="External"/><Relationship Id="rId8429" Type="http://schemas.openxmlformats.org/officeDocument/2006/relationships/hyperlink" Target="http://www.linkedin.com/in/directresponsemarketing" TargetMode="External"/><Relationship Id="rId9750" Type="http://schemas.openxmlformats.org/officeDocument/2006/relationships/hyperlink" Target="http://www.linkedin.com/in/jakemannix" TargetMode="External"/><Relationship Id="rId9751" Type="http://schemas.openxmlformats.org/officeDocument/2006/relationships/hyperlink" Target="http://www.linkedin.com/in/holberton" TargetMode="External"/><Relationship Id="rId8420" Type="http://schemas.openxmlformats.org/officeDocument/2006/relationships/hyperlink" Target="http://www.linkedin.com/in/ronbrauner" TargetMode="External"/><Relationship Id="rId8424" Type="http://schemas.openxmlformats.org/officeDocument/2006/relationships/hyperlink" Target="http://www.linkedin.com/in/rayconley" TargetMode="External"/><Relationship Id="rId9756" Type="http://schemas.openxmlformats.org/officeDocument/2006/relationships/hyperlink" Target="http://www.linkedin.com/in/stephenayers" TargetMode="External"/><Relationship Id="rId8423" Type="http://schemas.openxmlformats.org/officeDocument/2006/relationships/hyperlink" Target="http://www.linkedin.com/in/kevinhoehnsr" TargetMode="External"/><Relationship Id="rId9757" Type="http://schemas.openxmlformats.org/officeDocument/2006/relationships/hyperlink" Target="http://www.linkedin.com/in/johnhartnett" TargetMode="External"/><Relationship Id="rId8422" Type="http://schemas.openxmlformats.org/officeDocument/2006/relationships/hyperlink" Target="http://www.linkedin.com/pub/peter-taft/0/B76/16" TargetMode="External"/><Relationship Id="rId9758" Type="http://schemas.openxmlformats.org/officeDocument/2006/relationships/hyperlink" Target="http://www.linkedin.com/in/trevormaurer" TargetMode="External"/><Relationship Id="rId8421" Type="http://schemas.openxmlformats.org/officeDocument/2006/relationships/hyperlink" Target="http://www.linkedin.com/pub/sanjeev-khanna/1/798/905" TargetMode="External"/><Relationship Id="rId9759" Type="http://schemas.openxmlformats.org/officeDocument/2006/relationships/hyperlink" Target="http://www.linkedin.com/pub/kevin-williams/0/423/592" TargetMode="External"/><Relationship Id="rId8428" Type="http://schemas.openxmlformats.org/officeDocument/2006/relationships/hyperlink" Target="http://www.linkedin.com/in/darwinhanson" TargetMode="External"/><Relationship Id="rId9752" Type="http://schemas.openxmlformats.org/officeDocument/2006/relationships/hyperlink" Target="http://www.linkedin.com/in/heman" TargetMode="External"/><Relationship Id="rId8427" Type="http://schemas.openxmlformats.org/officeDocument/2006/relationships/hyperlink" Target="http://www.linkedin.com/in/montygray" TargetMode="External"/><Relationship Id="rId9753" Type="http://schemas.openxmlformats.org/officeDocument/2006/relationships/hyperlink" Target="http://www.linkedin.com/pub/eric-barbier/0/418/B74" TargetMode="External"/><Relationship Id="rId8426" Type="http://schemas.openxmlformats.org/officeDocument/2006/relationships/hyperlink" Target="http://www.linkedin.com/pub/christopher-tompkins/15/b6/1ab?trk=pub-pbmap" TargetMode="External"/><Relationship Id="rId9754" Type="http://schemas.openxmlformats.org/officeDocument/2006/relationships/hyperlink" Target="http://www.linkedin.com/pub/assaf-halevy/0/28B/4A6" TargetMode="External"/><Relationship Id="rId8425" Type="http://schemas.openxmlformats.org/officeDocument/2006/relationships/hyperlink" Target="http://www.linkedin.com/in/roncraswell" TargetMode="External"/><Relationship Id="rId9755" Type="http://schemas.openxmlformats.org/officeDocument/2006/relationships/hyperlink" Target="http://www.linkedin.com/pub/troy-gibson/0/25A/B92" TargetMode="External"/><Relationship Id="rId8419" Type="http://schemas.openxmlformats.org/officeDocument/2006/relationships/hyperlink" Target="http://www.linkedin.com/in/ikenassi" TargetMode="External"/><Relationship Id="rId8418" Type="http://schemas.openxmlformats.org/officeDocument/2006/relationships/hyperlink" Target="http://www.linkedin.com/pub/debbie-bingham/0/B74/888" TargetMode="External"/><Relationship Id="rId9749" Type="http://schemas.openxmlformats.org/officeDocument/2006/relationships/hyperlink" Target="http://www.linkedin.com/in/achoksi" TargetMode="External"/><Relationship Id="rId9740" Type="http://schemas.openxmlformats.org/officeDocument/2006/relationships/hyperlink" Target="http://www.linkedin.com/in/carolynfullerton" TargetMode="External"/><Relationship Id="rId8413" Type="http://schemas.openxmlformats.org/officeDocument/2006/relationships/hyperlink" Target="http://www.linkedin.com/pub/frank-befera/2/256/316" TargetMode="External"/><Relationship Id="rId9745" Type="http://schemas.openxmlformats.org/officeDocument/2006/relationships/hyperlink" Target="http://www.linkedin.com/in/brunolopez" TargetMode="External"/><Relationship Id="rId8412" Type="http://schemas.openxmlformats.org/officeDocument/2006/relationships/hyperlink" Target="http://www.linkedin.com/pub/alex-baydin/3/838/60" TargetMode="External"/><Relationship Id="rId9746" Type="http://schemas.openxmlformats.org/officeDocument/2006/relationships/hyperlink" Target="http://www.linkedin.com/in/stevenmhoward" TargetMode="External"/><Relationship Id="rId8411" Type="http://schemas.openxmlformats.org/officeDocument/2006/relationships/hyperlink" Target="http://www.linkedin.com/in/craigelias" TargetMode="External"/><Relationship Id="rId9747" Type="http://schemas.openxmlformats.org/officeDocument/2006/relationships/hyperlink" Target="http://www.linkedin.com/in/husting" TargetMode="External"/><Relationship Id="rId8410" Type="http://schemas.openxmlformats.org/officeDocument/2006/relationships/hyperlink" Target="http://www.linkedin.com/pub/mimi-gigoux/4/475/5BA" TargetMode="External"/><Relationship Id="rId9748" Type="http://schemas.openxmlformats.org/officeDocument/2006/relationships/hyperlink" Target="http://www.linkedin.com/pub/david-harron/0/202/135" TargetMode="External"/><Relationship Id="rId8417" Type="http://schemas.openxmlformats.org/officeDocument/2006/relationships/hyperlink" Target="http://www.linkedin.com/in/etaygafni" TargetMode="External"/><Relationship Id="rId9741" Type="http://schemas.openxmlformats.org/officeDocument/2006/relationships/hyperlink" Target="http://www.linkedin.com/in/julianaallen" TargetMode="External"/><Relationship Id="rId8416" Type="http://schemas.openxmlformats.org/officeDocument/2006/relationships/hyperlink" Target="http://www.linkedin.com/in/durnhofer" TargetMode="External"/><Relationship Id="rId9742" Type="http://schemas.openxmlformats.org/officeDocument/2006/relationships/hyperlink" Target="http://www.linkedin.com/in/donatadavenport" TargetMode="External"/><Relationship Id="rId8415" Type="http://schemas.openxmlformats.org/officeDocument/2006/relationships/hyperlink" Target="http://ca.linkedin.com/pub/gabe-deremiens/17/579/2B8" TargetMode="External"/><Relationship Id="rId9743" Type="http://schemas.openxmlformats.org/officeDocument/2006/relationships/hyperlink" Target="http://www.linkedin.com/in/kennethjakobsen/en" TargetMode="External"/><Relationship Id="rId8414" Type="http://schemas.openxmlformats.org/officeDocument/2006/relationships/hyperlink" Target="http://www.linkedin.com/in/laynedavlin" TargetMode="External"/><Relationship Id="rId9744" Type="http://schemas.openxmlformats.org/officeDocument/2006/relationships/hyperlink" Target="http://www.linkedin.com/in/sethweingarten" TargetMode="External"/><Relationship Id="rId2290" Type="http://schemas.openxmlformats.org/officeDocument/2006/relationships/hyperlink" Target="http://www.linkedin.com/in/erikclausen" TargetMode="External"/><Relationship Id="rId2291" Type="http://schemas.openxmlformats.org/officeDocument/2006/relationships/hyperlink" Target="http://www.linkedin.com/in/bigeatobandito" TargetMode="External"/><Relationship Id="rId2292" Type="http://schemas.openxmlformats.org/officeDocument/2006/relationships/hyperlink" Target="http://hk.linkedin.com/in/pieterbedaux" TargetMode="External"/><Relationship Id="rId2293" Type="http://schemas.openxmlformats.org/officeDocument/2006/relationships/hyperlink" Target="http://www.linkedin.com/pub/suzanne-morgan/1/534/A09" TargetMode="External"/><Relationship Id="rId2294" Type="http://schemas.openxmlformats.org/officeDocument/2006/relationships/hyperlink" Target="http://www.linkedin.com/in/amberschoepp" TargetMode="External"/><Relationship Id="rId2295" Type="http://schemas.openxmlformats.org/officeDocument/2006/relationships/hyperlink" Target="http://www.linkedin.com/in/kenobermeierattheforumgroup" TargetMode="External"/><Relationship Id="rId2296" Type="http://schemas.openxmlformats.org/officeDocument/2006/relationships/hyperlink" Target="http://www.linkedin.com/pub/bheem-reedy-t/7/598/571" TargetMode="External"/><Relationship Id="rId2297" Type="http://schemas.openxmlformats.org/officeDocument/2006/relationships/hyperlink" Target="http://www.linkedin.com/in/analesecompliancelegal" TargetMode="External"/><Relationship Id="rId2298" Type="http://schemas.openxmlformats.org/officeDocument/2006/relationships/hyperlink" Target="http://www.linkedin.com/pub/mercedes-harrison/6/3AB/860" TargetMode="External"/><Relationship Id="rId2299" Type="http://schemas.openxmlformats.org/officeDocument/2006/relationships/hyperlink" Target="http://www.linkedin.com/pub/bob-harris/3/5B9/350" TargetMode="External"/><Relationship Id="rId9716" Type="http://schemas.openxmlformats.org/officeDocument/2006/relationships/hyperlink" Target="http://www.linkedin.com/in/michaelcamp" TargetMode="External"/><Relationship Id="rId9717" Type="http://schemas.openxmlformats.org/officeDocument/2006/relationships/hyperlink" Target="http://www.linkedin.com/pub/michael-barrett/0/1B/749" TargetMode="External"/><Relationship Id="rId9718" Type="http://schemas.openxmlformats.org/officeDocument/2006/relationships/hyperlink" Target="http://www.linkedin.com/in/edadamsboston" TargetMode="External"/><Relationship Id="rId9719" Type="http://schemas.openxmlformats.org/officeDocument/2006/relationships/hyperlink" Target="http://www.linkedin.com/pub/joe-lowry/0/511/680" TargetMode="External"/><Relationship Id="rId9712" Type="http://schemas.openxmlformats.org/officeDocument/2006/relationships/hyperlink" Target="http://www.linkedin.com/in/edparolisi" TargetMode="External"/><Relationship Id="rId9713" Type="http://schemas.openxmlformats.org/officeDocument/2006/relationships/hyperlink" Target="http://www.linkedin.com/pub/michael-glefke/4/836/B87" TargetMode="External"/><Relationship Id="rId9714" Type="http://schemas.openxmlformats.org/officeDocument/2006/relationships/hyperlink" Target="http://www.linkedin.com/in/brookins" TargetMode="External"/><Relationship Id="rId9715" Type="http://schemas.openxmlformats.org/officeDocument/2006/relationships/hyperlink" Target="http://www.linkedin.com/pub/paul-muller/0/400/903" TargetMode="External"/><Relationship Id="rId9710" Type="http://schemas.openxmlformats.org/officeDocument/2006/relationships/hyperlink" Target="http://www.linkedin.com/in/thomaswparry" TargetMode="External"/><Relationship Id="rId9711" Type="http://schemas.openxmlformats.org/officeDocument/2006/relationships/hyperlink" Target="http://www.linkedin.com/in/mattbaros" TargetMode="External"/><Relationship Id="rId9709" Type="http://schemas.openxmlformats.org/officeDocument/2006/relationships/hyperlink" Target="http://www.linkedin.com/in/mcmanamon/" TargetMode="External"/><Relationship Id="rId9705" Type="http://schemas.openxmlformats.org/officeDocument/2006/relationships/hyperlink" Target="http://www.linkedin.com/pub/paul-logan/0/3AA/379" TargetMode="External"/><Relationship Id="rId9706" Type="http://schemas.openxmlformats.org/officeDocument/2006/relationships/hyperlink" Target="http://www.linkedin.com/pub/sergio-barcelos/0/342/9AA" TargetMode="External"/><Relationship Id="rId9707" Type="http://schemas.openxmlformats.org/officeDocument/2006/relationships/hyperlink" Target="http://www.linkedin.com/in/sflynn" TargetMode="External"/><Relationship Id="rId9708" Type="http://schemas.openxmlformats.org/officeDocument/2006/relationships/hyperlink" Target="http://www.linkedin.com/in/vittib" TargetMode="External"/><Relationship Id="rId9701" Type="http://schemas.openxmlformats.org/officeDocument/2006/relationships/hyperlink" Target="http://www.linkedin.com/in/stevenhamburg" TargetMode="External"/><Relationship Id="rId9702" Type="http://schemas.openxmlformats.org/officeDocument/2006/relationships/hyperlink" Target="http://www.linkedin.com/in/kathrynjordan" TargetMode="External"/><Relationship Id="rId9703" Type="http://schemas.openxmlformats.org/officeDocument/2006/relationships/hyperlink" Target="http://www.linkedin.com/in/simonatkinsafc" TargetMode="External"/><Relationship Id="rId9704" Type="http://schemas.openxmlformats.org/officeDocument/2006/relationships/hyperlink" Target="https://www.linkedin.com/in/davidcarrithers" TargetMode="External"/><Relationship Id="rId9700" Type="http://schemas.openxmlformats.org/officeDocument/2006/relationships/hyperlink" Target="http://www.linkedin.com/pub/joao-perez/0/4B5/A33" TargetMode="External"/><Relationship Id="rId7151" Type="http://schemas.openxmlformats.org/officeDocument/2006/relationships/hyperlink" Target="https://www.linkedin.com/in/emmanuelsabbatini" TargetMode="External"/><Relationship Id="rId8482" Type="http://schemas.openxmlformats.org/officeDocument/2006/relationships/hyperlink" Target="http://www.linkedin.com/pub/shawn-craig/1/B27/866" TargetMode="External"/><Relationship Id="rId7150" Type="http://schemas.openxmlformats.org/officeDocument/2006/relationships/hyperlink" Target="http://ar.linkedin.com/pub/maximiliano-adad/2A/859/432" TargetMode="External"/><Relationship Id="rId8481" Type="http://schemas.openxmlformats.org/officeDocument/2006/relationships/hyperlink" Target="http://www.linkedin.com/in/bgunther" TargetMode="External"/><Relationship Id="rId8480" Type="http://schemas.openxmlformats.org/officeDocument/2006/relationships/hyperlink" Target="http://www.linkedin.com/in/tim0thyr0y" TargetMode="External"/><Relationship Id="rId7155" Type="http://schemas.openxmlformats.org/officeDocument/2006/relationships/hyperlink" Target="http://ar.linkedin.com/pub/nicolas-deledda/14/A4B/639" TargetMode="External"/><Relationship Id="rId8486" Type="http://schemas.openxmlformats.org/officeDocument/2006/relationships/hyperlink" Target="http://www.linkedin.com/pub/sean-green/3/AB0/983" TargetMode="External"/><Relationship Id="rId7154" Type="http://schemas.openxmlformats.org/officeDocument/2006/relationships/hyperlink" Target="http://www.linkedin.com/pub/john-sweeney/B/386/BA4" TargetMode="External"/><Relationship Id="rId8485" Type="http://schemas.openxmlformats.org/officeDocument/2006/relationships/hyperlink" Target="http://www.linkedin.com/in/halkneller" TargetMode="External"/><Relationship Id="rId7153" Type="http://schemas.openxmlformats.org/officeDocument/2006/relationships/hyperlink" Target="http://ar.linkedin.com/in/juanignaciogarzon" TargetMode="External"/><Relationship Id="rId8484" Type="http://schemas.openxmlformats.org/officeDocument/2006/relationships/hyperlink" Target="http://www.linkedin.com/pub/matt-evans/0/B8A/B48" TargetMode="External"/><Relationship Id="rId7152" Type="http://schemas.openxmlformats.org/officeDocument/2006/relationships/hyperlink" Target="http://ar.linkedin.com/in/santiagoporta" TargetMode="External"/><Relationship Id="rId8483" Type="http://schemas.openxmlformats.org/officeDocument/2006/relationships/hyperlink" Target="http://www.linkedin.com/in/carsoncombs" TargetMode="External"/><Relationship Id="rId7159" Type="http://schemas.openxmlformats.org/officeDocument/2006/relationships/hyperlink" Target="http://www.linkedin.com/pub/javier-romeu/3/304/B3A" TargetMode="External"/><Relationship Id="rId7158" Type="http://schemas.openxmlformats.org/officeDocument/2006/relationships/hyperlink" Target="http://ar.linkedin.com/in/eporta" TargetMode="External"/><Relationship Id="rId8489" Type="http://schemas.openxmlformats.org/officeDocument/2006/relationships/hyperlink" Target="http://www.linkedin.com/pub/andrew-dickman/A/600/194" TargetMode="External"/><Relationship Id="rId7157" Type="http://schemas.openxmlformats.org/officeDocument/2006/relationships/hyperlink" Target="http://ar.linkedin.com/in/oscaralvarez" TargetMode="External"/><Relationship Id="rId8488" Type="http://schemas.openxmlformats.org/officeDocument/2006/relationships/hyperlink" Target="http://www.linkedin.com/pub/bob-sansone/10/1A2/1A1" TargetMode="External"/><Relationship Id="rId7156" Type="http://schemas.openxmlformats.org/officeDocument/2006/relationships/hyperlink" Target="http://ar.linkedin.com/pub/daniel-caparroz/5/497/B8B" TargetMode="External"/><Relationship Id="rId8487" Type="http://schemas.openxmlformats.org/officeDocument/2006/relationships/hyperlink" Target="http://www.linkedin.com/in/bryankshort" TargetMode="External"/><Relationship Id="rId7140" Type="http://schemas.openxmlformats.org/officeDocument/2006/relationships/hyperlink" Target="http://ar.linkedin.com/in/ujaroslawski" TargetMode="External"/><Relationship Id="rId8471" Type="http://schemas.openxmlformats.org/officeDocument/2006/relationships/hyperlink" Target="http://www.linkedin.com/in/steveworrell" TargetMode="External"/><Relationship Id="rId8470" Type="http://schemas.openxmlformats.org/officeDocument/2006/relationships/hyperlink" Target="http://www.linkedin.com/in/chadwb" TargetMode="External"/><Relationship Id="rId7144" Type="http://schemas.openxmlformats.org/officeDocument/2006/relationships/hyperlink" Target="http://www.linkedin.com/in/fdschiaffino" TargetMode="External"/><Relationship Id="rId8475" Type="http://schemas.openxmlformats.org/officeDocument/2006/relationships/hyperlink" Target="http://www.linkedin.com/in/brianharding" TargetMode="External"/><Relationship Id="rId7143" Type="http://schemas.openxmlformats.org/officeDocument/2006/relationships/hyperlink" Target="http://www.linkedin.com/pub/alessia-petrucci/2/370/522" TargetMode="External"/><Relationship Id="rId8474" Type="http://schemas.openxmlformats.org/officeDocument/2006/relationships/hyperlink" Target="https://www.linkedin.com/in/annanguyen" TargetMode="External"/><Relationship Id="rId7142" Type="http://schemas.openxmlformats.org/officeDocument/2006/relationships/hyperlink" Target="http://ar.linkedin.com/in/nicolastorok" TargetMode="External"/><Relationship Id="rId8473" Type="http://schemas.openxmlformats.org/officeDocument/2006/relationships/hyperlink" Target="http://www.linkedin.com/in/bretthujik" TargetMode="External"/><Relationship Id="rId7141" Type="http://schemas.openxmlformats.org/officeDocument/2006/relationships/hyperlink" Target="http://www.linkedin.com/in/mckernan" TargetMode="External"/><Relationship Id="rId8472" Type="http://schemas.openxmlformats.org/officeDocument/2006/relationships/hyperlink" Target="http://www.linkedin.com/pub/josh-juhasz/10/66B/865" TargetMode="External"/><Relationship Id="rId7148" Type="http://schemas.openxmlformats.org/officeDocument/2006/relationships/hyperlink" Target="http://ar.linkedin.com/in/marpon" TargetMode="External"/><Relationship Id="rId8479" Type="http://schemas.openxmlformats.org/officeDocument/2006/relationships/hyperlink" Target="http://www.linkedin.com/pub/jeff-olson/1/B1/B7" TargetMode="External"/><Relationship Id="rId7147" Type="http://schemas.openxmlformats.org/officeDocument/2006/relationships/hyperlink" Target="http://ar.linkedin.com/pub/marisol-de-la-vega/30/B35/9B4" TargetMode="External"/><Relationship Id="rId8478" Type="http://schemas.openxmlformats.org/officeDocument/2006/relationships/hyperlink" Target="http://www.linkedin.com/in/charlesmurphy01" TargetMode="External"/><Relationship Id="rId7146" Type="http://schemas.openxmlformats.org/officeDocument/2006/relationships/hyperlink" Target="http://www.linkedin.com/pub/pablo-daniel-schuster/5/569/622" TargetMode="External"/><Relationship Id="rId8477" Type="http://schemas.openxmlformats.org/officeDocument/2006/relationships/hyperlink" Target="http://www.linkedin.com/in/bryanmckinley" TargetMode="External"/><Relationship Id="rId7145" Type="http://schemas.openxmlformats.org/officeDocument/2006/relationships/hyperlink" Target="http://www.linkedin.com/pub/juan-antorena/25/9B9/7A2" TargetMode="External"/><Relationship Id="rId8476" Type="http://schemas.openxmlformats.org/officeDocument/2006/relationships/hyperlink" Target="http://www.linkedin.com/in/franklouie" TargetMode="External"/><Relationship Id="rId7149" Type="http://schemas.openxmlformats.org/officeDocument/2006/relationships/hyperlink" Target="http://www.linkedin.com/in/jacobconway" TargetMode="External"/><Relationship Id="rId4901" Type="http://schemas.openxmlformats.org/officeDocument/2006/relationships/hyperlink" Target="http://www.linkedin.com/pub/gisela-barbetta/8/50b/630" TargetMode="External"/><Relationship Id="rId4900" Type="http://schemas.openxmlformats.org/officeDocument/2006/relationships/hyperlink" Target="http://ar.linkedin.com/in/juanpablobarahona" TargetMode="External"/><Relationship Id="rId4903" Type="http://schemas.openxmlformats.org/officeDocument/2006/relationships/hyperlink" Target="http://ar.linkedin.com/pub/alejandro-d-amato/0/4A7/980" TargetMode="External"/><Relationship Id="rId4902" Type="http://schemas.openxmlformats.org/officeDocument/2006/relationships/hyperlink" Target="http://ar.linkedin.com/in/realmagusha" TargetMode="External"/><Relationship Id="rId4905" Type="http://schemas.openxmlformats.org/officeDocument/2006/relationships/hyperlink" Target="http://www.linkedin.com/pub/ana-cecilia-donarelli/4/947/b44" TargetMode="External"/><Relationship Id="rId4904" Type="http://schemas.openxmlformats.org/officeDocument/2006/relationships/hyperlink" Target="http://ar.linkedin.com/in/rosanagregorio" TargetMode="External"/><Relationship Id="rId4907" Type="http://schemas.openxmlformats.org/officeDocument/2006/relationships/hyperlink" Target="http://www.linkedin.com/pub/pedro-n%C3%BA%C3%B1ez-torres/23/162/730" TargetMode="External"/><Relationship Id="rId4906" Type="http://schemas.openxmlformats.org/officeDocument/2006/relationships/hyperlink" Target="http://ar.linkedin.com/pub/esteban-andr%C3%A9s/1/A80/52A" TargetMode="External"/><Relationship Id="rId4909" Type="http://schemas.openxmlformats.org/officeDocument/2006/relationships/hyperlink" Target="http://ar.linkedin.com/in/lorenaromano" TargetMode="External"/><Relationship Id="rId4908" Type="http://schemas.openxmlformats.org/officeDocument/2006/relationships/hyperlink" Target="http://ar.linkedin.com/pub/guillermo-marcelo-lopez/1/211/374" TargetMode="External"/><Relationship Id="rId7180" Type="http://schemas.openxmlformats.org/officeDocument/2006/relationships/hyperlink" Target="http://ar.linkedin.com/pub/marcelo-rivas/15/41A/456" TargetMode="External"/><Relationship Id="rId7173" Type="http://schemas.openxmlformats.org/officeDocument/2006/relationships/hyperlink" Target="http://ar.linkedin.com/pub/charlie-shaw/7/38A/927" TargetMode="External"/><Relationship Id="rId7172" Type="http://schemas.openxmlformats.org/officeDocument/2006/relationships/hyperlink" Target="http://www.linkedin.com/pub/mercedes-cud%C3%B3s/1a/84/362" TargetMode="External"/><Relationship Id="rId7171" Type="http://schemas.openxmlformats.org/officeDocument/2006/relationships/hyperlink" Target="http://www.linkedin.com/pub/roberto-torok/4/4B7/B9A" TargetMode="External"/><Relationship Id="rId7170" Type="http://schemas.openxmlformats.org/officeDocument/2006/relationships/hyperlink" Target="http://www.linkedin.com/pub/javarros-byrd/9/B1B/784" TargetMode="External"/><Relationship Id="rId7177" Type="http://schemas.openxmlformats.org/officeDocument/2006/relationships/hyperlink" Target="http://ar.linkedin.com/pub/carlos-paz-soldan/11/744/62" TargetMode="External"/><Relationship Id="rId7176" Type="http://schemas.openxmlformats.org/officeDocument/2006/relationships/hyperlink" Target="http://ar.linkedin.com/pub/martin-scandroli/24/438/33A" TargetMode="External"/><Relationship Id="rId7175" Type="http://schemas.openxmlformats.org/officeDocument/2006/relationships/hyperlink" Target="http://www.linkedin.com/pub/amanda-sewell/19/468/886" TargetMode="External"/><Relationship Id="rId7174" Type="http://schemas.openxmlformats.org/officeDocument/2006/relationships/hyperlink" Target="http://www.linkedin.com/pub/nestor-gabriel-esquivel/12/833/17" TargetMode="External"/><Relationship Id="rId7179" Type="http://schemas.openxmlformats.org/officeDocument/2006/relationships/hyperlink" Target="http://ar.linkedin.com/pub/ariel-gurmandi/4/925/30A" TargetMode="External"/><Relationship Id="rId7178" Type="http://schemas.openxmlformats.org/officeDocument/2006/relationships/hyperlink" Target="http://ar.linkedin.com/pub/fernando-scasserra/3/B83/89" TargetMode="External"/><Relationship Id="rId7162" Type="http://schemas.openxmlformats.org/officeDocument/2006/relationships/hyperlink" Target="http://ar.linkedin.com/pub/gabriel-waldfogiel/8/B22/180" TargetMode="External"/><Relationship Id="rId8493" Type="http://schemas.openxmlformats.org/officeDocument/2006/relationships/hyperlink" Target="http://www.linkedin.com/in/srrubin" TargetMode="External"/><Relationship Id="rId7161" Type="http://schemas.openxmlformats.org/officeDocument/2006/relationships/hyperlink" Target="http://www.linkedin.com/pub/chad-k-vogelgesang/9/115/562" TargetMode="External"/><Relationship Id="rId8492" Type="http://schemas.openxmlformats.org/officeDocument/2006/relationships/hyperlink" Target="http://www.linkedin.com/pub/rob-phythian/26/469/A83" TargetMode="External"/><Relationship Id="rId7160" Type="http://schemas.openxmlformats.org/officeDocument/2006/relationships/hyperlink" Target="http://www.linkedin.com/pub/sergio-blumer-bastos-neto/0/319/470" TargetMode="External"/><Relationship Id="rId8491" Type="http://schemas.openxmlformats.org/officeDocument/2006/relationships/hyperlink" Target="http://uk.linkedin.com/pub/david-howorth/1/394/329" TargetMode="External"/><Relationship Id="rId8490" Type="http://schemas.openxmlformats.org/officeDocument/2006/relationships/hyperlink" Target="http://www.linkedin.com/in/martintolsen" TargetMode="External"/><Relationship Id="rId7166" Type="http://schemas.openxmlformats.org/officeDocument/2006/relationships/hyperlink" Target="http://www.linkedin.com/pub/jim-henson/4/548/124" TargetMode="External"/><Relationship Id="rId8497" Type="http://schemas.openxmlformats.org/officeDocument/2006/relationships/hyperlink" Target="http://www.linkedin.com/in/jamesstayton" TargetMode="External"/><Relationship Id="rId7165" Type="http://schemas.openxmlformats.org/officeDocument/2006/relationships/hyperlink" Target="http://www.linkedin.com/in/mbertozzi" TargetMode="External"/><Relationship Id="rId8496" Type="http://schemas.openxmlformats.org/officeDocument/2006/relationships/hyperlink" Target="http://www.linkedin.com/pub/rasciel-socarras/5/303/98B" TargetMode="External"/><Relationship Id="rId7164" Type="http://schemas.openxmlformats.org/officeDocument/2006/relationships/hyperlink" Target="http://www.linkedin.com/pub/brian-weir/6/243/B6" TargetMode="External"/><Relationship Id="rId8495" Type="http://schemas.openxmlformats.org/officeDocument/2006/relationships/hyperlink" Target="http://www.linkedin.com/pub/julie-silver-talenfeld/6/A65/310" TargetMode="External"/><Relationship Id="rId7163" Type="http://schemas.openxmlformats.org/officeDocument/2006/relationships/hyperlink" Target="http://www.linkedin.com/pub/oscar-alberto-vaccaro/28/aab/194" TargetMode="External"/><Relationship Id="rId8494" Type="http://schemas.openxmlformats.org/officeDocument/2006/relationships/hyperlink" Target="http://www.linkedin.com/pub/jim-schonewolf/7/972/943" TargetMode="External"/><Relationship Id="rId7169" Type="http://schemas.openxmlformats.org/officeDocument/2006/relationships/hyperlink" Target="http://ar.linkedin.com/pub/federico-vazquez/19/209/899" TargetMode="External"/><Relationship Id="rId7168" Type="http://schemas.openxmlformats.org/officeDocument/2006/relationships/hyperlink" Target="http://www.linkedin.com/pub/fernando-montefalcone/5/627/179" TargetMode="External"/><Relationship Id="rId8499" Type="http://schemas.openxmlformats.org/officeDocument/2006/relationships/hyperlink" Target="http://www.linkedin.com/pub/harris-turner/4/57/19A" TargetMode="External"/><Relationship Id="rId7167" Type="http://schemas.openxmlformats.org/officeDocument/2006/relationships/hyperlink" Target="http://ar.linkedin.com/pub/marcelo-hussein/26/90/173" TargetMode="External"/><Relationship Id="rId8498" Type="http://schemas.openxmlformats.org/officeDocument/2006/relationships/hyperlink" Target="http://www.linkedin.com/in/johnstuddard" TargetMode="External"/><Relationship Id="rId9770" Type="http://schemas.openxmlformats.org/officeDocument/2006/relationships/hyperlink" Target="http://www.linkedin.com/pub/phillip-esparza/0/549/A50" TargetMode="External"/><Relationship Id="rId9771" Type="http://schemas.openxmlformats.org/officeDocument/2006/relationships/hyperlink" Target="http://www.linkedin.com/in/frankscozzari" TargetMode="External"/><Relationship Id="rId9772" Type="http://schemas.openxmlformats.org/officeDocument/2006/relationships/hyperlink" Target="http://www.linkedin.com/in/greggstewart" TargetMode="External"/><Relationship Id="rId9773" Type="http://schemas.openxmlformats.org/officeDocument/2006/relationships/hyperlink" Target="http://www.linkedin.com/in/kenhall08" TargetMode="External"/><Relationship Id="rId7111" Type="http://schemas.openxmlformats.org/officeDocument/2006/relationships/hyperlink" Target="http://www.linkedin.com/pub/mario-quiroga/1/128/B19" TargetMode="External"/><Relationship Id="rId8442" Type="http://schemas.openxmlformats.org/officeDocument/2006/relationships/hyperlink" Target="http://www.linkedin.com/in/kayweb" TargetMode="External"/><Relationship Id="rId7110" Type="http://schemas.openxmlformats.org/officeDocument/2006/relationships/hyperlink" Target="http://ar.linkedin.com/in/mdominoni" TargetMode="External"/><Relationship Id="rId8441" Type="http://schemas.openxmlformats.org/officeDocument/2006/relationships/hyperlink" Target="http://www.linkedin.com/pub/gilles-gil-aouizerat/7/A07/12A" TargetMode="External"/><Relationship Id="rId8440" Type="http://schemas.openxmlformats.org/officeDocument/2006/relationships/hyperlink" Target="http://www.linkedin.com/in/callcenter" TargetMode="External"/><Relationship Id="rId7115" Type="http://schemas.openxmlformats.org/officeDocument/2006/relationships/hyperlink" Target="http://www.linkedin.com/in/rsegovia" TargetMode="External"/><Relationship Id="rId8446" Type="http://schemas.openxmlformats.org/officeDocument/2006/relationships/hyperlink" Target="http://www.linkedin.com/in/herbkraft" TargetMode="External"/><Relationship Id="rId9778" Type="http://schemas.openxmlformats.org/officeDocument/2006/relationships/hyperlink" Target="http://www.linkedin.com/in/dohara" TargetMode="External"/><Relationship Id="rId7114" Type="http://schemas.openxmlformats.org/officeDocument/2006/relationships/hyperlink" Target="http://www.linkedin.com/pub/leo-manzewitsch/0/202/AA1" TargetMode="External"/><Relationship Id="rId8445" Type="http://schemas.openxmlformats.org/officeDocument/2006/relationships/hyperlink" Target="http://www.linkedin.com/in/scottkosch" TargetMode="External"/><Relationship Id="rId9779" Type="http://schemas.openxmlformats.org/officeDocument/2006/relationships/hyperlink" Target="http://www.linkedin.com/in/matthewjweaverpmp" TargetMode="External"/><Relationship Id="rId7113" Type="http://schemas.openxmlformats.org/officeDocument/2006/relationships/hyperlink" Target="http://ar.linkedin.com/in/agostinalaveran" TargetMode="External"/><Relationship Id="rId8444" Type="http://schemas.openxmlformats.org/officeDocument/2006/relationships/hyperlink" Target="http://www.linkedin.com/in/fklesitz" TargetMode="External"/><Relationship Id="rId7112" Type="http://schemas.openxmlformats.org/officeDocument/2006/relationships/hyperlink" Target="http://www.linkedin.com/in/joseluisoria" TargetMode="External"/><Relationship Id="rId8443" Type="http://schemas.openxmlformats.org/officeDocument/2006/relationships/hyperlink" Target="http://www.linkedin.com/in/doncrowther" TargetMode="External"/><Relationship Id="rId7119" Type="http://schemas.openxmlformats.org/officeDocument/2006/relationships/hyperlink" Target="http://ar.linkedin.com/pub/gabriel-aufgang/2A/554/552" TargetMode="External"/><Relationship Id="rId9774" Type="http://schemas.openxmlformats.org/officeDocument/2006/relationships/hyperlink" Target="http://www.linkedin.com/in/jchilton" TargetMode="External"/><Relationship Id="rId7118" Type="http://schemas.openxmlformats.org/officeDocument/2006/relationships/hyperlink" Target="http://ar.linkedin.com/pub/nicol%C3%A1s-crespi/1A/894/B50" TargetMode="External"/><Relationship Id="rId8449" Type="http://schemas.openxmlformats.org/officeDocument/2006/relationships/hyperlink" Target="http://www.linkedin.com/in/kencooper" TargetMode="External"/><Relationship Id="rId9775" Type="http://schemas.openxmlformats.org/officeDocument/2006/relationships/hyperlink" Target="http://www.linkedin.com/in/tongucyaman" TargetMode="External"/><Relationship Id="rId7117" Type="http://schemas.openxmlformats.org/officeDocument/2006/relationships/hyperlink" Target="http://www.linkedin.com/pub/ivan-zavaleta/6/846/332" TargetMode="External"/><Relationship Id="rId8448" Type="http://schemas.openxmlformats.org/officeDocument/2006/relationships/hyperlink" Target="http://www.linkedin.com/in/gabriellopezseco" TargetMode="External"/><Relationship Id="rId9776" Type="http://schemas.openxmlformats.org/officeDocument/2006/relationships/hyperlink" Target="http://www.linkedin.com/in/markbilfield" TargetMode="External"/><Relationship Id="rId7116" Type="http://schemas.openxmlformats.org/officeDocument/2006/relationships/hyperlink" Target="http://www.linkedin.com/pub/marlan-nolt/6/B33/586" TargetMode="External"/><Relationship Id="rId8447" Type="http://schemas.openxmlformats.org/officeDocument/2006/relationships/hyperlink" Target="http://www.linkedin.com/in/michaelkrafft" TargetMode="External"/><Relationship Id="rId9777" Type="http://schemas.openxmlformats.org/officeDocument/2006/relationships/hyperlink" Target="http://www.linkedin.com/pub/jim-cowing/0/856/74B" TargetMode="External"/><Relationship Id="rId7109" Type="http://schemas.openxmlformats.org/officeDocument/2006/relationships/hyperlink" Target="http://www.linkedin.com/in/jeffklenner" TargetMode="External"/><Relationship Id="rId9760" Type="http://schemas.openxmlformats.org/officeDocument/2006/relationships/hyperlink" Target="http://www.linkedin.com/pub/heather-mckissick/0/423/AA9" TargetMode="External"/><Relationship Id="rId9761" Type="http://schemas.openxmlformats.org/officeDocument/2006/relationships/hyperlink" Target="http://www.linkedin.com/in/amehra" TargetMode="External"/><Relationship Id="rId9762" Type="http://schemas.openxmlformats.org/officeDocument/2006/relationships/hyperlink" Target="http://www.linkedin.com/pub/scott-felten/4/29A/675" TargetMode="External"/><Relationship Id="rId7100" Type="http://schemas.openxmlformats.org/officeDocument/2006/relationships/hyperlink" Target="http://www.linkedin.com/in/brunoregio" TargetMode="External"/><Relationship Id="rId8431" Type="http://schemas.openxmlformats.org/officeDocument/2006/relationships/hyperlink" Target="https://www.linkedin.com/in/gershik" TargetMode="External"/><Relationship Id="rId8430" Type="http://schemas.openxmlformats.org/officeDocument/2006/relationships/hyperlink" Target="http://www.linkedin.com/in/shrikantlohokare" TargetMode="External"/><Relationship Id="rId7104" Type="http://schemas.openxmlformats.org/officeDocument/2006/relationships/hyperlink" Target="http://ar.linkedin.com/pub/guillermo-errandonea/9/477/349" TargetMode="External"/><Relationship Id="rId8435" Type="http://schemas.openxmlformats.org/officeDocument/2006/relationships/hyperlink" Target="http://www.linkedin.com/in/shelbyferrari" TargetMode="External"/><Relationship Id="rId9767" Type="http://schemas.openxmlformats.org/officeDocument/2006/relationships/hyperlink" Target="http://www.linkedin.com/pub/tony-mcclelland/0/518/A2" TargetMode="External"/><Relationship Id="rId7103" Type="http://schemas.openxmlformats.org/officeDocument/2006/relationships/hyperlink" Target="http://www.linkedin.com/in/johnnybarrett3" TargetMode="External"/><Relationship Id="rId8434" Type="http://schemas.openxmlformats.org/officeDocument/2006/relationships/hyperlink" Target="http://www.linkedin.com/in/pedromartins" TargetMode="External"/><Relationship Id="rId9768" Type="http://schemas.openxmlformats.org/officeDocument/2006/relationships/hyperlink" Target="http://www.linkedin.com/in/rdesarmes" TargetMode="External"/><Relationship Id="rId7102" Type="http://schemas.openxmlformats.org/officeDocument/2006/relationships/hyperlink" Target="http://ar.linkedin.com/pub/germ%C3%A1n-forti/20/5AA/818" TargetMode="External"/><Relationship Id="rId8433" Type="http://schemas.openxmlformats.org/officeDocument/2006/relationships/hyperlink" Target="http://www.linkedin.com/in/vonkenrickaneshiro" TargetMode="External"/><Relationship Id="rId9769" Type="http://schemas.openxmlformats.org/officeDocument/2006/relationships/hyperlink" Target="http://www.linkedin.com/in/richardtstack" TargetMode="External"/><Relationship Id="rId7101" Type="http://schemas.openxmlformats.org/officeDocument/2006/relationships/hyperlink" Target="http://www.linkedin.com/pub/carlos-gonzalez/2/940/237" TargetMode="External"/><Relationship Id="rId8432" Type="http://schemas.openxmlformats.org/officeDocument/2006/relationships/hyperlink" Target="http://www.linkedin.com/pub/david-douenias/29/218/AB5" TargetMode="External"/><Relationship Id="rId7108" Type="http://schemas.openxmlformats.org/officeDocument/2006/relationships/hyperlink" Target="http://www.linkedin.com/in/smalecki" TargetMode="External"/><Relationship Id="rId8439" Type="http://schemas.openxmlformats.org/officeDocument/2006/relationships/hyperlink" Target="http://www.linkedin.com/pub/mark-wyllie/1/ABB/331" TargetMode="External"/><Relationship Id="rId9763" Type="http://schemas.openxmlformats.org/officeDocument/2006/relationships/hyperlink" Target="http://www.linkedin.com/in/edwardjdonnelly" TargetMode="External"/><Relationship Id="rId7107" Type="http://schemas.openxmlformats.org/officeDocument/2006/relationships/hyperlink" Target="http://ar.linkedin.com/pub/sergio-massaini/A/A4/69B" TargetMode="External"/><Relationship Id="rId8438" Type="http://schemas.openxmlformats.org/officeDocument/2006/relationships/hyperlink" Target="http://www.linkedin.com/in/taxsearch" TargetMode="External"/><Relationship Id="rId9764" Type="http://schemas.openxmlformats.org/officeDocument/2006/relationships/hyperlink" Target="https://www.linkedin.com/in/ranassaf" TargetMode="External"/><Relationship Id="rId7106" Type="http://schemas.openxmlformats.org/officeDocument/2006/relationships/hyperlink" Target="http://ar.linkedin.com/in/estebanirigoyen" TargetMode="External"/><Relationship Id="rId8437" Type="http://schemas.openxmlformats.org/officeDocument/2006/relationships/hyperlink" Target="http://www.linkedin.com/pub/gary-flake/27/396/82B" TargetMode="External"/><Relationship Id="rId9765" Type="http://schemas.openxmlformats.org/officeDocument/2006/relationships/hyperlink" Target="http://www.linkedin.com/in/jbrathall" TargetMode="External"/><Relationship Id="rId7105" Type="http://schemas.openxmlformats.org/officeDocument/2006/relationships/hyperlink" Target="http://ar.linkedin.com/in/mgorostegui" TargetMode="External"/><Relationship Id="rId8436" Type="http://schemas.openxmlformats.org/officeDocument/2006/relationships/hyperlink" Target="http://www.linkedin.com/pub/jim-holden/6/328/A02" TargetMode="External"/><Relationship Id="rId9766" Type="http://schemas.openxmlformats.org/officeDocument/2006/relationships/hyperlink" Target="http://www.linkedin.com/in/kensaunders1" TargetMode="External"/><Relationship Id="rId8460" Type="http://schemas.openxmlformats.org/officeDocument/2006/relationships/hyperlink" Target="http://www.linkedin.com/pub/benoit-pecqueur/4/BB8/298" TargetMode="External"/><Relationship Id="rId9792" Type="http://schemas.openxmlformats.org/officeDocument/2006/relationships/hyperlink" Target="http://www.linkedin.com/in/kristaneher" TargetMode="External"/><Relationship Id="rId9793" Type="http://schemas.openxmlformats.org/officeDocument/2006/relationships/hyperlink" Target="http://www.linkedin.com/pub/amy-bove/4/557/562" TargetMode="External"/><Relationship Id="rId9794" Type="http://schemas.openxmlformats.org/officeDocument/2006/relationships/hyperlink" Target="http://www.linkedin.com/in/arcadiobignayan" TargetMode="External"/><Relationship Id="rId9795" Type="http://schemas.openxmlformats.org/officeDocument/2006/relationships/hyperlink" Target="http://www.linkedin.com/in/saschameinrath" TargetMode="External"/><Relationship Id="rId7133" Type="http://schemas.openxmlformats.org/officeDocument/2006/relationships/hyperlink" Target="http://www.linkedin.com/pub/juan-niklison/9/907/bbb" TargetMode="External"/><Relationship Id="rId8464" Type="http://schemas.openxmlformats.org/officeDocument/2006/relationships/hyperlink" Target="http://www.linkedin.com/pub/travis-smith/3/260/991" TargetMode="External"/><Relationship Id="rId7132" Type="http://schemas.openxmlformats.org/officeDocument/2006/relationships/hyperlink" Target="http://www.linkedin.com/pub/damian-d%C2%B4agostino/23/562/669" TargetMode="External"/><Relationship Id="rId8463" Type="http://schemas.openxmlformats.org/officeDocument/2006/relationships/hyperlink" Target="http://www.linkedin.com/in/ryansnell" TargetMode="External"/><Relationship Id="rId7131" Type="http://schemas.openxmlformats.org/officeDocument/2006/relationships/hyperlink" Target="http://ar.linkedin.com/pub/sebastian-leiva/27/AA/104" TargetMode="External"/><Relationship Id="rId8462" Type="http://schemas.openxmlformats.org/officeDocument/2006/relationships/hyperlink" Target="http://www.linkedin.com/in/benmcdougal" TargetMode="External"/><Relationship Id="rId9790" Type="http://schemas.openxmlformats.org/officeDocument/2006/relationships/hyperlink" Target="http://www.linkedin.com/in/codylerum" TargetMode="External"/><Relationship Id="rId7130" Type="http://schemas.openxmlformats.org/officeDocument/2006/relationships/hyperlink" Target="http://ar.linkedin.com/in/hockim" TargetMode="External"/><Relationship Id="rId8461" Type="http://schemas.openxmlformats.org/officeDocument/2006/relationships/hyperlink" Target="http://www.linkedin.com/in/brianzab" TargetMode="External"/><Relationship Id="rId9791" Type="http://schemas.openxmlformats.org/officeDocument/2006/relationships/hyperlink" Target="http://www.linkedin.com/pub/michael-paynotta/5/78/433" TargetMode="External"/><Relationship Id="rId7137" Type="http://schemas.openxmlformats.org/officeDocument/2006/relationships/hyperlink" Target="http://www.linkedin.com/pub/stephen-white/0/58/437" TargetMode="External"/><Relationship Id="rId8468" Type="http://schemas.openxmlformats.org/officeDocument/2006/relationships/hyperlink" Target="http://www.linkedin.com/pub/marty-kurner/4/890/1B2" TargetMode="External"/><Relationship Id="rId7136" Type="http://schemas.openxmlformats.org/officeDocument/2006/relationships/hyperlink" Target="http://www.linkedin.com/in/mgtdi" TargetMode="External"/><Relationship Id="rId8467" Type="http://schemas.openxmlformats.org/officeDocument/2006/relationships/hyperlink" Target="http://www.linkedin.com/in/erinjohnson15" TargetMode="External"/><Relationship Id="rId7135" Type="http://schemas.openxmlformats.org/officeDocument/2006/relationships/hyperlink" Target="http://www.linkedin.com/pub/mariano-barucca/17/b06/34" TargetMode="External"/><Relationship Id="rId8466" Type="http://schemas.openxmlformats.org/officeDocument/2006/relationships/hyperlink" Target="http://www.linkedin.com/in/amymelissaharris" TargetMode="External"/><Relationship Id="rId7134" Type="http://schemas.openxmlformats.org/officeDocument/2006/relationships/hyperlink" Target="http://www.linkedin.com/in/horaciocorbiere" TargetMode="External"/><Relationship Id="rId8465" Type="http://schemas.openxmlformats.org/officeDocument/2006/relationships/hyperlink" Target="http://www.linkedin.com/in/jimdickson" TargetMode="External"/><Relationship Id="rId9796" Type="http://schemas.openxmlformats.org/officeDocument/2006/relationships/hyperlink" Target="http://www.linkedin.com/in/kevinraxter" TargetMode="External"/><Relationship Id="rId9797" Type="http://schemas.openxmlformats.org/officeDocument/2006/relationships/hyperlink" Target="http://www.linkedin.com/pub/jess-goldwater/1/A51/387" TargetMode="External"/><Relationship Id="rId7139" Type="http://schemas.openxmlformats.org/officeDocument/2006/relationships/hyperlink" Target="http://www.linkedin.com/pub/diego-e-lopez/b/411/714" TargetMode="External"/><Relationship Id="rId9798" Type="http://schemas.openxmlformats.org/officeDocument/2006/relationships/hyperlink" Target="http://www.linkedin.com/in/robertslaughter" TargetMode="External"/><Relationship Id="rId7138" Type="http://schemas.openxmlformats.org/officeDocument/2006/relationships/hyperlink" Target="http://www.linkedin.com/in/bobhatfield" TargetMode="External"/><Relationship Id="rId8469" Type="http://schemas.openxmlformats.org/officeDocument/2006/relationships/hyperlink" Target="http://www.linkedin.com/pub/jr-dew/7/AA/619" TargetMode="External"/><Relationship Id="rId9799" Type="http://schemas.openxmlformats.org/officeDocument/2006/relationships/hyperlink" Target="http://www.linkedin.com/in/michaelplatt" TargetMode="External"/><Relationship Id="rId9781" Type="http://schemas.openxmlformats.org/officeDocument/2006/relationships/hyperlink" Target="http://www.linkedin.com/in/kristenbloslong" TargetMode="External"/><Relationship Id="rId9782" Type="http://schemas.openxmlformats.org/officeDocument/2006/relationships/hyperlink" Target="http://www.linkedin.com/in/rameshnarayanan1" TargetMode="External"/><Relationship Id="rId9783" Type="http://schemas.openxmlformats.org/officeDocument/2006/relationships/hyperlink" Target="http://www.linkedin.com/pub/vipul-adlakha/0/934/8AB" TargetMode="External"/><Relationship Id="rId9784" Type="http://schemas.openxmlformats.org/officeDocument/2006/relationships/hyperlink" Target="http://www.linkedin.com/in/alaskawebdesigner" TargetMode="External"/><Relationship Id="rId7122" Type="http://schemas.openxmlformats.org/officeDocument/2006/relationships/hyperlink" Target="http://ar.linkedin.com/pub/valeria-cordovero/7/109/39" TargetMode="External"/><Relationship Id="rId8453" Type="http://schemas.openxmlformats.org/officeDocument/2006/relationships/hyperlink" Target="http://www.linkedin.com/in/ironwoodrecruiting" TargetMode="External"/><Relationship Id="rId7121" Type="http://schemas.openxmlformats.org/officeDocument/2006/relationships/hyperlink" Target="http://ar.linkedin.com/pub/eduardo-berutti/9/AB4/272" TargetMode="External"/><Relationship Id="rId8452" Type="http://schemas.openxmlformats.org/officeDocument/2006/relationships/hyperlink" Target="http://www.linkedin.com/pub/suzan-mcdowell/4/457/1A" TargetMode="External"/><Relationship Id="rId7120" Type="http://schemas.openxmlformats.org/officeDocument/2006/relationships/hyperlink" Target="http://www.linkedin.com/pub/lucina-navarro/A/385/9AA" TargetMode="External"/><Relationship Id="rId8451" Type="http://schemas.openxmlformats.org/officeDocument/2006/relationships/hyperlink" Target="http://www.linkedin.com/in/cynthiamott" TargetMode="External"/><Relationship Id="rId8450" Type="http://schemas.openxmlformats.org/officeDocument/2006/relationships/hyperlink" Target="http://www.linkedin.com/in/coreynorthcutt" TargetMode="External"/><Relationship Id="rId9780" Type="http://schemas.openxmlformats.org/officeDocument/2006/relationships/hyperlink" Target="http://www.linkedin.com/pub/bob-reeves/0/8A7/4A" TargetMode="External"/><Relationship Id="rId7126" Type="http://schemas.openxmlformats.org/officeDocument/2006/relationships/hyperlink" Target="http://ar.linkedin.com/pub/natalio-garbus/27/6B3/91" TargetMode="External"/><Relationship Id="rId8457" Type="http://schemas.openxmlformats.org/officeDocument/2006/relationships/hyperlink" Target="http://www.linkedin.com/in/sarkiskarayan" TargetMode="External"/><Relationship Id="rId9789" Type="http://schemas.openxmlformats.org/officeDocument/2006/relationships/hyperlink" Target="http://www.linkedin.com/in/kekline" TargetMode="External"/><Relationship Id="rId7125" Type="http://schemas.openxmlformats.org/officeDocument/2006/relationships/hyperlink" Target="http://ar.linkedin.com/in/pabloabiad" TargetMode="External"/><Relationship Id="rId8456" Type="http://schemas.openxmlformats.org/officeDocument/2006/relationships/hyperlink" Target="http://www.linkedin.com/in/marilynoliva" TargetMode="External"/><Relationship Id="rId7124" Type="http://schemas.openxmlformats.org/officeDocument/2006/relationships/hyperlink" Target="http://ar.linkedin.com/pub/sebastian-daniel/7/517/29" TargetMode="External"/><Relationship Id="rId8455" Type="http://schemas.openxmlformats.org/officeDocument/2006/relationships/hyperlink" Target="http://www.linkedin.com/in/billdouglas" TargetMode="External"/><Relationship Id="rId7123" Type="http://schemas.openxmlformats.org/officeDocument/2006/relationships/hyperlink" Target="http://www.linkedin.com/in/brucetemkin" TargetMode="External"/><Relationship Id="rId8454" Type="http://schemas.openxmlformats.org/officeDocument/2006/relationships/hyperlink" Target="http://www.linkedin.com/in/raghu" TargetMode="External"/><Relationship Id="rId9785" Type="http://schemas.openxmlformats.org/officeDocument/2006/relationships/hyperlink" Target="http://www.linkedin.com/in/richkahn" TargetMode="External"/><Relationship Id="rId7129" Type="http://schemas.openxmlformats.org/officeDocument/2006/relationships/hyperlink" Target="http://www.linkedin.com/in/marchionnienzo" TargetMode="External"/><Relationship Id="rId9786" Type="http://schemas.openxmlformats.org/officeDocument/2006/relationships/hyperlink" Target="http://www.linkedin.com/pub/steve-piper/0/370/16B" TargetMode="External"/><Relationship Id="rId7128" Type="http://schemas.openxmlformats.org/officeDocument/2006/relationships/hyperlink" Target="http://ar.linkedin.com/in/pedrogs" TargetMode="External"/><Relationship Id="rId8459" Type="http://schemas.openxmlformats.org/officeDocument/2006/relationships/hyperlink" Target="http://www.linkedin.com/in/larkin" TargetMode="External"/><Relationship Id="rId9787" Type="http://schemas.openxmlformats.org/officeDocument/2006/relationships/hyperlink" Target="http://www.linkedin.com/in/williamtoll" TargetMode="External"/><Relationship Id="rId7127" Type="http://schemas.openxmlformats.org/officeDocument/2006/relationships/hyperlink" Target="http://www.linkedin.com/in/danielagomezrichter" TargetMode="External"/><Relationship Id="rId8458" Type="http://schemas.openxmlformats.org/officeDocument/2006/relationships/hyperlink" Target="http://www.linkedin.com/pub/michael-orlando/7/B20/34A" TargetMode="External"/><Relationship Id="rId9788" Type="http://schemas.openxmlformats.org/officeDocument/2006/relationships/hyperlink" Target="http://www.linkedin.com/pub/daniel-gothelf/4/226/75A" TargetMode="External"/><Relationship Id="rId2302" Type="http://schemas.openxmlformats.org/officeDocument/2006/relationships/hyperlink" Target="http://www.linkedin.com/pub/jeffrey-davidson/8/B39/531" TargetMode="External"/><Relationship Id="rId3634" Type="http://schemas.openxmlformats.org/officeDocument/2006/relationships/hyperlink" Target="http://ar.linkedin.com/pub/horacio-leone/23/3B2/6A5" TargetMode="External"/><Relationship Id="rId4965" Type="http://schemas.openxmlformats.org/officeDocument/2006/relationships/hyperlink" Target="http://www.linkedin.com/pub/lorena-amran/19/7aa/260" TargetMode="External"/><Relationship Id="rId2303" Type="http://schemas.openxmlformats.org/officeDocument/2006/relationships/hyperlink" Target="http://www.linkedin.com/pub/chris-j-smith/9/922/424" TargetMode="External"/><Relationship Id="rId3633" Type="http://schemas.openxmlformats.org/officeDocument/2006/relationships/hyperlink" Target="http://ar.linkedin.com/in/virginiv" TargetMode="External"/><Relationship Id="rId4964" Type="http://schemas.openxmlformats.org/officeDocument/2006/relationships/hyperlink" Target="http://ar.linkedin.com/pub/diego-memoli/B/A37/9AA" TargetMode="External"/><Relationship Id="rId2304" Type="http://schemas.openxmlformats.org/officeDocument/2006/relationships/hyperlink" Target="http://www.linkedin.com/pub/sean-hamilton-pmp-itil-sfc-a/5/b9a/37b" TargetMode="External"/><Relationship Id="rId3636" Type="http://schemas.openxmlformats.org/officeDocument/2006/relationships/hyperlink" Target="http://www.linkedin.com/pub/roberto-oscar-lucero/28/7a7/6a5" TargetMode="External"/><Relationship Id="rId4967" Type="http://schemas.openxmlformats.org/officeDocument/2006/relationships/hyperlink" Target="http://www.linkedin.com/pub/elisa-gosio/20/183/3a" TargetMode="External"/><Relationship Id="rId2305" Type="http://schemas.openxmlformats.org/officeDocument/2006/relationships/hyperlink" Target="http://www.linkedin.com/pub/norman-bishop/1/455/B2B" TargetMode="External"/><Relationship Id="rId3635" Type="http://schemas.openxmlformats.org/officeDocument/2006/relationships/hyperlink" Target="http://ar.linkedin.com/pub/eduardo-gomez/22/809/458" TargetMode="External"/><Relationship Id="rId4966" Type="http://schemas.openxmlformats.org/officeDocument/2006/relationships/hyperlink" Target="http://ar.linkedin.com/pub/mauro-ricabarra/12/38B/887" TargetMode="External"/><Relationship Id="rId2306" Type="http://schemas.openxmlformats.org/officeDocument/2006/relationships/hyperlink" Target="http://www.linkedin.com/in/berzinski" TargetMode="External"/><Relationship Id="rId3638" Type="http://schemas.openxmlformats.org/officeDocument/2006/relationships/hyperlink" Target="http://ar.linkedin.com/pub/ary-eppel/1/630/501" TargetMode="External"/><Relationship Id="rId4969" Type="http://schemas.openxmlformats.org/officeDocument/2006/relationships/hyperlink" Target="http://www.linkedin.com/in/martinurquizo" TargetMode="External"/><Relationship Id="rId2307" Type="http://schemas.openxmlformats.org/officeDocument/2006/relationships/hyperlink" Target="http://ca.linkedin.com/in/ostapyshyn" TargetMode="External"/><Relationship Id="rId3637" Type="http://schemas.openxmlformats.org/officeDocument/2006/relationships/hyperlink" Target="http://ar.linkedin.com/pub/rodrigo-ledesma/14/170/176" TargetMode="External"/><Relationship Id="rId4968" Type="http://schemas.openxmlformats.org/officeDocument/2006/relationships/hyperlink" Target="http://ar.linkedin.com/in/marceloescribano" TargetMode="External"/><Relationship Id="rId2308" Type="http://schemas.openxmlformats.org/officeDocument/2006/relationships/hyperlink" Target="http://www.linkedin.com/in/johnloughlin" TargetMode="External"/><Relationship Id="rId2309" Type="http://schemas.openxmlformats.org/officeDocument/2006/relationships/hyperlink" Target="http://www.linkedin.com/in/ryanrecruits" TargetMode="External"/><Relationship Id="rId3639" Type="http://schemas.openxmlformats.org/officeDocument/2006/relationships/hyperlink" Target="http://ar.linkedin.com/pub/gabriela-marazzi/21/959/8A1" TargetMode="External"/><Relationship Id="rId3630" Type="http://schemas.openxmlformats.org/officeDocument/2006/relationships/hyperlink" Target="http://ar.linkedin.com/pub/federico-estivill/1/67/192" TargetMode="External"/><Relationship Id="rId4961" Type="http://schemas.openxmlformats.org/officeDocument/2006/relationships/hyperlink" Target="http://ar.linkedin.com/in/lucialitardo" TargetMode="External"/><Relationship Id="rId4960" Type="http://schemas.openxmlformats.org/officeDocument/2006/relationships/hyperlink" Target="http://www.linkedin.com/pub/luis-molouny/6/39/62a" TargetMode="External"/><Relationship Id="rId2300" Type="http://schemas.openxmlformats.org/officeDocument/2006/relationships/hyperlink" Target="http://www.linkedin.com/pub/brent-belzberg/6/48b/756" TargetMode="External"/><Relationship Id="rId3632" Type="http://schemas.openxmlformats.org/officeDocument/2006/relationships/hyperlink" Target="http://ar.linkedin.com/in/jperelli" TargetMode="External"/><Relationship Id="rId4963" Type="http://schemas.openxmlformats.org/officeDocument/2006/relationships/hyperlink" Target="http://ar.linkedin.com/pub/patricia-bustamante/B/4A3/657" TargetMode="External"/><Relationship Id="rId2301" Type="http://schemas.openxmlformats.org/officeDocument/2006/relationships/hyperlink" Target="http://www.linkedin.com/pub/michael-murphy/1/43B/BB9" TargetMode="External"/><Relationship Id="rId3631" Type="http://schemas.openxmlformats.org/officeDocument/2006/relationships/hyperlink" Target="http://ar.linkedin.com/pub/juan-jose-carro/A/192/580" TargetMode="External"/><Relationship Id="rId4962" Type="http://schemas.openxmlformats.org/officeDocument/2006/relationships/hyperlink" Target="http://ar.linkedin.com/pub/nicolas-falaschi/18/5B5/915" TargetMode="External"/><Relationship Id="rId3623" Type="http://schemas.openxmlformats.org/officeDocument/2006/relationships/hyperlink" Target="http://ar.linkedin.com/pub/natalia-ds/15/493/698" TargetMode="External"/><Relationship Id="rId4954" Type="http://schemas.openxmlformats.org/officeDocument/2006/relationships/hyperlink" Target="http://www.linkedin.com/pub/julieta-abiusi/25/a2a/119" TargetMode="External"/><Relationship Id="rId3622" Type="http://schemas.openxmlformats.org/officeDocument/2006/relationships/hyperlink" Target="http://www.linkedin.com/pub/fernando-gabriel-lezcano/23/386/248" TargetMode="External"/><Relationship Id="rId4953" Type="http://schemas.openxmlformats.org/officeDocument/2006/relationships/hyperlink" Target="http://ar.linkedin.com/pub/germ%C3%A1n-g-ttner/15/730/B38" TargetMode="External"/><Relationship Id="rId3625" Type="http://schemas.openxmlformats.org/officeDocument/2006/relationships/hyperlink" Target="http://ar.linkedin.com/pub/fabio-orellano/3/363/794" TargetMode="External"/><Relationship Id="rId4956" Type="http://schemas.openxmlformats.org/officeDocument/2006/relationships/hyperlink" Target="http://ar.linkedin.com/in/marianoajzenszlos" TargetMode="External"/><Relationship Id="rId3624" Type="http://schemas.openxmlformats.org/officeDocument/2006/relationships/hyperlink" Target="http://ar.linkedin.com/pub/sonia-joaquin/11/A04/973" TargetMode="External"/><Relationship Id="rId4955" Type="http://schemas.openxmlformats.org/officeDocument/2006/relationships/hyperlink" Target="http://ar.linkedin.com/pub/jessica-banegas/9/689/250" TargetMode="External"/><Relationship Id="rId3627" Type="http://schemas.openxmlformats.org/officeDocument/2006/relationships/hyperlink" Target="http://www.linkedin.com/pub/diego-cinto/0/280/75a" TargetMode="External"/><Relationship Id="rId4958" Type="http://schemas.openxmlformats.org/officeDocument/2006/relationships/hyperlink" Target="http://ar.linkedin.com/in/paulinasoria" TargetMode="External"/><Relationship Id="rId3626" Type="http://schemas.openxmlformats.org/officeDocument/2006/relationships/hyperlink" Target="http://www.linkedin.com/pub/pascual-enrique-rombol%C3%A1/6/366/246" TargetMode="External"/><Relationship Id="rId4957" Type="http://schemas.openxmlformats.org/officeDocument/2006/relationships/hyperlink" Target="http://ar.linkedin.com/pub/natalia-bruzzone/26/721/3A8" TargetMode="External"/><Relationship Id="rId3629" Type="http://schemas.openxmlformats.org/officeDocument/2006/relationships/hyperlink" Target="http://ar.linkedin.com/pub/diego-ledesma/9/117/6A2" TargetMode="External"/><Relationship Id="rId3628" Type="http://schemas.openxmlformats.org/officeDocument/2006/relationships/hyperlink" Target="http://www.linkedin.com/pub/teresita-fatima-fernandez/2/442/1a7" TargetMode="External"/><Relationship Id="rId4959" Type="http://schemas.openxmlformats.org/officeDocument/2006/relationships/hyperlink" Target="http://www.linkedin.com/pub/alejandro-straschnoy/23/bb2/a33" TargetMode="External"/><Relationship Id="rId4950" Type="http://schemas.openxmlformats.org/officeDocument/2006/relationships/hyperlink" Target="http://ar.linkedin.com/in/msruiz" TargetMode="External"/><Relationship Id="rId3621" Type="http://schemas.openxmlformats.org/officeDocument/2006/relationships/hyperlink" Target="http://www.linkedin.com/pub/lyndsey-carlson-ruhland/0/437/656" TargetMode="External"/><Relationship Id="rId4952" Type="http://schemas.openxmlformats.org/officeDocument/2006/relationships/hyperlink" Target="http://ar.linkedin.com/in/lucasllorente" TargetMode="External"/><Relationship Id="rId3620" Type="http://schemas.openxmlformats.org/officeDocument/2006/relationships/hyperlink" Target="http://www.linkedin.com/pub/alexis-gerjets/3/890/973" TargetMode="External"/><Relationship Id="rId4951" Type="http://schemas.openxmlformats.org/officeDocument/2006/relationships/hyperlink" Target="http://www.linkedin.com/pub/lucila-lloret-danza-jazz/2b/676/a68" TargetMode="External"/><Relationship Id="rId2324" Type="http://schemas.openxmlformats.org/officeDocument/2006/relationships/hyperlink" Target="http://www.linkedin.com/pub/saif-islam/0/5B4/757" TargetMode="External"/><Relationship Id="rId3656" Type="http://schemas.openxmlformats.org/officeDocument/2006/relationships/hyperlink" Target="http://www.linkedin.com/pub/alirio-terraza/30/596/7" TargetMode="External"/><Relationship Id="rId4987" Type="http://schemas.openxmlformats.org/officeDocument/2006/relationships/hyperlink" Target="http://ar.linkedin.com/pub/paula-cataldi/26/BA4/450" TargetMode="External"/><Relationship Id="rId2325" Type="http://schemas.openxmlformats.org/officeDocument/2006/relationships/hyperlink" Target="http://www.linkedin.com/in/gongszeto" TargetMode="External"/><Relationship Id="rId3655" Type="http://schemas.openxmlformats.org/officeDocument/2006/relationships/hyperlink" Target="http://ar.linkedin.com/in/jonatanalvarez" TargetMode="External"/><Relationship Id="rId4986" Type="http://schemas.openxmlformats.org/officeDocument/2006/relationships/hyperlink" Target="http://ar.linkedin.com/pub/anibal-pose/0/3A0/282" TargetMode="External"/><Relationship Id="rId2326" Type="http://schemas.openxmlformats.org/officeDocument/2006/relationships/hyperlink" Target="http://www.linkedin.com/in/gretawebgirl" TargetMode="External"/><Relationship Id="rId3658" Type="http://schemas.openxmlformats.org/officeDocument/2006/relationships/hyperlink" Target="http://www.linkedin.com/pub/federico-miguel-garcia-scardilli/22/81/545" TargetMode="External"/><Relationship Id="rId4989" Type="http://schemas.openxmlformats.org/officeDocument/2006/relationships/hyperlink" Target="http://www.linkedin.com/pub/silvina-fischkyn/22/892/b91" TargetMode="External"/><Relationship Id="rId2327" Type="http://schemas.openxmlformats.org/officeDocument/2006/relationships/hyperlink" Target="http://uk.linkedin.com/in/enacontractrecruitment" TargetMode="External"/><Relationship Id="rId3657" Type="http://schemas.openxmlformats.org/officeDocument/2006/relationships/hyperlink" Target="http://ar.linkedin.com/in/satorushindoi" TargetMode="External"/><Relationship Id="rId4988" Type="http://schemas.openxmlformats.org/officeDocument/2006/relationships/hyperlink" Target="http://ar.linkedin.com/pub/javier-goldstein/0/A8A/8B0" TargetMode="External"/><Relationship Id="rId2328" Type="http://schemas.openxmlformats.org/officeDocument/2006/relationships/hyperlink" Target="http://www.linkedin.com/pub/karen-m-perrow-mcmains/5/6B/8A5" TargetMode="External"/><Relationship Id="rId2329" Type="http://schemas.openxmlformats.org/officeDocument/2006/relationships/hyperlink" Target="http://www.linkedin.com/pub/david-ulepic/0/527/6AA" TargetMode="External"/><Relationship Id="rId3659" Type="http://schemas.openxmlformats.org/officeDocument/2006/relationships/hyperlink" Target="http://www.linkedin.com/pub/pj-sala/0/5/18A" TargetMode="External"/><Relationship Id="rId3650" Type="http://schemas.openxmlformats.org/officeDocument/2006/relationships/hyperlink" Target="http://ar.linkedin.com/in/lbertola" TargetMode="External"/><Relationship Id="rId4981" Type="http://schemas.openxmlformats.org/officeDocument/2006/relationships/hyperlink" Target="http://ar.linkedin.com/pub/natalia-thomas/15/A44/A24" TargetMode="External"/><Relationship Id="rId4980" Type="http://schemas.openxmlformats.org/officeDocument/2006/relationships/hyperlink" Target="http://www.linkedin.com/pub/soteras-monica/4/b23/79" TargetMode="External"/><Relationship Id="rId2320" Type="http://schemas.openxmlformats.org/officeDocument/2006/relationships/hyperlink" Target="http://www.linkedin.com/in/michaelcmoore" TargetMode="External"/><Relationship Id="rId3652" Type="http://schemas.openxmlformats.org/officeDocument/2006/relationships/hyperlink" Target="http://www.linkedin.com/pub/mart%C3%ADn-barber/1b/683/683" TargetMode="External"/><Relationship Id="rId4983" Type="http://schemas.openxmlformats.org/officeDocument/2006/relationships/hyperlink" Target="http://ar.linkedin.com/pub/erick-winograd/9/859/282" TargetMode="External"/><Relationship Id="rId2321" Type="http://schemas.openxmlformats.org/officeDocument/2006/relationships/hyperlink" Target="http://www.linkedin.com/in/dianedubovybenke" TargetMode="External"/><Relationship Id="rId3651" Type="http://schemas.openxmlformats.org/officeDocument/2006/relationships/hyperlink" Target="http://www.linkedin.com/pub/diego-moltedo/1/b38/a5" TargetMode="External"/><Relationship Id="rId4982" Type="http://schemas.openxmlformats.org/officeDocument/2006/relationships/hyperlink" Target="http://www.linkedin.com/pub/lavin-lucia/8/876/2ba" TargetMode="External"/><Relationship Id="rId2322" Type="http://schemas.openxmlformats.org/officeDocument/2006/relationships/hyperlink" Target="http://www.linkedin.com/pub/neil-livingston/0/2A7/81" TargetMode="External"/><Relationship Id="rId3654" Type="http://schemas.openxmlformats.org/officeDocument/2006/relationships/hyperlink" Target="http://ar.linkedin.com/in/diegoross" TargetMode="External"/><Relationship Id="rId4985" Type="http://schemas.openxmlformats.org/officeDocument/2006/relationships/hyperlink" Target="http://ar.linkedin.com/pub/gustavo-cabello/15/1B7/9B1" TargetMode="External"/><Relationship Id="rId2323" Type="http://schemas.openxmlformats.org/officeDocument/2006/relationships/hyperlink" Target="http://www.linkedin.com/pub/kevin-curry/0/363/30A" TargetMode="External"/><Relationship Id="rId3653" Type="http://schemas.openxmlformats.org/officeDocument/2006/relationships/hyperlink" Target="http://ar.linkedin.com/pub/santiago-fumo/1/4B8/9B3" TargetMode="External"/><Relationship Id="rId4984" Type="http://schemas.openxmlformats.org/officeDocument/2006/relationships/hyperlink" Target="http://ar.linkedin.com/pub/mart%C3%ADn-d-alesio/17/119/19" TargetMode="External"/><Relationship Id="rId2313" Type="http://schemas.openxmlformats.org/officeDocument/2006/relationships/hyperlink" Target="http://www.linkedin.com/pub/leo-knapp/0/5AB/705" TargetMode="External"/><Relationship Id="rId3645" Type="http://schemas.openxmlformats.org/officeDocument/2006/relationships/hyperlink" Target="http://ar.linkedin.com/in/vittoriomuzzi" TargetMode="External"/><Relationship Id="rId4976" Type="http://schemas.openxmlformats.org/officeDocument/2006/relationships/hyperlink" Target="http://ar.linkedin.com/pub/carina-basile/4/515/BA1" TargetMode="External"/><Relationship Id="rId2314" Type="http://schemas.openxmlformats.org/officeDocument/2006/relationships/hyperlink" Target="http://www.linkedin.com/pub/mark-settle/0/B5/293" TargetMode="External"/><Relationship Id="rId3644" Type="http://schemas.openxmlformats.org/officeDocument/2006/relationships/hyperlink" Target="http://ar.linkedin.com/pub/eduardo-penedo/0/56A/154" TargetMode="External"/><Relationship Id="rId4975" Type="http://schemas.openxmlformats.org/officeDocument/2006/relationships/hyperlink" Target="http://www.linkedin.com/pub/rebecca-shujman/0/854/31" TargetMode="External"/><Relationship Id="rId2315" Type="http://schemas.openxmlformats.org/officeDocument/2006/relationships/hyperlink" Target="http://www.linkedin.com/in/tomhartje" TargetMode="External"/><Relationship Id="rId3647" Type="http://schemas.openxmlformats.org/officeDocument/2006/relationships/hyperlink" Target="http://ar.linkedin.com/pub/carlos-morano/1/A2B/173" TargetMode="External"/><Relationship Id="rId4978" Type="http://schemas.openxmlformats.org/officeDocument/2006/relationships/hyperlink" Target="http://www.linkedin.com/pub/dora-abuaf/28/619/52" TargetMode="External"/><Relationship Id="rId2316" Type="http://schemas.openxmlformats.org/officeDocument/2006/relationships/hyperlink" Target="http://www.linkedin.com/pub/jayanth-kygonhalli/0/643/7AB" TargetMode="External"/><Relationship Id="rId3646" Type="http://schemas.openxmlformats.org/officeDocument/2006/relationships/hyperlink" Target="http://ar.linkedin.com/pub/hernan-antolini/3/442/879" TargetMode="External"/><Relationship Id="rId4977" Type="http://schemas.openxmlformats.org/officeDocument/2006/relationships/hyperlink" Target="http://ar.linkedin.com/pub/karina-kuczynski/17/132/5A1" TargetMode="External"/><Relationship Id="rId2317" Type="http://schemas.openxmlformats.org/officeDocument/2006/relationships/hyperlink" Target="http://www.linkedin.com/in/andreadibenedetto" TargetMode="External"/><Relationship Id="rId3649" Type="http://schemas.openxmlformats.org/officeDocument/2006/relationships/hyperlink" Target="http://ar.linkedin.com/pub/alejandra-lopez/10/855/61A" TargetMode="External"/><Relationship Id="rId2318" Type="http://schemas.openxmlformats.org/officeDocument/2006/relationships/hyperlink" Target="http://www.linkedin.com/in/realjtodd" TargetMode="External"/><Relationship Id="rId3648" Type="http://schemas.openxmlformats.org/officeDocument/2006/relationships/hyperlink" Target="http://ar.linkedin.com/in/delgiudice" TargetMode="External"/><Relationship Id="rId4979" Type="http://schemas.openxmlformats.org/officeDocument/2006/relationships/hyperlink" Target="http://ar.linkedin.com/in/ezequieltozzi" TargetMode="External"/><Relationship Id="rId2319" Type="http://schemas.openxmlformats.org/officeDocument/2006/relationships/hyperlink" Target="http://www.linkedin.com/in/zcarman" TargetMode="External"/><Relationship Id="rId4970" Type="http://schemas.openxmlformats.org/officeDocument/2006/relationships/hyperlink" Target="http://ar.linkedin.com/in/deborahrosano" TargetMode="External"/><Relationship Id="rId3641" Type="http://schemas.openxmlformats.org/officeDocument/2006/relationships/hyperlink" Target="http://ar.linkedin.com/in/vpkammerer" TargetMode="External"/><Relationship Id="rId4972" Type="http://schemas.openxmlformats.org/officeDocument/2006/relationships/hyperlink" Target="http://ar.linkedin.com/in/marcelodosa" TargetMode="External"/><Relationship Id="rId2310" Type="http://schemas.openxmlformats.org/officeDocument/2006/relationships/hyperlink" Target="http://www.linkedin.com/in/scottdeloach" TargetMode="External"/><Relationship Id="rId3640" Type="http://schemas.openxmlformats.org/officeDocument/2006/relationships/hyperlink" Target="http://ar.linkedin.com/in/peraltapastor" TargetMode="External"/><Relationship Id="rId4971" Type="http://schemas.openxmlformats.org/officeDocument/2006/relationships/hyperlink" Target="http://ar.linkedin.com/in/jimenamasrian" TargetMode="External"/><Relationship Id="rId2311" Type="http://schemas.openxmlformats.org/officeDocument/2006/relationships/hyperlink" Target="http://it.linkedin.com/pub/pietro-marino/0/82/99A" TargetMode="External"/><Relationship Id="rId3643" Type="http://schemas.openxmlformats.org/officeDocument/2006/relationships/hyperlink" Target="http://www.linkedin.com/pub/jorge-goulu/6/42a/928?trk=pub-pbmap" TargetMode="External"/><Relationship Id="rId4974" Type="http://schemas.openxmlformats.org/officeDocument/2006/relationships/hyperlink" Target="http://www.linkedin.com/in/josenj" TargetMode="External"/><Relationship Id="rId2312" Type="http://schemas.openxmlformats.org/officeDocument/2006/relationships/hyperlink" Target="http://www.linkedin.com/in/danpritchett" TargetMode="External"/><Relationship Id="rId3642" Type="http://schemas.openxmlformats.org/officeDocument/2006/relationships/hyperlink" Target="http://ar.linkedin.com/in/echamorro" TargetMode="External"/><Relationship Id="rId4973" Type="http://schemas.openxmlformats.org/officeDocument/2006/relationships/hyperlink" Target="http://www.linkedin.com/pub/maria-dolores-scotta/0/835/604" TargetMode="External"/><Relationship Id="rId4921" Type="http://schemas.openxmlformats.org/officeDocument/2006/relationships/hyperlink" Target="http://ar.linkedin.com/pub/silvana-torres/24/B00/5A0" TargetMode="External"/><Relationship Id="rId4920" Type="http://schemas.openxmlformats.org/officeDocument/2006/relationships/hyperlink" Target="http://www.linkedin.com/pub/mariano-oscar-abaca/27/9a3/a10" TargetMode="External"/><Relationship Id="rId4923" Type="http://schemas.openxmlformats.org/officeDocument/2006/relationships/hyperlink" Target="http://ar.linkedin.com/in/licdavidramirez" TargetMode="External"/><Relationship Id="rId4922" Type="http://schemas.openxmlformats.org/officeDocument/2006/relationships/hyperlink" Target="http://ar.linkedin.com/in/leonardokosaka" TargetMode="External"/><Relationship Id="rId4925" Type="http://schemas.openxmlformats.org/officeDocument/2006/relationships/hyperlink" Target="http://ar.linkedin.com/pub/agustina-pacin/20/81A/1A" TargetMode="External"/><Relationship Id="rId4924" Type="http://schemas.openxmlformats.org/officeDocument/2006/relationships/hyperlink" Target="http://ar.linkedin.com/in/silvinasancho" TargetMode="External"/><Relationship Id="rId4927" Type="http://schemas.openxmlformats.org/officeDocument/2006/relationships/hyperlink" Target="http://ar.linkedin.com/in/gastonrodriguez" TargetMode="External"/><Relationship Id="rId4926" Type="http://schemas.openxmlformats.org/officeDocument/2006/relationships/hyperlink" Target="http://ar.linkedin.com/pub/guillermo-martinez/12/B50/319" TargetMode="External"/><Relationship Id="rId4929" Type="http://schemas.openxmlformats.org/officeDocument/2006/relationships/hyperlink" Target="http://ar.linkedin.com/pub/sandra-contartese/3/723/6AB" TargetMode="External"/><Relationship Id="rId4928" Type="http://schemas.openxmlformats.org/officeDocument/2006/relationships/hyperlink" Target="http://ar.linkedin.com/in/germandubs" TargetMode="External"/><Relationship Id="rId7195" Type="http://schemas.openxmlformats.org/officeDocument/2006/relationships/hyperlink" Target="http://www.linkedin.com/pub/david-allen/0/25/81B" TargetMode="External"/><Relationship Id="rId7194" Type="http://schemas.openxmlformats.org/officeDocument/2006/relationships/hyperlink" Target="http://www.linkedin.com/pub/marcelo-utard/4/968/b64" TargetMode="External"/><Relationship Id="rId7193" Type="http://schemas.openxmlformats.org/officeDocument/2006/relationships/hyperlink" Target="http://www.linkedin.com/in/commercialre" TargetMode="External"/><Relationship Id="rId7192" Type="http://schemas.openxmlformats.org/officeDocument/2006/relationships/hyperlink" Target="http://www.linkedin.com/pub/federico-adrian-lammel/0/234/80" TargetMode="External"/><Relationship Id="rId7199" Type="http://schemas.openxmlformats.org/officeDocument/2006/relationships/hyperlink" Target="http://ar.linkedin.com/in/leandrogaleano" TargetMode="External"/><Relationship Id="rId7198" Type="http://schemas.openxmlformats.org/officeDocument/2006/relationships/hyperlink" Target="http://www.linkedin.com/in/davemcclure" TargetMode="External"/><Relationship Id="rId7197" Type="http://schemas.openxmlformats.org/officeDocument/2006/relationships/hyperlink" Target="http://www.linkedin.com/pub/bob-crandles/16/971/125" TargetMode="External"/><Relationship Id="rId7196" Type="http://schemas.openxmlformats.org/officeDocument/2006/relationships/hyperlink" Target="http://www.linkedin.com/pub/sebasti%C3%A1n-mayor%C3%A1/a/a77/989" TargetMode="External"/><Relationship Id="rId4910" Type="http://schemas.openxmlformats.org/officeDocument/2006/relationships/hyperlink" Target="http://ar.linkedin.com/pub/mario-davolio/21/607/B1" TargetMode="External"/><Relationship Id="rId4912" Type="http://schemas.openxmlformats.org/officeDocument/2006/relationships/hyperlink" Target="http://ar.linkedin.com/pub/fernando-gomez/A/BAB/B4A" TargetMode="External"/><Relationship Id="rId4911" Type="http://schemas.openxmlformats.org/officeDocument/2006/relationships/hyperlink" Target="http://ar.linkedin.com/pub/gabriela-las-heras/22/B6A/563" TargetMode="External"/><Relationship Id="rId4914" Type="http://schemas.openxmlformats.org/officeDocument/2006/relationships/hyperlink" Target="http://ar.linkedin.com/pub/eugenia-garmendia/4/80B/740" TargetMode="External"/><Relationship Id="rId4913" Type="http://schemas.openxmlformats.org/officeDocument/2006/relationships/hyperlink" Target="http://www.linkedin.com/pub/franco-maratta/26/286/957" TargetMode="External"/><Relationship Id="rId4916" Type="http://schemas.openxmlformats.org/officeDocument/2006/relationships/hyperlink" Target="http://ar.linkedin.com/in/hernanvillanueva" TargetMode="External"/><Relationship Id="rId4915" Type="http://schemas.openxmlformats.org/officeDocument/2006/relationships/hyperlink" Target="https://www.linkedin.com/in/sergiomattioli" TargetMode="External"/><Relationship Id="rId4918" Type="http://schemas.openxmlformats.org/officeDocument/2006/relationships/hyperlink" Target="http://ar.linkedin.com/in/juanamari" TargetMode="External"/><Relationship Id="rId4917" Type="http://schemas.openxmlformats.org/officeDocument/2006/relationships/hyperlink" Target="http://ar.linkedin.com/pub/karin-salvucci/4/968/95A" TargetMode="External"/><Relationship Id="rId4919" Type="http://schemas.openxmlformats.org/officeDocument/2006/relationships/hyperlink" Target="http://www.linkedin.com/pub/mariana-orloff/4/516/846" TargetMode="External"/><Relationship Id="rId7191" Type="http://schemas.openxmlformats.org/officeDocument/2006/relationships/hyperlink" Target="http://ar.linkedin.com/pub/karina-de-rosa/A/139/422" TargetMode="External"/><Relationship Id="rId7190" Type="http://schemas.openxmlformats.org/officeDocument/2006/relationships/hyperlink" Target="http://www.linkedin.com/in/ceciliabertolo" TargetMode="External"/><Relationship Id="rId7184" Type="http://schemas.openxmlformats.org/officeDocument/2006/relationships/hyperlink" Target="http://ar.linkedin.com/in/federicosardi" TargetMode="External"/><Relationship Id="rId7183" Type="http://schemas.openxmlformats.org/officeDocument/2006/relationships/hyperlink" Target="http://ar.linkedin.com/in/rodolfotala" TargetMode="External"/><Relationship Id="rId7182" Type="http://schemas.openxmlformats.org/officeDocument/2006/relationships/hyperlink" Target="http://www.linkedin.com/in/tomattimarcos" TargetMode="External"/><Relationship Id="rId7181" Type="http://schemas.openxmlformats.org/officeDocument/2006/relationships/hyperlink" Target="http://www.linkedin.com/pub/dario-trane/24/637/b0b" TargetMode="External"/><Relationship Id="rId7188" Type="http://schemas.openxmlformats.org/officeDocument/2006/relationships/hyperlink" Target="http://www.linkedin.com/pub/mar%C3%ADa-jose-pereyra-lucena/23/5b/9b0" TargetMode="External"/><Relationship Id="rId7187" Type="http://schemas.openxmlformats.org/officeDocument/2006/relationships/hyperlink" Target="http://ar.linkedin.com/in/ignaciododero" TargetMode="External"/><Relationship Id="rId7186" Type="http://schemas.openxmlformats.org/officeDocument/2006/relationships/hyperlink" Target="http://ar.linkedin.com/pub/nicolas-martinet/A/796/965" TargetMode="External"/><Relationship Id="rId7185" Type="http://schemas.openxmlformats.org/officeDocument/2006/relationships/hyperlink" Target="http://www.linkedin.com/in/jeffnokes" TargetMode="External"/><Relationship Id="rId7189" Type="http://schemas.openxmlformats.org/officeDocument/2006/relationships/hyperlink" Target="https://www.linkedin.com/in/martinbrossman" TargetMode="External"/><Relationship Id="rId3612" Type="http://schemas.openxmlformats.org/officeDocument/2006/relationships/hyperlink" Target="http://www.linkedin.com/pub/lic-victoria-utrilla/24/0/198" TargetMode="External"/><Relationship Id="rId4943" Type="http://schemas.openxmlformats.org/officeDocument/2006/relationships/hyperlink" Target="http://ar.linkedin.com/in/fernandovazquez" TargetMode="External"/><Relationship Id="rId3611" Type="http://schemas.openxmlformats.org/officeDocument/2006/relationships/hyperlink" Target="http://ar.linkedin.com/in/nataliaseccia" TargetMode="External"/><Relationship Id="rId4942" Type="http://schemas.openxmlformats.org/officeDocument/2006/relationships/hyperlink" Target="http://www.linkedin.com/pub/romina-renedo/7/a8b/23a" TargetMode="External"/><Relationship Id="rId3614" Type="http://schemas.openxmlformats.org/officeDocument/2006/relationships/hyperlink" Target="http://ar.linkedin.com/pub/guillermo-ballester/2/89A/3AA" TargetMode="External"/><Relationship Id="rId4945" Type="http://schemas.openxmlformats.org/officeDocument/2006/relationships/hyperlink" Target="http://ar.linkedin.com/pub/javier-kohen-lan-s/A/33B/3A7" TargetMode="External"/><Relationship Id="rId3613" Type="http://schemas.openxmlformats.org/officeDocument/2006/relationships/hyperlink" Target="http://www.linkedin.com/pub/alejandro-szpak/26/534/980" TargetMode="External"/><Relationship Id="rId4944" Type="http://schemas.openxmlformats.org/officeDocument/2006/relationships/hyperlink" Target="http://www.linkedin.com/pub/adriana-bagnati/17/a72/132" TargetMode="External"/><Relationship Id="rId3616" Type="http://schemas.openxmlformats.org/officeDocument/2006/relationships/hyperlink" Target="http://ar.linkedin.com/pub/vanesa-mazzon/A/228/15B" TargetMode="External"/><Relationship Id="rId4947" Type="http://schemas.openxmlformats.org/officeDocument/2006/relationships/hyperlink" Target="http://www.linkedin.com/pub/mart%C3%ADn-eduardo-rivas/1b/70b/830" TargetMode="External"/><Relationship Id="rId3615" Type="http://schemas.openxmlformats.org/officeDocument/2006/relationships/hyperlink" Target="http://ca.linkedin.com/pub/rick-costanzo/0/212/A72" TargetMode="External"/><Relationship Id="rId4946" Type="http://schemas.openxmlformats.org/officeDocument/2006/relationships/hyperlink" Target="http://ar.linkedin.com/pub/sebasti-n-mugica/15/14A/733" TargetMode="External"/><Relationship Id="rId3618" Type="http://schemas.openxmlformats.org/officeDocument/2006/relationships/hyperlink" Target="http://ar.linkedin.com/pub/mar%C3%ADa-fernanda-miceli-medina/14/679/1B3" TargetMode="External"/><Relationship Id="rId4949" Type="http://schemas.openxmlformats.org/officeDocument/2006/relationships/hyperlink" Target="http://ar.linkedin.com/pub/carolina-gutierrez/8/763/9B" TargetMode="External"/><Relationship Id="rId3617" Type="http://schemas.openxmlformats.org/officeDocument/2006/relationships/hyperlink" Target="http://www.linkedin.com/in/carlosdanielperri" TargetMode="External"/><Relationship Id="rId4948" Type="http://schemas.openxmlformats.org/officeDocument/2006/relationships/hyperlink" Target="http://www.linkedin.com/pub/fabian-secchi/0/91a/915" TargetMode="External"/><Relationship Id="rId3619" Type="http://schemas.openxmlformats.org/officeDocument/2006/relationships/hyperlink" Target="http://www.linkedin.com/pub/maria-eugenia-viola/1a/bb6/286" TargetMode="External"/><Relationship Id="rId3610" Type="http://schemas.openxmlformats.org/officeDocument/2006/relationships/hyperlink" Target="http://www.linkedin.com/pub/alejandro-fern%C3%A1ndez-acosta/a/ab4/585" TargetMode="External"/><Relationship Id="rId4941" Type="http://schemas.openxmlformats.org/officeDocument/2006/relationships/hyperlink" Target="http://ar.linkedin.com/pub/alejandra-cantero/22/B1A/269" TargetMode="External"/><Relationship Id="rId4940" Type="http://schemas.openxmlformats.org/officeDocument/2006/relationships/hyperlink" Target="http://ar.linkedin.com/pub/zoltan-rosenfeld/1/6BB/87B" TargetMode="External"/><Relationship Id="rId3601" Type="http://schemas.openxmlformats.org/officeDocument/2006/relationships/hyperlink" Target="http://www.linkedin.com/pub/altaf-mohammed/1/A25/157" TargetMode="External"/><Relationship Id="rId4932" Type="http://schemas.openxmlformats.org/officeDocument/2006/relationships/hyperlink" Target="http://www.linkedin.com/in/dianaruscio" TargetMode="External"/><Relationship Id="rId3600" Type="http://schemas.openxmlformats.org/officeDocument/2006/relationships/hyperlink" Target="http://uk.linkedin.com/pub/alexander-lawrence/0/4A1/4A1" TargetMode="External"/><Relationship Id="rId4931" Type="http://schemas.openxmlformats.org/officeDocument/2006/relationships/hyperlink" Target="http://ar.linkedin.com/in/vanesadiambra05" TargetMode="External"/><Relationship Id="rId3603" Type="http://schemas.openxmlformats.org/officeDocument/2006/relationships/hyperlink" Target="http://www.linkedin.com/pub/cecy-mckee/3/63/909" TargetMode="External"/><Relationship Id="rId4934" Type="http://schemas.openxmlformats.org/officeDocument/2006/relationships/hyperlink" Target="http://www.linkedin.com/in/marianasoto" TargetMode="External"/><Relationship Id="rId3602" Type="http://schemas.openxmlformats.org/officeDocument/2006/relationships/hyperlink" Target="http://www.linkedin.com/pub/paula-vogliazzo-gphr/a/777/328" TargetMode="External"/><Relationship Id="rId4933" Type="http://schemas.openxmlformats.org/officeDocument/2006/relationships/hyperlink" Target="http://ar.linkedin.com/pub/silvina-beatriz-sasso/23/117/987" TargetMode="External"/><Relationship Id="rId3605" Type="http://schemas.openxmlformats.org/officeDocument/2006/relationships/hyperlink" Target="http://www.linkedin.com/pub/michael-sullivan/6/7A2/B44" TargetMode="External"/><Relationship Id="rId4936" Type="http://schemas.openxmlformats.org/officeDocument/2006/relationships/hyperlink" Target="http://ar.linkedin.com/pub/javier-mendia/12/4B/300" TargetMode="External"/><Relationship Id="rId3604" Type="http://schemas.openxmlformats.org/officeDocument/2006/relationships/hyperlink" Target="http://www.linkedin.com/pub/lauri-miller/6/773/851" TargetMode="External"/><Relationship Id="rId4935" Type="http://schemas.openxmlformats.org/officeDocument/2006/relationships/hyperlink" Target="http://www.linkedin.com/pub/mar%C3%ADa-p%C3%ADa-m%C3%A1rquez/15/804/74" TargetMode="External"/><Relationship Id="rId3607" Type="http://schemas.openxmlformats.org/officeDocument/2006/relationships/hyperlink" Target="http://www.linkedin.com/pub/horacio-natale/1/245/b52" TargetMode="External"/><Relationship Id="rId4938" Type="http://schemas.openxmlformats.org/officeDocument/2006/relationships/hyperlink" Target="http://ar.linkedin.com/in/tomichveronica" TargetMode="External"/><Relationship Id="rId3606" Type="http://schemas.openxmlformats.org/officeDocument/2006/relationships/hyperlink" Target="http://ar.linkedin.com/in/swaltamirano" TargetMode="External"/><Relationship Id="rId4937" Type="http://schemas.openxmlformats.org/officeDocument/2006/relationships/hyperlink" Target="http://ar.linkedin.com/pub/daniela-bonetto/21/931/530" TargetMode="External"/><Relationship Id="rId3609" Type="http://schemas.openxmlformats.org/officeDocument/2006/relationships/hyperlink" Target="http://www.linkedin.com/pub/alejandro-sabolansky/8/72/346" TargetMode="External"/><Relationship Id="rId3608" Type="http://schemas.openxmlformats.org/officeDocument/2006/relationships/hyperlink" Target="http://ar.linkedin.com/in/pablokillian" TargetMode="External"/><Relationship Id="rId4939" Type="http://schemas.openxmlformats.org/officeDocument/2006/relationships/hyperlink" Target="http://ar.linkedin.com/in/jesdobronich1979" TargetMode="External"/><Relationship Id="rId4930" Type="http://schemas.openxmlformats.org/officeDocument/2006/relationships/hyperlink" Target="http://www.linkedin.com/pub/lucila-marchisello/2a/828/361" TargetMode="External"/><Relationship Id="rId1059" Type="http://schemas.openxmlformats.org/officeDocument/2006/relationships/hyperlink" Target="http://www.linkedin.com/in/tiagosoromenho" TargetMode="External"/><Relationship Id="rId2380" Type="http://schemas.openxmlformats.org/officeDocument/2006/relationships/hyperlink" Target="http://www.linkedin.com/in/carolpoliti" TargetMode="External"/><Relationship Id="rId1050" Type="http://schemas.openxmlformats.org/officeDocument/2006/relationships/hyperlink" Target="http://www.linkedin.com/in/marknoneman" TargetMode="External"/><Relationship Id="rId2381" Type="http://schemas.openxmlformats.org/officeDocument/2006/relationships/hyperlink" Target="http://www.linkedin.com/in/dllra" TargetMode="External"/><Relationship Id="rId1051" Type="http://schemas.openxmlformats.org/officeDocument/2006/relationships/hyperlink" Target="http://www.linkedin.com/in/ernesthuber" TargetMode="External"/><Relationship Id="rId2382" Type="http://schemas.openxmlformats.org/officeDocument/2006/relationships/hyperlink" Target="http://www.linkedin.com/pub/jeff-pool/2/858/569" TargetMode="External"/><Relationship Id="rId1052" Type="http://schemas.openxmlformats.org/officeDocument/2006/relationships/hyperlink" Target="http://www.linkedin.com/in/prathaphg" TargetMode="External"/><Relationship Id="rId2383" Type="http://schemas.openxmlformats.org/officeDocument/2006/relationships/hyperlink" Target="http://dk.linkedin.com/in/anibaldamiao" TargetMode="External"/><Relationship Id="rId1053" Type="http://schemas.openxmlformats.org/officeDocument/2006/relationships/hyperlink" Target="http://uk.linkedin.com/in/petermurtoughconsultant" TargetMode="External"/><Relationship Id="rId2384" Type="http://schemas.openxmlformats.org/officeDocument/2006/relationships/hyperlink" Target="http://www.linkedin.com/pub/trisha-morris-tmorris-at-braxtoncooper-com/1/240/476" TargetMode="External"/><Relationship Id="rId1054" Type="http://schemas.openxmlformats.org/officeDocument/2006/relationships/hyperlink" Target="http://www.linkedin.com/pub/jason-connor/2/3A5/B58" TargetMode="External"/><Relationship Id="rId2385" Type="http://schemas.openxmlformats.org/officeDocument/2006/relationships/hyperlink" Target="http://www.linkedin.com/in/jeffnovich" TargetMode="External"/><Relationship Id="rId1055" Type="http://schemas.openxmlformats.org/officeDocument/2006/relationships/hyperlink" Target="http://www.linkedin.com/in/ajgriffiths" TargetMode="External"/><Relationship Id="rId2386" Type="http://schemas.openxmlformats.org/officeDocument/2006/relationships/hyperlink" Target="http://www.linkedin.com/pub/cliff-feigenbaum/0/191/608" TargetMode="External"/><Relationship Id="rId1056" Type="http://schemas.openxmlformats.org/officeDocument/2006/relationships/hyperlink" Target="http://www.linkedin.com/in/198622" TargetMode="External"/><Relationship Id="rId2387" Type="http://schemas.openxmlformats.org/officeDocument/2006/relationships/hyperlink" Target="http://www.linkedin.com/in/arunshantharam" TargetMode="External"/><Relationship Id="rId1057" Type="http://schemas.openxmlformats.org/officeDocument/2006/relationships/hyperlink" Target="http://www.linkedin.com/pub/john-zicker/8/93A/70" TargetMode="External"/><Relationship Id="rId2388" Type="http://schemas.openxmlformats.org/officeDocument/2006/relationships/hyperlink" Target="http://lu.linkedin.com/in/bassemdaher" TargetMode="External"/><Relationship Id="rId1058" Type="http://schemas.openxmlformats.org/officeDocument/2006/relationships/hyperlink" Target="http://www.linkedin.com/in/koppelmantalentmagnet" TargetMode="External"/><Relationship Id="rId2389" Type="http://schemas.openxmlformats.org/officeDocument/2006/relationships/hyperlink" Target="http://www.linkedin.com/pub/sally-franz/3/99A/7B1" TargetMode="External"/><Relationship Id="rId1048" Type="http://schemas.openxmlformats.org/officeDocument/2006/relationships/hyperlink" Target="http://www.linkedin.com/in/businessdev" TargetMode="External"/><Relationship Id="rId2379" Type="http://schemas.openxmlformats.org/officeDocument/2006/relationships/hyperlink" Target="http://www.linkedin.com/pub/eric-sall/0/139/677" TargetMode="External"/><Relationship Id="rId1049" Type="http://schemas.openxmlformats.org/officeDocument/2006/relationships/hyperlink" Target="http://www.linkedin.com/in/mszymanski" TargetMode="External"/><Relationship Id="rId2370" Type="http://schemas.openxmlformats.org/officeDocument/2006/relationships/hyperlink" Target="http://www.linkedin.com/in/vensonkuchipudi" TargetMode="External"/><Relationship Id="rId1040" Type="http://schemas.openxmlformats.org/officeDocument/2006/relationships/hyperlink" Target="http://www.linkedin.com/in/emarquez" TargetMode="External"/><Relationship Id="rId2371" Type="http://schemas.openxmlformats.org/officeDocument/2006/relationships/hyperlink" Target="http://www.linkedin.com/pub/paul-edmondson/0/36/505" TargetMode="External"/><Relationship Id="rId1041" Type="http://schemas.openxmlformats.org/officeDocument/2006/relationships/hyperlink" Target="http://www.linkedin.com/pub/tony-hilbourne/0/b8/548" TargetMode="External"/><Relationship Id="rId2372" Type="http://schemas.openxmlformats.org/officeDocument/2006/relationships/hyperlink" Target="http://www.linkedin.com/pub/reuven-goldberg/6/B93/A6" TargetMode="External"/><Relationship Id="rId1042" Type="http://schemas.openxmlformats.org/officeDocument/2006/relationships/hyperlink" Target="http://fr.linkedin.com/pub/bernard-vincent/1/526/1AA" TargetMode="External"/><Relationship Id="rId2373" Type="http://schemas.openxmlformats.org/officeDocument/2006/relationships/hyperlink" Target="http://uk.linkedin.com/pub/fabrizio-sicilia/4/599/B07" TargetMode="External"/><Relationship Id="rId1043" Type="http://schemas.openxmlformats.org/officeDocument/2006/relationships/hyperlink" Target="http://ca.linkedin.com/in/jennison" TargetMode="External"/><Relationship Id="rId2374" Type="http://schemas.openxmlformats.org/officeDocument/2006/relationships/hyperlink" Target="http://www.linkedin.com/in/briankazan" TargetMode="External"/><Relationship Id="rId1044" Type="http://schemas.openxmlformats.org/officeDocument/2006/relationships/hyperlink" Target="http://www.linkedin.com/in/nikosacuna" TargetMode="External"/><Relationship Id="rId2375" Type="http://schemas.openxmlformats.org/officeDocument/2006/relationships/hyperlink" Target="http://www.linkedin.com/pub/john-starling/0/66/60A" TargetMode="External"/><Relationship Id="rId1045" Type="http://schemas.openxmlformats.org/officeDocument/2006/relationships/hyperlink" Target="http://www.linkedin.com/in/dbhide" TargetMode="External"/><Relationship Id="rId2376" Type="http://schemas.openxmlformats.org/officeDocument/2006/relationships/hyperlink" Target="http://www.linkedin.com/in/glensurles" TargetMode="External"/><Relationship Id="rId1046" Type="http://schemas.openxmlformats.org/officeDocument/2006/relationships/hyperlink" Target="http://www.linkedin.com/in/josegrilli" TargetMode="External"/><Relationship Id="rId2377" Type="http://schemas.openxmlformats.org/officeDocument/2006/relationships/hyperlink" Target="http://www.linkedin.com/pub/aksana-navumenka/6/206/895" TargetMode="External"/><Relationship Id="rId1047" Type="http://schemas.openxmlformats.org/officeDocument/2006/relationships/hyperlink" Target="http://www.linkedin.com/in/larrymirto" TargetMode="External"/><Relationship Id="rId2378" Type="http://schemas.openxmlformats.org/officeDocument/2006/relationships/hyperlink" Target="http://uk.linkedin.com/in/thierrysequeira" TargetMode="External"/><Relationship Id="rId1070" Type="http://schemas.openxmlformats.org/officeDocument/2006/relationships/hyperlink" Target="http://www.linkedin.com/pub/bindu-sagar/B/911/286" TargetMode="External"/><Relationship Id="rId1071" Type="http://schemas.openxmlformats.org/officeDocument/2006/relationships/hyperlink" Target="http://in.linkedin.com/pub/santosh-pillai/B/B32/7B1" TargetMode="External"/><Relationship Id="rId1072" Type="http://schemas.openxmlformats.org/officeDocument/2006/relationships/hyperlink" Target="http://es.linkedin.com/pub/fernando-galvache/3/86A/1A6" TargetMode="External"/><Relationship Id="rId1073" Type="http://schemas.openxmlformats.org/officeDocument/2006/relationships/hyperlink" Target="http://br.linkedin.com/pub/andr-luis-guimar-es/29/A05/9B" TargetMode="External"/><Relationship Id="rId1074" Type="http://schemas.openxmlformats.org/officeDocument/2006/relationships/hyperlink" Target="http://br.linkedin.com/pub/andreia-tierno/29/A26/3A8" TargetMode="External"/><Relationship Id="rId1075" Type="http://schemas.openxmlformats.org/officeDocument/2006/relationships/hyperlink" Target="http://br.linkedin.com/pub/marcelo-ricardo-de-lima/29/A61/A3A" TargetMode="External"/><Relationship Id="rId1076" Type="http://schemas.openxmlformats.org/officeDocument/2006/relationships/hyperlink" Target="http://br.linkedin.com/pub/andrea-manente/29/B8B/117" TargetMode="External"/><Relationship Id="rId1077" Type="http://schemas.openxmlformats.org/officeDocument/2006/relationships/hyperlink" Target="http://br.linkedin.com/pub/danilo-delgado/2A/4B/158" TargetMode="External"/><Relationship Id="rId1078" Type="http://schemas.openxmlformats.org/officeDocument/2006/relationships/hyperlink" Target="http://www.linkedin.com/pub/dave-perry/0/93B/3B9" TargetMode="External"/><Relationship Id="rId1079" Type="http://schemas.openxmlformats.org/officeDocument/2006/relationships/hyperlink" Target="http://www.linkedin.com/in/stevejallen" TargetMode="External"/><Relationship Id="rId2390" Type="http://schemas.openxmlformats.org/officeDocument/2006/relationships/hyperlink" Target="http://www.linkedin.com/in/noahjsmith" TargetMode="External"/><Relationship Id="rId1060" Type="http://schemas.openxmlformats.org/officeDocument/2006/relationships/hyperlink" Target="http://uk.linkedin.com/pub/charlene-clay/2/948/606" TargetMode="External"/><Relationship Id="rId2391" Type="http://schemas.openxmlformats.org/officeDocument/2006/relationships/hyperlink" Target="http://br.linkedin.com/in/fabioishii" TargetMode="External"/><Relationship Id="rId1061" Type="http://schemas.openxmlformats.org/officeDocument/2006/relationships/hyperlink" Target="http://www.linkedin.com/pub/lane-patterson/0/B26/ABB" TargetMode="External"/><Relationship Id="rId2392" Type="http://schemas.openxmlformats.org/officeDocument/2006/relationships/hyperlink" Target="http://nl.linkedin.com/in/floristoth" TargetMode="External"/><Relationship Id="rId1062" Type="http://schemas.openxmlformats.org/officeDocument/2006/relationships/hyperlink" Target="https://www.linkedin.com/in/muxnarasimhan" TargetMode="External"/><Relationship Id="rId2393" Type="http://schemas.openxmlformats.org/officeDocument/2006/relationships/hyperlink" Target="http://www.linkedin.com/in/melvinnelson" TargetMode="External"/><Relationship Id="rId1063" Type="http://schemas.openxmlformats.org/officeDocument/2006/relationships/hyperlink" Target="http://br.linkedin.com/pub/luiz-carlos-camargo/29/339/396" TargetMode="External"/><Relationship Id="rId2394" Type="http://schemas.openxmlformats.org/officeDocument/2006/relationships/hyperlink" Target="http://www.linkedin.com/pub/mark-sanor/0/484/17" TargetMode="External"/><Relationship Id="rId1064" Type="http://schemas.openxmlformats.org/officeDocument/2006/relationships/hyperlink" Target="http://www.linkedin.com/in/rickweidinger" TargetMode="External"/><Relationship Id="rId2395" Type="http://schemas.openxmlformats.org/officeDocument/2006/relationships/hyperlink" Target="http://www.linkedin.com/pub/henry-tirri/0/82/564" TargetMode="External"/><Relationship Id="rId1065" Type="http://schemas.openxmlformats.org/officeDocument/2006/relationships/hyperlink" Target="http://br.linkedin.com/pub/antonio-rogerio-juliao/29/453/942" TargetMode="External"/><Relationship Id="rId2396" Type="http://schemas.openxmlformats.org/officeDocument/2006/relationships/hyperlink" Target="http://www.linkedin.com/in/georgeeid" TargetMode="External"/><Relationship Id="rId1066" Type="http://schemas.openxmlformats.org/officeDocument/2006/relationships/hyperlink" Target="http://www.linkedin.com/in/timreilly" TargetMode="External"/><Relationship Id="rId2397" Type="http://schemas.openxmlformats.org/officeDocument/2006/relationships/hyperlink" Target="http://www.linkedin.com/pub/thomas-thorp/7/871/A77" TargetMode="External"/><Relationship Id="rId1067" Type="http://schemas.openxmlformats.org/officeDocument/2006/relationships/hyperlink" Target="http://br.linkedin.com/pub/everton-helder/29/646/614" TargetMode="External"/><Relationship Id="rId2398" Type="http://schemas.openxmlformats.org/officeDocument/2006/relationships/hyperlink" Target="http://www.linkedin.com/in/dchippsmith" TargetMode="External"/><Relationship Id="rId1068" Type="http://schemas.openxmlformats.org/officeDocument/2006/relationships/hyperlink" Target="http://www.linkedin.com/in/davidescialpi" TargetMode="External"/><Relationship Id="rId2399" Type="http://schemas.openxmlformats.org/officeDocument/2006/relationships/hyperlink" Target="http://ca.linkedin.com/in/johnlohnes" TargetMode="External"/><Relationship Id="rId1069" Type="http://schemas.openxmlformats.org/officeDocument/2006/relationships/hyperlink" Target="http://br.linkedin.com/pub/misael-machado/29/756/B6B" TargetMode="External"/><Relationship Id="rId1015" Type="http://schemas.openxmlformats.org/officeDocument/2006/relationships/hyperlink" Target="http://www.linkedin.com/in/morrisjessup" TargetMode="External"/><Relationship Id="rId2346" Type="http://schemas.openxmlformats.org/officeDocument/2006/relationships/hyperlink" Target="http://uk.linkedin.com/pub/cristian-maties/1/653/943" TargetMode="External"/><Relationship Id="rId3678" Type="http://schemas.openxmlformats.org/officeDocument/2006/relationships/hyperlink" Target="http://www.linkedin.com/pub/pablo-diego-fern%C3%A1ndez-beccacece/22/623/a99" TargetMode="External"/><Relationship Id="rId1016" Type="http://schemas.openxmlformats.org/officeDocument/2006/relationships/hyperlink" Target="http://www.linkedin.com/in/jackpetrie" TargetMode="External"/><Relationship Id="rId2347" Type="http://schemas.openxmlformats.org/officeDocument/2006/relationships/hyperlink" Target="http://es.linkedin.com/pub/carlos-villacastin/4/458/993" TargetMode="External"/><Relationship Id="rId3677" Type="http://schemas.openxmlformats.org/officeDocument/2006/relationships/hyperlink" Target="http://ar.linkedin.com/pub/mariana-carballeda/13/474/A67" TargetMode="External"/><Relationship Id="rId1017" Type="http://schemas.openxmlformats.org/officeDocument/2006/relationships/hyperlink" Target="http://www.linkedin.com/pub/gavin-mlinar/3/5B8/229" TargetMode="External"/><Relationship Id="rId2348" Type="http://schemas.openxmlformats.org/officeDocument/2006/relationships/hyperlink" Target="http://www.linkedin.com/in/jasonbreault" TargetMode="External"/><Relationship Id="rId1018" Type="http://schemas.openxmlformats.org/officeDocument/2006/relationships/hyperlink" Target="http://www.linkedin.com/pub/mike-west-cpc/0/983/167" TargetMode="External"/><Relationship Id="rId2349" Type="http://schemas.openxmlformats.org/officeDocument/2006/relationships/hyperlink" Target="http://www.linkedin.com/in/warrenmason" TargetMode="External"/><Relationship Id="rId3679" Type="http://schemas.openxmlformats.org/officeDocument/2006/relationships/hyperlink" Target="http://www.linkedin.com/pub/federico-ozar%C3%A1n/7/848/8a5" TargetMode="External"/><Relationship Id="rId1019" Type="http://schemas.openxmlformats.org/officeDocument/2006/relationships/hyperlink" Target="http://www.linkedin.com/pub/gidon-coussin/0/536/9A6" TargetMode="External"/><Relationship Id="rId3670" Type="http://schemas.openxmlformats.org/officeDocument/2006/relationships/hyperlink" Target="http://uk.linkedin.com/pub/charlie-foster/26/149/AB8" TargetMode="External"/><Relationship Id="rId2340" Type="http://schemas.openxmlformats.org/officeDocument/2006/relationships/hyperlink" Target="http://www.linkedin.com/in/jasonwlogsdon" TargetMode="External"/><Relationship Id="rId3672" Type="http://schemas.openxmlformats.org/officeDocument/2006/relationships/hyperlink" Target="http://ar.linkedin.com/pub/karina-zullo/21/609/B38" TargetMode="External"/><Relationship Id="rId1010" Type="http://schemas.openxmlformats.org/officeDocument/2006/relationships/hyperlink" Target="http://www.linkedin.com/pub/rogelio-oliva/0/374/A52" TargetMode="External"/><Relationship Id="rId2341" Type="http://schemas.openxmlformats.org/officeDocument/2006/relationships/hyperlink" Target="https://www.linkedin.com/in/adamrneary" TargetMode="External"/><Relationship Id="rId3671" Type="http://schemas.openxmlformats.org/officeDocument/2006/relationships/hyperlink" Target="http://www.linkedin.com/in/ccunha" TargetMode="External"/><Relationship Id="rId1011" Type="http://schemas.openxmlformats.org/officeDocument/2006/relationships/hyperlink" Target="http://www.linkedin.com/in/uttiyadasgupta" TargetMode="External"/><Relationship Id="rId2342" Type="http://schemas.openxmlformats.org/officeDocument/2006/relationships/hyperlink" Target="http://www.linkedin.com/pub/bart-childers/3/A05/1B3" TargetMode="External"/><Relationship Id="rId3674" Type="http://schemas.openxmlformats.org/officeDocument/2006/relationships/hyperlink" Target="http://ar.linkedin.com/pub/florentino-estrada/B/347/3B5" TargetMode="External"/><Relationship Id="rId1012" Type="http://schemas.openxmlformats.org/officeDocument/2006/relationships/hyperlink" Target="http://www.linkedin.com/pub/cassandra-babbington/0/540/A27" TargetMode="External"/><Relationship Id="rId2343" Type="http://schemas.openxmlformats.org/officeDocument/2006/relationships/hyperlink" Target="http://www.linkedin.com/in/acathey" TargetMode="External"/><Relationship Id="rId3673" Type="http://schemas.openxmlformats.org/officeDocument/2006/relationships/hyperlink" Target="http://www.linkedin.com/in/hugonlopez" TargetMode="External"/><Relationship Id="rId1013" Type="http://schemas.openxmlformats.org/officeDocument/2006/relationships/hyperlink" Target="http://www.linkedin.com/pub/don-wagenblast/0/477/111" TargetMode="External"/><Relationship Id="rId2344" Type="http://schemas.openxmlformats.org/officeDocument/2006/relationships/hyperlink" Target="http://www.linkedin.com/in/dianesetness" TargetMode="External"/><Relationship Id="rId3676" Type="http://schemas.openxmlformats.org/officeDocument/2006/relationships/hyperlink" Target="http://www.linkedin.com/pub/debora-humerez/7/588/61" TargetMode="External"/><Relationship Id="rId1014" Type="http://schemas.openxmlformats.org/officeDocument/2006/relationships/hyperlink" Target="http://br.linkedin.com/pub/ricardo-monteiro/0/44B/785" TargetMode="External"/><Relationship Id="rId2345" Type="http://schemas.openxmlformats.org/officeDocument/2006/relationships/hyperlink" Target="http://www.linkedin.com/pub/sharon-hart/2/54/228" TargetMode="External"/><Relationship Id="rId3675" Type="http://schemas.openxmlformats.org/officeDocument/2006/relationships/hyperlink" Target="http://www.linkedin.com/pub/alejandro-daniel-aranguren/5/421/513" TargetMode="External"/><Relationship Id="rId1004" Type="http://schemas.openxmlformats.org/officeDocument/2006/relationships/hyperlink" Target="http://www.linkedin.com/in/timetracking" TargetMode="External"/><Relationship Id="rId2335" Type="http://schemas.openxmlformats.org/officeDocument/2006/relationships/hyperlink" Target="http://www.linkedin.com/pub/tim-green/9/355/27A" TargetMode="External"/><Relationship Id="rId3667" Type="http://schemas.openxmlformats.org/officeDocument/2006/relationships/hyperlink" Target="http://www.linkedin.com/in/susanaguerraphd" TargetMode="External"/><Relationship Id="rId4998" Type="http://schemas.openxmlformats.org/officeDocument/2006/relationships/hyperlink" Target="http://ar.linkedin.com/pub/ivana-steinberg/B/773/52" TargetMode="External"/><Relationship Id="rId1005" Type="http://schemas.openxmlformats.org/officeDocument/2006/relationships/hyperlink" Target="http://ca.linkedin.com/in/jjkaczor" TargetMode="External"/><Relationship Id="rId2336" Type="http://schemas.openxmlformats.org/officeDocument/2006/relationships/hyperlink" Target="http://www.linkedin.com/in/rmkaplan" TargetMode="External"/><Relationship Id="rId3666" Type="http://schemas.openxmlformats.org/officeDocument/2006/relationships/hyperlink" Target="http://www.linkedin.com/pub/ana-de-almeida/1B/B13/B97" TargetMode="External"/><Relationship Id="rId4997" Type="http://schemas.openxmlformats.org/officeDocument/2006/relationships/hyperlink" Target="http://www.linkedin.com/pub/alejandro-steffan/1b/71b/a04" TargetMode="External"/><Relationship Id="rId1006" Type="http://schemas.openxmlformats.org/officeDocument/2006/relationships/hyperlink" Target="http://ravichandran.rajagopalgmail.com" TargetMode="External"/><Relationship Id="rId2337" Type="http://schemas.openxmlformats.org/officeDocument/2006/relationships/hyperlink" Target="http://www.linkedin.com/in/joshwexelbaum" TargetMode="External"/><Relationship Id="rId3669" Type="http://schemas.openxmlformats.org/officeDocument/2006/relationships/hyperlink" Target="http://uk.linkedin.com/pub/pali-jhita/5/90B/19" TargetMode="External"/><Relationship Id="rId1007" Type="http://schemas.openxmlformats.org/officeDocument/2006/relationships/hyperlink" Target="http://www.linkedin.com/in/vaishnavyllc" TargetMode="External"/><Relationship Id="rId2338" Type="http://schemas.openxmlformats.org/officeDocument/2006/relationships/hyperlink" Target="http://www.linkedin.com/in/jrdenny" TargetMode="External"/><Relationship Id="rId3668" Type="http://schemas.openxmlformats.org/officeDocument/2006/relationships/hyperlink" Target="http://www.linkedin.com/pub/walter-m%C3%A9ndez-portela/13/b34/608" TargetMode="External"/><Relationship Id="rId4999" Type="http://schemas.openxmlformats.org/officeDocument/2006/relationships/hyperlink" Target="http://ar.linkedin.com/in/marielaggonzalez" TargetMode="External"/><Relationship Id="rId1008" Type="http://schemas.openxmlformats.org/officeDocument/2006/relationships/hyperlink" Target="http://www.linkedin.com/pub/pramod-gaur-phd/0/395/340" TargetMode="External"/><Relationship Id="rId2339" Type="http://schemas.openxmlformats.org/officeDocument/2006/relationships/hyperlink" Target="http://www.linkedin.com/in/stephaniejohnsoncpc" TargetMode="External"/><Relationship Id="rId1009" Type="http://schemas.openxmlformats.org/officeDocument/2006/relationships/hyperlink" Target="http://www.linkedin.com/pub/upendra-giri/1/623/12A" TargetMode="External"/><Relationship Id="rId4990" Type="http://schemas.openxmlformats.org/officeDocument/2006/relationships/hyperlink" Target="http://ar.linkedin.com/pub/martin-franco/10/482/60B" TargetMode="External"/><Relationship Id="rId3661" Type="http://schemas.openxmlformats.org/officeDocument/2006/relationships/hyperlink" Target="http://ar.linkedin.com/pub/analia-somma/5/A90/B06" TargetMode="External"/><Relationship Id="rId4992" Type="http://schemas.openxmlformats.org/officeDocument/2006/relationships/hyperlink" Target="http://ar.linkedin.com/pub/mar%C3%ADa-sol-ferrari/25/7A9/A88" TargetMode="External"/><Relationship Id="rId2330" Type="http://schemas.openxmlformats.org/officeDocument/2006/relationships/hyperlink" Target="http://www.linkedin.com/in/otbelcher" TargetMode="External"/><Relationship Id="rId3660" Type="http://schemas.openxmlformats.org/officeDocument/2006/relationships/hyperlink" Target="http://www.linkedin.com/in/nathanweber" TargetMode="External"/><Relationship Id="rId4991" Type="http://schemas.openxmlformats.org/officeDocument/2006/relationships/hyperlink" Target="http://ar.linkedin.com/in/alefavale" TargetMode="External"/><Relationship Id="rId1000" Type="http://schemas.openxmlformats.org/officeDocument/2006/relationships/hyperlink" Target="http://www.linkedin.com/in/jasonjohnson" TargetMode="External"/><Relationship Id="rId2331" Type="http://schemas.openxmlformats.org/officeDocument/2006/relationships/hyperlink" Target="http://www.linkedin.com/in/richodato" TargetMode="External"/><Relationship Id="rId3663" Type="http://schemas.openxmlformats.org/officeDocument/2006/relationships/hyperlink" Target="http://www.linkedin.com/pub/stephy-ochoa/b/178/b46" TargetMode="External"/><Relationship Id="rId4994" Type="http://schemas.openxmlformats.org/officeDocument/2006/relationships/hyperlink" Target="http://www.linkedin.com/pub/clara-goyret/2b/14a/32a" TargetMode="External"/><Relationship Id="rId1001" Type="http://schemas.openxmlformats.org/officeDocument/2006/relationships/hyperlink" Target="http://www.linkedin.com/pub/kurt-garbe/0/52/332" TargetMode="External"/><Relationship Id="rId2332" Type="http://schemas.openxmlformats.org/officeDocument/2006/relationships/hyperlink" Target="http://www.linkedin.com/in/paulacaligiuri" TargetMode="External"/><Relationship Id="rId3662" Type="http://schemas.openxmlformats.org/officeDocument/2006/relationships/hyperlink" Target="http://ar.linkedin.com/pub/gustavo-deluca/9/54A/270" TargetMode="External"/><Relationship Id="rId4993" Type="http://schemas.openxmlformats.org/officeDocument/2006/relationships/hyperlink" Target="http://ar.linkedin.com/pub/pablo-viola-fox-sports/25/300/590" TargetMode="External"/><Relationship Id="rId1002" Type="http://schemas.openxmlformats.org/officeDocument/2006/relationships/hyperlink" Target="http://uk.linkedin.com/in/gerardodonovan" TargetMode="External"/><Relationship Id="rId2333" Type="http://schemas.openxmlformats.org/officeDocument/2006/relationships/hyperlink" Target="http://in.linkedin.com/in/sangam" TargetMode="External"/><Relationship Id="rId3665" Type="http://schemas.openxmlformats.org/officeDocument/2006/relationships/hyperlink" Target="http://www.linkedin.com/pub/fernanda-costa/12/677/7B" TargetMode="External"/><Relationship Id="rId4996" Type="http://schemas.openxmlformats.org/officeDocument/2006/relationships/hyperlink" Target="http://ar.linkedin.com/pub/patricia-ivanic/25/79/8BA" TargetMode="External"/><Relationship Id="rId1003" Type="http://schemas.openxmlformats.org/officeDocument/2006/relationships/hyperlink" Target="http://www.linkedin.com/in/coachklein" TargetMode="External"/><Relationship Id="rId2334" Type="http://schemas.openxmlformats.org/officeDocument/2006/relationships/hyperlink" Target="http://www.linkedin.com/in/barrykessler" TargetMode="External"/><Relationship Id="rId3664" Type="http://schemas.openxmlformats.org/officeDocument/2006/relationships/hyperlink" Target="http://www.linkedin.com/in/gotogirl" TargetMode="External"/><Relationship Id="rId4995" Type="http://schemas.openxmlformats.org/officeDocument/2006/relationships/hyperlink" Target="http://www.linkedin.com/pub/luciano-grenni/2/154/7b3" TargetMode="External"/><Relationship Id="rId1037" Type="http://schemas.openxmlformats.org/officeDocument/2006/relationships/hyperlink" Target="http://www.linkedin.com/in/siliconglen" TargetMode="External"/><Relationship Id="rId2368" Type="http://schemas.openxmlformats.org/officeDocument/2006/relationships/hyperlink" Target="http://www.linkedin.com/in/dennispape" TargetMode="External"/><Relationship Id="rId1038" Type="http://schemas.openxmlformats.org/officeDocument/2006/relationships/hyperlink" Target="http://www.linkedin.com/pub/will-egner/1/542/60A" TargetMode="External"/><Relationship Id="rId2369" Type="http://schemas.openxmlformats.org/officeDocument/2006/relationships/hyperlink" Target="http://br.linkedin.com/in/wendelsilva" TargetMode="External"/><Relationship Id="rId3699" Type="http://schemas.openxmlformats.org/officeDocument/2006/relationships/hyperlink" Target="http://ar.linkedin.com/in/constanzabianchi" TargetMode="External"/><Relationship Id="rId1039" Type="http://schemas.openxmlformats.org/officeDocument/2006/relationships/hyperlink" Target="http://www.linkedin.com/in/kbolman" TargetMode="External"/><Relationship Id="rId3690" Type="http://schemas.openxmlformats.org/officeDocument/2006/relationships/hyperlink" Target="http://ar.linkedin.com/pub/ezequiel-saidman/16/556/9A5" TargetMode="External"/><Relationship Id="rId2360" Type="http://schemas.openxmlformats.org/officeDocument/2006/relationships/hyperlink" Target="http://www.linkedin.com/in/williamhooverconsulting" TargetMode="External"/><Relationship Id="rId3692" Type="http://schemas.openxmlformats.org/officeDocument/2006/relationships/hyperlink" Target="http://www.linkedin.com/pub/flavio-hecht/2/ab5/a31" TargetMode="External"/><Relationship Id="rId1030" Type="http://schemas.openxmlformats.org/officeDocument/2006/relationships/hyperlink" Target="https://www.linkedin.com/pub/patti-coulter/0/708/b52" TargetMode="External"/><Relationship Id="rId2361" Type="http://schemas.openxmlformats.org/officeDocument/2006/relationships/hyperlink" Target="http://www.linkedin.com/in/successcoachforwomen" TargetMode="External"/><Relationship Id="rId3691" Type="http://schemas.openxmlformats.org/officeDocument/2006/relationships/hyperlink" Target="http://ar.linkedin.com/pub/zaira-g-erci/23/66B/A5A" TargetMode="External"/><Relationship Id="rId1031" Type="http://schemas.openxmlformats.org/officeDocument/2006/relationships/hyperlink" Target="http://www.linkedin.com/pub/matt-simpson/5/307/B48" TargetMode="External"/><Relationship Id="rId2362" Type="http://schemas.openxmlformats.org/officeDocument/2006/relationships/hyperlink" Target="http://www.linkedin.com/pub/trevor-b-adey/1/3AA/957" TargetMode="External"/><Relationship Id="rId3694" Type="http://schemas.openxmlformats.org/officeDocument/2006/relationships/hyperlink" Target="http://www.linkedin.com/pub/lucio-inda/15/960/5a" TargetMode="External"/><Relationship Id="rId1032" Type="http://schemas.openxmlformats.org/officeDocument/2006/relationships/hyperlink" Target="http://www.linkedin.com/pub/j-amy-stewart/1/13A/812" TargetMode="External"/><Relationship Id="rId2363" Type="http://schemas.openxmlformats.org/officeDocument/2006/relationships/hyperlink" Target="http://www.linkedin.com/in/roshitsh" TargetMode="External"/><Relationship Id="rId3693" Type="http://schemas.openxmlformats.org/officeDocument/2006/relationships/hyperlink" Target="http://ar.linkedin.com/pub/gustavo-parodi/12/116/B5A" TargetMode="External"/><Relationship Id="rId1033" Type="http://schemas.openxmlformats.org/officeDocument/2006/relationships/hyperlink" Target="http://www.linkedin.com/pub/vijay-nadkarni/1/320/634" TargetMode="External"/><Relationship Id="rId2364" Type="http://schemas.openxmlformats.org/officeDocument/2006/relationships/hyperlink" Target="http://www.linkedin.com/in/carlguseastcorporation" TargetMode="External"/><Relationship Id="rId3696" Type="http://schemas.openxmlformats.org/officeDocument/2006/relationships/hyperlink" Target="http://ar.linkedin.com/pub/juan-pablo-bruno/4/485/1A9" TargetMode="External"/><Relationship Id="rId1034" Type="http://schemas.openxmlformats.org/officeDocument/2006/relationships/hyperlink" Target="http://www.linkedin.com/in/spotharaju" TargetMode="External"/><Relationship Id="rId2365" Type="http://schemas.openxmlformats.org/officeDocument/2006/relationships/hyperlink" Target="http://www.linkedin.com/pub/scott-d-saslow/0/20/466" TargetMode="External"/><Relationship Id="rId3695" Type="http://schemas.openxmlformats.org/officeDocument/2006/relationships/hyperlink" Target="http://www.linkedin.com/pub/fernando-aguiar-mella/0/a95/820" TargetMode="External"/><Relationship Id="rId1035" Type="http://schemas.openxmlformats.org/officeDocument/2006/relationships/hyperlink" Target="http://de.linkedin.com/pub/carlo-f-lapadula/B/555/862" TargetMode="External"/><Relationship Id="rId2366" Type="http://schemas.openxmlformats.org/officeDocument/2006/relationships/hyperlink" Target="http://www.linkedin.com/pub/mark-conry/0/722/689" TargetMode="External"/><Relationship Id="rId3698" Type="http://schemas.openxmlformats.org/officeDocument/2006/relationships/hyperlink" Target="http://ar.linkedin.com/in/adutto" TargetMode="External"/><Relationship Id="rId1036" Type="http://schemas.openxmlformats.org/officeDocument/2006/relationships/hyperlink" Target="http://www.linkedin.com/pub/greg-berman/1/43/803" TargetMode="External"/><Relationship Id="rId2367" Type="http://schemas.openxmlformats.org/officeDocument/2006/relationships/hyperlink" Target="http://www.linkedin.com/pub/greg-vigrass/0/A3B/7A9" TargetMode="External"/><Relationship Id="rId3697" Type="http://schemas.openxmlformats.org/officeDocument/2006/relationships/hyperlink" Target="http://ar.linkedin.com/in/eugeniaingaramo" TargetMode="External"/><Relationship Id="rId1026" Type="http://schemas.openxmlformats.org/officeDocument/2006/relationships/hyperlink" Target="http://www.linkedin.com/in/timhight" TargetMode="External"/><Relationship Id="rId2357" Type="http://schemas.openxmlformats.org/officeDocument/2006/relationships/hyperlink" Target="http://www.linkedin.com/pub/megan-madge/4/299/870" TargetMode="External"/><Relationship Id="rId3689" Type="http://schemas.openxmlformats.org/officeDocument/2006/relationships/hyperlink" Target="http://ar.linkedin.com/in/nataliavcorvalan" TargetMode="External"/><Relationship Id="rId1027" Type="http://schemas.openxmlformats.org/officeDocument/2006/relationships/hyperlink" Target="http://www.linkedin.com/in/peterlevitan" TargetMode="External"/><Relationship Id="rId2358" Type="http://schemas.openxmlformats.org/officeDocument/2006/relationships/hyperlink" Target="http://br.linkedin.com/pub/paulo-manuel/17/B0/BA5" TargetMode="External"/><Relationship Id="rId3688" Type="http://schemas.openxmlformats.org/officeDocument/2006/relationships/hyperlink" Target="http://ar.linkedin.com/pub/maria-virginia-gomez-mena/28/614/792" TargetMode="External"/><Relationship Id="rId1028" Type="http://schemas.openxmlformats.org/officeDocument/2006/relationships/hyperlink" Target="http://www.linkedin.com/pub/monica-coleman-massey-mmassey-dfamilk-com-/6/617/940" TargetMode="External"/><Relationship Id="rId2359" Type="http://schemas.openxmlformats.org/officeDocument/2006/relationships/hyperlink" Target="http://www.linkedin.com/in/dagliodden" TargetMode="External"/><Relationship Id="rId1029" Type="http://schemas.openxmlformats.org/officeDocument/2006/relationships/hyperlink" Target="http://www.linkedin.com/pub/pramode-metre/0/b21/a39" TargetMode="External"/><Relationship Id="rId3681" Type="http://schemas.openxmlformats.org/officeDocument/2006/relationships/hyperlink" Target="http://ar.linkedin.com/pub/fernanda-apicella/16/388/633" TargetMode="External"/><Relationship Id="rId2350" Type="http://schemas.openxmlformats.org/officeDocument/2006/relationships/hyperlink" Target="http://www.linkedin.com/in/lisavandyke" TargetMode="External"/><Relationship Id="rId3680" Type="http://schemas.openxmlformats.org/officeDocument/2006/relationships/hyperlink" Target="http://www.linkedin.com/pub/mar%C3%ADa-bel%C3%A9n-diez-targise/8/621/823" TargetMode="External"/><Relationship Id="rId1020" Type="http://schemas.openxmlformats.org/officeDocument/2006/relationships/hyperlink" Target="http://www.linkedin.com/pub/francisco-arango/15/87/946" TargetMode="External"/><Relationship Id="rId2351" Type="http://schemas.openxmlformats.org/officeDocument/2006/relationships/hyperlink" Target="http://www.linkedin.com/pub/stephen-bailey/4/514/7BB" TargetMode="External"/><Relationship Id="rId3683" Type="http://schemas.openxmlformats.org/officeDocument/2006/relationships/hyperlink" Target="http://www.linkedin.com/pub/anah%C3%AD-caligaris/23/a02/98a" TargetMode="External"/><Relationship Id="rId1021" Type="http://schemas.openxmlformats.org/officeDocument/2006/relationships/hyperlink" Target="http://www.linkedin.com/pub/stephen-balsam/19/53/B91" TargetMode="External"/><Relationship Id="rId2352" Type="http://schemas.openxmlformats.org/officeDocument/2006/relationships/hyperlink" Target="http://www.linkedin.com/pub/james-hostetter/2/470/3A5" TargetMode="External"/><Relationship Id="rId3682" Type="http://schemas.openxmlformats.org/officeDocument/2006/relationships/hyperlink" Target="http://ar.linkedin.com/pub/anabella-l%C3%B3pez/1B/686/489" TargetMode="External"/><Relationship Id="rId1022" Type="http://schemas.openxmlformats.org/officeDocument/2006/relationships/hyperlink" Target="http://uk.linkedin.com/in/nicksmartin" TargetMode="External"/><Relationship Id="rId2353" Type="http://schemas.openxmlformats.org/officeDocument/2006/relationships/hyperlink" Target="http://www.linkedin.com/pub/shilpa-shah/1/320/468" TargetMode="External"/><Relationship Id="rId3685" Type="http://schemas.openxmlformats.org/officeDocument/2006/relationships/hyperlink" Target="http://www.linkedin.com/in/nancysturm" TargetMode="External"/><Relationship Id="rId1023" Type="http://schemas.openxmlformats.org/officeDocument/2006/relationships/hyperlink" Target="http://www.linkedin.com/pub/rose-quinn/0/A20/828" TargetMode="External"/><Relationship Id="rId2354" Type="http://schemas.openxmlformats.org/officeDocument/2006/relationships/hyperlink" Target="http://pt.linkedin.com/pub/davide-duarte/6/862/96" TargetMode="External"/><Relationship Id="rId3684" Type="http://schemas.openxmlformats.org/officeDocument/2006/relationships/hyperlink" Target="http://ar.linkedin.com/in/psapoznik" TargetMode="External"/><Relationship Id="rId1024" Type="http://schemas.openxmlformats.org/officeDocument/2006/relationships/hyperlink" Target="http://www.linkedin.com/pub/dr-pratip-dastidar/0/7A7/B3B" TargetMode="External"/><Relationship Id="rId2355" Type="http://schemas.openxmlformats.org/officeDocument/2006/relationships/hyperlink" Target="http://www.linkedin.com/pub/donna-farmer/2/655/825" TargetMode="External"/><Relationship Id="rId3687" Type="http://schemas.openxmlformats.org/officeDocument/2006/relationships/hyperlink" Target="http://ar.linkedin.com/pub/ezequiel-lecea/26/466/456" TargetMode="External"/><Relationship Id="rId1025" Type="http://schemas.openxmlformats.org/officeDocument/2006/relationships/hyperlink" Target="http://www.linkedin.com/in/alexislevi" TargetMode="External"/><Relationship Id="rId2356" Type="http://schemas.openxmlformats.org/officeDocument/2006/relationships/hyperlink" Target="http://www.linkedin.com/pub/injae-jeong/1/456/A3" TargetMode="External"/><Relationship Id="rId3686" Type="http://schemas.openxmlformats.org/officeDocument/2006/relationships/hyperlink" Target="http://www.linkedin.com/pub/juan-santiago/2/194/146" TargetMode="External"/><Relationship Id="rId8529" Type="http://schemas.openxmlformats.org/officeDocument/2006/relationships/hyperlink" Target="http://www.linkedin.com/in/rodgerdesai" TargetMode="External"/><Relationship Id="rId8528" Type="http://schemas.openxmlformats.org/officeDocument/2006/relationships/hyperlink" Target="http://www.linkedin.com/in/influencecommunications" TargetMode="External"/><Relationship Id="rId9859" Type="http://schemas.openxmlformats.org/officeDocument/2006/relationships/hyperlink" Target="http://www.linkedin.com/in/amjain" TargetMode="External"/><Relationship Id="rId9850" Type="http://schemas.openxmlformats.org/officeDocument/2006/relationships/hyperlink" Target="http://www.linkedin.com/pub/bruce-corson/0/44/470" TargetMode="External"/><Relationship Id="rId8523" Type="http://schemas.openxmlformats.org/officeDocument/2006/relationships/hyperlink" Target="http://www.linkedin.com/in/johnmmccalla" TargetMode="External"/><Relationship Id="rId9855" Type="http://schemas.openxmlformats.org/officeDocument/2006/relationships/hyperlink" Target="http://www.linkedin.com/in/glenstarchman" TargetMode="External"/><Relationship Id="rId8522" Type="http://schemas.openxmlformats.org/officeDocument/2006/relationships/hyperlink" Target="http://www.linkedin.com/in/michaelraneri" TargetMode="External"/><Relationship Id="rId9856" Type="http://schemas.openxmlformats.org/officeDocument/2006/relationships/hyperlink" Target="http://www.linkedin.com/in/joshmcfarland" TargetMode="External"/><Relationship Id="rId8521" Type="http://schemas.openxmlformats.org/officeDocument/2006/relationships/hyperlink" Target="http://www.linkedin.com/pub/chris-klaus/0/52/646" TargetMode="External"/><Relationship Id="rId9857" Type="http://schemas.openxmlformats.org/officeDocument/2006/relationships/hyperlink" Target="http://www.linkedin.com/pub/james-beal-lion-1700-/0/675/A08" TargetMode="External"/><Relationship Id="rId8520" Type="http://schemas.openxmlformats.org/officeDocument/2006/relationships/hyperlink" Target="http://www.linkedin.com/in/dnielsen" TargetMode="External"/><Relationship Id="rId9858" Type="http://schemas.openxmlformats.org/officeDocument/2006/relationships/hyperlink" Target="http://www.linkedin.com/pub/kurt-busch/0/150/47A" TargetMode="External"/><Relationship Id="rId8527" Type="http://schemas.openxmlformats.org/officeDocument/2006/relationships/hyperlink" Target="http://www.linkedin.com/in/craigprimiani" TargetMode="External"/><Relationship Id="rId9851" Type="http://schemas.openxmlformats.org/officeDocument/2006/relationships/hyperlink" Target="http://www.linkedin.com/in/earcher59" TargetMode="External"/><Relationship Id="rId8526" Type="http://schemas.openxmlformats.org/officeDocument/2006/relationships/hyperlink" Target="http://www.linkedin.com/in/brianmcclure" TargetMode="External"/><Relationship Id="rId9852" Type="http://schemas.openxmlformats.org/officeDocument/2006/relationships/hyperlink" Target="http://www.linkedin.com/in/dwayrynen" TargetMode="External"/><Relationship Id="rId8525" Type="http://schemas.openxmlformats.org/officeDocument/2006/relationships/hyperlink" Target="http://www.linkedin.com/pub/dennis-omanoff/0/76/40A" TargetMode="External"/><Relationship Id="rId9853" Type="http://schemas.openxmlformats.org/officeDocument/2006/relationships/hyperlink" Target="http://www.linkedin.com/pub/kirk-mcdonald/0/4/824" TargetMode="External"/><Relationship Id="rId8524" Type="http://schemas.openxmlformats.org/officeDocument/2006/relationships/hyperlink" Target="http://www.linkedin.com/in/mosesma" TargetMode="External"/><Relationship Id="rId9854" Type="http://schemas.openxmlformats.org/officeDocument/2006/relationships/hyperlink" Target="http://www.linkedin.com/in/salil" TargetMode="External"/><Relationship Id="rId8519" Type="http://schemas.openxmlformats.org/officeDocument/2006/relationships/hyperlink" Target="http://www.linkedin.com/in/adamcrigger" TargetMode="External"/><Relationship Id="rId8518" Type="http://schemas.openxmlformats.org/officeDocument/2006/relationships/hyperlink" Target="http://www.linkedin.com/in/jackbourque123acquiretalent" TargetMode="External"/><Relationship Id="rId8517" Type="http://schemas.openxmlformats.org/officeDocument/2006/relationships/hyperlink" Target="http://www.linkedin.com/in/areid5" TargetMode="External"/><Relationship Id="rId9848" Type="http://schemas.openxmlformats.org/officeDocument/2006/relationships/hyperlink" Target="http://www.linkedin.com/in/mattcohenprofile" TargetMode="External"/><Relationship Id="rId9849" Type="http://schemas.openxmlformats.org/officeDocument/2006/relationships/hyperlink" Target="http://www.linkedin.com/in/fbrody" TargetMode="External"/><Relationship Id="rId8512" Type="http://schemas.openxmlformats.org/officeDocument/2006/relationships/hyperlink" Target="http://www.linkedin.com/in/jonchun" TargetMode="External"/><Relationship Id="rId9844" Type="http://schemas.openxmlformats.org/officeDocument/2006/relationships/hyperlink" Target="http://www.linkedin.com/in/tomhulsey" TargetMode="External"/><Relationship Id="rId8511" Type="http://schemas.openxmlformats.org/officeDocument/2006/relationships/hyperlink" Target="http://www.linkedin.com/in/auren" TargetMode="External"/><Relationship Id="rId9845" Type="http://schemas.openxmlformats.org/officeDocument/2006/relationships/hyperlink" Target="http://www.linkedin.com/in/georgeclin" TargetMode="External"/><Relationship Id="rId8510" Type="http://schemas.openxmlformats.org/officeDocument/2006/relationships/hyperlink" Target="http://www.linkedin.com/in/khannasuresh" TargetMode="External"/><Relationship Id="rId9846" Type="http://schemas.openxmlformats.org/officeDocument/2006/relationships/hyperlink" Target="http://www.linkedin.com/in/tomconrad" TargetMode="External"/><Relationship Id="rId9847" Type="http://schemas.openxmlformats.org/officeDocument/2006/relationships/hyperlink" Target="http://www.linkedin.com/in/hsabharwal" TargetMode="External"/><Relationship Id="rId8516" Type="http://schemas.openxmlformats.org/officeDocument/2006/relationships/hyperlink" Target="http://www.linkedin.com/in/markbauer" TargetMode="External"/><Relationship Id="rId9840" Type="http://schemas.openxmlformats.org/officeDocument/2006/relationships/hyperlink" Target="http://www.linkedin.com/in/jasonrutherford" TargetMode="External"/><Relationship Id="rId8515" Type="http://schemas.openxmlformats.org/officeDocument/2006/relationships/hyperlink" Target="http://www.linkedin.com/pub/carolina-vallucci/0/40/85A" TargetMode="External"/><Relationship Id="rId9841" Type="http://schemas.openxmlformats.org/officeDocument/2006/relationships/hyperlink" Target="http://www.linkedin.com/in/nicolaiwadstrom" TargetMode="External"/><Relationship Id="rId8514" Type="http://schemas.openxmlformats.org/officeDocument/2006/relationships/hyperlink" Target="http://www.linkedin.com/in/electronicart" TargetMode="External"/><Relationship Id="rId9842" Type="http://schemas.openxmlformats.org/officeDocument/2006/relationships/hyperlink" Target="http://www.linkedin.com/in/briangiese" TargetMode="External"/><Relationship Id="rId8513" Type="http://schemas.openxmlformats.org/officeDocument/2006/relationships/hyperlink" Target="http://www.linkedin.com/in/jonathanabrams" TargetMode="External"/><Relationship Id="rId9843" Type="http://schemas.openxmlformats.org/officeDocument/2006/relationships/hyperlink" Target="http://www.linkedin.com/pub/hal-steger/0/27/931" TargetMode="External"/><Relationship Id="rId7219" Type="http://schemas.openxmlformats.org/officeDocument/2006/relationships/hyperlink" Target="http://www.linkedin.com/pub/sebasti%C3%A1n-stenico/13/609/466" TargetMode="External"/><Relationship Id="rId9870" Type="http://schemas.openxmlformats.org/officeDocument/2006/relationships/hyperlink" Target="http://www.linkedin.com/in/jpeizer" TargetMode="External"/><Relationship Id="rId9871" Type="http://schemas.openxmlformats.org/officeDocument/2006/relationships/hyperlink" Target="http://www.linkedin.com/in/adituppal" TargetMode="External"/><Relationship Id="rId9872" Type="http://schemas.openxmlformats.org/officeDocument/2006/relationships/hyperlink" Target="http://www.linkedin.com/in/ronehlers" TargetMode="External"/><Relationship Id="rId7210" Type="http://schemas.openxmlformats.org/officeDocument/2006/relationships/hyperlink" Target="http://www.linkedin.com/pub/reena-bhatt/1/A8B/535" TargetMode="External"/><Relationship Id="rId8541" Type="http://schemas.openxmlformats.org/officeDocument/2006/relationships/hyperlink" Target="http://www.linkedin.com/in/elliotsolomon" TargetMode="External"/><Relationship Id="rId8540" Type="http://schemas.openxmlformats.org/officeDocument/2006/relationships/hyperlink" Target="http://www.linkedin.com/in/ethauvin" TargetMode="External"/><Relationship Id="rId7214" Type="http://schemas.openxmlformats.org/officeDocument/2006/relationships/hyperlink" Target="http://www.linkedin.com/pub/martin-ortells/2/219/357" TargetMode="External"/><Relationship Id="rId8545" Type="http://schemas.openxmlformats.org/officeDocument/2006/relationships/hyperlink" Target="http://www.linkedin.com/pub/ron-drabkin/0/4/9B1" TargetMode="External"/><Relationship Id="rId9877" Type="http://schemas.openxmlformats.org/officeDocument/2006/relationships/hyperlink" Target="http://www.linkedin.com/in/lukasbradley" TargetMode="External"/><Relationship Id="rId7213" Type="http://schemas.openxmlformats.org/officeDocument/2006/relationships/hyperlink" Target="http://ar.linkedin.com/pub/marcelo-dos-reis/6/A41/41" TargetMode="External"/><Relationship Id="rId8544" Type="http://schemas.openxmlformats.org/officeDocument/2006/relationships/hyperlink" Target="http://www.linkedin.com/in/drewlindsay" TargetMode="External"/><Relationship Id="rId9878" Type="http://schemas.openxmlformats.org/officeDocument/2006/relationships/hyperlink" Target="http://www.linkedin.com/in/davepowell" TargetMode="External"/><Relationship Id="rId7212" Type="http://schemas.openxmlformats.org/officeDocument/2006/relationships/hyperlink" Target="http://www.linkedin.com/pub/amanda-ortega/9/625/723" TargetMode="External"/><Relationship Id="rId8543" Type="http://schemas.openxmlformats.org/officeDocument/2006/relationships/hyperlink" Target="http://www.linkedin.com/in/maymitchell" TargetMode="External"/><Relationship Id="rId9879" Type="http://schemas.openxmlformats.org/officeDocument/2006/relationships/hyperlink" Target="http://www.linkedin.com/in/jaylitton" TargetMode="External"/><Relationship Id="rId7211" Type="http://schemas.openxmlformats.org/officeDocument/2006/relationships/hyperlink" Target="http://www.linkedin.com/pub/mike-fesler/0/381/7A7" TargetMode="External"/><Relationship Id="rId8542" Type="http://schemas.openxmlformats.org/officeDocument/2006/relationships/hyperlink" Target="http://www.linkedin.com/in/chrispirillo" TargetMode="External"/><Relationship Id="rId7218" Type="http://schemas.openxmlformats.org/officeDocument/2006/relationships/hyperlink" Target="http://www.linkedin.com/pub/camila-casale/4/787/696" TargetMode="External"/><Relationship Id="rId8549" Type="http://schemas.openxmlformats.org/officeDocument/2006/relationships/hyperlink" Target="http://www.linkedin.com/in/kwheeler" TargetMode="External"/><Relationship Id="rId9873" Type="http://schemas.openxmlformats.org/officeDocument/2006/relationships/hyperlink" Target="http://www.linkedin.com/in/krrau" TargetMode="External"/><Relationship Id="rId7217" Type="http://schemas.openxmlformats.org/officeDocument/2006/relationships/hyperlink" Target="http://ar.linkedin.com/pub/hugo-baiz%C3%A1n/7/851/74A" TargetMode="External"/><Relationship Id="rId8548" Type="http://schemas.openxmlformats.org/officeDocument/2006/relationships/hyperlink" Target="http://www.linkedin.com/in/president" TargetMode="External"/><Relationship Id="rId9874" Type="http://schemas.openxmlformats.org/officeDocument/2006/relationships/hyperlink" Target="http://www.linkedin.com/in/rsmorrow" TargetMode="External"/><Relationship Id="rId7216" Type="http://schemas.openxmlformats.org/officeDocument/2006/relationships/hyperlink" Target="http://www.linkedin.com/pub/manolo-morales/0/217/203" TargetMode="External"/><Relationship Id="rId8547" Type="http://schemas.openxmlformats.org/officeDocument/2006/relationships/hyperlink" Target="http://www.linkedin.com/in/bijoygoswami" TargetMode="External"/><Relationship Id="rId9875" Type="http://schemas.openxmlformats.org/officeDocument/2006/relationships/hyperlink" Target="http://www.linkedin.com/in/yakovkamen" TargetMode="External"/><Relationship Id="rId7215" Type="http://schemas.openxmlformats.org/officeDocument/2006/relationships/hyperlink" Target="http://www.linkedin.com/in/gustavocanalis" TargetMode="External"/><Relationship Id="rId8546" Type="http://schemas.openxmlformats.org/officeDocument/2006/relationships/hyperlink" Target="http://www.linkedin.com/pub/david-taber/0/8/242" TargetMode="External"/><Relationship Id="rId9876" Type="http://schemas.openxmlformats.org/officeDocument/2006/relationships/hyperlink" Target="http://www.linkedin.com/in/jeffreyschmitz1" TargetMode="External"/><Relationship Id="rId7209" Type="http://schemas.openxmlformats.org/officeDocument/2006/relationships/hyperlink" Target="http://ar.linkedin.com/in/marianaverderame" TargetMode="External"/><Relationship Id="rId7208" Type="http://schemas.openxmlformats.org/officeDocument/2006/relationships/hyperlink" Target="http://www.linkedin.com/in/vilmar" TargetMode="External"/><Relationship Id="rId8539" Type="http://schemas.openxmlformats.org/officeDocument/2006/relationships/hyperlink" Target="http://www.linkedin.com/in/oritkeren" TargetMode="External"/><Relationship Id="rId9860" Type="http://schemas.openxmlformats.org/officeDocument/2006/relationships/hyperlink" Target="http://www.linkedin.com/in/gardnermichael" TargetMode="External"/><Relationship Id="rId9861" Type="http://schemas.openxmlformats.org/officeDocument/2006/relationships/hyperlink" Target="http://www.linkedin.com/pub/alan-snyder/0/110/35B" TargetMode="External"/><Relationship Id="rId8530" Type="http://schemas.openxmlformats.org/officeDocument/2006/relationships/hyperlink" Target="http://www.linkedin.com/in/shiraharrington" TargetMode="External"/><Relationship Id="rId7203" Type="http://schemas.openxmlformats.org/officeDocument/2006/relationships/hyperlink" Target="http://www.linkedin.com/in/xaviermantilla" TargetMode="External"/><Relationship Id="rId8534" Type="http://schemas.openxmlformats.org/officeDocument/2006/relationships/hyperlink" Target="http://www.linkedin.com/pub/glenn-gow/0/20/720" TargetMode="External"/><Relationship Id="rId9866" Type="http://schemas.openxmlformats.org/officeDocument/2006/relationships/hyperlink" Target="http://www.linkedin.com/in/shantanumitra2009" TargetMode="External"/><Relationship Id="rId7202" Type="http://schemas.openxmlformats.org/officeDocument/2006/relationships/hyperlink" Target="http://www.linkedin.com/pub/daniela-rosa/4/7B3/184" TargetMode="External"/><Relationship Id="rId8533" Type="http://schemas.openxmlformats.org/officeDocument/2006/relationships/hyperlink" Target="http://www.linkedin.com/in/avneron" TargetMode="External"/><Relationship Id="rId9867" Type="http://schemas.openxmlformats.org/officeDocument/2006/relationships/hyperlink" Target="http://www.linkedin.com/in/tommyperkins" TargetMode="External"/><Relationship Id="rId7201" Type="http://schemas.openxmlformats.org/officeDocument/2006/relationships/hyperlink" Target="http://www.linkedin.com/in/jakekaldenbaugh" TargetMode="External"/><Relationship Id="rId8532" Type="http://schemas.openxmlformats.org/officeDocument/2006/relationships/hyperlink" Target="http://www.linkedin.com/in/michelleherman" TargetMode="External"/><Relationship Id="rId9868" Type="http://schemas.openxmlformats.org/officeDocument/2006/relationships/hyperlink" Target="http://www.linkedin.com/in/scottlandman" TargetMode="External"/><Relationship Id="rId7200" Type="http://schemas.openxmlformats.org/officeDocument/2006/relationships/hyperlink" Target="http://www.linkedin.com/in/kayluo" TargetMode="External"/><Relationship Id="rId8531" Type="http://schemas.openxmlformats.org/officeDocument/2006/relationships/hyperlink" Target="http://www.linkedin.com/in/petermerguerian" TargetMode="External"/><Relationship Id="rId9869" Type="http://schemas.openxmlformats.org/officeDocument/2006/relationships/hyperlink" Target="http://www.linkedin.com/in/markgaydos" TargetMode="External"/><Relationship Id="rId7207" Type="http://schemas.openxmlformats.org/officeDocument/2006/relationships/hyperlink" Target="http://www.linkedin.com/in/bernardburney" TargetMode="External"/><Relationship Id="rId8538" Type="http://schemas.openxmlformats.org/officeDocument/2006/relationships/hyperlink" Target="http://www.linkedin.com/in/susanmoses" TargetMode="External"/><Relationship Id="rId9862" Type="http://schemas.openxmlformats.org/officeDocument/2006/relationships/hyperlink" Target="http://www.linkedin.com/in/tneubert" TargetMode="External"/><Relationship Id="rId7206" Type="http://schemas.openxmlformats.org/officeDocument/2006/relationships/hyperlink" Target="http://ar.linkedin.com/pub/carlos-chavero/6/342/640" TargetMode="External"/><Relationship Id="rId8537" Type="http://schemas.openxmlformats.org/officeDocument/2006/relationships/hyperlink" Target="http://www.linkedin.com/in/lisagansky" TargetMode="External"/><Relationship Id="rId9863" Type="http://schemas.openxmlformats.org/officeDocument/2006/relationships/hyperlink" Target="http://www.linkedin.com/in/artmonk" TargetMode="External"/><Relationship Id="rId7205" Type="http://schemas.openxmlformats.org/officeDocument/2006/relationships/hyperlink" Target="http://www.linkedin.com/in/stevehouck" TargetMode="External"/><Relationship Id="rId8536" Type="http://schemas.openxmlformats.org/officeDocument/2006/relationships/hyperlink" Target="http://www.linkedin.com/pub/michael-yang/0/A/ABB" TargetMode="External"/><Relationship Id="rId9864" Type="http://schemas.openxmlformats.org/officeDocument/2006/relationships/hyperlink" Target="http://www.linkedin.com/in/acoppola" TargetMode="External"/><Relationship Id="rId7204" Type="http://schemas.openxmlformats.org/officeDocument/2006/relationships/hyperlink" Target="http://www.linkedin.com/in/gutmach" TargetMode="External"/><Relationship Id="rId8535" Type="http://schemas.openxmlformats.org/officeDocument/2006/relationships/hyperlink" Target="http://www.linkedin.com/in/roygilbert" TargetMode="External"/><Relationship Id="rId9865" Type="http://schemas.openxmlformats.org/officeDocument/2006/relationships/hyperlink" Target="http://www.linkedin.com/in/jackhschwartz" TargetMode="External"/><Relationship Id="rId9819" Type="http://schemas.openxmlformats.org/officeDocument/2006/relationships/hyperlink" Target="http://www.linkedin.com/in/howardting" TargetMode="External"/><Relationship Id="rId9815" Type="http://schemas.openxmlformats.org/officeDocument/2006/relationships/hyperlink" Target="http://www.linkedin.com/in/dself" TargetMode="External"/><Relationship Id="rId9816" Type="http://schemas.openxmlformats.org/officeDocument/2006/relationships/hyperlink" Target="http://www.linkedin.com/pub/bill-hogan/2/8A1/7" TargetMode="External"/><Relationship Id="rId9817" Type="http://schemas.openxmlformats.org/officeDocument/2006/relationships/hyperlink" Target="http://www.linkedin.com/in/occasio" TargetMode="External"/><Relationship Id="rId9818" Type="http://schemas.openxmlformats.org/officeDocument/2006/relationships/hyperlink" Target="http://www.linkedin.com/in/troyd" TargetMode="External"/><Relationship Id="rId1090" Type="http://schemas.openxmlformats.org/officeDocument/2006/relationships/hyperlink" Target="http://www.linkedin.com/in/ericklinker" TargetMode="External"/><Relationship Id="rId1091" Type="http://schemas.openxmlformats.org/officeDocument/2006/relationships/hyperlink" Target="http://www.linkedin.com/pub/ottogalli-alessandro/0/209/474" TargetMode="External"/><Relationship Id="rId1092" Type="http://schemas.openxmlformats.org/officeDocument/2006/relationships/hyperlink" Target="http://www.linkedin.com/pub/katie-snapp/0/12B/36A" TargetMode="External"/><Relationship Id="rId1093" Type="http://schemas.openxmlformats.org/officeDocument/2006/relationships/hyperlink" Target="http://www.linkedin.com/pub/paul-kravits/0/239/131" TargetMode="External"/><Relationship Id="rId1094" Type="http://schemas.openxmlformats.org/officeDocument/2006/relationships/hyperlink" Target="http://www.linkedin.com/in/garynewgaard" TargetMode="External"/><Relationship Id="rId1095" Type="http://schemas.openxmlformats.org/officeDocument/2006/relationships/hyperlink" Target="http://www.linkedin.com/in/kevinseefried" TargetMode="External"/><Relationship Id="rId9811" Type="http://schemas.openxmlformats.org/officeDocument/2006/relationships/hyperlink" Target="http://www.linkedin.com/in/jimcampbell" TargetMode="External"/><Relationship Id="rId1096" Type="http://schemas.openxmlformats.org/officeDocument/2006/relationships/hyperlink" Target="http://pt.linkedin.com/pub/fernando-sousa/0/A56/52" TargetMode="External"/><Relationship Id="rId9812" Type="http://schemas.openxmlformats.org/officeDocument/2006/relationships/hyperlink" Target="http://www.linkedin.com/in/brady7" TargetMode="External"/><Relationship Id="rId1097" Type="http://schemas.openxmlformats.org/officeDocument/2006/relationships/hyperlink" Target="http://www.linkedin.com/pub/melissa-kanter/0/142/604" TargetMode="External"/><Relationship Id="rId9813" Type="http://schemas.openxmlformats.org/officeDocument/2006/relationships/hyperlink" Target="http://www.linkedin.com/pub/paul-van-dillen/0/859/225" TargetMode="External"/><Relationship Id="rId1098" Type="http://schemas.openxmlformats.org/officeDocument/2006/relationships/hyperlink" Target="http://www.linkedin.com/in/williamfmead" TargetMode="External"/><Relationship Id="rId9814" Type="http://schemas.openxmlformats.org/officeDocument/2006/relationships/hyperlink" Target="http://www.linkedin.com/in/ccamp12345" TargetMode="External"/><Relationship Id="rId1099" Type="http://schemas.openxmlformats.org/officeDocument/2006/relationships/hyperlink" Target="http://www.linkedin.com/pub/robin-fisher-roffer/0/176/633" TargetMode="External"/><Relationship Id="rId9810" Type="http://schemas.openxmlformats.org/officeDocument/2006/relationships/hyperlink" Target="http://www.linkedin.com/in/joshgreene1" TargetMode="External"/><Relationship Id="rId9808" Type="http://schemas.openxmlformats.org/officeDocument/2006/relationships/hyperlink" Target="http://www.linkedin.com/pub/mike-foster/0/84B/908" TargetMode="External"/><Relationship Id="rId9809" Type="http://schemas.openxmlformats.org/officeDocument/2006/relationships/hyperlink" Target="http://www.linkedin.com/in/lynnfailing" TargetMode="External"/><Relationship Id="rId9804" Type="http://schemas.openxmlformats.org/officeDocument/2006/relationships/hyperlink" Target="http://www.linkedin.com/in/mikenorth" TargetMode="External"/><Relationship Id="rId9805" Type="http://schemas.openxmlformats.org/officeDocument/2006/relationships/hyperlink" Target="http://www.linkedin.com/in/stevepogorzelski" TargetMode="External"/><Relationship Id="rId9806" Type="http://schemas.openxmlformats.org/officeDocument/2006/relationships/hyperlink" Target="http://uk.linkedin.com/pub/anthony-day/0/A9A/8A8" TargetMode="External"/><Relationship Id="rId9807" Type="http://schemas.openxmlformats.org/officeDocument/2006/relationships/hyperlink" Target="http://www.linkedin.com/in/dianelongmoor" TargetMode="External"/><Relationship Id="rId1080" Type="http://schemas.openxmlformats.org/officeDocument/2006/relationships/hyperlink" Target="http://www.linkedin.com/in/bennettconsulting" TargetMode="External"/><Relationship Id="rId1081" Type="http://schemas.openxmlformats.org/officeDocument/2006/relationships/hyperlink" Target="http://www.linkedin.com/in/blairelisabeth" TargetMode="External"/><Relationship Id="rId1082" Type="http://schemas.openxmlformats.org/officeDocument/2006/relationships/hyperlink" Target="http://www.linkedin.com/in/punditmom" TargetMode="External"/><Relationship Id="rId1083" Type="http://schemas.openxmlformats.org/officeDocument/2006/relationships/hyperlink" Target="http://www.linkedin.com/pub/margaret-wislar/19/4B4/7B3" TargetMode="External"/><Relationship Id="rId1084" Type="http://schemas.openxmlformats.org/officeDocument/2006/relationships/hyperlink" Target="http://www.linkedin.com/in/hrmikal" TargetMode="External"/><Relationship Id="rId9800" Type="http://schemas.openxmlformats.org/officeDocument/2006/relationships/hyperlink" Target="http://www.linkedin.com/pub/barry-hartzberg/1/A5A/297" TargetMode="External"/><Relationship Id="rId1085" Type="http://schemas.openxmlformats.org/officeDocument/2006/relationships/hyperlink" Target="http://www.linkedin.com/in/tombuffington" TargetMode="External"/><Relationship Id="rId9801" Type="http://schemas.openxmlformats.org/officeDocument/2006/relationships/hyperlink" Target="http://www.linkedin.com/in/andrescarvallo" TargetMode="External"/><Relationship Id="rId1086" Type="http://schemas.openxmlformats.org/officeDocument/2006/relationships/hyperlink" Target="http://uk.linkedin.com/in/richardsmithuk" TargetMode="External"/><Relationship Id="rId9802" Type="http://schemas.openxmlformats.org/officeDocument/2006/relationships/hyperlink" Target="http://www.linkedin.com/in/jeffporcaro" TargetMode="External"/><Relationship Id="rId1087" Type="http://schemas.openxmlformats.org/officeDocument/2006/relationships/hyperlink" Target="http://uk.linkedin.com/in/reichp" TargetMode="External"/><Relationship Id="rId9803" Type="http://schemas.openxmlformats.org/officeDocument/2006/relationships/hyperlink" Target="http://www.linkedin.com/in/lizserafin" TargetMode="External"/><Relationship Id="rId1088" Type="http://schemas.openxmlformats.org/officeDocument/2006/relationships/hyperlink" Target="http://www.linkedin.com/in/eazamora" TargetMode="External"/><Relationship Id="rId1089" Type="http://schemas.openxmlformats.org/officeDocument/2006/relationships/hyperlink" Target="http://www.linkedin.com/pub/chuck-franzetta/0/252/B0" TargetMode="External"/><Relationship Id="rId8509" Type="http://schemas.openxmlformats.org/officeDocument/2006/relationships/hyperlink" Target="http://www.linkedin.com/pub/xavier-alegria/4/85B/608" TargetMode="External"/><Relationship Id="rId8508" Type="http://schemas.openxmlformats.org/officeDocument/2006/relationships/hyperlink" Target="http://www.linkedin.com/pub/carlos-david-pmp/0/287/893" TargetMode="External"/><Relationship Id="rId8507" Type="http://schemas.openxmlformats.org/officeDocument/2006/relationships/hyperlink" Target="http://www.linkedin.com/in/anthonygemma" TargetMode="External"/><Relationship Id="rId8506" Type="http://schemas.openxmlformats.org/officeDocument/2006/relationships/hyperlink" Target="http://www.linkedin.com/pub/joe-cronin/A/313/298" TargetMode="External"/><Relationship Id="rId9837" Type="http://schemas.openxmlformats.org/officeDocument/2006/relationships/hyperlink" Target="http://www.linkedin.com/in/marks" TargetMode="External"/><Relationship Id="rId9838" Type="http://schemas.openxmlformats.org/officeDocument/2006/relationships/hyperlink" Target="http://www.linkedin.com/in/timperry" TargetMode="External"/><Relationship Id="rId9839" Type="http://schemas.openxmlformats.org/officeDocument/2006/relationships/hyperlink" Target="http://www.linkedin.com/in/andersberg" TargetMode="External"/><Relationship Id="rId8501" Type="http://schemas.openxmlformats.org/officeDocument/2006/relationships/hyperlink" Target="http://www.linkedin.com/in/trentvoigt" TargetMode="External"/><Relationship Id="rId9833" Type="http://schemas.openxmlformats.org/officeDocument/2006/relationships/hyperlink" Target="http://www.linkedin.com/in/sonalpuri" TargetMode="External"/><Relationship Id="rId8500" Type="http://schemas.openxmlformats.org/officeDocument/2006/relationships/hyperlink" Target="http://www.linkedin.com/in/carlosuo" TargetMode="External"/><Relationship Id="rId9834" Type="http://schemas.openxmlformats.org/officeDocument/2006/relationships/hyperlink" Target="http://www.linkedin.com/pub/e-j-dieterle/0/1A/6B5" TargetMode="External"/><Relationship Id="rId9835" Type="http://schemas.openxmlformats.org/officeDocument/2006/relationships/hyperlink" Target="http://www.linkedin.com/in/mikefreier" TargetMode="External"/><Relationship Id="rId9836" Type="http://schemas.openxmlformats.org/officeDocument/2006/relationships/hyperlink" Target="http://www.linkedin.com/in/naeemzafar" TargetMode="External"/><Relationship Id="rId8505" Type="http://schemas.openxmlformats.org/officeDocument/2006/relationships/hyperlink" Target="http://www.linkedin.com/pub/scott-anderholt/0/796/6B8" TargetMode="External"/><Relationship Id="rId8504" Type="http://schemas.openxmlformats.org/officeDocument/2006/relationships/hyperlink" Target="http://www.linkedin.com/pub/ernesto-reza-gardu%C3%B1o/15/955/61b" TargetMode="External"/><Relationship Id="rId9830" Type="http://schemas.openxmlformats.org/officeDocument/2006/relationships/hyperlink" Target="http://www.linkedin.com/in/amowat" TargetMode="External"/><Relationship Id="rId8503" Type="http://schemas.openxmlformats.org/officeDocument/2006/relationships/hyperlink" Target="https://www.linkedin.com/in/kellyomara1" TargetMode="External"/><Relationship Id="rId9831" Type="http://schemas.openxmlformats.org/officeDocument/2006/relationships/hyperlink" Target="http://www.linkedin.com/in/marilynkanas" TargetMode="External"/><Relationship Id="rId8502" Type="http://schemas.openxmlformats.org/officeDocument/2006/relationships/hyperlink" Target="http://www.linkedin.com/pub/rick-woods/8/142/473" TargetMode="External"/><Relationship Id="rId9832" Type="http://schemas.openxmlformats.org/officeDocument/2006/relationships/hyperlink" Target="http://www.linkedin.com/in/cmadhusudan" TargetMode="External"/><Relationship Id="rId9826" Type="http://schemas.openxmlformats.org/officeDocument/2006/relationships/hyperlink" Target="http://www.linkedin.com/pub/amy-peltekian/A/537/AB5" TargetMode="External"/><Relationship Id="rId9827" Type="http://schemas.openxmlformats.org/officeDocument/2006/relationships/hyperlink" Target="http://www.linkedin.com/in/danielsheppard" TargetMode="External"/><Relationship Id="rId9828" Type="http://schemas.openxmlformats.org/officeDocument/2006/relationships/hyperlink" Target="http://www.linkedin.com/in/ctaylor1/" TargetMode="External"/><Relationship Id="rId9829" Type="http://schemas.openxmlformats.org/officeDocument/2006/relationships/hyperlink" Target="http://www.linkedin.com/in/iancjclarke" TargetMode="External"/><Relationship Id="rId9822" Type="http://schemas.openxmlformats.org/officeDocument/2006/relationships/hyperlink" Target="http://www.linkedin.com/pub/walt-drummond/0/599/926" TargetMode="External"/><Relationship Id="rId9823" Type="http://schemas.openxmlformats.org/officeDocument/2006/relationships/hyperlink" Target="http://www.linkedin.com/pub/nathalie-mateer/4/6A6/57A" TargetMode="External"/><Relationship Id="rId9824" Type="http://schemas.openxmlformats.org/officeDocument/2006/relationships/hyperlink" Target="http://www.linkedin.com/in/richiekang" TargetMode="External"/><Relationship Id="rId9825" Type="http://schemas.openxmlformats.org/officeDocument/2006/relationships/hyperlink" Target="http://www.linkedin.com/in/leahbrown" TargetMode="External"/><Relationship Id="rId9820" Type="http://schemas.openxmlformats.org/officeDocument/2006/relationships/hyperlink" Target="http://www.linkedin.com/pub/william-geers/6/90/496" TargetMode="External"/><Relationship Id="rId9821" Type="http://schemas.openxmlformats.org/officeDocument/2006/relationships/hyperlink" Target="http://www.linkedin.com/pub/nick-barton/6/111/830" TargetMode="External"/><Relationship Id="rId7272" Type="http://schemas.openxmlformats.org/officeDocument/2006/relationships/hyperlink" Target="http://www.linkedin.com/pub/andres-watle/25/726/43a" TargetMode="External"/><Relationship Id="rId7271" Type="http://schemas.openxmlformats.org/officeDocument/2006/relationships/hyperlink" Target="http://www.linkedin.com/pub/maria-valeria-dunayevich/14/6a1/801" TargetMode="External"/><Relationship Id="rId7270" Type="http://schemas.openxmlformats.org/officeDocument/2006/relationships/hyperlink" Target="http://www.linkedin.com/pub/hernan-feder/9/4b3/195" TargetMode="External"/><Relationship Id="rId7276" Type="http://schemas.openxmlformats.org/officeDocument/2006/relationships/hyperlink" Target="http://ar.linkedin.com/in/alfamdq" TargetMode="External"/><Relationship Id="rId7275" Type="http://schemas.openxmlformats.org/officeDocument/2006/relationships/hyperlink" Target="http://www.linkedin.com/pub/vicky-arce/6/B6/6A2" TargetMode="External"/><Relationship Id="rId7274" Type="http://schemas.openxmlformats.org/officeDocument/2006/relationships/hyperlink" Target="http://ar.linkedin.com/pub/facundo-guzman/6/713/7A1" TargetMode="External"/><Relationship Id="rId7273" Type="http://schemas.openxmlformats.org/officeDocument/2006/relationships/hyperlink" Target="http://www.linkedin.com/in/jorgezavala" TargetMode="External"/><Relationship Id="rId7279" Type="http://schemas.openxmlformats.org/officeDocument/2006/relationships/hyperlink" Target="http://www.linkedin.com/pub/joseph-bouhadana/0/107/266" TargetMode="External"/><Relationship Id="rId7278" Type="http://schemas.openxmlformats.org/officeDocument/2006/relationships/hyperlink" Target="http://www.linkedin.com/pub/fortunato-adrian/1/232/81A" TargetMode="External"/><Relationship Id="rId7277" Type="http://schemas.openxmlformats.org/officeDocument/2006/relationships/hyperlink" Target="http://www.linkedin.com/pub/german-nahuel-barrera/9/667/a09" TargetMode="External"/><Relationship Id="rId7261" Type="http://schemas.openxmlformats.org/officeDocument/2006/relationships/hyperlink" Target="http://www.linkedin.com/pub/enrique-martin/0/656/349" TargetMode="External"/><Relationship Id="rId8592" Type="http://schemas.openxmlformats.org/officeDocument/2006/relationships/hyperlink" Target="http://www.linkedin.com/in/knipextools" TargetMode="External"/><Relationship Id="rId7260" Type="http://schemas.openxmlformats.org/officeDocument/2006/relationships/hyperlink" Target="http://www.linkedin.com/pub/luis-guisasola/0/675/B72" TargetMode="External"/><Relationship Id="rId8591" Type="http://schemas.openxmlformats.org/officeDocument/2006/relationships/hyperlink" Target="http://www.linkedin.com/pub/fred-jimenez-iii/16/800/919" TargetMode="External"/><Relationship Id="rId8590" Type="http://schemas.openxmlformats.org/officeDocument/2006/relationships/hyperlink" Target="http://www.linkedin.com/in/ericfarst" TargetMode="External"/><Relationship Id="rId7265" Type="http://schemas.openxmlformats.org/officeDocument/2006/relationships/hyperlink" Target="http://www.linkedin.com/in/hakimbenzit" TargetMode="External"/><Relationship Id="rId8596" Type="http://schemas.openxmlformats.org/officeDocument/2006/relationships/hyperlink" Target="http://www.linkedin.com/in/bluckey" TargetMode="External"/><Relationship Id="rId7264" Type="http://schemas.openxmlformats.org/officeDocument/2006/relationships/hyperlink" Target="http://www.linkedin.com/in/jpcheret" TargetMode="External"/><Relationship Id="rId8595" Type="http://schemas.openxmlformats.org/officeDocument/2006/relationships/hyperlink" Target="http://www.linkedin.com/pub/gary-gozdor/3/6B2/96A" TargetMode="External"/><Relationship Id="rId7263" Type="http://schemas.openxmlformats.org/officeDocument/2006/relationships/hyperlink" Target="http://ar.linkedin.com/in/bergallomauricio" TargetMode="External"/><Relationship Id="rId8594" Type="http://schemas.openxmlformats.org/officeDocument/2006/relationships/hyperlink" Target="http://www.linkedin.com/in/alfredofuentes" TargetMode="External"/><Relationship Id="rId7262" Type="http://schemas.openxmlformats.org/officeDocument/2006/relationships/hyperlink" Target="http://www.linkedin.com/pub/martin-fitzner/7/B40/870" TargetMode="External"/><Relationship Id="rId8593" Type="http://schemas.openxmlformats.org/officeDocument/2006/relationships/hyperlink" Target="http://www.linkedin.com/pub/john-connolly/1A/95B/882" TargetMode="External"/><Relationship Id="rId7269" Type="http://schemas.openxmlformats.org/officeDocument/2006/relationships/hyperlink" Target="http://www.linkedin.com/pub/mariano-utin/9/538/617" TargetMode="External"/><Relationship Id="rId7268" Type="http://schemas.openxmlformats.org/officeDocument/2006/relationships/hyperlink" Target="http://www.linkedin.com/pub/daniel-gonzalez/0/29B/B15" TargetMode="External"/><Relationship Id="rId8599" Type="http://schemas.openxmlformats.org/officeDocument/2006/relationships/hyperlink" Target="https://www.linkedin.com/in/mikeiem" TargetMode="External"/><Relationship Id="rId7267" Type="http://schemas.openxmlformats.org/officeDocument/2006/relationships/hyperlink" Target="http://ar.linkedin.com/in/marianaameri" TargetMode="External"/><Relationship Id="rId8598" Type="http://schemas.openxmlformats.org/officeDocument/2006/relationships/hyperlink" Target="http://www.linkedin.com/in/accushred" TargetMode="External"/><Relationship Id="rId7266" Type="http://schemas.openxmlformats.org/officeDocument/2006/relationships/hyperlink" Target="http://www.linkedin.com/in/anafxfz" TargetMode="External"/><Relationship Id="rId8597" Type="http://schemas.openxmlformats.org/officeDocument/2006/relationships/hyperlink" Target="http://www.linkedin.com/pub/chris-thomas/0/124/906" TargetMode="External"/><Relationship Id="rId7294" Type="http://schemas.openxmlformats.org/officeDocument/2006/relationships/hyperlink" Target="http://www.linkedin.com/in/michaeljohndavis777" TargetMode="External"/><Relationship Id="rId7293" Type="http://schemas.openxmlformats.org/officeDocument/2006/relationships/hyperlink" Target="http://www.linkedin.com/pub/gerardo-bartoli/a/b33/419" TargetMode="External"/><Relationship Id="rId7292" Type="http://schemas.openxmlformats.org/officeDocument/2006/relationships/hyperlink" Target="http://www.linkedin.com/pub/henry-hudson/2/927/11" TargetMode="External"/><Relationship Id="rId7291" Type="http://schemas.openxmlformats.org/officeDocument/2006/relationships/hyperlink" Target="http://ar.linkedin.com/pub/patricio-garcia-bazarra/B/698/B6B" TargetMode="External"/><Relationship Id="rId7298" Type="http://schemas.openxmlformats.org/officeDocument/2006/relationships/hyperlink" Target="http://www.linkedin.com/in/juanfiguera" TargetMode="External"/><Relationship Id="rId7297" Type="http://schemas.openxmlformats.org/officeDocument/2006/relationships/hyperlink" Target="http://www.linkedin.com/pub/enrique-nunez-ruiz/0/777/902" TargetMode="External"/><Relationship Id="rId7296" Type="http://schemas.openxmlformats.org/officeDocument/2006/relationships/hyperlink" Target="http://www.linkedin.com/pub/marcelo-morales-rins/14/872/322" TargetMode="External"/><Relationship Id="rId7295" Type="http://schemas.openxmlformats.org/officeDocument/2006/relationships/hyperlink" Target="http://ar.linkedin.com/in/braddyromero" TargetMode="External"/><Relationship Id="rId7299" Type="http://schemas.openxmlformats.org/officeDocument/2006/relationships/hyperlink" Target="http://ar.linkedin.com/pub/marcela-calderon/4/B41/132" TargetMode="External"/><Relationship Id="rId7290" Type="http://schemas.openxmlformats.org/officeDocument/2006/relationships/hyperlink" Target="http://www.linkedin.com/pub/javier-cuellar/0/327/790" TargetMode="External"/><Relationship Id="rId7283" Type="http://schemas.openxmlformats.org/officeDocument/2006/relationships/hyperlink" Target="http://www.linkedin.com/pub/nancy-escoto/0/678/654" TargetMode="External"/><Relationship Id="rId7282" Type="http://schemas.openxmlformats.org/officeDocument/2006/relationships/hyperlink" Target="http://www.linkedin.com/pub/alberto-chacin/0/1A8/A0A" TargetMode="External"/><Relationship Id="rId7281" Type="http://schemas.openxmlformats.org/officeDocument/2006/relationships/hyperlink" Target="http://www.linkedin.com/pub/milagros-morantes/12/186/640" TargetMode="External"/><Relationship Id="rId7280" Type="http://schemas.openxmlformats.org/officeDocument/2006/relationships/hyperlink" Target="http://www.linkedin.com/pub/ana-maria-vela/5/133/5B7" TargetMode="External"/><Relationship Id="rId7287" Type="http://schemas.openxmlformats.org/officeDocument/2006/relationships/hyperlink" Target="http://www.linkedin.com/pub/leticia-hartmann/0/1B/92" TargetMode="External"/><Relationship Id="rId7286" Type="http://schemas.openxmlformats.org/officeDocument/2006/relationships/hyperlink" Target="http://www.linkedin.com/in/carlosvictoria" TargetMode="External"/><Relationship Id="rId7285" Type="http://schemas.openxmlformats.org/officeDocument/2006/relationships/hyperlink" Target="http://ar.linkedin.com/pub/gabriel-deak/7/968/B48" TargetMode="External"/><Relationship Id="rId7284" Type="http://schemas.openxmlformats.org/officeDocument/2006/relationships/hyperlink" Target="http://ar.linkedin.com/pub/victoria-morchon/13/B7/20" TargetMode="External"/><Relationship Id="rId7289" Type="http://schemas.openxmlformats.org/officeDocument/2006/relationships/hyperlink" Target="http://www.linkedin.com/pub/santiago-mendoza/0/224/917" TargetMode="External"/><Relationship Id="rId7288" Type="http://schemas.openxmlformats.org/officeDocument/2006/relationships/hyperlink" Target="http://www.linkedin.com/in/ivanvaldes" TargetMode="External"/><Relationship Id="rId9891" Type="http://schemas.openxmlformats.org/officeDocument/2006/relationships/hyperlink" Target="http://www.linkedin.com/pub/alan-dipietro/0/23/213" TargetMode="External"/><Relationship Id="rId9892" Type="http://schemas.openxmlformats.org/officeDocument/2006/relationships/hyperlink" Target="http://www.linkedin.com/in/scrappykimberlywiefling" TargetMode="External"/><Relationship Id="rId9893" Type="http://schemas.openxmlformats.org/officeDocument/2006/relationships/hyperlink" Target="http://www.linkedin.com/in/deanabbott" TargetMode="External"/><Relationship Id="rId9894" Type="http://schemas.openxmlformats.org/officeDocument/2006/relationships/hyperlink" Target="http://www.linkedin.com/in/alexbard" TargetMode="External"/><Relationship Id="rId7232" Type="http://schemas.openxmlformats.org/officeDocument/2006/relationships/hyperlink" Target="http://ar.linkedin.com/in/christianirschick" TargetMode="External"/><Relationship Id="rId8563" Type="http://schemas.openxmlformats.org/officeDocument/2006/relationships/hyperlink" Target="http://www.linkedin.com/in/hlawsoniii" TargetMode="External"/><Relationship Id="rId7231" Type="http://schemas.openxmlformats.org/officeDocument/2006/relationships/hyperlink" Target="http://www.linkedin.com/pub/veronica-korbenfeld/1/7BA/474" TargetMode="External"/><Relationship Id="rId8562" Type="http://schemas.openxmlformats.org/officeDocument/2006/relationships/hyperlink" Target="http://www.linkedin.com/in/brianclarkgraperadio" TargetMode="External"/><Relationship Id="rId7230" Type="http://schemas.openxmlformats.org/officeDocument/2006/relationships/hyperlink" Target="http://ar.linkedin.com/pub/mercedes-carlos/A/356/593" TargetMode="External"/><Relationship Id="rId8561" Type="http://schemas.openxmlformats.org/officeDocument/2006/relationships/hyperlink" Target="http://www.linkedin.com/in/robertorbob" TargetMode="External"/><Relationship Id="rId8560" Type="http://schemas.openxmlformats.org/officeDocument/2006/relationships/hyperlink" Target="http://www.linkedin.com/in/robertpricelion" TargetMode="External"/><Relationship Id="rId9890" Type="http://schemas.openxmlformats.org/officeDocument/2006/relationships/hyperlink" Target="http://www.linkedin.com/in/ketandave" TargetMode="External"/><Relationship Id="rId7236" Type="http://schemas.openxmlformats.org/officeDocument/2006/relationships/hyperlink" Target="http://www.linkedin.com/pub/cheryl-levy/1/122/33B" TargetMode="External"/><Relationship Id="rId8567" Type="http://schemas.openxmlformats.org/officeDocument/2006/relationships/hyperlink" Target="http://www.linkedin.com/in/enriquemendozaarce" TargetMode="External"/><Relationship Id="rId9899" Type="http://schemas.openxmlformats.org/officeDocument/2006/relationships/hyperlink" Target="http://www.linkedin.com/pub/darren-metherell/0/220/585" TargetMode="External"/><Relationship Id="rId7235" Type="http://schemas.openxmlformats.org/officeDocument/2006/relationships/hyperlink" Target="http://ar.linkedin.com/in/garciagabriel" TargetMode="External"/><Relationship Id="rId8566" Type="http://schemas.openxmlformats.org/officeDocument/2006/relationships/hyperlink" Target="http://www.linkedin.com/in/kristabradford/" TargetMode="External"/><Relationship Id="rId7234" Type="http://schemas.openxmlformats.org/officeDocument/2006/relationships/hyperlink" Target="http://www.linkedin.com/pub/jose-minich/5/270/623" TargetMode="External"/><Relationship Id="rId8565" Type="http://schemas.openxmlformats.org/officeDocument/2006/relationships/hyperlink" Target="http://www.linkedin.com/in/bondstevebond" TargetMode="External"/><Relationship Id="rId7233" Type="http://schemas.openxmlformats.org/officeDocument/2006/relationships/hyperlink" Target="http://www.linkedin.com/in/lindsayeraso" TargetMode="External"/><Relationship Id="rId8564" Type="http://schemas.openxmlformats.org/officeDocument/2006/relationships/hyperlink" Target="http://www.linkedin.com/pub/lou-montulli/0/38/BA9" TargetMode="External"/><Relationship Id="rId9895" Type="http://schemas.openxmlformats.org/officeDocument/2006/relationships/hyperlink" Target="http://www.linkedin.com/in/michelemolitor" TargetMode="External"/><Relationship Id="rId7239" Type="http://schemas.openxmlformats.org/officeDocument/2006/relationships/hyperlink" Target="http://ar.linkedin.com/pub/federico-kalos/25/824/7A5" TargetMode="External"/><Relationship Id="rId9896" Type="http://schemas.openxmlformats.org/officeDocument/2006/relationships/hyperlink" Target="http://www.linkedin.com/in/garybenitt" TargetMode="External"/><Relationship Id="rId7238" Type="http://schemas.openxmlformats.org/officeDocument/2006/relationships/hyperlink" Target="http://www.linkedin.com/in/joseantoniobotto" TargetMode="External"/><Relationship Id="rId8569" Type="http://schemas.openxmlformats.org/officeDocument/2006/relationships/hyperlink" Target="http://www.linkedin.com/pub/gabriel-lawson/3/333/502" TargetMode="External"/><Relationship Id="rId9897" Type="http://schemas.openxmlformats.org/officeDocument/2006/relationships/hyperlink" Target="http://www.linkedin.com/in/davidphillips" TargetMode="External"/><Relationship Id="rId7237" Type="http://schemas.openxmlformats.org/officeDocument/2006/relationships/hyperlink" Target="http://www.linkedin.com/pub/sebastian-francisco-poblete/15/b13/858" TargetMode="External"/><Relationship Id="rId8568" Type="http://schemas.openxmlformats.org/officeDocument/2006/relationships/hyperlink" Target="http://www.linkedin.com/pub/george-r-jensen-jr/3/1a8/627" TargetMode="External"/><Relationship Id="rId9898" Type="http://schemas.openxmlformats.org/officeDocument/2006/relationships/hyperlink" Target="http://www.linkedin.com/in/youstra" TargetMode="External"/><Relationship Id="rId9880" Type="http://schemas.openxmlformats.org/officeDocument/2006/relationships/hyperlink" Target="http://www.linkedin.com/in/tracylaswell" TargetMode="External"/><Relationship Id="rId9881" Type="http://schemas.openxmlformats.org/officeDocument/2006/relationships/hyperlink" Target="http://www.linkedin.com/in/medtechbridge" TargetMode="External"/><Relationship Id="rId9882" Type="http://schemas.openxmlformats.org/officeDocument/2006/relationships/hyperlink" Target="http://www.linkedin.com/in/erichoffert" TargetMode="External"/><Relationship Id="rId9883" Type="http://schemas.openxmlformats.org/officeDocument/2006/relationships/hyperlink" Target="http://www.linkedin.com/pub/megan-wood-lueders/0/8B/1B6" TargetMode="External"/><Relationship Id="rId7221" Type="http://schemas.openxmlformats.org/officeDocument/2006/relationships/hyperlink" Target="http://ar.linkedin.com/in/rubenalejandrolorenzo" TargetMode="External"/><Relationship Id="rId8552" Type="http://schemas.openxmlformats.org/officeDocument/2006/relationships/hyperlink" Target="http://www.linkedin.com/in/stephaniewise" TargetMode="External"/><Relationship Id="rId7220" Type="http://schemas.openxmlformats.org/officeDocument/2006/relationships/hyperlink" Target="http://ar.linkedin.com/pub/delfina-villanueva/31/105/47A" TargetMode="External"/><Relationship Id="rId8551" Type="http://schemas.openxmlformats.org/officeDocument/2006/relationships/hyperlink" Target="http://www.linkedin.com/in/giancarlomori" TargetMode="External"/><Relationship Id="rId8550" Type="http://schemas.openxmlformats.org/officeDocument/2006/relationships/hyperlink" Target="http://www.linkedin.com/in/vikkipachera" TargetMode="External"/><Relationship Id="rId7225" Type="http://schemas.openxmlformats.org/officeDocument/2006/relationships/hyperlink" Target="http://www.linkedin.com/pub/angel-zambrano/0/B25/359" TargetMode="External"/><Relationship Id="rId8556" Type="http://schemas.openxmlformats.org/officeDocument/2006/relationships/hyperlink" Target="http://www.linkedin.com/in/mshue" TargetMode="External"/><Relationship Id="rId9888" Type="http://schemas.openxmlformats.org/officeDocument/2006/relationships/hyperlink" Target="http://www.linkedin.com/pub/kristie-heins-fox/0/A8/935" TargetMode="External"/><Relationship Id="rId7224" Type="http://schemas.openxmlformats.org/officeDocument/2006/relationships/hyperlink" Target="http://ar.linkedin.com/in/diegonoriega" TargetMode="External"/><Relationship Id="rId8555" Type="http://schemas.openxmlformats.org/officeDocument/2006/relationships/hyperlink" Target="http://www.linkedin.com/in/rachelcutlerbaliff" TargetMode="External"/><Relationship Id="rId9889" Type="http://schemas.openxmlformats.org/officeDocument/2006/relationships/hyperlink" Target="http://www.linkedin.com/pub/gail-miller/0/65/B63" TargetMode="External"/><Relationship Id="rId7223" Type="http://schemas.openxmlformats.org/officeDocument/2006/relationships/hyperlink" Target="http://ar.linkedin.com/in/rominapalmieri" TargetMode="External"/><Relationship Id="rId8554" Type="http://schemas.openxmlformats.org/officeDocument/2006/relationships/hyperlink" Target="http://www.linkedin.com/in/alrosenblum" TargetMode="External"/><Relationship Id="rId7222" Type="http://schemas.openxmlformats.org/officeDocument/2006/relationships/hyperlink" Target="http://ar.linkedin.com/in/marielasandroni" TargetMode="External"/><Relationship Id="rId8553" Type="http://schemas.openxmlformats.org/officeDocument/2006/relationships/hyperlink" Target="http://www.linkedin.com/in/chadmassaker" TargetMode="External"/><Relationship Id="rId7229" Type="http://schemas.openxmlformats.org/officeDocument/2006/relationships/hyperlink" Target="https://www.linkedin.com/in/randyhaines" TargetMode="External"/><Relationship Id="rId9884" Type="http://schemas.openxmlformats.org/officeDocument/2006/relationships/hyperlink" Target="http://www.linkedin.com/in/joankoerberwalker" TargetMode="External"/><Relationship Id="rId7228" Type="http://schemas.openxmlformats.org/officeDocument/2006/relationships/hyperlink" Target="http://ar.linkedin.com/in/lucaswall" TargetMode="External"/><Relationship Id="rId8559" Type="http://schemas.openxmlformats.org/officeDocument/2006/relationships/hyperlink" Target="http://www.linkedin.com/in/alanlochridge" TargetMode="External"/><Relationship Id="rId9885" Type="http://schemas.openxmlformats.org/officeDocument/2006/relationships/hyperlink" Target="http://www.linkedin.com/in/karenorton" TargetMode="External"/><Relationship Id="rId7227" Type="http://schemas.openxmlformats.org/officeDocument/2006/relationships/hyperlink" Target="http://www.linkedin.com/pub/gast%C3%B3n-lethimonier/3/93b/9ba" TargetMode="External"/><Relationship Id="rId8558" Type="http://schemas.openxmlformats.org/officeDocument/2006/relationships/hyperlink" Target="http://www.linkedin.com/pub/jeffrey-b-reeves/1/692/13" TargetMode="External"/><Relationship Id="rId9886" Type="http://schemas.openxmlformats.org/officeDocument/2006/relationships/hyperlink" Target="http://www.linkedin.com/in/junemelden" TargetMode="External"/><Relationship Id="rId7226" Type="http://schemas.openxmlformats.org/officeDocument/2006/relationships/hyperlink" Target="http://www.linkedin.com/pub/patricia-jasin/0/25A/BA0" TargetMode="External"/><Relationship Id="rId8557" Type="http://schemas.openxmlformats.org/officeDocument/2006/relationships/hyperlink" Target="http://www.linkedin.com/in/johnkyounger" TargetMode="External"/><Relationship Id="rId9887" Type="http://schemas.openxmlformats.org/officeDocument/2006/relationships/hyperlink" Target="http://www.linkedin.com/in/kenhawk" TargetMode="External"/><Relationship Id="rId7250" Type="http://schemas.openxmlformats.org/officeDocument/2006/relationships/hyperlink" Target="http://ar.linkedin.com/pub/guillermo-rodriguez-ortega/9/AB8/A3B" TargetMode="External"/><Relationship Id="rId8581" Type="http://schemas.openxmlformats.org/officeDocument/2006/relationships/hyperlink" Target="http://www.linkedin.com/in/brendandarby" TargetMode="External"/><Relationship Id="rId8580" Type="http://schemas.openxmlformats.org/officeDocument/2006/relationships/hyperlink" Target="http://www.linkedin.com/in/dannylena" TargetMode="External"/><Relationship Id="rId7254" Type="http://schemas.openxmlformats.org/officeDocument/2006/relationships/hyperlink" Target="http://www.linkedin.com/pub/alejandro-silvestre/0/10A/6BB" TargetMode="External"/><Relationship Id="rId8585" Type="http://schemas.openxmlformats.org/officeDocument/2006/relationships/hyperlink" Target="http://www.linkedin.com/pub/joseph-morrissey/7/485/892" TargetMode="External"/><Relationship Id="rId7253" Type="http://schemas.openxmlformats.org/officeDocument/2006/relationships/hyperlink" Target="http://www.linkedin.com/in/fabianfigueroa" TargetMode="External"/><Relationship Id="rId8584" Type="http://schemas.openxmlformats.org/officeDocument/2006/relationships/hyperlink" Target="http://www.linkedin.com/pub/william-bazeley/5/9B4/924" TargetMode="External"/><Relationship Id="rId7252" Type="http://schemas.openxmlformats.org/officeDocument/2006/relationships/hyperlink" Target="http://www.linkedin.com/in/davidraffinengo" TargetMode="External"/><Relationship Id="rId8583" Type="http://schemas.openxmlformats.org/officeDocument/2006/relationships/hyperlink" Target="http://www.linkedin.com/pub/marcia-morey/5/745/746" TargetMode="External"/><Relationship Id="rId7251" Type="http://schemas.openxmlformats.org/officeDocument/2006/relationships/hyperlink" Target="http://ar.linkedin.com/pub/eduardo-guichou/29/6A1/166" TargetMode="External"/><Relationship Id="rId8582" Type="http://schemas.openxmlformats.org/officeDocument/2006/relationships/hyperlink" Target="http://www.linkedin.com/in/hauptmeier" TargetMode="External"/><Relationship Id="rId7258" Type="http://schemas.openxmlformats.org/officeDocument/2006/relationships/hyperlink" Target="http://www.linkedin.com/in/gustavorios" TargetMode="External"/><Relationship Id="rId8589" Type="http://schemas.openxmlformats.org/officeDocument/2006/relationships/hyperlink" Target="http://www.linkedin.com/in/billcasale" TargetMode="External"/><Relationship Id="rId7257" Type="http://schemas.openxmlformats.org/officeDocument/2006/relationships/hyperlink" Target="http://www.linkedin.com/pub/carlos-raul-castro/3/6b8/52" TargetMode="External"/><Relationship Id="rId8588" Type="http://schemas.openxmlformats.org/officeDocument/2006/relationships/hyperlink" Target="http://www.linkedin.com/pub/steven-kornfeld/8/9A7/734" TargetMode="External"/><Relationship Id="rId7256" Type="http://schemas.openxmlformats.org/officeDocument/2006/relationships/hyperlink" Target="http://www.linkedin.com/in/estebankozak" TargetMode="External"/><Relationship Id="rId8587" Type="http://schemas.openxmlformats.org/officeDocument/2006/relationships/hyperlink" Target="http://www.linkedin.com/in/forrestmason" TargetMode="External"/><Relationship Id="rId7255" Type="http://schemas.openxmlformats.org/officeDocument/2006/relationships/hyperlink" Target="http://www.linkedin.com/in/dianadaniels" TargetMode="External"/><Relationship Id="rId8586" Type="http://schemas.openxmlformats.org/officeDocument/2006/relationships/hyperlink" Target="http://www.linkedin.com/pub/illango-dhandayudham-ingo/7/5a4/901" TargetMode="External"/><Relationship Id="rId7259" Type="http://schemas.openxmlformats.org/officeDocument/2006/relationships/hyperlink" Target="http://www.linkedin.com/pub/fabiana-berrozpe/3/602/992" TargetMode="External"/><Relationship Id="rId8570" Type="http://schemas.openxmlformats.org/officeDocument/2006/relationships/hyperlink" Target="http://www.linkedin.com/in/marinariazanska" TargetMode="External"/><Relationship Id="rId7243" Type="http://schemas.openxmlformats.org/officeDocument/2006/relationships/hyperlink" Target="http://www.linkedin.com/pub/ismaily-piedra/9/796/7B7" TargetMode="External"/><Relationship Id="rId8574" Type="http://schemas.openxmlformats.org/officeDocument/2006/relationships/hyperlink" Target="http://www.linkedin.com/in/jasonputnam" TargetMode="External"/><Relationship Id="rId7242" Type="http://schemas.openxmlformats.org/officeDocument/2006/relationships/hyperlink" Target="http://www.linkedin.com/pub/dario-kalik/12/612/910" TargetMode="External"/><Relationship Id="rId8573" Type="http://schemas.openxmlformats.org/officeDocument/2006/relationships/hyperlink" Target="http://www.linkedin.com/in/briannoerr" TargetMode="External"/><Relationship Id="rId7241" Type="http://schemas.openxmlformats.org/officeDocument/2006/relationships/hyperlink" Target="http://ar.linkedin.com/in/psicoestudio" TargetMode="External"/><Relationship Id="rId8572" Type="http://schemas.openxmlformats.org/officeDocument/2006/relationships/hyperlink" Target="http://www.linkedin.com/in/balverts" TargetMode="External"/><Relationship Id="rId7240" Type="http://schemas.openxmlformats.org/officeDocument/2006/relationships/hyperlink" Target="http://www.linkedin.com/in/ealgorta" TargetMode="External"/><Relationship Id="rId8571" Type="http://schemas.openxmlformats.org/officeDocument/2006/relationships/hyperlink" Target="http://www.linkedin.com/pub/arun-taneja/0/A27/15A" TargetMode="External"/><Relationship Id="rId7247" Type="http://schemas.openxmlformats.org/officeDocument/2006/relationships/hyperlink" Target="http://www.linkedin.com/pub/mike-parra/0/315/792" TargetMode="External"/><Relationship Id="rId8578" Type="http://schemas.openxmlformats.org/officeDocument/2006/relationships/hyperlink" Target="http://www.linkedin.com/pub/matthew-asiaf/3/2A9/B35" TargetMode="External"/><Relationship Id="rId7246" Type="http://schemas.openxmlformats.org/officeDocument/2006/relationships/hyperlink" Target="http://www.linkedin.com/in/matiasokeefe" TargetMode="External"/><Relationship Id="rId8577" Type="http://schemas.openxmlformats.org/officeDocument/2006/relationships/hyperlink" Target="http://www.linkedin.com/in/davegreenwoodboston" TargetMode="External"/><Relationship Id="rId7245" Type="http://schemas.openxmlformats.org/officeDocument/2006/relationships/hyperlink" Target="http://ar.linkedin.com/in/analiakandel" TargetMode="External"/><Relationship Id="rId8576" Type="http://schemas.openxmlformats.org/officeDocument/2006/relationships/hyperlink" Target="http://www.linkedin.com/in/brucejtrimbur" TargetMode="External"/><Relationship Id="rId7244" Type="http://schemas.openxmlformats.org/officeDocument/2006/relationships/hyperlink" Target="http://ar.linkedin.com/in/damiancantone" TargetMode="External"/><Relationship Id="rId8575" Type="http://schemas.openxmlformats.org/officeDocument/2006/relationships/hyperlink" Target="http://www.linkedin.com/in/jouellette" TargetMode="External"/><Relationship Id="rId7249" Type="http://schemas.openxmlformats.org/officeDocument/2006/relationships/hyperlink" Target="http://www.linkedin.com/in/isymacadar" TargetMode="External"/><Relationship Id="rId7248" Type="http://schemas.openxmlformats.org/officeDocument/2006/relationships/hyperlink" Target="http://www.linkedin.com/pub/shaull-aviram/1/235/B78" TargetMode="External"/><Relationship Id="rId8579" Type="http://schemas.openxmlformats.org/officeDocument/2006/relationships/hyperlink" Target="http://www.linkedin.com/in/neerajahuja101" TargetMode="External"/><Relationship Id="rId2423" Type="http://schemas.openxmlformats.org/officeDocument/2006/relationships/hyperlink" Target="http://www.linkedin.com/in/alexc4" TargetMode="External"/><Relationship Id="rId3755" Type="http://schemas.openxmlformats.org/officeDocument/2006/relationships/hyperlink" Target="http://ar.linkedin.com/pub/patricia-barrionuevo/A/600/B66" TargetMode="External"/><Relationship Id="rId2424" Type="http://schemas.openxmlformats.org/officeDocument/2006/relationships/hyperlink" Target="http://www.linkedin.com/pub/pamela-gordon/0/1B4/95A" TargetMode="External"/><Relationship Id="rId3754" Type="http://schemas.openxmlformats.org/officeDocument/2006/relationships/hyperlink" Target="http://uk.linkedin.com/pub/david-weatherley/3/8B8/848" TargetMode="External"/><Relationship Id="rId2425" Type="http://schemas.openxmlformats.org/officeDocument/2006/relationships/hyperlink" Target="http://www.linkedin.com/pub/nagesh-murthy/0/1A/853" TargetMode="External"/><Relationship Id="rId3757" Type="http://schemas.openxmlformats.org/officeDocument/2006/relationships/hyperlink" Target="http://ar.linkedin.com/pub/rocio-martinez-samarra/23/123/A51" TargetMode="External"/><Relationship Id="rId2426" Type="http://schemas.openxmlformats.org/officeDocument/2006/relationships/hyperlink" Target="http://www.linkedin.com/in/jeffreade" TargetMode="External"/><Relationship Id="rId3756" Type="http://schemas.openxmlformats.org/officeDocument/2006/relationships/hyperlink" Target="http://ar.linkedin.com/pub/federico-toccaceli/6/192/213" TargetMode="External"/><Relationship Id="rId2427" Type="http://schemas.openxmlformats.org/officeDocument/2006/relationships/hyperlink" Target="http://www.linkedin.com/in/michaelbitter" TargetMode="External"/><Relationship Id="rId3759" Type="http://schemas.openxmlformats.org/officeDocument/2006/relationships/hyperlink" Target="http://ar.linkedin.com/pub/gabriela-gil-paricio/8/616/87" TargetMode="External"/><Relationship Id="rId2428" Type="http://schemas.openxmlformats.org/officeDocument/2006/relationships/hyperlink" Target="http://www.linkedin.com/pub/jennifer-scharf/0/215/981" TargetMode="External"/><Relationship Id="rId3758" Type="http://schemas.openxmlformats.org/officeDocument/2006/relationships/hyperlink" Target="http://www.linkedin.com/pub/maricel-tramontin/8/414/b62" TargetMode="External"/><Relationship Id="rId2429" Type="http://schemas.openxmlformats.org/officeDocument/2006/relationships/hyperlink" Target="http://www.linkedin.com/pub/scott-lewin/0/3A2/638" TargetMode="External"/><Relationship Id="rId3751" Type="http://schemas.openxmlformats.org/officeDocument/2006/relationships/hyperlink" Target="http://www.linkedin.com/pub/mariel-l-blanco/9/a60/5b0" TargetMode="External"/><Relationship Id="rId2420" Type="http://schemas.openxmlformats.org/officeDocument/2006/relationships/hyperlink" Target="http://www.linkedin.com/pub/brian-gorczynski/2/BA9/B6B" TargetMode="External"/><Relationship Id="rId3750" Type="http://schemas.openxmlformats.org/officeDocument/2006/relationships/hyperlink" Target="http://ar.linkedin.com/in/laurajones83" TargetMode="External"/><Relationship Id="rId2421" Type="http://schemas.openxmlformats.org/officeDocument/2006/relationships/hyperlink" Target="http://uk.linkedin.com/pub/andy-stewart/2/23/635" TargetMode="External"/><Relationship Id="rId3753" Type="http://schemas.openxmlformats.org/officeDocument/2006/relationships/hyperlink" Target="http://uk.linkedin.com/pub/nassos-oikonomopoulos/15/752/AA5" TargetMode="External"/><Relationship Id="rId2422" Type="http://schemas.openxmlformats.org/officeDocument/2006/relationships/hyperlink" Target="http://www.linkedin.com/pub/kelly-costa/23/116/6AA" TargetMode="External"/><Relationship Id="rId3752" Type="http://schemas.openxmlformats.org/officeDocument/2006/relationships/hyperlink" Target="http://ar.linkedin.com/pub/solange-galaz/9/952/608" TargetMode="External"/><Relationship Id="rId2412" Type="http://schemas.openxmlformats.org/officeDocument/2006/relationships/hyperlink" Target="http://www.linkedin.com/pub/maggie-macswiney/1/726/776" TargetMode="External"/><Relationship Id="rId3744" Type="http://schemas.openxmlformats.org/officeDocument/2006/relationships/hyperlink" Target="http://www.linkedin.com/pub/juan-alejandro-devincenzi/7/853/819" TargetMode="External"/><Relationship Id="rId2413" Type="http://schemas.openxmlformats.org/officeDocument/2006/relationships/hyperlink" Target="http://www.linkedin.com/pub/mark-cosby/10/746/51A" TargetMode="External"/><Relationship Id="rId3743" Type="http://schemas.openxmlformats.org/officeDocument/2006/relationships/hyperlink" Target="http://ar.linkedin.com/in/silviamontesanto" TargetMode="External"/><Relationship Id="rId2414" Type="http://schemas.openxmlformats.org/officeDocument/2006/relationships/hyperlink" Target="http://www.linkedin.com/pub/amit-khurana/A/BAB/B23" TargetMode="External"/><Relationship Id="rId3746" Type="http://schemas.openxmlformats.org/officeDocument/2006/relationships/hyperlink" Target="http://www.linkedin.com/pub/georgina-stachino-cia-cisa/b/8ba/14" TargetMode="External"/><Relationship Id="rId2415" Type="http://schemas.openxmlformats.org/officeDocument/2006/relationships/hyperlink" Target="http://uk.linkedin.com/in/ewencameron77" TargetMode="External"/><Relationship Id="rId3745" Type="http://schemas.openxmlformats.org/officeDocument/2006/relationships/hyperlink" Target="http://ar.linkedin.com/in/gcaminer" TargetMode="External"/><Relationship Id="rId2416" Type="http://schemas.openxmlformats.org/officeDocument/2006/relationships/hyperlink" Target="http://www.linkedin.com/in/jaclyncraddock" TargetMode="External"/><Relationship Id="rId3748" Type="http://schemas.openxmlformats.org/officeDocument/2006/relationships/hyperlink" Target="http://www.linkedin.com/pub/sergio-forastiero/2/101/963" TargetMode="External"/><Relationship Id="rId2417" Type="http://schemas.openxmlformats.org/officeDocument/2006/relationships/hyperlink" Target="http://www.linkedin.com/pub/daniel-l-williams/5/B40/AA0" TargetMode="External"/><Relationship Id="rId3747" Type="http://schemas.openxmlformats.org/officeDocument/2006/relationships/hyperlink" Target="http://ar.linkedin.com/pub/juli-n-el-as-deblauwe/7/41A/979" TargetMode="External"/><Relationship Id="rId2418" Type="http://schemas.openxmlformats.org/officeDocument/2006/relationships/hyperlink" Target="http://www.linkedin.com/in/dgschoen" TargetMode="External"/><Relationship Id="rId2419" Type="http://schemas.openxmlformats.org/officeDocument/2006/relationships/hyperlink" Target="http://www.linkedin.com/pub/ramesh-naidu-lolugu/1/bb7/554" TargetMode="External"/><Relationship Id="rId3749" Type="http://schemas.openxmlformats.org/officeDocument/2006/relationships/hyperlink" Target="http://www.linkedin.com/pub/agustin-chernitsky/4/b47/593" TargetMode="External"/><Relationship Id="rId3740" Type="http://schemas.openxmlformats.org/officeDocument/2006/relationships/hyperlink" Target="http://www.linkedin.com/pub/alejandro-schiffrin/5/647/9b4" TargetMode="External"/><Relationship Id="rId2410" Type="http://schemas.openxmlformats.org/officeDocument/2006/relationships/hyperlink" Target="http://www.linkedin.com/pub/john-baillieul/10/68A/264" TargetMode="External"/><Relationship Id="rId3742" Type="http://schemas.openxmlformats.org/officeDocument/2006/relationships/hyperlink" Target="http://ar.linkedin.com/pub/gustavo-finkelstein/11/677/791" TargetMode="External"/><Relationship Id="rId2411" Type="http://schemas.openxmlformats.org/officeDocument/2006/relationships/hyperlink" Target="http://www.linkedin.com/pub/anthony-moore/10/716/966" TargetMode="External"/><Relationship Id="rId3741" Type="http://schemas.openxmlformats.org/officeDocument/2006/relationships/hyperlink" Target="http://www.linkedin.com/pub/gonzalo-soaje-pinto/17/160/61b" TargetMode="External"/><Relationship Id="rId1114" Type="http://schemas.openxmlformats.org/officeDocument/2006/relationships/hyperlink" Target="http://www.linkedin.com/pub/frank-romano/5/849/262" TargetMode="External"/><Relationship Id="rId2445" Type="http://schemas.openxmlformats.org/officeDocument/2006/relationships/hyperlink" Target="http://www.linkedin.com/pub/tina-mansukhani-pmp/b/394/263" TargetMode="External"/><Relationship Id="rId3777" Type="http://schemas.openxmlformats.org/officeDocument/2006/relationships/hyperlink" Target="http://www.linkedin.com/pub/leticia-tossici/5/961/64" TargetMode="External"/><Relationship Id="rId1115" Type="http://schemas.openxmlformats.org/officeDocument/2006/relationships/hyperlink" Target="http://www.linkedin.com/pub/tom-gildea/1/4/A47" TargetMode="External"/><Relationship Id="rId2446" Type="http://schemas.openxmlformats.org/officeDocument/2006/relationships/hyperlink" Target="http://www.linkedin.com/pub/caroline-andressa/23/4A/1A4" TargetMode="External"/><Relationship Id="rId3776" Type="http://schemas.openxmlformats.org/officeDocument/2006/relationships/hyperlink" Target="http://ar.linkedin.com/in/gabrielbortnik" TargetMode="External"/><Relationship Id="rId1116" Type="http://schemas.openxmlformats.org/officeDocument/2006/relationships/hyperlink" Target="http://www.linkedin.com/pub/dan-kanka/0/338/42B" TargetMode="External"/><Relationship Id="rId2447" Type="http://schemas.openxmlformats.org/officeDocument/2006/relationships/hyperlink" Target="http://in.linkedin.com/in/aalokjariwala" TargetMode="External"/><Relationship Id="rId3779" Type="http://schemas.openxmlformats.org/officeDocument/2006/relationships/hyperlink" Target="http://ar.linkedin.com/pub/gonzalo-gugliotta/A/775/B26" TargetMode="External"/><Relationship Id="rId1117" Type="http://schemas.openxmlformats.org/officeDocument/2006/relationships/hyperlink" Target="http://www.linkedin.com/in/induprakas" TargetMode="External"/><Relationship Id="rId2448" Type="http://schemas.openxmlformats.org/officeDocument/2006/relationships/hyperlink" Target="http://www.linkedin.com/pub/stephen-lange/3/831/4B3" TargetMode="External"/><Relationship Id="rId3778" Type="http://schemas.openxmlformats.org/officeDocument/2006/relationships/hyperlink" Target="http://ar.linkedin.com/in/adrianmerli" TargetMode="External"/><Relationship Id="rId1118" Type="http://schemas.openxmlformats.org/officeDocument/2006/relationships/hyperlink" Target="http://www.linkedin.com/in/barbarabarreira" TargetMode="External"/><Relationship Id="rId2449" Type="http://schemas.openxmlformats.org/officeDocument/2006/relationships/hyperlink" Target="http://www.linkedin.com/pub/robin-s-liong/3/513/16B" TargetMode="External"/><Relationship Id="rId1119" Type="http://schemas.openxmlformats.org/officeDocument/2006/relationships/hyperlink" Target="http://www.linkedin.com/pub/john-shaker/1/A4B/B09" TargetMode="External"/><Relationship Id="rId3771" Type="http://schemas.openxmlformats.org/officeDocument/2006/relationships/hyperlink" Target="http://ar.linkedin.com/pub/christian-jaurena/14/859/253" TargetMode="External"/><Relationship Id="rId2440" Type="http://schemas.openxmlformats.org/officeDocument/2006/relationships/hyperlink" Target="http://www.linkedin.com/in/bobmcqueen" TargetMode="External"/><Relationship Id="rId3770" Type="http://schemas.openxmlformats.org/officeDocument/2006/relationships/hyperlink" Target="http://ar.linkedin.com/in/pescetti" TargetMode="External"/><Relationship Id="rId1110" Type="http://schemas.openxmlformats.org/officeDocument/2006/relationships/hyperlink" Target="http://www.linkedin.com/in/leetomg" TargetMode="External"/><Relationship Id="rId2441" Type="http://schemas.openxmlformats.org/officeDocument/2006/relationships/hyperlink" Target="http://www.linkedin.com/in/meganpittsley" TargetMode="External"/><Relationship Id="rId3773" Type="http://schemas.openxmlformats.org/officeDocument/2006/relationships/hyperlink" Target="http://ar.linkedin.com/pub/lorena-torres/6/462/75B" TargetMode="External"/><Relationship Id="rId1111" Type="http://schemas.openxmlformats.org/officeDocument/2006/relationships/hyperlink" Target="http://www.linkedin.com/pub/rabbi-shmuley-boteach/2/89B/770" TargetMode="External"/><Relationship Id="rId2442" Type="http://schemas.openxmlformats.org/officeDocument/2006/relationships/hyperlink" Target="http://dk.linkedin.com/in/patrickblessinger" TargetMode="External"/><Relationship Id="rId3772" Type="http://schemas.openxmlformats.org/officeDocument/2006/relationships/hyperlink" Target="http://ar.linkedin.com/pub/matias-chirikiles/15/A51/75" TargetMode="External"/><Relationship Id="rId1112" Type="http://schemas.openxmlformats.org/officeDocument/2006/relationships/hyperlink" Target="http://www.linkedin.com/in/brianwbowdish" TargetMode="External"/><Relationship Id="rId2443" Type="http://schemas.openxmlformats.org/officeDocument/2006/relationships/hyperlink" Target="http://www.linkedin.com/in/enterpriseessentials" TargetMode="External"/><Relationship Id="rId3775" Type="http://schemas.openxmlformats.org/officeDocument/2006/relationships/hyperlink" Target="http://ar.linkedin.com/in/sphilippi" TargetMode="External"/><Relationship Id="rId1113" Type="http://schemas.openxmlformats.org/officeDocument/2006/relationships/hyperlink" Target="http://www.linkedin.com/pub/patrick-rush/0/B95/A11" TargetMode="External"/><Relationship Id="rId2444" Type="http://schemas.openxmlformats.org/officeDocument/2006/relationships/hyperlink" Target="https://www.linkedin.com/in/alsilverstein" TargetMode="External"/><Relationship Id="rId3774" Type="http://schemas.openxmlformats.org/officeDocument/2006/relationships/hyperlink" Target="http://ar.linkedin.com/pub/diego-scocco/A/632/474" TargetMode="External"/><Relationship Id="rId1103" Type="http://schemas.openxmlformats.org/officeDocument/2006/relationships/hyperlink" Target="http://www.linkedin.com/pub/doug-marshall/0/133/621" TargetMode="External"/><Relationship Id="rId2434" Type="http://schemas.openxmlformats.org/officeDocument/2006/relationships/hyperlink" Target="http://www.linkedin.com/in/osogrande7" TargetMode="External"/><Relationship Id="rId3766" Type="http://schemas.openxmlformats.org/officeDocument/2006/relationships/hyperlink" Target="http://ar.linkedin.com/pub/marcelo-maciorowski/5/942/B70" TargetMode="External"/><Relationship Id="rId1104" Type="http://schemas.openxmlformats.org/officeDocument/2006/relationships/hyperlink" Target="http://www.linkedin.com/pub/rudolf-d-roosli/0/359/356" TargetMode="External"/><Relationship Id="rId2435" Type="http://schemas.openxmlformats.org/officeDocument/2006/relationships/hyperlink" Target="http://www.linkedin.com/in/karthikl" TargetMode="External"/><Relationship Id="rId3765" Type="http://schemas.openxmlformats.org/officeDocument/2006/relationships/hyperlink" Target="http://ar.linkedin.com/in/pablogiber" TargetMode="External"/><Relationship Id="rId1105" Type="http://schemas.openxmlformats.org/officeDocument/2006/relationships/hyperlink" Target="http://br.linkedin.com/in/rafapi" TargetMode="External"/><Relationship Id="rId2436" Type="http://schemas.openxmlformats.org/officeDocument/2006/relationships/hyperlink" Target="http://www.linkedin.com/pub/pradeep-shenoy/5/821/6A4" TargetMode="External"/><Relationship Id="rId3768" Type="http://schemas.openxmlformats.org/officeDocument/2006/relationships/hyperlink" Target="http://ar.linkedin.com/in/matiasgastonrodriguez" TargetMode="External"/><Relationship Id="rId1106" Type="http://schemas.openxmlformats.org/officeDocument/2006/relationships/hyperlink" Target="http://www.linkedin.com/pub/abbas-amirichimeh/0/100/756" TargetMode="External"/><Relationship Id="rId2437" Type="http://schemas.openxmlformats.org/officeDocument/2006/relationships/hyperlink" Target="http://www.linkedin.com/in/recruitbankabq" TargetMode="External"/><Relationship Id="rId3767" Type="http://schemas.openxmlformats.org/officeDocument/2006/relationships/hyperlink" Target="http://ar.linkedin.com/pub/mariana-martos/24/AA4/569" TargetMode="External"/><Relationship Id="rId1107" Type="http://schemas.openxmlformats.org/officeDocument/2006/relationships/hyperlink" Target="http://www.linkedin.com/in/wkandek" TargetMode="External"/><Relationship Id="rId2438" Type="http://schemas.openxmlformats.org/officeDocument/2006/relationships/hyperlink" Target="http://www.linkedin.com/pub/jairo-lopes/23/424/3A1" TargetMode="External"/><Relationship Id="rId1108" Type="http://schemas.openxmlformats.org/officeDocument/2006/relationships/hyperlink" Target="http://www.linkedin.com/pub/royall-du/0/308/b21" TargetMode="External"/><Relationship Id="rId2439" Type="http://schemas.openxmlformats.org/officeDocument/2006/relationships/hyperlink" Target="http://www.linkedin.com/pub/julie-swain/B/4A3/B56" TargetMode="External"/><Relationship Id="rId3769" Type="http://schemas.openxmlformats.org/officeDocument/2006/relationships/hyperlink" Target="http://www.linkedin.com/pub/melina-andrea-martinez/13/b00/43b" TargetMode="External"/><Relationship Id="rId1109" Type="http://schemas.openxmlformats.org/officeDocument/2006/relationships/hyperlink" Target="http://www.linkedin.com/in/quentinf" TargetMode="External"/><Relationship Id="rId3760" Type="http://schemas.openxmlformats.org/officeDocument/2006/relationships/hyperlink" Target="http://ar.linkedin.com/pub/ariel-schvartzapel/24/222/960" TargetMode="External"/><Relationship Id="rId2430" Type="http://schemas.openxmlformats.org/officeDocument/2006/relationships/hyperlink" Target="http://www.linkedin.com/in/jeffmerryman" TargetMode="External"/><Relationship Id="rId3762" Type="http://schemas.openxmlformats.org/officeDocument/2006/relationships/hyperlink" Target="http://ar.linkedin.com/in/sebaalthabe" TargetMode="External"/><Relationship Id="rId1100" Type="http://schemas.openxmlformats.org/officeDocument/2006/relationships/hyperlink" Target="https://www.linkedin.com/in/kathrynshantz" TargetMode="External"/><Relationship Id="rId2431" Type="http://schemas.openxmlformats.org/officeDocument/2006/relationships/hyperlink" Target="http://www.linkedin.com/in/dennisnewel" TargetMode="External"/><Relationship Id="rId3761" Type="http://schemas.openxmlformats.org/officeDocument/2006/relationships/hyperlink" Target="http://ar.linkedin.com/pub/alicia-napoli/0/425/253" TargetMode="External"/><Relationship Id="rId1101" Type="http://schemas.openxmlformats.org/officeDocument/2006/relationships/hyperlink" Target="http://www.linkedin.com/pub/fabiano-lazzarini/0/265/687" TargetMode="External"/><Relationship Id="rId2432" Type="http://schemas.openxmlformats.org/officeDocument/2006/relationships/hyperlink" Target="http://www.linkedin.com/pub/andrew-frame/0/124/593" TargetMode="External"/><Relationship Id="rId3764" Type="http://schemas.openxmlformats.org/officeDocument/2006/relationships/hyperlink" Target="http://www.linkedin.com/pub/leandro-perez-rodriguez-pmp/2a/835/28" TargetMode="External"/><Relationship Id="rId1102" Type="http://schemas.openxmlformats.org/officeDocument/2006/relationships/hyperlink" Target="http://www.linkedin.com/in/richellerodgers" TargetMode="External"/><Relationship Id="rId2433" Type="http://schemas.openxmlformats.org/officeDocument/2006/relationships/hyperlink" Target="http://www.linkedin.com/pub/fernando-giampauli/21/9A2/1A4" TargetMode="External"/><Relationship Id="rId3763" Type="http://schemas.openxmlformats.org/officeDocument/2006/relationships/hyperlink" Target="http://www.linkedin.com/pub/gustavo-cocciolo/15/788/614" TargetMode="External"/><Relationship Id="rId3711" Type="http://schemas.openxmlformats.org/officeDocument/2006/relationships/hyperlink" Target="http://ar.linkedin.com/pub/gustavo-garmendia/5/146/81" TargetMode="External"/><Relationship Id="rId3710" Type="http://schemas.openxmlformats.org/officeDocument/2006/relationships/hyperlink" Target="https://www.linkedin.com/in/ayelenchavez" TargetMode="External"/><Relationship Id="rId3713" Type="http://schemas.openxmlformats.org/officeDocument/2006/relationships/hyperlink" Target="http://www.linkedin.com/pub/alejandro-aiupe/5/589/7a9" TargetMode="External"/><Relationship Id="rId3712" Type="http://schemas.openxmlformats.org/officeDocument/2006/relationships/hyperlink" Target="http://ar.linkedin.com/pub/andres-devoto/5/225/405" TargetMode="External"/><Relationship Id="rId3715" Type="http://schemas.openxmlformats.org/officeDocument/2006/relationships/hyperlink" Target="http://ar.linkedin.com/in/federicomuzio" TargetMode="External"/><Relationship Id="rId3714" Type="http://schemas.openxmlformats.org/officeDocument/2006/relationships/hyperlink" Target="http://ar.linkedin.com/pub/luis-benigno-olive/B/285/178" TargetMode="External"/><Relationship Id="rId3717" Type="http://schemas.openxmlformats.org/officeDocument/2006/relationships/hyperlink" Target="http://ar.linkedin.com/pub/martin-rodriguez-arias/7/900/267" TargetMode="External"/><Relationship Id="rId3716" Type="http://schemas.openxmlformats.org/officeDocument/2006/relationships/hyperlink" Target="http://www.linkedin.com/pub/leandro-javier-ipes/11/3a9/2a5" TargetMode="External"/><Relationship Id="rId3719" Type="http://schemas.openxmlformats.org/officeDocument/2006/relationships/hyperlink" Target="http://ar.linkedin.com/pub/andr%C3%A9s-inostroza/A/292/195" TargetMode="External"/><Relationship Id="rId3718" Type="http://schemas.openxmlformats.org/officeDocument/2006/relationships/hyperlink" Target="http://ar.linkedin.com/pub/sebastian-barreto/B/6A2/810" TargetMode="External"/><Relationship Id="rId3700" Type="http://schemas.openxmlformats.org/officeDocument/2006/relationships/hyperlink" Target="http://www.linkedin.com/pub/paulo-gioino/2/8a4/671" TargetMode="External"/><Relationship Id="rId3702" Type="http://schemas.openxmlformats.org/officeDocument/2006/relationships/hyperlink" Target="http://ar.linkedin.com/pub/guillermo-jacobi/1/353/B16" TargetMode="External"/><Relationship Id="rId3701" Type="http://schemas.openxmlformats.org/officeDocument/2006/relationships/hyperlink" Target="http://ar.linkedin.com/pub/emilio-bottino/3/289/117" TargetMode="External"/><Relationship Id="rId3704" Type="http://schemas.openxmlformats.org/officeDocument/2006/relationships/hyperlink" Target="http://www.linkedin.com/in/hrajchert" TargetMode="External"/><Relationship Id="rId3703" Type="http://schemas.openxmlformats.org/officeDocument/2006/relationships/hyperlink" Target="http://ar.linkedin.com/in/alejandromartindiaz" TargetMode="External"/><Relationship Id="rId3706" Type="http://schemas.openxmlformats.org/officeDocument/2006/relationships/hyperlink" Target="http://www.linkedin.com/pub/emiliano-yache/5/5a5/608" TargetMode="External"/><Relationship Id="rId3705" Type="http://schemas.openxmlformats.org/officeDocument/2006/relationships/hyperlink" Target="http://ar.linkedin.com/in/arielzunino" TargetMode="External"/><Relationship Id="rId3708" Type="http://schemas.openxmlformats.org/officeDocument/2006/relationships/hyperlink" Target="http://ar.linkedin.com/in/ingenierogaray" TargetMode="External"/><Relationship Id="rId3707" Type="http://schemas.openxmlformats.org/officeDocument/2006/relationships/hyperlink" Target="http://ar.linkedin.com/pub/mat-as-chiodi/11/915/B60" TargetMode="External"/><Relationship Id="rId3709" Type="http://schemas.openxmlformats.org/officeDocument/2006/relationships/hyperlink" Target="http://ar.linkedin.com/pub/valeria-yanina-pace/6/25A/4A7" TargetMode="External"/><Relationship Id="rId2401" Type="http://schemas.openxmlformats.org/officeDocument/2006/relationships/hyperlink" Target="http://www.linkedin.com/pub/priyanka-pawar/A/74A/A97" TargetMode="External"/><Relationship Id="rId3733" Type="http://schemas.openxmlformats.org/officeDocument/2006/relationships/hyperlink" Target="http://ar.linkedin.com/pub/juan-pablo-norverto/6/B50/4BB" TargetMode="External"/><Relationship Id="rId2402" Type="http://schemas.openxmlformats.org/officeDocument/2006/relationships/hyperlink" Target="http://www.linkedin.com/pub/robyn-croll/8/376/2ba" TargetMode="External"/><Relationship Id="rId3732" Type="http://schemas.openxmlformats.org/officeDocument/2006/relationships/hyperlink" Target="http://ar.linkedin.com/in/ignaciolozita" TargetMode="External"/><Relationship Id="rId2403" Type="http://schemas.openxmlformats.org/officeDocument/2006/relationships/hyperlink" Target="http://www.linkedin.com/pub/sam-ko/9/658/B15" TargetMode="External"/><Relationship Id="rId3735" Type="http://schemas.openxmlformats.org/officeDocument/2006/relationships/hyperlink" Target="http://ar.linkedin.com/pub/silvia-gomez/4/511/566" TargetMode="External"/><Relationship Id="rId2404" Type="http://schemas.openxmlformats.org/officeDocument/2006/relationships/hyperlink" Target="https://www.linkedin.com/in/dbernardini" TargetMode="External"/><Relationship Id="rId3734" Type="http://schemas.openxmlformats.org/officeDocument/2006/relationships/hyperlink" Target="http://ar.linkedin.com/in/gastonscapusio" TargetMode="External"/><Relationship Id="rId2405" Type="http://schemas.openxmlformats.org/officeDocument/2006/relationships/hyperlink" Target="http://www.linkedin.com/in/gwendrake" TargetMode="External"/><Relationship Id="rId3737" Type="http://schemas.openxmlformats.org/officeDocument/2006/relationships/hyperlink" Target="http://www.linkedin.com/pub/carlos-pedeflous/2/759/881" TargetMode="External"/><Relationship Id="rId2406" Type="http://schemas.openxmlformats.org/officeDocument/2006/relationships/hyperlink" Target="http://www.linkedin.com/pub/darrin-skinner/1/346/38B" TargetMode="External"/><Relationship Id="rId3736" Type="http://schemas.openxmlformats.org/officeDocument/2006/relationships/hyperlink" Target="http://ar.linkedin.com/pub/lucas-velazco/6/2A0/9AB" TargetMode="External"/><Relationship Id="rId2407" Type="http://schemas.openxmlformats.org/officeDocument/2006/relationships/hyperlink" Target="http://www.linkedin.com/in/garyoverbeck" TargetMode="External"/><Relationship Id="rId3739" Type="http://schemas.openxmlformats.org/officeDocument/2006/relationships/hyperlink" Target="http://www.linkedin.com/pub/sergio-laschera/1/4b6/3b2" TargetMode="External"/><Relationship Id="rId2408" Type="http://schemas.openxmlformats.org/officeDocument/2006/relationships/hyperlink" Target="http://www.linkedin.com/pub/rahul-sharma/A/788/A06" TargetMode="External"/><Relationship Id="rId3738" Type="http://schemas.openxmlformats.org/officeDocument/2006/relationships/hyperlink" Target="http://ar.linkedin.com/pub/maria-marta-carpinelli/7/BB8/5A8" TargetMode="External"/><Relationship Id="rId2409" Type="http://schemas.openxmlformats.org/officeDocument/2006/relationships/hyperlink" Target="http://www.linkedin.com/in/stephenklimczuk" TargetMode="External"/><Relationship Id="rId3731" Type="http://schemas.openxmlformats.org/officeDocument/2006/relationships/hyperlink" Target="http://www.linkedin.com/in/wankelc" TargetMode="External"/><Relationship Id="rId2400" Type="http://schemas.openxmlformats.org/officeDocument/2006/relationships/hyperlink" Target="http://www.linkedin.com/in/chrisniccolls" TargetMode="External"/><Relationship Id="rId3730" Type="http://schemas.openxmlformats.org/officeDocument/2006/relationships/hyperlink" Target="http://www.linkedin.com/in/fabiodasilva" TargetMode="External"/><Relationship Id="rId3722" Type="http://schemas.openxmlformats.org/officeDocument/2006/relationships/hyperlink" Target="http://www.linkedin.com/pub/santiago-pigliacampi/30/747/5b1" TargetMode="External"/><Relationship Id="rId3721" Type="http://schemas.openxmlformats.org/officeDocument/2006/relationships/hyperlink" Target="http://ar.linkedin.com/in/josemariaduce" TargetMode="External"/><Relationship Id="rId3724" Type="http://schemas.openxmlformats.org/officeDocument/2006/relationships/hyperlink" Target="http://www.linkedin.com/pub/miguel-angel-basuf/1b/322/a33" TargetMode="External"/><Relationship Id="rId3723" Type="http://schemas.openxmlformats.org/officeDocument/2006/relationships/hyperlink" Target="http://ar.linkedin.com/in/javiervila" TargetMode="External"/><Relationship Id="rId3726" Type="http://schemas.openxmlformats.org/officeDocument/2006/relationships/hyperlink" Target="http://ar.linkedin.com/pub/tomas-hearne/A/797/269" TargetMode="External"/><Relationship Id="rId3725" Type="http://schemas.openxmlformats.org/officeDocument/2006/relationships/hyperlink" Target="http://ar.linkedin.com/pub/paola-murua/24/16A/B70" TargetMode="External"/><Relationship Id="rId3728" Type="http://schemas.openxmlformats.org/officeDocument/2006/relationships/hyperlink" Target="http://ar.linkedin.com/pub/delia-fojo/B/88B/5A0" TargetMode="External"/><Relationship Id="rId3727" Type="http://schemas.openxmlformats.org/officeDocument/2006/relationships/hyperlink" Target="http://ar.linkedin.com/in/mauriciofalco" TargetMode="External"/><Relationship Id="rId3729" Type="http://schemas.openxmlformats.org/officeDocument/2006/relationships/hyperlink" Target="http://ar.linkedin.com/in/charitocerenzia" TargetMode="External"/><Relationship Id="rId3720" Type="http://schemas.openxmlformats.org/officeDocument/2006/relationships/hyperlink" Target="http://ar.linkedin.com/in/szalazar" TargetMode="External"/><Relationship Id="rId1170" Type="http://schemas.openxmlformats.org/officeDocument/2006/relationships/hyperlink" Target="http://www.linkedin.com/pub/al-hahn/1/BB0/81B" TargetMode="External"/><Relationship Id="rId1171" Type="http://schemas.openxmlformats.org/officeDocument/2006/relationships/hyperlink" Target="http://www.linkedin.com/in/seththomaspietras" TargetMode="External"/><Relationship Id="rId1172" Type="http://schemas.openxmlformats.org/officeDocument/2006/relationships/hyperlink" Target="http://www.linkedin.com/pub/swati-ramgopal/1/972/B01" TargetMode="External"/><Relationship Id="rId1173" Type="http://schemas.openxmlformats.org/officeDocument/2006/relationships/hyperlink" Target="http://www.linkedin.com/in/imanilaners" TargetMode="External"/><Relationship Id="rId1174" Type="http://schemas.openxmlformats.org/officeDocument/2006/relationships/hyperlink" Target="http://www.linkedin.com/in/lrasquilha" TargetMode="External"/><Relationship Id="rId1175" Type="http://schemas.openxmlformats.org/officeDocument/2006/relationships/hyperlink" Target="http://www.linkedin.com/pub/morgan-snyder/0/7/A54" TargetMode="External"/><Relationship Id="rId1176" Type="http://schemas.openxmlformats.org/officeDocument/2006/relationships/hyperlink" Target="http://www.linkedin.com/in/benoitflammang" TargetMode="External"/><Relationship Id="rId1177" Type="http://schemas.openxmlformats.org/officeDocument/2006/relationships/hyperlink" Target="http://www.linkedin.com/in/kentiler" TargetMode="External"/><Relationship Id="rId1178" Type="http://schemas.openxmlformats.org/officeDocument/2006/relationships/hyperlink" Target="http://www.linkedin.com/pub/david-marshak/0/171/6AA" TargetMode="External"/><Relationship Id="rId1179" Type="http://schemas.openxmlformats.org/officeDocument/2006/relationships/hyperlink" Target="http://www.linkedin.com/in/jefecoon" TargetMode="External"/><Relationship Id="rId1169" Type="http://schemas.openxmlformats.org/officeDocument/2006/relationships/hyperlink" Target="http://www.linkedin.com/pub/isabel-kallman/4/215/27" TargetMode="External"/><Relationship Id="rId2490" Type="http://schemas.openxmlformats.org/officeDocument/2006/relationships/hyperlink" Target="http://www.linkedin.com/pub/andrew-housser/0/104/112" TargetMode="External"/><Relationship Id="rId1160" Type="http://schemas.openxmlformats.org/officeDocument/2006/relationships/hyperlink" Target="http://www.linkedin.com/pub/sara-douglas/3/81/965" TargetMode="External"/><Relationship Id="rId2491" Type="http://schemas.openxmlformats.org/officeDocument/2006/relationships/hyperlink" Target="http://www.linkedin.com/in/clydeleverett" TargetMode="External"/><Relationship Id="rId1161" Type="http://schemas.openxmlformats.org/officeDocument/2006/relationships/hyperlink" Target="http://www.linkedin.com/pub/lucas-juvele-passos/2A/A16/6B9" TargetMode="External"/><Relationship Id="rId2492" Type="http://schemas.openxmlformats.org/officeDocument/2006/relationships/hyperlink" Target="http://es.linkedin.com/pub/crist%C3%B3bal-moreno-mart%C3%ADnez/1A/BA0/13B" TargetMode="External"/><Relationship Id="rId1162" Type="http://schemas.openxmlformats.org/officeDocument/2006/relationships/hyperlink" Target="http://www.linkedin.com/in/billgrout" TargetMode="External"/><Relationship Id="rId2493" Type="http://schemas.openxmlformats.org/officeDocument/2006/relationships/hyperlink" Target="http://www.linkedin.com/in/mpiskorski" TargetMode="External"/><Relationship Id="rId1163" Type="http://schemas.openxmlformats.org/officeDocument/2006/relationships/hyperlink" Target="http://www.linkedin.com/pub/paul-rallo-3500/2/903/ba8" TargetMode="External"/><Relationship Id="rId2494" Type="http://schemas.openxmlformats.org/officeDocument/2006/relationships/hyperlink" Target="http://www.linkedin.com/in/phillipjbarnes" TargetMode="External"/><Relationship Id="rId1164" Type="http://schemas.openxmlformats.org/officeDocument/2006/relationships/hyperlink" Target="http://www.linkedin.com/pub/melissa-maus/4/838/79B" TargetMode="External"/><Relationship Id="rId2495" Type="http://schemas.openxmlformats.org/officeDocument/2006/relationships/hyperlink" Target="http://www.linkedin.com/pub/eileen-gorman/0/29B/B3A" TargetMode="External"/><Relationship Id="rId1165" Type="http://schemas.openxmlformats.org/officeDocument/2006/relationships/hyperlink" Target="http://www.linkedin.com/in/prashantjawalikar" TargetMode="External"/><Relationship Id="rId2496" Type="http://schemas.openxmlformats.org/officeDocument/2006/relationships/hyperlink" Target="http://www.linkedin.com/in/davefrechette" TargetMode="External"/><Relationship Id="rId1166" Type="http://schemas.openxmlformats.org/officeDocument/2006/relationships/hyperlink" Target="http://www.linkedin.com/in/kevinogrady" TargetMode="External"/><Relationship Id="rId2497" Type="http://schemas.openxmlformats.org/officeDocument/2006/relationships/hyperlink" Target="http://www.linkedin.com/in/shalugupta" TargetMode="External"/><Relationship Id="rId1167" Type="http://schemas.openxmlformats.org/officeDocument/2006/relationships/hyperlink" Target="http://br.linkedin.com/in/juanfuentes" TargetMode="External"/><Relationship Id="rId2498" Type="http://schemas.openxmlformats.org/officeDocument/2006/relationships/hyperlink" Target="http://www.linkedin.com/pub/john-pelkonen/0/64A/A3" TargetMode="External"/><Relationship Id="rId1168" Type="http://schemas.openxmlformats.org/officeDocument/2006/relationships/hyperlink" Target="http://in.linkedin.com/in/shilpijohri" TargetMode="External"/><Relationship Id="rId2499" Type="http://schemas.openxmlformats.org/officeDocument/2006/relationships/hyperlink" Target="http://www.linkedin.com/in/kchopson" TargetMode="External"/><Relationship Id="rId9918" Type="http://schemas.openxmlformats.org/officeDocument/2006/relationships/hyperlink" Target="http://www.linkedin.com/pub/mark-rickel/6/B98/A7A" TargetMode="External"/><Relationship Id="rId9919" Type="http://schemas.openxmlformats.org/officeDocument/2006/relationships/hyperlink" Target="http://ca.linkedin.com/in/henrylewkowicz" TargetMode="External"/><Relationship Id="rId9914" Type="http://schemas.openxmlformats.org/officeDocument/2006/relationships/hyperlink" Target="http://www.linkedin.com/pub/jeremy-vannatta/0/182/67" TargetMode="External"/><Relationship Id="rId9915" Type="http://schemas.openxmlformats.org/officeDocument/2006/relationships/hyperlink" Target="http://www.linkedin.com/in/allengladstone" TargetMode="External"/><Relationship Id="rId9916" Type="http://schemas.openxmlformats.org/officeDocument/2006/relationships/hyperlink" Target="http://www.linkedin.com/in/johnmcaleer" TargetMode="External"/><Relationship Id="rId9917" Type="http://schemas.openxmlformats.org/officeDocument/2006/relationships/hyperlink" Target="http://www.linkedin.com/pub/carl-boeing/1/19A/732" TargetMode="External"/><Relationship Id="rId1190" Type="http://schemas.openxmlformats.org/officeDocument/2006/relationships/hyperlink" Target="https://www.linkedin.com/in/dowdle" TargetMode="External"/><Relationship Id="rId1191" Type="http://schemas.openxmlformats.org/officeDocument/2006/relationships/hyperlink" Target="http://www.linkedin.com/pub/steven-shalita/0/728/930" TargetMode="External"/><Relationship Id="rId1192" Type="http://schemas.openxmlformats.org/officeDocument/2006/relationships/hyperlink" Target="http://www.linkedin.com/pub/sujeet-kumar/1/1A4/382" TargetMode="External"/><Relationship Id="rId1193" Type="http://schemas.openxmlformats.org/officeDocument/2006/relationships/hyperlink" Target="http://www.linkedin.com/in/seiserling" TargetMode="External"/><Relationship Id="rId1194" Type="http://schemas.openxmlformats.org/officeDocument/2006/relationships/hyperlink" Target="http://www.linkedin.com/pub/robert-bob-blake/0/150/1AA" TargetMode="External"/><Relationship Id="rId9910" Type="http://schemas.openxmlformats.org/officeDocument/2006/relationships/hyperlink" Target="https://www.linkedin.com/in/tomkehler" TargetMode="External"/><Relationship Id="rId1195" Type="http://schemas.openxmlformats.org/officeDocument/2006/relationships/hyperlink" Target="http://www.linkedin.com/pub/john-marker/7/72/94" TargetMode="External"/><Relationship Id="rId9911" Type="http://schemas.openxmlformats.org/officeDocument/2006/relationships/hyperlink" Target="http://www.linkedin.com/in/ayyoub" TargetMode="External"/><Relationship Id="rId1196" Type="http://schemas.openxmlformats.org/officeDocument/2006/relationships/hyperlink" Target="http://www.linkedin.com/pub/karen-zarb/1/A92/768" TargetMode="External"/><Relationship Id="rId9912" Type="http://schemas.openxmlformats.org/officeDocument/2006/relationships/hyperlink" Target="http://www.linkedin.com/in/bccumberland" TargetMode="External"/><Relationship Id="rId1197" Type="http://schemas.openxmlformats.org/officeDocument/2006/relationships/hyperlink" Target="http://www.linkedin.com/in/tylers" TargetMode="External"/><Relationship Id="rId9913" Type="http://schemas.openxmlformats.org/officeDocument/2006/relationships/hyperlink" Target="http://uk.linkedin.com/pub/colin-darbyshire/1/197/53" TargetMode="External"/><Relationship Id="rId1198" Type="http://schemas.openxmlformats.org/officeDocument/2006/relationships/hyperlink" Target="http://uk.linkedin.com/in/birley" TargetMode="External"/><Relationship Id="rId1199" Type="http://schemas.openxmlformats.org/officeDocument/2006/relationships/hyperlink" Target="http://www.linkedin.com/in/jerrylembo" TargetMode="External"/><Relationship Id="rId9907" Type="http://schemas.openxmlformats.org/officeDocument/2006/relationships/hyperlink" Target="http://www.linkedin.com/in/johnstuppy" TargetMode="External"/><Relationship Id="rId9908" Type="http://schemas.openxmlformats.org/officeDocument/2006/relationships/hyperlink" Target="http://www.linkedin.com/in/davidsteel" TargetMode="External"/><Relationship Id="rId9909" Type="http://schemas.openxmlformats.org/officeDocument/2006/relationships/hyperlink" Target="http://www.linkedin.com/in/kwaldman" TargetMode="External"/><Relationship Id="rId9903" Type="http://schemas.openxmlformats.org/officeDocument/2006/relationships/hyperlink" Target="http://www.linkedin.com/pub/anupam-manglik/0/3A3/56B" TargetMode="External"/><Relationship Id="rId9904" Type="http://schemas.openxmlformats.org/officeDocument/2006/relationships/hyperlink" Target="http://www.linkedin.com/in/keithddavis" TargetMode="External"/><Relationship Id="rId9905" Type="http://schemas.openxmlformats.org/officeDocument/2006/relationships/hyperlink" Target="http://www.linkedin.com/in/jtauber" TargetMode="External"/><Relationship Id="rId9906" Type="http://schemas.openxmlformats.org/officeDocument/2006/relationships/hyperlink" Target="http://www.linkedin.com/pub/clyde-logue/0/18/361" TargetMode="External"/><Relationship Id="rId1180" Type="http://schemas.openxmlformats.org/officeDocument/2006/relationships/hyperlink" Target="http://www.linkedin.com/pub/rajiv-zutshi/0/418/B42" TargetMode="External"/><Relationship Id="rId1181" Type="http://schemas.openxmlformats.org/officeDocument/2006/relationships/hyperlink" Target="http://ca.linkedin.com/pub/david-beyer/0/7A/175" TargetMode="External"/><Relationship Id="rId1182" Type="http://schemas.openxmlformats.org/officeDocument/2006/relationships/hyperlink" Target="http://www.linkedin.com/in/walthoman" TargetMode="External"/><Relationship Id="rId1183" Type="http://schemas.openxmlformats.org/officeDocument/2006/relationships/hyperlink" Target="http://www.linkedin.com/in/cshilling" TargetMode="External"/><Relationship Id="rId1184" Type="http://schemas.openxmlformats.org/officeDocument/2006/relationships/hyperlink" Target="http://www.linkedin.com/in/jasonweisberger" TargetMode="External"/><Relationship Id="rId9900" Type="http://schemas.openxmlformats.org/officeDocument/2006/relationships/hyperlink" Target="http://www.linkedin.com/in/tariktaman" TargetMode="External"/><Relationship Id="rId1185" Type="http://schemas.openxmlformats.org/officeDocument/2006/relationships/hyperlink" Target="http://www.linkedin.com/pub/moises-eilemberg/0/58/71B" TargetMode="External"/><Relationship Id="rId9901" Type="http://schemas.openxmlformats.org/officeDocument/2006/relationships/hyperlink" Target="http://www.linkedin.com/in/justinfoster" TargetMode="External"/><Relationship Id="rId1186" Type="http://schemas.openxmlformats.org/officeDocument/2006/relationships/hyperlink" Target="http://www.linkedin.com/in/chintanopatel" TargetMode="External"/><Relationship Id="rId9902" Type="http://schemas.openxmlformats.org/officeDocument/2006/relationships/hyperlink" Target="http://www.linkedin.com/in/eliasisrael" TargetMode="External"/><Relationship Id="rId1187" Type="http://schemas.openxmlformats.org/officeDocument/2006/relationships/hyperlink" Target="http://www.linkedin.com/pub/jo-ann-newton/5/465/6AA" TargetMode="External"/><Relationship Id="rId1188" Type="http://schemas.openxmlformats.org/officeDocument/2006/relationships/hyperlink" Target="http://www.linkedin.com/pub/patrick-thean/0/1B2/A67" TargetMode="External"/><Relationship Id="rId1189" Type="http://schemas.openxmlformats.org/officeDocument/2006/relationships/hyperlink" Target="http://www.linkedin.com/in/lindavan" TargetMode="External"/><Relationship Id="rId1136" Type="http://schemas.openxmlformats.org/officeDocument/2006/relationships/hyperlink" Target="http://www.linkedin.com/pub/john-pierce/1/467/390" TargetMode="External"/><Relationship Id="rId2467" Type="http://schemas.openxmlformats.org/officeDocument/2006/relationships/hyperlink" Target="http://www.linkedin.com/in/rassulf" TargetMode="External"/><Relationship Id="rId3799" Type="http://schemas.openxmlformats.org/officeDocument/2006/relationships/hyperlink" Target="http://ar.linkedin.com/pub/claudia-minzi/0/842/831" TargetMode="External"/><Relationship Id="rId1137" Type="http://schemas.openxmlformats.org/officeDocument/2006/relationships/hyperlink" Target="https://www.linkedin.com/in/mikeparsenault" TargetMode="External"/><Relationship Id="rId2468" Type="http://schemas.openxmlformats.org/officeDocument/2006/relationships/hyperlink" Target="http://www.linkedin.com/in/ramakrishnamanchana" TargetMode="External"/><Relationship Id="rId3798" Type="http://schemas.openxmlformats.org/officeDocument/2006/relationships/hyperlink" Target="http://ar.linkedin.com/pub/sergio-basualdo/0/50A/901" TargetMode="External"/><Relationship Id="rId1138" Type="http://schemas.openxmlformats.org/officeDocument/2006/relationships/hyperlink" Target="http://www.linkedin.com/in/nbdoh" TargetMode="External"/><Relationship Id="rId2469" Type="http://schemas.openxmlformats.org/officeDocument/2006/relationships/hyperlink" Target="http://www.linkedin.com/in/xavierdamman" TargetMode="External"/><Relationship Id="rId1139" Type="http://schemas.openxmlformats.org/officeDocument/2006/relationships/hyperlink" Target="http://www.linkedin.com/in/jbayad" TargetMode="External"/><Relationship Id="rId3791" Type="http://schemas.openxmlformats.org/officeDocument/2006/relationships/hyperlink" Target="http://ar.linkedin.com/pub/roger-mizrach/5/464/86B" TargetMode="External"/><Relationship Id="rId2460" Type="http://schemas.openxmlformats.org/officeDocument/2006/relationships/hyperlink" Target="http://www.linkedin.com/in/hermannm" TargetMode="External"/><Relationship Id="rId3790" Type="http://schemas.openxmlformats.org/officeDocument/2006/relationships/hyperlink" Target="http://ar.linkedin.com/pub/silvana-banegas/5/403/713" TargetMode="External"/><Relationship Id="rId1130" Type="http://schemas.openxmlformats.org/officeDocument/2006/relationships/hyperlink" Target="http://uk.linkedin.com/pub/peter-howes/12/B16/428" TargetMode="External"/><Relationship Id="rId2461" Type="http://schemas.openxmlformats.org/officeDocument/2006/relationships/hyperlink" Target="http://www.linkedin.com/pub/rahul-trivedi/B/6B1/B99" TargetMode="External"/><Relationship Id="rId3793" Type="http://schemas.openxmlformats.org/officeDocument/2006/relationships/hyperlink" Target="http://ar.linkedin.com/pub/javier-fileiv/B/230/68B" TargetMode="External"/><Relationship Id="rId1131" Type="http://schemas.openxmlformats.org/officeDocument/2006/relationships/hyperlink" Target="http://www.linkedin.com/pub/madan-kondayyagari/3/161/37" TargetMode="External"/><Relationship Id="rId2462" Type="http://schemas.openxmlformats.org/officeDocument/2006/relationships/hyperlink" Target="http://fr.linkedin.com/in/flaischaker" TargetMode="External"/><Relationship Id="rId3792" Type="http://schemas.openxmlformats.org/officeDocument/2006/relationships/hyperlink" Target="http://ar.linkedin.com/pub/alejandro-kohen/26/41A/717" TargetMode="External"/><Relationship Id="rId1132" Type="http://schemas.openxmlformats.org/officeDocument/2006/relationships/hyperlink" Target="http://www.linkedin.com/in/sbmulhall" TargetMode="External"/><Relationship Id="rId2463" Type="http://schemas.openxmlformats.org/officeDocument/2006/relationships/hyperlink" Target="http://www.linkedin.com/pub/loren-pomerantz/0/15/385" TargetMode="External"/><Relationship Id="rId3795" Type="http://schemas.openxmlformats.org/officeDocument/2006/relationships/hyperlink" Target="http://ar.linkedin.com/pub/gustavo-hinz/0/B8/849" TargetMode="External"/><Relationship Id="rId1133" Type="http://schemas.openxmlformats.org/officeDocument/2006/relationships/hyperlink" Target="http://www.linkedin.com/in/kambrosini" TargetMode="External"/><Relationship Id="rId2464" Type="http://schemas.openxmlformats.org/officeDocument/2006/relationships/hyperlink" Target="http://www.linkedin.com/in/failharder" TargetMode="External"/><Relationship Id="rId3794" Type="http://schemas.openxmlformats.org/officeDocument/2006/relationships/hyperlink" Target="http://ar.linkedin.com/pub/fernando-alba/6/923/303" TargetMode="External"/><Relationship Id="rId1134" Type="http://schemas.openxmlformats.org/officeDocument/2006/relationships/hyperlink" Target="http://www.linkedin.com/in/daultonwestjr" TargetMode="External"/><Relationship Id="rId2465" Type="http://schemas.openxmlformats.org/officeDocument/2006/relationships/hyperlink" Target="http://www.linkedin.com/pub/mark-miller/0/23/98" TargetMode="External"/><Relationship Id="rId3797" Type="http://schemas.openxmlformats.org/officeDocument/2006/relationships/hyperlink" Target="http://ar.linkedin.com/in/faranguren" TargetMode="External"/><Relationship Id="rId1135" Type="http://schemas.openxmlformats.org/officeDocument/2006/relationships/hyperlink" Target="http://www.linkedin.com/in/adamkibble" TargetMode="External"/><Relationship Id="rId2466" Type="http://schemas.openxmlformats.org/officeDocument/2006/relationships/hyperlink" Target="http://www.linkedin.com/pub/greg-mcgregor/0/25/B3" TargetMode="External"/><Relationship Id="rId3796" Type="http://schemas.openxmlformats.org/officeDocument/2006/relationships/hyperlink" Target="http://ar.linkedin.com/pub/cecilia-in%C3%A9s-giordano/7/727/651" TargetMode="External"/><Relationship Id="rId1125" Type="http://schemas.openxmlformats.org/officeDocument/2006/relationships/hyperlink" Target="http://www.linkedin.com/in/dmitriykovalev" TargetMode="External"/><Relationship Id="rId2456" Type="http://schemas.openxmlformats.org/officeDocument/2006/relationships/hyperlink" Target="http://www.linkedin.com/pub/mike-agar/0/254/B16" TargetMode="External"/><Relationship Id="rId3788" Type="http://schemas.openxmlformats.org/officeDocument/2006/relationships/hyperlink" Target="http://ar.linkedin.com/pub/sebastian-buxdorf/19/82A/BB1" TargetMode="External"/><Relationship Id="rId1126" Type="http://schemas.openxmlformats.org/officeDocument/2006/relationships/hyperlink" Target="http://www.linkedin.com/pub/joe-gallenberger/2/223/28A" TargetMode="External"/><Relationship Id="rId2457" Type="http://schemas.openxmlformats.org/officeDocument/2006/relationships/hyperlink" Target="http://www.linkedin.com/in/michellekmillerprofile" TargetMode="External"/><Relationship Id="rId3787" Type="http://schemas.openxmlformats.org/officeDocument/2006/relationships/hyperlink" Target="http://ar.linkedin.com/pub/carlos-hern-n-lorenzana/11/83B/B10" TargetMode="External"/><Relationship Id="rId1127" Type="http://schemas.openxmlformats.org/officeDocument/2006/relationships/hyperlink" Target="http://www.linkedin.com/in/4xtraderslive" TargetMode="External"/><Relationship Id="rId2458" Type="http://schemas.openxmlformats.org/officeDocument/2006/relationships/hyperlink" Target="http://in.linkedin.com/in/steve143" TargetMode="External"/><Relationship Id="rId1128" Type="http://schemas.openxmlformats.org/officeDocument/2006/relationships/hyperlink" Target="http://www.linkedin.com/in/dbrontsema" TargetMode="External"/><Relationship Id="rId2459" Type="http://schemas.openxmlformats.org/officeDocument/2006/relationships/hyperlink" Target="http://www.linkedin.com/pub/maria-e-ferran/8/938/73" TargetMode="External"/><Relationship Id="rId3789" Type="http://schemas.openxmlformats.org/officeDocument/2006/relationships/hyperlink" Target="http://www.linkedin.com/pub/melisa-faucher/2b/89a/85" TargetMode="External"/><Relationship Id="rId1129" Type="http://schemas.openxmlformats.org/officeDocument/2006/relationships/hyperlink" Target="http://www.linkedin.com/in/chuckkocher" TargetMode="External"/><Relationship Id="rId3780" Type="http://schemas.openxmlformats.org/officeDocument/2006/relationships/hyperlink" Target="http://www.linkedin.com/pub/patrick-stephen/7/151/835" TargetMode="External"/><Relationship Id="rId2450" Type="http://schemas.openxmlformats.org/officeDocument/2006/relationships/hyperlink" Target="http://uk.linkedin.com/pub/dave-picking/6/736/52" TargetMode="External"/><Relationship Id="rId3782" Type="http://schemas.openxmlformats.org/officeDocument/2006/relationships/hyperlink" Target="http://www.linkedin.com/pub/alejandro-gordillo-pmp/2/199/451" TargetMode="External"/><Relationship Id="rId1120" Type="http://schemas.openxmlformats.org/officeDocument/2006/relationships/hyperlink" Target="http://www.linkedin.com/pub/alexa-foster/3/6A1/B32" TargetMode="External"/><Relationship Id="rId2451" Type="http://schemas.openxmlformats.org/officeDocument/2006/relationships/hyperlink" Target="http://www.linkedin.com/in/christianorta/" TargetMode="External"/><Relationship Id="rId3781" Type="http://schemas.openxmlformats.org/officeDocument/2006/relationships/hyperlink" Target="http://ar.linkedin.com/pub/diego-cohen/8/863/693" TargetMode="External"/><Relationship Id="rId1121" Type="http://schemas.openxmlformats.org/officeDocument/2006/relationships/hyperlink" Target="http://br.linkedin.com/in/luisfernandokaefer" TargetMode="External"/><Relationship Id="rId2452" Type="http://schemas.openxmlformats.org/officeDocument/2006/relationships/hyperlink" Target="http://www.linkedin.com/in/davehankshr" TargetMode="External"/><Relationship Id="rId3784" Type="http://schemas.openxmlformats.org/officeDocument/2006/relationships/hyperlink" Target="http://www.linkedin.com/pub/daniel-alfredo-sottile/0/826/880" TargetMode="External"/><Relationship Id="rId1122" Type="http://schemas.openxmlformats.org/officeDocument/2006/relationships/hyperlink" Target="http://www.linkedin.com/pub/jason-kieft/3/765/188" TargetMode="External"/><Relationship Id="rId2453" Type="http://schemas.openxmlformats.org/officeDocument/2006/relationships/hyperlink" Target="http://www.linkedin.com/in/arun02k" TargetMode="External"/><Relationship Id="rId3783" Type="http://schemas.openxmlformats.org/officeDocument/2006/relationships/hyperlink" Target="http://ar.linkedin.com/pub/martin-miceli/1/589/6BB" TargetMode="External"/><Relationship Id="rId1123" Type="http://schemas.openxmlformats.org/officeDocument/2006/relationships/hyperlink" Target="http://www.linkedin.com/in/ravipuvvala" TargetMode="External"/><Relationship Id="rId2454" Type="http://schemas.openxmlformats.org/officeDocument/2006/relationships/hyperlink" Target="http://www.linkedin.com/in/benschippers" TargetMode="External"/><Relationship Id="rId3786" Type="http://schemas.openxmlformats.org/officeDocument/2006/relationships/hyperlink" Target="http://ar.linkedin.com/pub/lucas-mingorance/16/8/8A8" TargetMode="External"/><Relationship Id="rId1124" Type="http://schemas.openxmlformats.org/officeDocument/2006/relationships/hyperlink" Target="http://pk.linkedin.com/pub/niaz-ahmad/12/628/151" TargetMode="External"/><Relationship Id="rId2455" Type="http://schemas.openxmlformats.org/officeDocument/2006/relationships/hyperlink" Target="http://www.linkedin.com/pub/oliver-d%C3%B6ring/7/91B/47" TargetMode="External"/><Relationship Id="rId3785" Type="http://schemas.openxmlformats.org/officeDocument/2006/relationships/hyperlink" Target="http://ar.linkedin.com/pub/pablo-torres/1/869/883" TargetMode="External"/><Relationship Id="rId1158" Type="http://schemas.openxmlformats.org/officeDocument/2006/relationships/hyperlink" Target="http://www.linkedin.com/in/bridgewayjt" TargetMode="External"/><Relationship Id="rId2489" Type="http://schemas.openxmlformats.org/officeDocument/2006/relationships/hyperlink" Target="http://www.linkedin.com/in/damiandsmith" TargetMode="External"/><Relationship Id="rId1159" Type="http://schemas.openxmlformats.org/officeDocument/2006/relationships/hyperlink" Target="http://www.linkedin.com/pub/frits-besselaar/24/3BB/1AA" TargetMode="External"/><Relationship Id="rId2480" Type="http://schemas.openxmlformats.org/officeDocument/2006/relationships/hyperlink" Target="http://www.linkedin.com/pub/marilyn-kail/10/13B/104" TargetMode="External"/><Relationship Id="rId1150" Type="http://schemas.openxmlformats.org/officeDocument/2006/relationships/hyperlink" Target="http://www.linkedin.com/pub/tom-bugbee/1/875/304" TargetMode="External"/><Relationship Id="rId2481" Type="http://schemas.openxmlformats.org/officeDocument/2006/relationships/hyperlink" Target="http://www.linkedin.com/in/funbroker" TargetMode="External"/><Relationship Id="rId1151" Type="http://schemas.openxmlformats.org/officeDocument/2006/relationships/hyperlink" Target="http://br.linkedin.com/pub/luciano-vaz/29/33A/905" TargetMode="External"/><Relationship Id="rId2482" Type="http://schemas.openxmlformats.org/officeDocument/2006/relationships/hyperlink" Target="http://in.linkedin.com/in/santoshbc" TargetMode="External"/><Relationship Id="rId1152" Type="http://schemas.openxmlformats.org/officeDocument/2006/relationships/hyperlink" Target="http://br.linkedin.com/pub/tatiane-veras/29/B57/786" TargetMode="External"/><Relationship Id="rId2483" Type="http://schemas.openxmlformats.org/officeDocument/2006/relationships/hyperlink" Target="http://www.linkedin.com/pub/melissa-evarts-gardner/4/557/B95" TargetMode="External"/><Relationship Id="rId1153" Type="http://schemas.openxmlformats.org/officeDocument/2006/relationships/hyperlink" Target="http://www.linkedin.com/pub/sanjay-mehta/2/945/582" TargetMode="External"/><Relationship Id="rId2484" Type="http://schemas.openxmlformats.org/officeDocument/2006/relationships/hyperlink" Target="http://www.linkedin.com/in/lauriedalden" TargetMode="External"/><Relationship Id="rId1154" Type="http://schemas.openxmlformats.org/officeDocument/2006/relationships/hyperlink" Target="http://www.linkedin.com/in/noelcocca" TargetMode="External"/><Relationship Id="rId2485" Type="http://schemas.openxmlformats.org/officeDocument/2006/relationships/hyperlink" Target="http://www.linkedin.com/pub/john-maldjian/4/599/696" TargetMode="External"/><Relationship Id="rId1155" Type="http://schemas.openxmlformats.org/officeDocument/2006/relationships/hyperlink" Target="https://www.linkedin.com/pub/rob-friedlander/1/a54/bb0" TargetMode="External"/><Relationship Id="rId2486" Type="http://schemas.openxmlformats.org/officeDocument/2006/relationships/hyperlink" Target="http://www.linkedin.com/in/elissaklaver" TargetMode="External"/><Relationship Id="rId1156" Type="http://schemas.openxmlformats.org/officeDocument/2006/relationships/hyperlink" Target="http://www.linkedin.com/pub/eric-wallace/9/646/548" TargetMode="External"/><Relationship Id="rId2487" Type="http://schemas.openxmlformats.org/officeDocument/2006/relationships/hyperlink" Target="http://www.linkedin.com/in/medquest" TargetMode="External"/><Relationship Id="rId1157" Type="http://schemas.openxmlformats.org/officeDocument/2006/relationships/hyperlink" Target="http://www.linkedin.com/pub/rangam-consultants-inc/5/A32/741" TargetMode="External"/><Relationship Id="rId2488" Type="http://schemas.openxmlformats.org/officeDocument/2006/relationships/hyperlink" Target="http://www.linkedin.com/pub/heather-hinton/1/191/973" TargetMode="External"/><Relationship Id="rId1147" Type="http://schemas.openxmlformats.org/officeDocument/2006/relationships/hyperlink" Target="http://www.linkedin.com/pub/melike-fibiger/4/490/646" TargetMode="External"/><Relationship Id="rId2478" Type="http://schemas.openxmlformats.org/officeDocument/2006/relationships/hyperlink" Target="http://www.linkedin.com/pub/dan-anderson/4/850/B1B" TargetMode="External"/><Relationship Id="rId1148" Type="http://schemas.openxmlformats.org/officeDocument/2006/relationships/hyperlink" Target="http://www.linkedin.com/in/tekwavesolutions" TargetMode="External"/><Relationship Id="rId2479" Type="http://schemas.openxmlformats.org/officeDocument/2006/relationships/hyperlink" Target="http://www.linkedin.com/pub/stuart-baronofsky/3/506/914" TargetMode="External"/><Relationship Id="rId1149" Type="http://schemas.openxmlformats.org/officeDocument/2006/relationships/hyperlink" Target="http://www.linkedin.com/pub/ismail-haritaoglu/2/335/A58" TargetMode="External"/><Relationship Id="rId2470" Type="http://schemas.openxmlformats.org/officeDocument/2006/relationships/hyperlink" Target="http://www.linkedin.com/in/masyiek" TargetMode="External"/><Relationship Id="rId1140" Type="http://schemas.openxmlformats.org/officeDocument/2006/relationships/hyperlink" Target="http://www.linkedin.com/pub/bess-spero-li/2/257/A05" TargetMode="External"/><Relationship Id="rId2471" Type="http://schemas.openxmlformats.org/officeDocument/2006/relationships/hyperlink" Target="http://www.linkedin.com/in/andrewreid13" TargetMode="External"/><Relationship Id="rId1141" Type="http://schemas.openxmlformats.org/officeDocument/2006/relationships/hyperlink" Target="http://www.linkedin.com/pub/eduardo-villegas/13/652/738" TargetMode="External"/><Relationship Id="rId2472" Type="http://schemas.openxmlformats.org/officeDocument/2006/relationships/hyperlink" Target="http://www.linkedin.com/in/christinehsu" TargetMode="External"/><Relationship Id="rId1142" Type="http://schemas.openxmlformats.org/officeDocument/2006/relationships/hyperlink" Target="http://fr.linkedin.com/pub/eric-vogue/2/295/9A7" TargetMode="External"/><Relationship Id="rId2473" Type="http://schemas.openxmlformats.org/officeDocument/2006/relationships/hyperlink" Target="http://www.linkedin.com/pub/jason-pethick/11/792/A9A" TargetMode="External"/><Relationship Id="rId1143" Type="http://schemas.openxmlformats.org/officeDocument/2006/relationships/hyperlink" Target="http://www.linkedin.com/pub/manisha-thakkar/4/3B1/4A3" TargetMode="External"/><Relationship Id="rId2474" Type="http://schemas.openxmlformats.org/officeDocument/2006/relationships/hyperlink" Target="http://www.linkedin.com/in/preciseedit" TargetMode="External"/><Relationship Id="rId1144" Type="http://schemas.openxmlformats.org/officeDocument/2006/relationships/hyperlink" Target="http://www.linkedin.com/pub/louie-holmes/1/926/B20" TargetMode="External"/><Relationship Id="rId2475" Type="http://schemas.openxmlformats.org/officeDocument/2006/relationships/hyperlink" Target="http://www.linkedin.com/pub/steve-mougeotte/4/211/2A9" TargetMode="External"/><Relationship Id="rId1145" Type="http://schemas.openxmlformats.org/officeDocument/2006/relationships/hyperlink" Target="http://www.linkedin.com/pub/john-hurley/9/85/261" TargetMode="External"/><Relationship Id="rId2476" Type="http://schemas.openxmlformats.org/officeDocument/2006/relationships/hyperlink" Target="http://www.linkedin.com/pub/brad-hartenstein/B/377/B52" TargetMode="External"/><Relationship Id="rId1146" Type="http://schemas.openxmlformats.org/officeDocument/2006/relationships/hyperlink" Target="http://www.linkedin.com/pub/manish-gehlot/2/432/399?trk=pub-pbmap" TargetMode="External"/><Relationship Id="rId2477" Type="http://schemas.openxmlformats.org/officeDocument/2006/relationships/hyperlink" Target="http://www.linkedin.com/pub/satish-matcha-itil%C2%AE-expert-pmp%C2%AE-csm/7/379/150" TargetMode="External"/><Relationship Id="rId7319" Type="http://schemas.openxmlformats.org/officeDocument/2006/relationships/hyperlink" Target="http://www.linkedin.com/in/avangelo" TargetMode="External"/><Relationship Id="rId7318" Type="http://schemas.openxmlformats.org/officeDocument/2006/relationships/hyperlink" Target="http://ar.linkedin.com/in/santiagocapurro" TargetMode="External"/><Relationship Id="rId8649" Type="http://schemas.openxmlformats.org/officeDocument/2006/relationships/hyperlink" Target="http://www.linkedin.com/in/kevinpopovic" TargetMode="External"/><Relationship Id="rId9970" Type="http://schemas.openxmlformats.org/officeDocument/2006/relationships/hyperlink" Target="http://www.linkedin.com/pub/eric-herzog/0/7AB/B94" TargetMode="External"/><Relationship Id="rId9971" Type="http://schemas.openxmlformats.org/officeDocument/2006/relationships/hyperlink" Target="http://www.linkedin.com/pub/vince-messina/7/648/769" TargetMode="External"/><Relationship Id="rId8640" Type="http://schemas.openxmlformats.org/officeDocument/2006/relationships/hyperlink" Target="http://www.linkedin.com/pub/marc-lombardo/0/B44/774" TargetMode="External"/><Relationship Id="rId7313" Type="http://schemas.openxmlformats.org/officeDocument/2006/relationships/hyperlink" Target="http://www.linkedin.com/pub/emilia-lerzo/20/153/464" TargetMode="External"/><Relationship Id="rId8644" Type="http://schemas.openxmlformats.org/officeDocument/2006/relationships/hyperlink" Target="http://www.linkedin.com/in/davidmrosenthal" TargetMode="External"/><Relationship Id="rId9976" Type="http://schemas.openxmlformats.org/officeDocument/2006/relationships/hyperlink" Target="http://www.linkedin.com/pub/gordon-mackean/0/627/430" TargetMode="External"/><Relationship Id="rId7312" Type="http://schemas.openxmlformats.org/officeDocument/2006/relationships/hyperlink" Target="http://uk.linkedin.com/pub/david-creedon/0/396/769" TargetMode="External"/><Relationship Id="rId8643" Type="http://schemas.openxmlformats.org/officeDocument/2006/relationships/hyperlink" Target="http://www.linkedin.com/in/michaelmarks1" TargetMode="External"/><Relationship Id="rId9977" Type="http://schemas.openxmlformats.org/officeDocument/2006/relationships/hyperlink" Target="http://www.linkedin.com/in/nkishore" TargetMode="External"/><Relationship Id="rId7311" Type="http://schemas.openxmlformats.org/officeDocument/2006/relationships/hyperlink" Target="http://ar.linkedin.com/in/dariolucas" TargetMode="External"/><Relationship Id="rId8642" Type="http://schemas.openxmlformats.org/officeDocument/2006/relationships/hyperlink" Target="http://ca.linkedin.com/in/duleepaw" TargetMode="External"/><Relationship Id="rId9978" Type="http://schemas.openxmlformats.org/officeDocument/2006/relationships/hyperlink" Target="http://www.linkedin.com/in/brante" TargetMode="External"/><Relationship Id="rId7310" Type="http://schemas.openxmlformats.org/officeDocument/2006/relationships/hyperlink" Target="http://ar.linkedin.com/pub/michelle-wasserman/A/58A/918" TargetMode="External"/><Relationship Id="rId8641" Type="http://schemas.openxmlformats.org/officeDocument/2006/relationships/hyperlink" Target="http://www.linkedin.com/in/jraghuraman" TargetMode="External"/><Relationship Id="rId9979" Type="http://schemas.openxmlformats.org/officeDocument/2006/relationships/hyperlink" Target="http://www.linkedin.com/in/infinitysp" TargetMode="External"/><Relationship Id="rId7317" Type="http://schemas.openxmlformats.org/officeDocument/2006/relationships/hyperlink" Target="http://ar.linkedin.com/pub/evelyn-guerino/19/35A/A8A" TargetMode="External"/><Relationship Id="rId8648" Type="http://schemas.openxmlformats.org/officeDocument/2006/relationships/hyperlink" Target="http://www.linkedin.com/in/daveibsen" TargetMode="External"/><Relationship Id="rId9972" Type="http://schemas.openxmlformats.org/officeDocument/2006/relationships/hyperlink" Target="http://www.linkedin.com/in/grubhubmike" TargetMode="External"/><Relationship Id="rId7316" Type="http://schemas.openxmlformats.org/officeDocument/2006/relationships/hyperlink" Target="http://ar.linkedin.com/in/grdata" TargetMode="External"/><Relationship Id="rId8647" Type="http://schemas.openxmlformats.org/officeDocument/2006/relationships/hyperlink" Target="http://www.linkedin.com/in/jordangoldberg" TargetMode="External"/><Relationship Id="rId9973" Type="http://schemas.openxmlformats.org/officeDocument/2006/relationships/hyperlink" Target="http://www.linkedin.com/in/brockblake" TargetMode="External"/><Relationship Id="rId7315" Type="http://schemas.openxmlformats.org/officeDocument/2006/relationships/hyperlink" Target="http://ar.linkedin.com/in/juanbrunatti" TargetMode="External"/><Relationship Id="rId8646" Type="http://schemas.openxmlformats.org/officeDocument/2006/relationships/hyperlink" Target="http://www.linkedin.com/in/mrkwpalmer" TargetMode="External"/><Relationship Id="rId9974" Type="http://schemas.openxmlformats.org/officeDocument/2006/relationships/hyperlink" Target="http://www.linkedin.com/in/davidstern212" TargetMode="External"/><Relationship Id="rId7314" Type="http://schemas.openxmlformats.org/officeDocument/2006/relationships/hyperlink" Target="http://www.linkedin.com/pub/jorge-vizcaino/A/24A/8A" TargetMode="External"/><Relationship Id="rId8645" Type="http://schemas.openxmlformats.org/officeDocument/2006/relationships/hyperlink" Target="http://www.linkedin.com/in/gmcmurdo" TargetMode="External"/><Relationship Id="rId9975" Type="http://schemas.openxmlformats.org/officeDocument/2006/relationships/hyperlink" Target="http://www.linkedin.com/pub/michael-congdon/7/71A/619" TargetMode="External"/><Relationship Id="rId7309" Type="http://schemas.openxmlformats.org/officeDocument/2006/relationships/hyperlink" Target="http://www.linkedin.com/in/steveschildwachter" TargetMode="External"/><Relationship Id="rId7308" Type="http://schemas.openxmlformats.org/officeDocument/2006/relationships/hyperlink" Target="http://www.linkedin.com/pub/patricia-megide/10/606/128" TargetMode="External"/><Relationship Id="rId8639" Type="http://schemas.openxmlformats.org/officeDocument/2006/relationships/hyperlink" Target="https://www.linkedin.com/in/martyroberts" TargetMode="External"/><Relationship Id="rId7307" Type="http://schemas.openxmlformats.org/officeDocument/2006/relationships/hyperlink" Target="http://ar.linkedin.com/pub/enzo-colorio/28/495/B71" TargetMode="External"/><Relationship Id="rId8638" Type="http://schemas.openxmlformats.org/officeDocument/2006/relationships/hyperlink" Target="http://www.linkedin.com/in/vipulved" TargetMode="External"/><Relationship Id="rId9969" Type="http://schemas.openxmlformats.org/officeDocument/2006/relationships/hyperlink" Target="http://www.linkedin.com/pub/avery-gimble/7/637/83" TargetMode="External"/><Relationship Id="rId9960" Type="http://schemas.openxmlformats.org/officeDocument/2006/relationships/hyperlink" Target="http://www.linkedin.com/pub/joanne-tyree/1/182/B79" TargetMode="External"/><Relationship Id="rId7302" Type="http://schemas.openxmlformats.org/officeDocument/2006/relationships/hyperlink" Target="http://www.linkedin.com/in/kerncampbell" TargetMode="External"/><Relationship Id="rId8633" Type="http://schemas.openxmlformats.org/officeDocument/2006/relationships/hyperlink" Target="http://www.linkedin.com/in/hnobre" TargetMode="External"/><Relationship Id="rId9965" Type="http://schemas.openxmlformats.org/officeDocument/2006/relationships/hyperlink" Target="http://www.linkedin.com/in/deandelisle" TargetMode="External"/><Relationship Id="rId7301" Type="http://schemas.openxmlformats.org/officeDocument/2006/relationships/hyperlink" Target="http://www.linkedin.com/pub/juan-pablo-gerbi/15/973/b43" TargetMode="External"/><Relationship Id="rId8632" Type="http://schemas.openxmlformats.org/officeDocument/2006/relationships/hyperlink" Target="http://www.linkedin.com/in/michaeltiemann" TargetMode="External"/><Relationship Id="rId9966" Type="http://schemas.openxmlformats.org/officeDocument/2006/relationships/hyperlink" Target="http://www.linkedin.com/in/jameskerr" TargetMode="External"/><Relationship Id="rId7300" Type="http://schemas.openxmlformats.org/officeDocument/2006/relationships/hyperlink" Target="http://ar.linkedin.com/in/arielmartire" TargetMode="External"/><Relationship Id="rId8631" Type="http://schemas.openxmlformats.org/officeDocument/2006/relationships/hyperlink" Target="http://www.linkedin.com/in/elineumann" TargetMode="External"/><Relationship Id="rId9967" Type="http://schemas.openxmlformats.org/officeDocument/2006/relationships/hyperlink" Target="http://www.linkedin.com/in/allenfogel" TargetMode="External"/><Relationship Id="rId8630" Type="http://schemas.openxmlformats.org/officeDocument/2006/relationships/hyperlink" Target="http://www.linkedin.com/in/mspalliance" TargetMode="External"/><Relationship Id="rId9968" Type="http://schemas.openxmlformats.org/officeDocument/2006/relationships/hyperlink" Target="http://www.linkedin.com/pub/dean-colantino/1/328/392" TargetMode="External"/><Relationship Id="rId7306" Type="http://schemas.openxmlformats.org/officeDocument/2006/relationships/hyperlink" Target="http://www.linkedin.com/in/sebastianiglesias" TargetMode="External"/><Relationship Id="rId8637" Type="http://schemas.openxmlformats.org/officeDocument/2006/relationships/hyperlink" Target="http://www.linkedin.com/in/mediasmith" TargetMode="External"/><Relationship Id="rId9961" Type="http://schemas.openxmlformats.org/officeDocument/2006/relationships/hyperlink" Target="http://www.linkedin.com/in/howardleyda" TargetMode="External"/><Relationship Id="rId7305" Type="http://schemas.openxmlformats.org/officeDocument/2006/relationships/hyperlink" Target="http://www.linkedin.com/pub/leon-taiman/0/458/930" TargetMode="External"/><Relationship Id="rId8636" Type="http://schemas.openxmlformats.org/officeDocument/2006/relationships/hyperlink" Target="http://www.linkedin.com/in/rmohan" TargetMode="External"/><Relationship Id="rId9962" Type="http://schemas.openxmlformats.org/officeDocument/2006/relationships/hyperlink" Target="http://www.linkedin.com/in/joshstevens" TargetMode="External"/><Relationship Id="rId7304" Type="http://schemas.openxmlformats.org/officeDocument/2006/relationships/hyperlink" Target="http://ar.linkedin.com/pub/alicia-huerta/12/710/166" TargetMode="External"/><Relationship Id="rId8635" Type="http://schemas.openxmlformats.org/officeDocument/2006/relationships/hyperlink" Target="http://www.linkedin.com/in/geoffreyberneck" TargetMode="External"/><Relationship Id="rId9963" Type="http://schemas.openxmlformats.org/officeDocument/2006/relationships/hyperlink" Target="http://www.linkedin.com/pub/jim-beddows/0/16/862" TargetMode="External"/><Relationship Id="rId7303" Type="http://schemas.openxmlformats.org/officeDocument/2006/relationships/hyperlink" Target="http://www.linkedin.com/in/ronacker" TargetMode="External"/><Relationship Id="rId8634" Type="http://schemas.openxmlformats.org/officeDocument/2006/relationships/hyperlink" Target="http://www.linkedin.com/in/akaushik" TargetMode="External"/><Relationship Id="rId9964" Type="http://schemas.openxmlformats.org/officeDocument/2006/relationships/hyperlink" Target="http://www.linkedin.com/in/tomtobin" TargetMode="External"/><Relationship Id="rId6009" Type="http://schemas.openxmlformats.org/officeDocument/2006/relationships/hyperlink" Target="https://www.linkedin.com/in/saritajames" TargetMode="External"/><Relationship Id="rId9990" Type="http://schemas.openxmlformats.org/officeDocument/2006/relationships/hyperlink" Target="http://www.linkedin.com/in/heynenm" TargetMode="External"/><Relationship Id="rId9991" Type="http://schemas.openxmlformats.org/officeDocument/2006/relationships/hyperlink" Target="http://www.linkedin.com/in/mattsearfoss" TargetMode="External"/><Relationship Id="rId9992" Type="http://schemas.openxmlformats.org/officeDocument/2006/relationships/hyperlink" Target="http://www.linkedin.com/in/mquintos" TargetMode="External"/><Relationship Id="rId9993" Type="http://schemas.openxmlformats.org/officeDocument/2006/relationships/hyperlink" Target="http://uk.linkedin.com/pub/nigel-doust/0/409/B69" TargetMode="External"/><Relationship Id="rId7331" Type="http://schemas.openxmlformats.org/officeDocument/2006/relationships/hyperlink" Target="http://ar.linkedin.com/pub/guillermo-santangelo/2B/124/B01" TargetMode="External"/><Relationship Id="rId8662" Type="http://schemas.openxmlformats.org/officeDocument/2006/relationships/hyperlink" Target="http://www.linkedin.com/in/heidijwahl" TargetMode="External"/><Relationship Id="rId6000" Type="http://schemas.openxmlformats.org/officeDocument/2006/relationships/hyperlink" Target="http://www.linkedin.com/pub/rom-linhares/1/751/7A0" TargetMode="External"/><Relationship Id="rId7330" Type="http://schemas.openxmlformats.org/officeDocument/2006/relationships/hyperlink" Target="http://www.linkedin.com/in/ronaldfurman" TargetMode="External"/><Relationship Id="rId8661" Type="http://schemas.openxmlformats.org/officeDocument/2006/relationships/hyperlink" Target="http://www.linkedin.com/in/joesantos" TargetMode="External"/><Relationship Id="rId8660" Type="http://schemas.openxmlformats.org/officeDocument/2006/relationships/hyperlink" Target="http://www.linkedin.com/pub/ken-rahn/7/68B/42B" TargetMode="External"/><Relationship Id="rId6003" Type="http://schemas.openxmlformats.org/officeDocument/2006/relationships/hyperlink" Target="http://www.linkedin.com/pub/cesar-rebollar-mba/A/602/289" TargetMode="External"/><Relationship Id="rId7335" Type="http://schemas.openxmlformats.org/officeDocument/2006/relationships/hyperlink" Target="http://www.linkedin.com/pub/marcelo-fiore/17/219/173" TargetMode="External"/><Relationship Id="rId8666" Type="http://schemas.openxmlformats.org/officeDocument/2006/relationships/hyperlink" Target="http://www.linkedin.com/in/bshepardcooforum" TargetMode="External"/><Relationship Id="rId9998" Type="http://schemas.openxmlformats.org/officeDocument/2006/relationships/hyperlink" Target="http://www.linkedin.com/in/lauriemitchellmarketingsearch" TargetMode="External"/><Relationship Id="rId6004" Type="http://schemas.openxmlformats.org/officeDocument/2006/relationships/hyperlink" Target="http://www.linkedin.com/pub/jenny-ramirez/28/98B/987" TargetMode="External"/><Relationship Id="rId7334" Type="http://schemas.openxmlformats.org/officeDocument/2006/relationships/hyperlink" Target="http://ar.linkedin.com/pub/mariano-arriola/1B/7A3/8A1" TargetMode="External"/><Relationship Id="rId8665" Type="http://schemas.openxmlformats.org/officeDocument/2006/relationships/hyperlink" Target="http://www.linkedin.com/in/johnjsetlak/" TargetMode="External"/><Relationship Id="rId9999" Type="http://schemas.openxmlformats.org/officeDocument/2006/relationships/hyperlink" Target="http://www.linkedin.com/in/valeskajacques" TargetMode="External"/><Relationship Id="rId6001" Type="http://schemas.openxmlformats.org/officeDocument/2006/relationships/hyperlink" Target="http://www.linkedin.com/pub/juan-lozano/5/675/551" TargetMode="External"/><Relationship Id="rId7333" Type="http://schemas.openxmlformats.org/officeDocument/2006/relationships/hyperlink" Target="http://ar.linkedin.com/pub/melina-rosales/B/A56/91" TargetMode="External"/><Relationship Id="rId8664" Type="http://schemas.openxmlformats.org/officeDocument/2006/relationships/hyperlink" Target="http://www.linkedin.com/in/seanbwalter" TargetMode="External"/><Relationship Id="rId6002" Type="http://schemas.openxmlformats.org/officeDocument/2006/relationships/hyperlink" Target="http://www.linkedin.com/in/drisstemsamani" TargetMode="External"/><Relationship Id="rId7332" Type="http://schemas.openxmlformats.org/officeDocument/2006/relationships/hyperlink" Target="http://ar.linkedin.com/pub/ana-schuvab/9/576/885" TargetMode="External"/><Relationship Id="rId8663" Type="http://schemas.openxmlformats.org/officeDocument/2006/relationships/hyperlink" Target="http://www.linkedin.com/pub/eric-rosa/0/842/12" TargetMode="External"/><Relationship Id="rId6007" Type="http://schemas.openxmlformats.org/officeDocument/2006/relationships/hyperlink" Target="http://www.linkedin.com/in/dchang68" TargetMode="External"/><Relationship Id="rId7339" Type="http://schemas.openxmlformats.org/officeDocument/2006/relationships/hyperlink" Target="http://www.linkedin.com/pub/laura-ling/3/241/B51" TargetMode="External"/><Relationship Id="rId9994" Type="http://schemas.openxmlformats.org/officeDocument/2006/relationships/hyperlink" Target="http://www.linkedin.com/in/danconery" TargetMode="External"/><Relationship Id="rId6008" Type="http://schemas.openxmlformats.org/officeDocument/2006/relationships/hyperlink" Target="http://www.linkedin.com/pub/ted-bissell/0/4B/852" TargetMode="External"/><Relationship Id="rId7338" Type="http://schemas.openxmlformats.org/officeDocument/2006/relationships/hyperlink" Target="http://ar.linkedin.com/in/paulaguagliardi" TargetMode="External"/><Relationship Id="rId8669" Type="http://schemas.openxmlformats.org/officeDocument/2006/relationships/hyperlink" Target="http://www.linkedin.com/in/jgale" TargetMode="External"/><Relationship Id="rId9995" Type="http://schemas.openxmlformats.org/officeDocument/2006/relationships/hyperlink" Target="http://www.linkedin.com/in/jasonoberfest" TargetMode="External"/><Relationship Id="rId6005" Type="http://schemas.openxmlformats.org/officeDocument/2006/relationships/hyperlink" Target="http://www.linkedin.com/pub/howard-gefen/0/70/5A6" TargetMode="External"/><Relationship Id="rId7337" Type="http://schemas.openxmlformats.org/officeDocument/2006/relationships/hyperlink" Target="http://ar.linkedin.com/pub/alberto-armoni/21/A48/763" TargetMode="External"/><Relationship Id="rId8668" Type="http://schemas.openxmlformats.org/officeDocument/2006/relationships/hyperlink" Target="http://www.linkedin.com/in/magnes" TargetMode="External"/><Relationship Id="rId9996" Type="http://schemas.openxmlformats.org/officeDocument/2006/relationships/hyperlink" Target="http://www.linkedin.com/pub/debbie-landa/0/A/181" TargetMode="External"/><Relationship Id="rId6006" Type="http://schemas.openxmlformats.org/officeDocument/2006/relationships/hyperlink" Target="http://www.linkedin.com/pub/tim-choi/0/148/286" TargetMode="External"/><Relationship Id="rId7336" Type="http://schemas.openxmlformats.org/officeDocument/2006/relationships/hyperlink" Target="http://www.linkedin.com/in/msalup" TargetMode="External"/><Relationship Id="rId8667" Type="http://schemas.openxmlformats.org/officeDocument/2006/relationships/hyperlink" Target="http://www.linkedin.com/in/errolwirasinghe" TargetMode="External"/><Relationship Id="rId9997" Type="http://schemas.openxmlformats.org/officeDocument/2006/relationships/hyperlink" Target="http://www.linkedin.com/in/marcmencher" TargetMode="External"/><Relationship Id="rId7329" Type="http://schemas.openxmlformats.org/officeDocument/2006/relationships/hyperlink" Target="http://www.linkedin.com/pub/leonardo-stallocca/9/b63/823" TargetMode="External"/><Relationship Id="rId9980" Type="http://schemas.openxmlformats.org/officeDocument/2006/relationships/hyperlink" Target="http://www.linkedin.com/in/keithritter" TargetMode="External"/><Relationship Id="rId9981" Type="http://schemas.openxmlformats.org/officeDocument/2006/relationships/hyperlink" Target="http://www.linkedin.com/in/karencoover" TargetMode="External"/><Relationship Id="rId9982" Type="http://schemas.openxmlformats.org/officeDocument/2006/relationships/hyperlink" Target="http://www.linkedin.com/in/dougwarner" TargetMode="External"/><Relationship Id="rId7320" Type="http://schemas.openxmlformats.org/officeDocument/2006/relationships/hyperlink" Target="http://www.linkedin.com/in/olgabrouckova" TargetMode="External"/><Relationship Id="rId8651" Type="http://schemas.openxmlformats.org/officeDocument/2006/relationships/hyperlink" Target="http://www.linkedin.com/in/bartdecrem" TargetMode="External"/><Relationship Id="rId8650" Type="http://schemas.openxmlformats.org/officeDocument/2006/relationships/hyperlink" Target="http://www.linkedin.com/in/wyattglynwilliams" TargetMode="External"/><Relationship Id="rId7324" Type="http://schemas.openxmlformats.org/officeDocument/2006/relationships/hyperlink" Target="http://ar.linkedin.com/in/nelsonfuentes" TargetMode="External"/><Relationship Id="rId8655" Type="http://schemas.openxmlformats.org/officeDocument/2006/relationships/hyperlink" Target="http://www.linkedin.com/pub/michael-joerin/4/b89/703" TargetMode="External"/><Relationship Id="rId9987" Type="http://schemas.openxmlformats.org/officeDocument/2006/relationships/hyperlink" Target="http://www.linkedin.com/in/bhasin" TargetMode="External"/><Relationship Id="rId7323" Type="http://schemas.openxmlformats.org/officeDocument/2006/relationships/hyperlink" Target="http://www.linkedin.com/pub/layna-fischer/0/317/3B0" TargetMode="External"/><Relationship Id="rId8654" Type="http://schemas.openxmlformats.org/officeDocument/2006/relationships/hyperlink" Target="http://www.linkedin.com/pub/abigail-allen/1/213/599" TargetMode="External"/><Relationship Id="rId9988" Type="http://schemas.openxmlformats.org/officeDocument/2006/relationships/hyperlink" Target="http://www.linkedin.com/in/larashackelford" TargetMode="External"/><Relationship Id="rId7322" Type="http://schemas.openxmlformats.org/officeDocument/2006/relationships/hyperlink" Target="http://www.linkedin.com/pub/juan-p-fernandez/2/573/568" TargetMode="External"/><Relationship Id="rId8653" Type="http://schemas.openxmlformats.org/officeDocument/2006/relationships/hyperlink" Target="http://www.linkedin.com/pub/steve-jaklina-bailey/13/640/394" TargetMode="External"/><Relationship Id="rId9989" Type="http://schemas.openxmlformats.org/officeDocument/2006/relationships/hyperlink" Target="http://www.linkedin.com/in/shaydavid" TargetMode="External"/><Relationship Id="rId7321" Type="http://schemas.openxmlformats.org/officeDocument/2006/relationships/hyperlink" Target="http://ar.linkedin.com/in/sergioszwarcberg" TargetMode="External"/><Relationship Id="rId8652" Type="http://schemas.openxmlformats.org/officeDocument/2006/relationships/hyperlink" Target="https://www.linkedin.com/in/gailspangler" TargetMode="External"/><Relationship Id="rId7328" Type="http://schemas.openxmlformats.org/officeDocument/2006/relationships/hyperlink" Target="http://www.linkedin.com/pub/bronson-duerden/22/52B/A4" TargetMode="External"/><Relationship Id="rId8659" Type="http://schemas.openxmlformats.org/officeDocument/2006/relationships/hyperlink" Target="http://www.linkedin.com/pub/amadeo-gonzalez/22/5AA/244" TargetMode="External"/><Relationship Id="rId9983" Type="http://schemas.openxmlformats.org/officeDocument/2006/relationships/hyperlink" Target="http://www.linkedin.com/pub/lynn-jobe/0/463/432" TargetMode="External"/><Relationship Id="rId7327" Type="http://schemas.openxmlformats.org/officeDocument/2006/relationships/hyperlink" Target="http://www.linkedin.com/pub/maitena-de-amorrortu/4/841/207" TargetMode="External"/><Relationship Id="rId8658" Type="http://schemas.openxmlformats.org/officeDocument/2006/relationships/hyperlink" Target="http://www.linkedin.com/pub/dennis-ashcroft/9/51A/848" TargetMode="External"/><Relationship Id="rId9984" Type="http://schemas.openxmlformats.org/officeDocument/2006/relationships/hyperlink" Target="http://www.linkedin.com/in/fredf" TargetMode="External"/><Relationship Id="rId7326" Type="http://schemas.openxmlformats.org/officeDocument/2006/relationships/hyperlink" Target="http://www.linkedin.com/pub/miguel-angel-boggiano/0/a83/986" TargetMode="External"/><Relationship Id="rId8657" Type="http://schemas.openxmlformats.org/officeDocument/2006/relationships/hyperlink" Target="http://www.linkedin.com/in/jpmorgansfca" TargetMode="External"/><Relationship Id="rId9985" Type="http://schemas.openxmlformats.org/officeDocument/2006/relationships/hyperlink" Target="http://www.linkedin.com/in/richardcole77469" TargetMode="External"/><Relationship Id="rId7325" Type="http://schemas.openxmlformats.org/officeDocument/2006/relationships/hyperlink" Target="https://www.linkedin.com/in/kevingoreglad" TargetMode="External"/><Relationship Id="rId8656" Type="http://schemas.openxmlformats.org/officeDocument/2006/relationships/hyperlink" Target="http://www.linkedin.com/in/rdhjr" TargetMode="External"/><Relationship Id="rId9986" Type="http://schemas.openxmlformats.org/officeDocument/2006/relationships/hyperlink" Target="http://www.linkedin.com/in/rtkohn" TargetMode="External"/><Relationship Id="rId8608" Type="http://schemas.openxmlformats.org/officeDocument/2006/relationships/hyperlink" Target="https://www.linkedin.com/in/mylermedia" TargetMode="External"/><Relationship Id="rId8607" Type="http://schemas.openxmlformats.org/officeDocument/2006/relationships/hyperlink" Target="http://www.linkedin.com/in/mwconnelly" TargetMode="External"/><Relationship Id="rId8606" Type="http://schemas.openxmlformats.org/officeDocument/2006/relationships/hyperlink" Target="http://www.linkedin.com/pub/michael-brinks/21/1B4/A4A" TargetMode="External"/><Relationship Id="rId8605" Type="http://schemas.openxmlformats.org/officeDocument/2006/relationships/hyperlink" Target="http://www.linkedin.com/pub/jennie-boeckmann/17/523/309" TargetMode="External"/><Relationship Id="rId9936" Type="http://schemas.openxmlformats.org/officeDocument/2006/relationships/hyperlink" Target="http://www.linkedin.com/in/sonyasigler" TargetMode="External"/><Relationship Id="rId9937" Type="http://schemas.openxmlformats.org/officeDocument/2006/relationships/hyperlink" Target="http://www.linkedin.com/pub/earl-sacerdoti/0/3/A59" TargetMode="External"/><Relationship Id="rId9938" Type="http://schemas.openxmlformats.org/officeDocument/2006/relationships/hyperlink" Target="http://www.linkedin.com/in/adamblum" TargetMode="External"/><Relationship Id="rId8609" Type="http://schemas.openxmlformats.org/officeDocument/2006/relationships/hyperlink" Target="http://www.linkedin.com/in/andredurand" TargetMode="External"/><Relationship Id="rId9939" Type="http://schemas.openxmlformats.org/officeDocument/2006/relationships/hyperlink" Target="http://www.linkedin.com/in/derekmaxson" TargetMode="External"/><Relationship Id="rId8600" Type="http://schemas.openxmlformats.org/officeDocument/2006/relationships/hyperlink" Target="http://www.linkedin.com/pub/joe-adamaitis/5/47A/537" TargetMode="External"/><Relationship Id="rId9932" Type="http://schemas.openxmlformats.org/officeDocument/2006/relationships/hyperlink" Target="http://www.linkedin.com/in/nearmargalit" TargetMode="External"/><Relationship Id="rId9933" Type="http://schemas.openxmlformats.org/officeDocument/2006/relationships/hyperlink" Target="http://www.linkedin.com/in/joninash" TargetMode="External"/><Relationship Id="rId9934" Type="http://schemas.openxmlformats.org/officeDocument/2006/relationships/hyperlink" Target="http://www.linkedin.com/in/richmiller" TargetMode="External"/><Relationship Id="rId9935" Type="http://schemas.openxmlformats.org/officeDocument/2006/relationships/hyperlink" Target="http://www.linkedin.com/in/donramsayer" TargetMode="External"/><Relationship Id="rId8604" Type="http://schemas.openxmlformats.org/officeDocument/2006/relationships/hyperlink" Target="http://www.linkedin.com/pub/jerry-hyland/12/3BA/554" TargetMode="External"/><Relationship Id="rId8603" Type="http://schemas.openxmlformats.org/officeDocument/2006/relationships/hyperlink" Target="http://www.linkedin.com/pub/teague-cliff/4/318/B68" TargetMode="External"/><Relationship Id="rId8602" Type="http://schemas.openxmlformats.org/officeDocument/2006/relationships/hyperlink" Target="http://www.linkedin.com/in/jeffreyalogan" TargetMode="External"/><Relationship Id="rId9930" Type="http://schemas.openxmlformats.org/officeDocument/2006/relationships/hyperlink" Target="http://www.linkedin.com/in/sshamim" TargetMode="External"/><Relationship Id="rId8601" Type="http://schemas.openxmlformats.org/officeDocument/2006/relationships/hyperlink" Target="http://www.linkedin.com/in/scgibson" TargetMode="External"/><Relationship Id="rId9931" Type="http://schemas.openxmlformats.org/officeDocument/2006/relationships/hyperlink" Target="http://www.linkedin.com/in/barakberk" TargetMode="External"/><Relationship Id="rId9929" Type="http://schemas.openxmlformats.org/officeDocument/2006/relationships/hyperlink" Target="http://www.linkedin.com/in/jairawat" TargetMode="External"/><Relationship Id="rId9925" Type="http://schemas.openxmlformats.org/officeDocument/2006/relationships/hyperlink" Target="http://www.linkedin.com/in/samhaskin" TargetMode="External"/><Relationship Id="rId9926" Type="http://schemas.openxmlformats.org/officeDocument/2006/relationships/hyperlink" Target="http://www.linkedin.com/in/mkogon" TargetMode="External"/><Relationship Id="rId9927" Type="http://schemas.openxmlformats.org/officeDocument/2006/relationships/hyperlink" Target="http://www.linkedin.com/in/magovino" TargetMode="External"/><Relationship Id="rId9928" Type="http://schemas.openxmlformats.org/officeDocument/2006/relationships/hyperlink" Target="http://www.linkedin.com/pub/russell-klein/0/6/5A8" TargetMode="External"/><Relationship Id="rId9921" Type="http://schemas.openxmlformats.org/officeDocument/2006/relationships/hyperlink" Target="https://www.linkedin.com/in/tellychang" TargetMode="External"/><Relationship Id="rId9922" Type="http://schemas.openxmlformats.org/officeDocument/2006/relationships/hyperlink" Target="http://www.linkedin.com/pub/jay-gordon/0/275/909" TargetMode="External"/><Relationship Id="rId9923" Type="http://schemas.openxmlformats.org/officeDocument/2006/relationships/hyperlink" Target="http://www.linkedin.com/in/sureshdevanan" TargetMode="External"/><Relationship Id="rId9924" Type="http://schemas.openxmlformats.org/officeDocument/2006/relationships/hyperlink" Target="http://www.linkedin.com/in/jukkaalanen" TargetMode="External"/><Relationship Id="rId9920" Type="http://schemas.openxmlformats.org/officeDocument/2006/relationships/hyperlink" Target="http://www.linkedin.com/in/stanleygchan" TargetMode="External"/><Relationship Id="rId8629" Type="http://schemas.openxmlformats.org/officeDocument/2006/relationships/hyperlink" Target="http://www.linkedin.com/in/andrewjamison" TargetMode="External"/><Relationship Id="rId8628" Type="http://schemas.openxmlformats.org/officeDocument/2006/relationships/hyperlink" Target="http://www.linkedin.com/in/chrispeterson" TargetMode="External"/><Relationship Id="rId8627" Type="http://schemas.openxmlformats.org/officeDocument/2006/relationships/hyperlink" Target="http://www.linkedin.com/in/philippekahn" TargetMode="External"/><Relationship Id="rId9958" Type="http://schemas.openxmlformats.org/officeDocument/2006/relationships/hyperlink" Target="http://www.linkedin.com/pub/jorge-chiriboga/6/6B9/3B3" TargetMode="External"/><Relationship Id="rId9959" Type="http://schemas.openxmlformats.org/officeDocument/2006/relationships/hyperlink" Target="http://www.linkedin.com/in/dchristopherwoods" TargetMode="External"/><Relationship Id="rId8622" Type="http://schemas.openxmlformats.org/officeDocument/2006/relationships/hyperlink" Target="http://www.linkedin.com/pub/ken-downey/0/24/104" TargetMode="External"/><Relationship Id="rId9954" Type="http://schemas.openxmlformats.org/officeDocument/2006/relationships/hyperlink" Target="http://www.linkedin.com/in/jaffejuice" TargetMode="External"/><Relationship Id="rId8621" Type="http://schemas.openxmlformats.org/officeDocument/2006/relationships/hyperlink" Target="http://www.linkedin.com/in/christopherhytryderrington" TargetMode="External"/><Relationship Id="rId9955" Type="http://schemas.openxmlformats.org/officeDocument/2006/relationships/hyperlink" Target="http://www.linkedin.com/in/aribayme" TargetMode="External"/><Relationship Id="rId8620" Type="http://schemas.openxmlformats.org/officeDocument/2006/relationships/hyperlink" Target="http://www.linkedin.com/in/adubinsky" TargetMode="External"/><Relationship Id="rId9956" Type="http://schemas.openxmlformats.org/officeDocument/2006/relationships/hyperlink" Target="http://www.linkedin.com/in/garydruckenmiller" TargetMode="External"/><Relationship Id="rId9957" Type="http://schemas.openxmlformats.org/officeDocument/2006/relationships/hyperlink" Target="http://www.linkedin.com/in/thomasaclark" TargetMode="External"/><Relationship Id="rId8626" Type="http://schemas.openxmlformats.org/officeDocument/2006/relationships/hyperlink" Target="http://www.linkedin.com/in/gruebele" TargetMode="External"/><Relationship Id="rId9950" Type="http://schemas.openxmlformats.org/officeDocument/2006/relationships/hyperlink" Target="http://www.linkedin.com/in/terrybean" TargetMode="External"/><Relationship Id="rId8625" Type="http://schemas.openxmlformats.org/officeDocument/2006/relationships/hyperlink" Target="http://www.linkedin.com/in/scottmclements" TargetMode="External"/><Relationship Id="rId9951" Type="http://schemas.openxmlformats.org/officeDocument/2006/relationships/hyperlink" Target="http://www.linkedin.com/in/rogerscott" TargetMode="External"/><Relationship Id="rId8624" Type="http://schemas.openxmlformats.org/officeDocument/2006/relationships/hyperlink" Target="http://www.linkedin.com/in/alexandrelebrun" TargetMode="External"/><Relationship Id="rId9952" Type="http://schemas.openxmlformats.org/officeDocument/2006/relationships/hyperlink" Target="http://www.linkedin.com/in/alfredolezama" TargetMode="External"/><Relationship Id="rId8623" Type="http://schemas.openxmlformats.org/officeDocument/2006/relationships/hyperlink" Target="http://www.linkedin.com/in/edwardmbender" TargetMode="External"/><Relationship Id="rId9953" Type="http://schemas.openxmlformats.org/officeDocument/2006/relationships/hyperlink" Target="http://www.linkedin.com/in/decisionnettechnologies" TargetMode="External"/><Relationship Id="rId8619" Type="http://schemas.openxmlformats.org/officeDocument/2006/relationships/hyperlink" Target="http://www.linkedin.com/in/geoffbarrall" TargetMode="External"/><Relationship Id="rId8618" Type="http://schemas.openxmlformats.org/officeDocument/2006/relationships/hyperlink" Target="http://www.linkedin.com/pub/dwayne-spradlin/0/22/AB2" TargetMode="External"/><Relationship Id="rId8617" Type="http://schemas.openxmlformats.org/officeDocument/2006/relationships/hyperlink" Target="http://www.linkedin.com/in/cgionhotmailcom" TargetMode="External"/><Relationship Id="rId8616" Type="http://schemas.openxmlformats.org/officeDocument/2006/relationships/hyperlink" Target="http://www.linkedin.com/in/davidkoehn" TargetMode="External"/><Relationship Id="rId9947" Type="http://schemas.openxmlformats.org/officeDocument/2006/relationships/hyperlink" Target="http://www.linkedin.com/in/johnpettitt" TargetMode="External"/><Relationship Id="rId9948" Type="http://schemas.openxmlformats.org/officeDocument/2006/relationships/hyperlink" Target="https://www.linkedin.com/in/ajayj" TargetMode="External"/><Relationship Id="rId9949" Type="http://schemas.openxmlformats.org/officeDocument/2006/relationships/hyperlink" Target="http://www.linkedin.com/pub/mark-netter/0/16/543" TargetMode="External"/><Relationship Id="rId8611" Type="http://schemas.openxmlformats.org/officeDocument/2006/relationships/hyperlink" Target="http://www.linkedin.com/in/mikelizun" TargetMode="External"/><Relationship Id="rId9943" Type="http://schemas.openxmlformats.org/officeDocument/2006/relationships/hyperlink" Target="http://www.linkedin.com/pub/vic-syracuse/0/903/76" TargetMode="External"/><Relationship Id="rId8610" Type="http://schemas.openxmlformats.org/officeDocument/2006/relationships/hyperlink" Target="http://www.linkedin.com/in/souheilbadran" TargetMode="External"/><Relationship Id="rId9944" Type="http://schemas.openxmlformats.org/officeDocument/2006/relationships/hyperlink" Target="http://www.linkedin.com/in/mdickerson" TargetMode="External"/><Relationship Id="rId9945" Type="http://schemas.openxmlformats.org/officeDocument/2006/relationships/hyperlink" Target="http://www.linkedin.com/in/4intoccio" TargetMode="External"/><Relationship Id="rId9946" Type="http://schemas.openxmlformats.org/officeDocument/2006/relationships/hyperlink" Target="http://www.linkedin.com/in/juliusfheil" TargetMode="External"/><Relationship Id="rId8615" Type="http://schemas.openxmlformats.org/officeDocument/2006/relationships/hyperlink" Target="http://www.linkedin.com/in/davidmathison" TargetMode="External"/><Relationship Id="rId8614" Type="http://schemas.openxmlformats.org/officeDocument/2006/relationships/hyperlink" Target="http://www.linkedin.com/in/mitchelllevy" TargetMode="External"/><Relationship Id="rId9940" Type="http://schemas.openxmlformats.org/officeDocument/2006/relationships/hyperlink" Target="http://www.linkedin.com/in/carlesposti" TargetMode="External"/><Relationship Id="rId8613" Type="http://schemas.openxmlformats.org/officeDocument/2006/relationships/hyperlink" Target="http://www.linkedin.com/in/dmsnyder" TargetMode="External"/><Relationship Id="rId9941" Type="http://schemas.openxmlformats.org/officeDocument/2006/relationships/hyperlink" Target="http://www.linkedin.com/pub/bill-breyer/0/221/882" TargetMode="External"/><Relationship Id="rId8612" Type="http://schemas.openxmlformats.org/officeDocument/2006/relationships/hyperlink" Target="http://www.linkedin.com/in/peterostrow" TargetMode="External"/><Relationship Id="rId9942" Type="http://schemas.openxmlformats.org/officeDocument/2006/relationships/hyperlink" Target="http://www.linkedin.com/in/azharkhan" TargetMode="External"/><Relationship Id="rId6061" Type="http://schemas.openxmlformats.org/officeDocument/2006/relationships/hyperlink" Target="http://www.linkedin.com/pub/vianeris-ortiz-stiebritz/3/329/58" TargetMode="External"/><Relationship Id="rId7393" Type="http://schemas.openxmlformats.org/officeDocument/2006/relationships/hyperlink" Target="http://www.linkedin.com/in/yisellhernandez" TargetMode="External"/><Relationship Id="rId6062" Type="http://schemas.openxmlformats.org/officeDocument/2006/relationships/hyperlink" Target="http://www.linkedin.com/pub/mike-brunner/0/395/856" TargetMode="External"/><Relationship Id="rId7392" Type="http://schemas.openxmlformats.org/officeDocument/2006/relationships/hyperlink" Target="http://ar.linkedin.com/pub/sergio-quinteros/A/941/938" TargetMode="External"/><Relationship Id="rId7391" Type="http://schemas.openxmlformats.org/officeDocument/2006/relationships/hyperlink" Target="http://www.linkedin.com/pub/salvador-luis-ventriglia/9/4a5/760" TargetMode="External"/><Relationship Id="rId6060" Type="http://schemas.openxmlformats.org/officeDocument/2006/relationships/hyperlink" Target="http://www.linkedin.com/pub/jaime-ponte/1/87A/B94" TargetMode="External"/><Relationship Id="rId7390" Type="http://schemas.openxmlformats.org/officeDocument/2006/relationships/hyperlink" Target="http://www.linkedin.com/pub/mariana-gonzalez-ericsson/4/432/640" TargetMode="External"/><Relationship Id="rId6065" Type="http://schemas.openxmlformats.org/officeDocument/2006/relationships/hyperlink" Target="http://www.linkedin.com/pub/anil-aggarwal/5/406/519" TargetMode="External"/><Relationship Id="rId7397" Type="http://schemas.openxmlformats.org/officeDocument/2006/relationships/hyperlink" Target="http://www.linkedin.com/in/paularutledge" TargetMode="External"/><Relationship Id="rId6066" Type="http://schemas.openxmlformats.org/officeDocument/2006/relationships/hyperlink" Target="http://www.linkedin.com/pub/andrea-albert/3/641/AA4" TargetMode="External"/><Relationship Id="rId7396" Type="http://schemas.openxmlformats.org/officeDocument/2006/relationships/hyperlink" Target="http://www.linkedin.com/pub/doug-dittrich/2/383/720" TargetMode="External"/><Relationship Id="rId6063" Type="http://schemas.openxmlformats.org/officeDocument/2006/relationships/hyperlink" Target="http://www.linkedin.com/pub/laura-kelly/7/B5/623" TargetMode="External"/><Relationship Id="rId7395" Type="http://schemas.openxmlformats.org/officeDocument/2006/relationships/hyperlink" Target="http://www.linkedin.com/in/bornholdt" TargetMode="External"/><Relationship Id="rId6064" Type="http://schemas.openxmlformats.org/officeDocument/2006/relationships/hyperlink" Target="http://www.linkedin.com/in/janetguthrie" TargetMode="External"/><Relationship Id="rId7394" Type="http://schemas.openxmlformats.org/officeDocument/2006/relationships/hyperlink" Target="http://www.linkedin.com/pub/scott-rich/0/BAA/4A8" TargetMode="External"/><Relationship Id="rId6069" Type="http://schemas.openxmlformats.org/officeDocument/2006/relationships/hyperlink" Target="http://www.linkedin.com/in/lyndalopez" TargetMode="External"/><Relationship Id="rId6067" Type="http://schemas.openxmlformats.org/officeDocument/2006/relationships/hyperlink" Target="http://www.linkedin.com/pub/eligio-%22lee%22-ramos/3/32A/A15" TargetMode="External"/><Relationship Id="rId7399" Type="http://schemas.openxmlformats.org/officeDocument/2006/relationships/hyperlink" Target="http://www.linkedin.com/in/ryanmapes" TargetMode="External"/><Relationship Id="rId6068" Type="http://schemas.openxmlformats.org/officeDocument/2006/relationships/hyperlink" Target="http://www.linkedin.com/in/sergiomugnaini" TargetMode="External"/><Relationship Id="rId7398" Type="http://schemas.openxmlformats.org/officeDocument/2006/relationships/hyperlink" Target="http://ar.linkedin.com/pub/juan-pablo-himitian/17/871/950" TargetMode="External"/><Relationship Id="rId6050" Type="http://schemas.openxmlformats.org/officeDocument/2006/relationships/hyperlink" Target="http://www.linkedin.com/pub/juan-villalobos/7/60A/23B" TargetMode="External"/><Relationship Id="rId7382" Type="http://schemas.openxmlformats.org/officeDocument/2006/relationships/hyperlink" Target="http://ar.linkedin.com/pub/bruno-arougueti/13/8A/455" TargetMode="External"/><Relationship Id="rId6051" Type="http://schemas.openxmlformats.org/officeDocument/2006/relationships/hyperlink" Target="http://www.linkedin.com/pub/andres-vasquez/0/278/11" TargetMode="External"/><Relationship Id="rId7381" Type="http://schemas.openxmlformats.org/officeDocument/2006/relationships/hyperlink" Target="http://ar.linkedin.com/pub/jos%C3%A9-torres/17/160/86B" TargetMode="External"/><Relationship Id="rId7380" Type="http://schemas.openxmlformats.org/officeDocument/2006/relationships/hyperlink" Target="http://ar.linkedin.com/in/vegasebastian" TargetMode="External"/><Relationship Id="rId6054" Type="http://schemas.openxmlformats.org/officeDocument/2006/relationships/hyperlink" Target="http://www.linkedin.com/pub/fernando-marquez/1/74B/447" TargetMode="External"/><Relationship Id="rId7386" Type="http://schemas.openxmlformats.org/officeDocument/2006/relationships/hyperlink" Target="http://www.linkedin.com/pub/santiago-alejandro-ag%C3%BCero/23/a16/b58" TargetMode="External"/><Relationship Id="rId6055" Type="http://schemas.openxmlformats.org/officeDocument/2006/relationships/hyperlink" Target="http://ar.linkedin.com/in/danieljardo" TargetMode="External"/><Relationship Id="rId7385" Type="http://schemas.openxmlformats.org/officeDocument/2006/relationships/hyperlink" Target="http://ar.linkedin.com/in/miguelur" TargetMode="External"/><Relationship Id="rId6052" Type="http://schemas.openxmlformats.org/officeDocument/2006/relationships/hyperlink" Target="http://www.linkedin.com/pub/andrea-padilla/6/820/781" TargetMode="External"/><Relationship Id="rId7384" Type="http://schemas.openxmlformats.org/officeDocument/2006/relationships/hyperlink" Target="http://www.linkedin.com/pub/i%C3%B1aki-domaica/3/A74/99A" TargetMode="External"/><Relationship Id="rId6053" Type="http://schemas.openxmlformats.org/officeDocument/2006/relationships/hyperlink" Target="http://ar.linkedin.com/pub/javier-braun/6/226/78B" TargetMode="External"/><Relationship Id="rId7383" Type="http://schemas.openxmlformats.org/officeDocument/2006/relationships/hyperlink" Target="http://ar.linkedin.com/in/juanandresabsi" TargetMode="External"/><Relationship Id="rId6058" Type="http://schemas.openxmlformats.org/officeDocument/2006/relationships/hyperlink" Target="http://www.linkedin.com/in/richardafrazier" TargetMode="External"/><Relationship Id="rId6059" Type="http://schemas.openxmlformats.org/officeDocument/2006/relationships/hyperlink" Target="http://www.linkedin.com/in/micklopez" TargetMode="External"/><Relationship Id="rId7389" Type="http://schemas.openxmlformats.org/officeDocument/2006/relationships/hyperlink" Target="http://ar.linkedin.com/pub/cecilia-cort%C3%A9s/11/400/8B7" TargetMode="External"/><Relationship Id="rId6056" Type="http://schemas.openxmlformats.org/officeDocument/2006/relationships/hyperlink" Target="http://ar.linkedin.com/in/jadenac" TargetMode="External"/><Relationship Id="rId7388" Type="http://schemas.openxmlformats.org/officeDocument/2006/relationships/hyperlink" Target="http://www.linkedin.com/in/mikescaglione" TargetMode="External"/><Relationship Id="rId6057" Type="http://schemas.openxmlformats.org/officeDocument/2006/relationships/hyperlink" Target="http://ar.linkedin.com/pub/ariel-mella/B/743/2B1" TargetMode="External"/><Relationship Id="rId7387" Type="http://schemas.openxmlformats.org/officeDocument/2006/relationships/hyperlink" Target="http://ar.linkedin.com/pub/laura-jotimliansky/2/3AB/596" TargetMode="External"/><Relationship Id="rId3810" Type="http://schemas.openxmlformats.org/officeDocument/2006/relationships/hyperlink" Target="http://uk.linkedin.com/pub/francisco-villanueva/2/2AA/4A1" TargetMode="External"/><Relationship Id="rId3812" Type="http://schemas.openxmlformats.org/officeDocument/2006/relationships/hyperlink" Target="http://in.linkedin.com/in/vinayakrb" TargetMode="External"/><Relationship Id="rId3811" Type="http://schemas.openxmlformats.org/officeDocument/2006/relationships/hyperlink" Target="http://www.linkedin.com/pub/gerald-feege/0/299/95B" TargetMode="External"/><Relationship Id="rId3814" Type="http://schemas.openxmlformats.org/officeDocument/2006/relationships/hyperlink" Target="http://www.linkedin.com/in/tomvalentino" TargetMode="External"/><Relationship Id="rId3813" Type="http://schemas.openxmlformats.org/officeDocument/2006/relationships/hyperlink" Target="http://uk.linkedin.com/pub/basil-omar/0/353/A05" TargetMode="External"/><Relationship Id="rId3816" Type="http://schemas.openxmlformats.org/officeDocument/2006/relationships/hyperlink" Target="http://www.linkedin.com/pub/luciano-adri%C3%A1n-bruno/23/737/54a" TargetMode="External"/><Relationship Id="rId3815" Type="http://schemas.openxmlformats.org/officeDocument/2006/relationships/hyperlink" Target="http://uk.linkedin.com/pub/simon-torrance/0/965/739" TargetMode="External"/><Relationship Id="rId3818" Type="http://schemas.openxmlformats.org/officeDocument/2006/relationships/hyperlink" Target="http://ar.linkedin.com/pub/sebasti%C3%A1n-soneyra/3/342/596" TargetMode="External"/><Relationship Id="rId3817" Type="http://schemas.openxmlformats.org/officeDocument/2006/relationships/hyperlink" Target="http://ar.linkedin.com/in/jsazparren" TargetMode="External"/><Relationship Id="rId3819" Type="http://schemas.openxmlformats.org/officeDocument/2006/relationships/hyperlink" Target="http://ar.linkedin.com/pub/diego-hagman/0/590/11" TargetMode="External"/><Relationship Id="rId6090" Type="http://schemas.openxmlformats.org/officeDocument/2006/relationships/hyperlink" Target="http://www.linkedin.com/pub/saumil-gandhi/0/3B3/AA" TargetMode="External"/><Relationship Id="rId6091" Type="http://schemas.openxmlformats.org/officeDocument/2006/relationships/hyperlink" Target="http://www.linkedin.com/in/geraldolavin" TargetMode="External"/><Relationship Id="rId6083" Type="http://schemas.openxmlformats.org/officeDocument/2006/relationships/hyperlink" Target="https://www.linkedin.com/in/srfframos" TargetMode="External"/><Relationship Id="rId6084" Type="http://schemas.openxmlformats.org/officeDocument/2006/relationships/hyperlink" Target="http://www.linkedin.com/in/kimdziedzic" TargetMode="External"/><Relationship Id="rId6081" Type="http://schemas.openxmlformats.org/officeDocument/2006/relationships/hyperlink" Target="http://www.linkedin.com/in/dirckschou" TargetMode="External"/><Relationship Id="rId6082" Type="http://schemas.openxmlformats.org/officeDocument/2006/relationships/hyperlink" Target="http://www.linkedin.com/in/sarajmoore" TargetMode="External"/><Relationship Id="rId6087" Type="http://schemas.openxmlformats.org/officeDocument/2006/relationships/hyperlink" Target="http://www.linkedin.com/pub/lauren-bittner/0/265/A80" TargetMode="External"/><Relationship Id="rId6088" Type="http://schemas.openxmlformats.org/officeDocument/2006/relationships/hyperlink" Target="http://www.linkedin.com/in/leonherszon" TargetMode="External"/><Relationship Id="rId6085" Type="http://schemas.openxmlformats.org/officeDocument/2006/relationships/hyperlink" Target="http://www.linkedin.com/in/sarahbeckley" TargetMode="External"/><Relationship Id="rId6086" Type="http://schemas.openxmlformats.org/officeDocument/2006/relationships/hyperlink" Target="http://www.linkedin.com/in/aaronhuston" TargetMode="External"/><Relationship Id="rId6089" Type="http://schemas.openxmlformats.org/officeDocument/2006/relationships/hyperlink" Target="http://www.linkedin.com/in/fredlima" TargetMode="External"/><Relationship Id="rId3801" Type="http://schemas.openxmlformats.org/officeDocument/2006/relationships/hyperlink" Target="http://www.linkedin.com/pub/sebastian-schere/12/171/36b" TargetMode="External"/><Relationship Id="rId3800" Type="http://schemas.openxmlformats.org/officeDocument/2006/relationships/hyperlink" Target="http://www.linkedin.com/in/horaciogrilli" TargetMode="External"/><Relationship Id="rId3803" Type="http://schemas.openxmlformats.org/officeDocument/2006/relationships/hyperlink" Target="http://www.linkedin.com/pub/diego-pasjalidis/10/56a/a88" TargetMode="External"/><Relationship Id="rId3802" Type="http://schemas.openxmlformats.org/officeDocument/2006/relationships/hyperlink" Target="http://ar.linkedin.com/in/ezequielrugiero" TargetMode="External"/><Relationship Id="rId3805" Type="http://schemas.openxmlformats.org/officeDocument/2006/relationships/hyperlink" Target="http://ar.linkedin.com/pub/bernardo-legeren/12/A4A/420" TargetMode="External"/><Relationship Id="rId3804" Type="http://schemas.openxmlformats.org/officeDocument/2006/relationships/hyperlink" Target="http://ar.linkedin.com/pub/pablo-marino/2/21A/B10" TargetMode="External"/><Relationship Id="rId3807" Type="http://schemas.openxmlformats.org/officeDocument/2006/relationships/hyperlink" Target="http://ar.linkedin.com/pub/ignacio-spinetta/23/A8A/46" TargetMode="External"/><Relationship Id="rId3806" Type="http://schemas.openxmlformats.org/officeDocument/2006/relationships/hyperlink" Target="http://ar.linkedin.com/pub/rodrigo-medina/15/847/A76" TargetMode="External"/><Relationship Id="rId3809" Type="http://schemas.openxmlformats.org/officeDocument/2006/relationships/hyperlink" Target="http://www.linkedin.com/in/dotwilliams" TargetMode="External"/><Relationship Id="rId3808" Type="http://schemas.openxmlformats.org/officeDocument/2006/relationships/hyperlink" Target="http://www.linkedin.com/pub/katharine-couture/0/52/704" TargetMode="External"/><Relationship Id="rId6080" Type="http://schemas.openxmlformats.org/officeDocument/2006/relationships/hyperlink" Target="http://www.linkedin.com/in/lironsd" TargetMode="External"/><Relationship Id="rId6072" Type="http://schemas.openxmlformats.org/officeDocument/2006/relationships/hyperlink" Target="http://www.linkedin.com/in/xjwang808" TargetMode="External"/><Relationship Id="rId6073" Type="http://schemas.openxmlformats.org/officeDocument/2006/relationships/hyperlink" Target="http://www.linkedin.com/pub/roger-entner/0/7B2/2A3" TargetMode="External"/><Relationship Id="rId6070" Type="http://schemas.openxmlformats.org/officeDocument/2006/relationships/hyperlink" Target="http://www.linkedin.com/in/chris37martin" TargetMode="External"/><Relationship Id="rId6071" Type="http://schemas.openxmlformats.org/officeDocument/2006/relationships/hyperlink" Target="http://www.linkedin.com/pub/david-schwartz/0/151/503" TargetMode="External"/><Relationship Id="rId6076" Type="http://schemas.openxmlformats.org/officeDocument/2006/relationships/hyperlink" Target="https://www.linkedin.com/in/kellyjoyce" TargetMode="External"/><Relationship Id="rId6077" Type="http://schemas.openxmlformats.org/officeDocument/2006/relationships/hyperlink" Target="http://www.linkedin.com/pub/hector-luciano/0/17A/A9" TargetMode="External"/><Relationship Id="rId6074" Type="http://schemas.openxmlformats.org/officeDocument/2006/relationships/hyperlink" Target="http://www.linkedin.com/in/eduardoaraujo2009" TargetMode="External"/><Relationship Id="rId6075" Type="http://schemas.openxmlformats.org/officeDocument/2006/relationships/hyperlink" Target="http://www.linkedin.com/pub/ricardo-zalcman/0/160/7A9" TargetMode="External"/><Relationship Id="rId6078" Type="http://schemas.openxmlformats.org/officeDocument/2006/relationships/hyperlink" Target="http://www.linkedin.com/pub/amber-jozokos/3/B35/B29" TargetMode="External"/><Relationship Id="rId6079" Type="http://schemas.openxmlformats.org/officeDocument/2006/relationships/hyperlink" Target="http://www.linkedin.com/pub/reinaldo-acosta/1/ABA/208" TargetMode="External"/><Relationship Id="rId8680" Type="http://schemas.openxmlformats.org/officeDocument/2006/relationships/hyperlink" Target="http://www.linkedin.com/pub/mark-crofton/0/190/368/" TargetMode="External"/><Relationship Id="rId6021" Type="http://schemas.openxmlformats.org/officeDocument/2006/relationships/hyperlink" Target="http://www.linkedin.com/pub/mark-spencer/2/94/225" TargetMode="External"/><Relationship Id="rId7353" Type="http://schemas.openxmlformats.org/officeDocument/2006/relationships/hyperlink" Target="http://www.linkedin.com/in/nealschaffer" TargetMode="External"/><Relationship Id="rId8684" Type="http://schemas.openxmlformats.org/officeDocument/2006/relationships/hyperlink" Target="http://www.linkedin.com/in/ronrasmussen" TargetMode="External"/><Relationship Id="rId6022" Type="http://schemas.openxmlformats.org/officeDocument/2006/relationships/hyperlink" Target="http://www.linkedin.com/in/bhaveshlad" TargetMode="External"/><Relationship Id="rId7352" Type="http://schemas.openxmlformats.org/officeDocument/2006/relationships/hyperlink" Target="http://www.linkedin.com/pub/laura-lona/13/738/56" TargetMode="External"/><Relationship Id="rId8683" Type="http://schemas.openxmlformats.org/officeDocument/2006/relationships/hyperlink" Target="http://www.linkedin.com/in/garyonealtx" TargetMode="External"/><Relationship Id="rId7351" Type="http://schemas.openxmlformats.org/officeDocument/2006/relationships/hyperlink" Target="http://www.linkedin.com/in/jesusluzardo" TargetMode="External"/><Relationship Id="rId8682" Type="http://schemas.openxmlformats.org/officeDocument/2006/relationships/hyperlink" Target="http://www.linkedin.com/in/adamzak" TargetMode="External"/><Relationship Id="rId6020" Type="http://schemas.openxmlformats.org/officeDocument/2006/relationships/hyperlink" Target="http://www.linkedin.com/pub/oscar-alberto-scotto-cicale/16/9b2/369" TargetMode="External"/><Relationship Id="rId7350" Type="http://schemas.openxmlformats.org/officeDocument/2006/relationships/hyperlink" Target="http://www.linkedin.com/pub/mart%C3%ADn-gsponer/8/537/b20" TargetMode="External"/><Relationship Id="rId8681" Type="http://schemas.openxmlformats.org/officeDocument/2006/relationships/hyperlink" Target="http://www.linkedin.com/in/gerhardeschelbeck" TargetMode="External"/><Relationship Id="rId6025" Type="http://schemas.openxmlformats.org/officeDocument/2006/relationships/hyperlink" Target="http://ar.linkedin.com/pub/claudio-segado/18/A72/56" TargetMode="External"/><Relationship Id="rId7357" Type="http://schemas.openxmlformats.org/officeDocument/2006/relationships/hyperlink" Target="http://www.linkedin.com/pub/gustavo-ariel-aguirre/12/b47/b67" TargetMode="External"/><Relationship Id="rId8688" Type="http://schemas.openxmlformats.org/officeDocument/2006/relationships/hyperlink" Target="http://www.linkedin.com/in/andrewconru" TargetMode="External"/><Relationship Id="rId6026" Type="http://schemas.openxmlformats.org/officeDocument/2006/relationships/hyperlink" Target="http://ar.linkedin.com/pub/nicol-s-masotto/5/50A/BA6" TargetMode="External"/><Relationship Id="rId7356" Type="http://schemas.openxmlformats.org/officeDocument/2006/relationships/hyperlink" Target="http://www.linkedin.com/pub/juan-cuadros/0/38/910" TargetMode="External"/><Relationship Id="rId8687" Type="http://schemas.openxmlformats.org/officeDocument/2006/relationships/hyperlink" Target="http://www.linkedin.com/in/sebastienprovencher" TargetMode="External"/><Relationship Id="rId6023" Type="http://schemas.openxmlformats.org/officeDocument/2006/relationships/hyperlink" Target="http://www.linkedin.com/pub/laura-pividori/b/267/7a8" TargetMode="External"/><Relationship Id="rId7355" Type="http://schemas.openxmlformats.org/officeDocument/2006/relationships/hyperlink" Target="http://www.linkedin.com/pub/victor-aimi/19/193/2B7" TargetMode="External"/><Relationship Id="rId8686" Type="http://schemas.openxmlformats.org/officeDocument/2006/relationships/hyperlink" Target="http://www.linkedin.com/in/brianczarny" TargetMode="External"/><Relationship Id="rId6024" Type="http://schemas.openxmlformats.org/officeDocument/2006/relationships/hyperlink" Target="http://www.linkedin.com/in/pamelamead" TargetMode="External"/><Relationship Id="rId7354" Type="http://schemas.openxmlformats.org/officeDocument/2006/relationships/hyperlink" Target="http://www.linkedin.com/in/fpafumi" TargetMode="External"/><Relationship Id="rId8685" Type="http://schemas.openxmlformats.org/officeDocument/2006/relationships/hyperlink" Target="http://www.linkedin.com/in/dimamelnik" TargetMode="External"/><Relationship Id="rId6029" Type="http://schemas.openxmlformats.org/officeDocument/2006/relationships/hyperlink" Target="http://ar.linkedin.com/in/dfcasavalle" TargetMode="External"/><Relationship Id="rId6027" Type="http://schemas.openxmlformats.org/officeDocument/2006/relationships/hyperlink" Target="http://ar.linkedin.com/pub/ivanna-chejoski/4/71/3B3" TargetMode="External"/><Relationship Id="rId7359" Type="http://schemas.openxmlformats.org/officeDocument/2006/relationships/hyperlink" Target="http://www.linkedin.com/pub/robert-massoudi/0/6A/468" TargetMode="External"/><Relationship Id="rId6028" Type="http://schemas.openxmlformats.org/officeDocument/2006/relationships/hyperlink" Target="http://www.linkedin.com/pub/rodrigo-javier-quispe/a/465/688" TargetMode="External"/><Relationship Id="rId7358" Type="http://schemas.openxmlformats.org/officeDocument/2006/relationships/hyperlink" Target="http://uk.linkedin.com/pub/gabriela-baez/2/B4A/B29" TargetMode="External"/><Relationship Id="rId8689" Type="http://schemas.openxmlformats.org/officeDocument/2006/relationships/hyperlink" Target="http://www.linkedin.com/pub/matthew-bauer/0/691/5BA" TargetMode="External"/><Relationship Id="rId6010" Type="http://schemas.openxmlformats.org/officeDocument/2006/relationships/hyperlink" Target="http://www.linkedin.com/pub/deborah-c-hopkins/8/a74/389" TargetMode="External"/><Relationship Id="rId7342" Type="http://schemas.openxmlformats.org/officeDocument/2006/relationships/hyperlink" Target="http://ar.linkedin.com/pub/leandro-scavella/6/B02/377" TargetMode="External"/><Relationship Id="rId8673" Type="http://schemas.openxmlformats.org/officeDocument/2006/relationships/hyperlink" Target="http://www.linkedin.com/in/emerton" TargetMode="External"/><Relationship Id="rId6011" Type="http://schemas.openxmlformats.org/officeDocument/2006/relationships/hyperlink" Target="http://br.linkedin.com/in/msales" TargetMode="External"/><Relationship Id="rId7341" Type="http://schemas.openxmlformats.org/officeDocument/2006/relationships/hyperlink" Target="http://www.linkedin.com/in/frankmorrison" TargetMode="External"/><Relationship Id="rId8672" Type="http://schemas.openxmlformats.org/officeDocument/2006/relationships/hyperlink" Target="https://www.linkedin.com/in/krvashee" TargetMode="External"/><Relationship Id="rId7340" Type="http://schemas.openxmlformats.org/officeDocument/2006/relationships/hyperlink" Target="http://www.linkedin.com/pub/carlos-federico-gonzalez-stautz/22/a42/9ab" TargetMode="External"/><Relationship Id="rId8671" Type="http://schemas.openxmlformats.org/officeDocument/2006/relationships/hyperlink" Target="http://www.linkedin.com/pub/paul-bemis/0/18B/BA1" TargetMode="External"/><Relationship Id="rId8670" Type="http://schemas.openxmlformats.org/officeDocument/2006/relationships/hyperlink" Target="http://www.linkedin.com/in/elizabethcaselton" TargetMode="External"/><Relationship Id="rId6014" Type="http://schemas.openxmlformats.org/officeDocument/2006/relationships/hyperlink" Target="http://www.linkedin.com/in/pmpdanielsosa" TargetMode="External"/><Relationship Id="rId7346" Type="http://schemas.openxmlformats.org/officeDocument/2006/relationships/hyperlink" Target="http://www.linkedin.com/in/gerardyanuzzi/" TargetMode="External"/><Relationship Id="rId8677" Type="http://schemas.openxmlformats.org/officeDocument/2006/relationships/hyperlink" Target="http://www.linkedin.com/in/tmandosa" TargetMode="External"/><Relationship Id="rId6015" Type="http://schemas.openxmlformats.org/officeDocument/2006/relationships/hyperlink" Target="http://www.linkedin.com/in/mppellegrini" TargetMode="External"/><Relationship Id="rId7345" Type="http://schemas.openxmlformats.org/officeDocument/2006/relationships/hyperlink" Target="http://www.linkedin.com/in/richfiene" TargetMode="External"/><Relationship Id="rId8676" Type="http://schemas.openxmlformats.org/officeDocument/2006/relationships/hyperlink" Target="http://www.linkedin.com/pub/krishna-krovi/0/B3/6A" TargetMode="External"/><Relationship Id="rId6012" Type="http://schemas.openxmlformats.org/officeDocument/2006/relationships/hyperlink" Target="http://ar.linkedin.com/in/marcelosal" TargetMode="External"/><Relationship Id="rId7344" Type="http://schemas.openxmlformats.org/officeDocument/2006/relationships/hyperlink" Target="http://www.linkedin.com/pub/david-markus/0/58/428" TargetMode="External"/><Relationship Id="rId8675" Type="http://schemas.openxmlformats.org/officeDocument/2006/relationships/hyperlink" Target="http://www.linkedin.com/in/richmironov" TargetMode="External"/><Relationship Id="rId6013" Type="http://schemas.openxmlformats.org/officeDocument/2006/relationships/hyperlink" Target="http://www.linkedin.com/in/robdobbins" TargetMode="External"/><Relationship Id="rId7343" Type="http://schemas.openxmlformats.org/officeDocument/2006/relationships/hyperlink" Target="http://www.linkedin.com/pub/hern%C3%A1n-oscaris/9/386/722" TargetMode="External"/><Relationship Id="rId8674" Type="http://schemas.openxmlformats.org/officeDocument/2006/relationships/hyperlink" Target="http://www.linkedin.com/in/lingoport" TargetMode="External"/><Relationship Id="rId6018" Type="http://schemas.openxmlformats.org/officeDocument/2006/relationships/hyperlink" Target="http://www.linkedin.com/in/qxork" TargetMode="External"/><Relationship Id="rId6019" Type="http://schemas.openxmlformats.org/officeDocument/2006/relationships/hyperlink" Target="http://ar.linkedin.com/in/laurafpetersen" TargetMode="External"/><Relationship Id="rId7349" Type="http://schemas.openxmlformats.org/officeDocument/2006/relationships/hyperlink" Target="http://ar.linkedin.com/pub/lucio-fernandez/25/A80/B46" TargetMode="External"/><Relationship Id="rId6016" Type="http://schemas.openxmlformats.org/officeDocument/2006/relationships/hyperlink" Target="http://www.linkedin.com/pub/juan-cruz-baudino/25/287/689" TargetMode="External"/><Relationship Id="rId7348" Type="http://schemas.openxmlformats.org/officeDocument/2006/relationships/hyperlink" Target="http://www.linkedin.com/in/jimbrowning" TargetMode="External"/><Relationship Id="rId8679" Type="http://schemas.openxmlformats.org/officeDocument/2006/relationships/hyperlink" Target="http://www.linkedin.com/in/elaineorler" TargetMode="External"/><Relationship Id="rId6017" Type="http://schemas.openxmlformats.org/officeDocument/2006/relationships/hyperlink" Target="https://www.linkedin.com/in/kyriakides" TargetMode="External"/><Relationship Id="rId7347" Type="http://schemas.openxmlformats.org/officeDocument/2006/relationships/hyperlink" Target="http://ar.linkedin.com/in/lagrestaagustin" TargetMode="External"/><Relationship Id="rId8678" Type="http://schemas.openxmlformats.org/officeDocument/2006/relationships/hyperlink" Target="http://www.linkedin.com/in/schwartz" TargetMode="External"/><Relationship Id="rId7371" Type="http://schemas.openxmlformats.org/officeDocument/2006/relationships/hyperlink" Target="http://www.linkedin.com/in/kathleenmarini" TargetMode="External"/><Relationship Id="rId6040" Type="http://schemas.openxmlformats.org/officeDocument/2006/relationships/hyperlink" Target="http://ar.linkedin.com/pub/santiago-estevez/23/721/B1" TargetMode="External"/><Relationship Id="rId7370" Type="http://schemas.openxmlformats.org/officeDocument/2006/relationships/hyperlink" Target="http://ar.linkedin.com/in/joseprassolo" TargetMode="External"/><Relationship Id="rId6043" Type="http://schemas.openxmlformats.org/officeDocument/2006/relationships/hyperlink" Target="http://www.linkedin.com/in/emeelnoohi" TargetMode="External"/><Relationship Id="rId7375" Type="http://schemas.openxmlformats.org/officeDocument/2006/relationships/hyperlink" Target="http://www.linkedin.com/pub/arianna-pages/28/BA5/173" TargetMode="External"/><Relationship Id="rId6044" Type="http://schemas.openxmlformats.org/officeDocument/2006/relationships/hyperlink" Target="http://ar.linkedin.com/pub/sergio-ostapowicz/19/310/B38" TargetMode="External"/><Relationship Id="rId7374" Type="http://schemas.openxmlformats.org/officeDocument/2006/relationships/hyperlink" Target="http://www.linkedin.com/in/maryleeds" TargetMode="External"/><Relationship Id="rId6041" Type="http://schemas.openxmlformats.org/officeDocument/2006/relationships/hyperlink" Target="http://www.linkedin.com/pub/luis-catanzariti/a/577/107" TargetMode="External"/><Relationship Id="rId7373" Type="http://schemas.openxmlformats.org/officeDocument/2006/relationships/hyperlink" Target="http://ar.linkedin.com/in/marianoesterlus" TargetMode="External"/><Relationship Id="rId6042" Type="http://schemas.openxmlformats.org/officeDocument/2006/relationships/hyperlink" Target="http://www.linkedin.com/pub/rodrigo-humedes-v%C3%A1zquez/27/918/b5a" TargetMode="External"/><Relationship Id="rId7372" Type="http://schemas.openxmlformats.org/officeDocument/2006/relationships/hyperlink" Target="http://ar.linkedin.com/in/christianosilva" TargetMode="External"/><Relationship Id="rId6047" Type="http://schemas.openxmlformats.org/officeDocument/2006/relationships/hyperlink" Target="http://www.linkedin.com/in/hughrobert" TargetMode="External"/><Relationship Id="rId7379" Type="http://schemas.openxmlformats.org/officeDocument/2006/relationships/hyperlink" Target="http://www.linkedin.com/in/ferminp" TargetMode="External"/><Relationship Id="rId6048" Type="http://schemas.openxmlformats.org/officeDocument/2006/relationships/hyperlink" Target="http://www.linkedin.com/pub/catharine-strauss/0/4B0/757" TargetMode="External"/><Relationship Id="rId7378" Type="http://schemas.openxmlformats.org/officeDocument/2006/relationships/hyperlink" Target="http://www.linkedin.com/pub/roger-espert/13/774/44" TargetMode="External"/><Relationship Id="rId6045" Type="http://schemas.openxmlformats.org/officeDocument/2006/relationships/hyperlink" Target="http://ar.linkedin.com/pub/manuel-andres-garcia/2A/229/AA" TargetMode="External"/><Relationship Id="rId7377" Type="http://schemas.openxmlformats.org/officeDocument/2006/relationships/hyperlink" Target="http://www.linkedin.com/pub/carina-maggi/8/246/4ba?trk=pub-pbmap" TargetMode="External"/><Relationship Id="rId6046" Type="http://schemas.openxmlformats.org/officeDocument/2006/relationships/hyperlink" Target="http://www.linkedin.com/pub/chris-layfield-cissp/0/1A7/965" TargetMode="External"/><Relationship Id="rId7376" Type="http://schemas.openxmlformats.org/officeDocument/2006/relationships/hyperlink" Target="http://www.linkedin.com/pub/miguel-angel-guzzo/6/546/a89" TargetMode="External"/><Relationship Id="rId6049" Type="http://schemas.openxmlformats.org/officeDocument/2006/relationships/hyperlink" Target="http://www.linkedin.com/in/annejkoller" TargetMode="External"/><Relationship Id="rId7360" Type="http://schemas.openxmlformats.org/officeDocument/2006/relationships/hyperlink" Target="http://ar.linkedin.com/in/gpalacios" TargetMode="External"/><Relationship Id="rId8691" Type="http://schemas.openxmlformats.org/officeDocument/2006/relationships/hyperlink" Target="http://www.linkedin.com/in/muoto" TargetMode="External"/><Relationship Id="rId8690" Type="http://schemas.openxmlformats.org/officeDocument/2006/relationships/hyperlink" Target="http://www.linkedin.com/in/jonstaenberg" TargetMode="External"/><Relationship Id="rId6032" Type="http://schemas.openxmlformats.org/officeDocument/2006/relationships/hyperlink" Target="http://www.linkedin.com/pub/mariana-castro-freyre/9/9b4/ba3" TargetMode="External"/><Relationship Id="rId7364" Type="http://schemas.openxmlformats.org/officeDocument/2006/relationships/hyperlink" Target="http://ar.linkedin.com/pub/sebastian-serantes/7/B96/321" TargetMode="External"/><Relationship Id="rId8695" Type="http://schemas.openxmlformats.org/officeDocument/2006/relationships/hyperlink" Target="http://www.linkedin.com/in/timeisenhauer" TargetMode="External"/><Relationship Id="rId6033" Type="http://schemas.openxmlformats.org/officeDocument/2006/relationships/hyperlink" Target="http://www.linkedin.com/pub/martin-parrella/21/373/178" TargetMode="External"/><Relationship Id="rId7363" Type="http://schemas.openxmlformats.org/officeDocument/2006/relationships/hyperlink" Target="http://ar.linkedin.com/in/pachu" TargetMode="External"/><Relationship Id="rId8694" Type="http://schemas.openxmlformats.org/officeDocument/2006/relationships/hyperlink" Target="http://www.linkedin.com/in/michaelcerda" TargetMode="External"/><Relationship Id="rId6030" Type="http://schemas.openxmlformats.org/officeDocument/2006/relationships/hyperlink" Target="http://www.linkedin.com/pub/rocio-klan/16/485/4b1" TargetMode="External"/><Relationship Id="rId7362" Type="http://schemas.openxmlformats.org/officeDocument/2006/relationships/hyperlink" Target="http://www.linkedin.com/in/shappley" TargetMode="External"/><Relationship Id="rId8693" Type="http://schemas.openxmlformats.org/officeDocument/2006/relationships/hyperlink" Target="http://www.linkedin.com/in/robsowers" TargetMode="External"/><Relationship Id="rId6031" Type="http://schemas.openxmlformats.org/officeDocument/2006/relationships/hyperlink" Target="http://ar.linkedin.com/pub/christian-menendez/7/607/923" TargetMode="External"/><Relationship Id="rId7361" Type="http://schemas.openxmlformats.org/officeDocument/2006/relationships/hyperlink" Target="http://ar.linkedin.com/pub/agustin-perez/9/9A4/601" TargetMode="External"/><Relationship Id="rId8692" Type="http://schemas.openxmlformats.org/officeDocument/2006/relationships/hyperlink" Target="http://www.linkedin.com/in/skipreed" TargetMode="External"/><Relationship Id="rId6036" Type="http://schemas.openxmlformats.org/officeDocument/2006/relationships/hyperlink" Target="http://ar.linkedin.com/in/pablodelgrosso" TargetMode="External"/><Relationship Id="rId7368" Type="http://schemas.openxmlformats.org/officeDocument/2006/relationships/hyperlink" Target="http://ar.linkedin.com/in/manzato" TargetMode="External"/><Relationship Id="rId8699" Type="http://schemas.openxmlformats.org/officeDocument/2006/relationships/hyperlink" Target="http://www.linkedin.com/in/rezaraji" TargetMode="External"/><Relationship Id="rId6037" Type="http://schemas.openxmlformats.org/officeDocument/2006/relationships/hyperlink" Target="http://www.linkedin.com/pub/santiago-cociancich/30/645/2b4" TargetMode="External"/><Relationship Id="rId7367" Type="http://schemas.openxmlformats.org/officeDocument/2006/relationships/hyperlink" Target="http://ar.linkedin.com/pub/ver-nica-romero/12/7B9/5" TargetMode="External"/><Relationship Id="rId8698" Type="http://schemas.openxmlformats.org/officeDocument/2006/relationships/hyperlink" Target="http://www.linkedin.com/pub/jody-ma-kissling/0/104/741" TargetMode="External"/><Relationship Id="rId6034" Type="http://schemas.openxmlformats.org/officeDocument/2006/relationships/hyperlink" Target="http://www.linkedin.com/pub/jennifer-singer/7/613/A75" TargetMode="External"/><Relationship Id="rId7366" Type="http://schemas.openxmlformats.org/officeDocument/2006/relationships/hyperlink" Target="http://www.linkedin.com/in/amidror" TargetMode="External"/><Relationship Id="rId8697" Type="http://schemas.openxmlformats.org/officeDocument/2006/relationships/hyperlink" Target="http://www.linkedin.com/pub/randy-haykin/0/3/334" TargetMode="External"/><Relationship Id="rId6035" Type="http://schemas.openxmlformats.org/officeDocument/2006/relationships/hyperlink" Target="http://www.linkedin.com/in/tahleeya" TargetMode="External"/><Relationship Id="rId7365" Type="http://schemas.openxmlformats.org/officeDocument/2006/relationships/hyperlink" Target="http://www.linkedin.com/in/juanmanuelvillarreal" TargetMode="External"/><Relationship Id="rId8696" Type="http://schemas.openxmlformats.org/officeDocument/2006/relationships/hyperlink" Target="http://ca.linkedin.com/in/robertmcohen" TargetMode="External"/><Relationship Id="rId6038" Type="http://schemas.openxmlformats.org/officeDocument/2006/relationships/hyperlink" Target="http://ar.linkedin.com/in/arielclaus" TargetMode="External"/><Relationship Id="rId6039" Type="http://schemas.openxmlformats.org/officeDocument/2006/relationships/hyperlink" Target="http://ar.linkedin.com/pub/mar-a-ymf-lab/30/588/827" TargetMode="External"/><Relationship Id="rId7369" Type="http://schemas.openxmlformats.org/officeDocument/2006/relationships/hyperlink" Target="http://www.linkedin.com/pub/wayne-millheim/26/5BB/365" TargetMode="External"/><Relationship Id="rId1213" Type="http://schemas.openxmlformats.org/officeDocument/2006/relationships/hyperlink" Target="http://www.linkedin.com/in/davidherrmann" TargetMode="External"/><Relationship Id="rId2544" Type="http://schemas.openxmlformats.org/officeDocument/2006/relationships/hyperlink" Target="http://ar.linkedin.com/pub/carlos-del-boca/0/483/A94" TargetMode="External"/><Relationship Id="rId3876" Type="http://schemas.openxmlformats.org/officeDocument/2006/relationships/hyperlink" Target="http://uk.linkedin.com/pub/tijani-kelly/28/667/407" TargetMode="External"/><Relationship Id="rId1214" Type="http://schemas.openxmlformats.org/officeDocument/2006/relationships/hyperlink" Target="http://uk.linkedin.com/in/davidholliday9117" TargetMode="External"/><Relationship Id="rId2545" Type="http://schemas.openxmlformats.org/officeDocument/2006/relationships/hyperlink" Target="http://ar.linkedin.com/pub/matias-pedretti/5/389/252" TargetMode="External"/><Relationship Id="rId3875" Type="http://schemas.openxmlformats.org/officeDocument/2006/relationships/hyperlink" Target="http://uk.linkedin.com/in/avrilmcdonald28745" TargetMode="External"/><Relationship Id="rId1215" Type="http://schemas.openxmlformats.org/officeDocument/2006/relationships/hyperlink" Target="http://www.linkedin.com/in/miriamthomas" TargetMode="External"/><Relationship Id="rId2546" Type="http://schemas.openxmlformats.org/officeDocument/2006/relationships/hyperlink" Target="http://www.linkedin.com/in/moral" TargetMode="External"/><Relationship Id="rId3878" Type="http://schemas.openxmlformats.org/officeDocument/2006/relationships/hyperlink" Target="http://www.linkedin.com/pub/emmie-braun/14/752/558" TargetMode="External"/><Relationship Id="rId1216" Type="http://schemas.openxmlformats.org/officeDocument/2006/relationships/hyperlink" Target="http://www.linkedin.com/pub/paul-sinderson/1/470/842" TargetMode="External"/><Relationship Id="rId2547" Type="http://schemas.openxmlformats.org/officeDocument/2006/relationships/hyperlink" Target="http://www.linkedin.com/pub/emanuel-carambia/11/a62/47b" TargetMode="External"/><Relationship Id="rId3877" Type="http://schemas.openxmlformats.org/officeDocument/2006/relationships/hyperlink" Target="http://www.linkedin.com/in/ralphavila" TargetMode="External"/><Relationship Id="rId1217" Type="http://schemas.openxmlformats.org/officeDocument/2006/relationships/hyperlink" Target="http://www.linkedin.com/in/eldredwhite" TargetMode="External"/><Relationship Id="rId2548" Type="http://schemas.openxmlformats.org/officeDocument/2006/relationships/hyperlink" Target="http://ar.linkedin.com/in/diegomuzio" TargetMode="External"/><Relationship Id="rId1218" Type="http://schemas.openxmlformats.org/officeDocument/2006/relationships/hyperlink" Target="http://www.linkedin.com/in/samtyagi" TargetMode="External"/><Relationship Id="rId2549" Type="http://schemas.openxmlformats.org/officeDocument/2006/relationships/hyperlink" Target="http://ar.linkedin.com/pub/claudio-marchesano/B/299/943" TargetMode="External"/><Relationship Id="rId3879" Type="http://schemas.openxmlformats.org/officeDocument/2006/relationships/hyperlink" Target="http://www.linkedin.com/in/ryder01" TargetMode="External"/><Relationship Id="rId1219" Type="http://schemas.openxmlformats.org/officeDocument/2006/relationships/hyperlink" Target="http://www.linkedin.com/pub/roger-brooks/0/140/6B4" TargetMode="External"/><Relationship Id="rId3870" Type="http://schemas.openxmlformats.org/officeDocument/2006/relationships/hyperlink" Target="http://ar.linkedin.com/pub/juan-manuel-gutierrez/7/940/153" TargetMode="External"/><Relationship Id="rId2540" Type="http://schemas.openxmlformats.org/officeDocument/2006/relationships/hyperlink" Target="http://ar.linkedin.com/in/juanbosoms" TargetMode="External"/><Relationship Id="rId3872" Type="http://schemas.openxmlformats.org/officeDocument/2006/relationships/hyperlink" Target="http://ar.linkedin.com/in/inglauraaguilar" TargetMode="External"/><Relationship Id="rId1210" Type="http://schemas.openxmlformats.org/officeDocument/2006/relationships/hyperlink" Target="http://www.linkedin.com/pub/tom-fitzgerald/0/87A/16A" TargetMode="External"/><Relationship Id="rId2541" Type="http://schemas.openxmlformats.org/officeDocument/2006/relationships/hyperlink" Target="http://ar.linkedin.com/in/cmerolla" TargetMode="External"/><Relationship Id="rId3871" Type="http://schemas.openxmlformats.org/officeDocument/2006/relationships/hyperlink" Target="http://www.linkedin.com/pub/dario-ernesto-garcia/a/556/852" TargetMode="External"/><Relationship Id="rId1211" Type="http://schemas.openxmlformats.org/officeDocument/2006/relationships/hyperlink" Target="http://www.linkedin.com/in/jaysawyer" TargetMode="External"/><Relationship Id="rId2542" Type="http://schemas.openxmlformats.org/officeDocument/2006/relationships/hyperlink" Target="http://ar.linkedin.com/pub/miriam-vigna/4/5B6/297" TargetMode="External"/><Relationship Id="rId3874" Type="http://schemas.openxmlformats.org/officeDocument/2006/relationships/hyperlink" Target="http://www.linkedin.com/in/masur" TargetMode="External"/><Relationship Id="rId1212" Type="http://schemas.openxmlformats.org/officeDocument/2006/relationships/hyperlink" Target="http://www.linkedin.com/in/scotttivey" TargetMode="External"/><Relationship Id="rId2543" Type="http://schemas.openxmlformats.org/officeDocument/2006/relationships/hyperlink" Target="http://www.linkedin.com/in/marianososa" TargetMode="External"/><Relationship Id="rId3873" Type="http://schemas.openxmlformats.org/officeDocument/2006/relationships/hyperlink" Target="http://www.linkedin.com/pub/steven-corn/0/5/A61" TargetMode="External"/><Relationship Id="rId1202" Type="http://schemas.openxmlformats.org/officeDocument/2006/relationships/hyperlink" Target="http://www.linkedin.com/pub/lee-snedaker/3/170/777" TargetMode="External"/><Relationship Id="rId2533" Type="http://schemas.openxmlformats.org/officeDocument/2006/relationships/hyperlink" Target="http://ar.linkedin.com/pub/gustavo-villagra/3/576/355" TargetMode="External"/><Relationship Id="rId3865" Type="http://schemas.openxmlformats.org/officeDocument/2006/relationships/hyperlink" Target="http://ar.linkedin.com/pub/mariano-moure/A/246/404" TargetMode="External"/><Relationship Id="rId1203" Type="http://schemas.openxmlformats.org/officeDocument/2006/relationships/hyperlink" Target="http://www.linkedin.com/pub/ginny-lloyd/1/167/13B" TargetMode="External"/><Relationship Id="rId2534" Type="http://schemas.openxmlformats.org/officeDocument/2006/relationships/hyperlink" Target="http://ar.linkedin.com/pub/laura-pereira/1/654/500" TargetMode="External"/><Relationship Id="rId3864" Type="http://schemas.openxmlformats.org/officeDocument/2006/relationships/hyperlink" Target="http://ar.linkedin.com/pub/angel-javier-paez/25/64/906" TargetMode="External"/><Relationship Id="rId1204" Type="http://schemas.openxmlformats.org/officeDocument/2006/relationships/hyperlink" Target="http://www.linkedin.com/in/tonyyoung" TargetMode="External"/><Relationship Id="rId2535" Type="http://schemas.openxmlformats.org/officeDocument/2006/relationships/hyperlink" Target="http://ar.linkedin.com/pub/rodrigo-goncalves/9/607/3A4" TargetMode="External"/><Relationship Id="rId3867" Type="http://schemas.openxmlformats.org/officeDocument/2006/relationships/hyperlink" Target="http://www.linkedin.com/pub/maria-lorena-iparraguirre/19/55a/941" TargetMode="External"/><Relationship Id="rId1205" Type="http://schemas.openxmlformats.org/officeDocument/2006/relationships/hyperlink" Target="http://in.linkedin.com/pub/sowmyashree-gururaj/14/631/332" TargetMode="External"/><Relationship Id="rId2536" Type="http://schemas.openxmlformats.org/officeDocument/2006/relationships/hyperlink" Target="http://www.linkedin.com/in/fernandodiazgonzalez" TargetMode="External"/><Relationship Id="rId3866" Type="http://schemas.openxmlformats.org/officeDocument/2006/relationships/hyperlink" Target="http://www.linkedin.com/pub/marcos-panichella/29/491/135" TargetMode="External"/><Relationship Id="rId1206" Type="http://schemas.openxmlformats.org/officeDocument/2006/relationships/hyperlink" Target="http://www.linkedin.com/in/jeffsardis" TargetMode="External"/><Relationship Id="rId2537" Type="http://schemas.openxmlformats.org/officeDocument/2006/relationships/hyperlink" Target="http://ar.linkedin.com/pub/ahmed-fahmy/1/293/928" TargetMode="External"/><Relationship Id="rId3869" Type="http://schemas.openxmlformats.org/officeDocument/2006/relationships/hyperlink" Target="http://www.linkedin.com/in/duvoy" TargetMode="External"/><Relationship Id="rId1207" Type="http://schemas.openxmlformats.org/officeDocument/2006/relationships/hyperlink" Target="http://www.linkedin.com/pub/danielle-demuro-johnson/1/323/4ab" TargetMode="External"/><Relationship Id="rId2538" Type="http://schemas.openxmlformats.org/officeDocument/2006/relationships/hyperlink" Target="http://ar.linkedin.com/in/cvmatiaslangellotti" TargetMode="External"/><Relationship Id="rId3868" Type="http://schemas.openxmlformats.org/officeDocument/2006/relationships/hyperlink" Target="http://ar.linkedin.com/pub/nilda-balma/26/694/430" TargetMode="External"/><Relationship Id="rId1208" Type="http://schemas.openxmlformats.org/officeDocument/2006/relationships/hyperlink" Target="http://in.linkedin.com/in/sanjaynetrabile" TargetMode="External"/><Relationship Id="rId2539" Type="http://schemas.openxmlformats.org/officeDocument/2006/relationships/hyperlink" Target="http://ar.linkedin.com/pub/silvina-el-barri/11/786/231" TargetMode="External"/><Relationship Id="rId1209" Type="http://schemas.openxmlformats.org/officeDocument/2006/relationships/hyperlink" Target="http://www.linkedin.com/pub/a-rahman-mba-pmp-csm/1/863/988" TargetMode="External"/><Relationship Id="rId3861" Type="http://schemas.openxmlformats.org/officeDocument/2006/relationships/hyperlink" Target="http://ar.linkedin.com/in/raragunde" TargetMode="External"/><Relationship Id="rId2530" Type="http://schemas.openxmlformats.org/officeDocument/2006/relationships/hyperlink" Target="http://ar.linkedin.com/in/crisoneto" TargetMode="External"/><Relationship Id="rId3860" Type="http://schemas.openxmlformats.org/officeDocument/2006/relationships/hyperlink" Target="http://ar.linkedin.com/pub/mariel-najman/3/137/1B1" TargetMode="External"/><Relationship Id="rId1200" Type="http://schemas.openxmlformats.org/officeDocument/2006/relationships/hyperlink" Target="https://www.linkedin.com/in/mallardi" TargetMode="External"/><Relationship Id="rId2531" Type="http://schemas.openxmlformats.org/officeDocument/2006/relationships/hyperlink" Target="http://ar.linkedin.com/pub/claudio-centeno/B/3A2/502" TargetMode="External"/><Relationship Id="rId3863" Type="http://schemas.openxmlformats.org/officeDocument/2006/relationships/hyperlink" Target="http://ar.linkedin.com/pub/pablo-mazzeo/19/319/869" TargetMode="External"/><Relationship Id="rId1201" Type="http://schemas.openxmlformats.org/officeDocument/2006/relationships/hyperlink" Target="http://www.linkedin.com/pub/andy-nacsin/0/457/AB4" TargetMode="External"/><Relationship Id="rId2532" Type="http://schemas.openxmlformats.org/officeDocument/2006/relationships/hyperlink" Target="http://ar.linkedin.com/pub/alejandro-tous/7/A17/48B" TargetMode="External"/><Relationship Id="rId3862" Type="http://schemas.openxmlformats.org/officeDocument/2006/relationships/hyperlink" Target="http://ar.linkedin.com/pub/leonardo-moro/19/201/503" TargetMode="External"/><Relationship Id="rId1235" Type="http://schemas.openxmlformats.org/officeDocument/2006/relationships/hyperlink" Target="http://www.linkedin.com/in/campaignguru" TargetMode="External"/><Relationship Id="rId2566" Type="http://schemas.openxmlformats.org/officeDocument/2006/relationships/hyperlink" Target="http://ar.linkedin.com/pub/argentina-mart%C3%ADnez/A/986/B59" TargetMode="External"/><Relationship Id="rId3898" Type="http://schemas.openxmlformats.org/officeDocument/2006/relationships/hyperlink" Target="http://ar.linkedin.com/pub/javier-gutierrez/19/976/805" TargetMode="External"/><Relationship Id="rId1236" Type="http://schemas.openxmlformats.org/officeDocument/2006/relationships/hyperlink" Target="http://www.linkedin.com/pub/wayne-wright-pmp/1/768/223" TargetMode="External"/><Relationship Id="rId2567" Type="http://schemas.openxmlformats.org/officeDocument/2006/relationships/hyperlink" Target="http://ar.linkedin.com/pub/marcelo-candelieri/1/47/A8A" TargetMode="External"/><Relationship Id="rId3897" Type="http://schemas.openxmlformats.org/officeDocument/2006/relationships/hyperlink" Target="http://www.linkedin.com/pub/hector-badie/b/379/791" TargetMode="External"/><Relationship Id="rId1237" Type="http://schemas.openxmlformats.org/officeDocument/2006/relationships/hyperlink" Target="http://www.linkedin.com/in/lassemj" TargetMode="External"/><Relationship Id="rId2568" Type="http://schemas.openxmlformats.org/officeDocument/2006/relationships/hyperlink" Target="http://ar.linkedin.com/pub/antonio-pages/10/696/835" TargetMode="External"/><Relationship Id="rId1238" Type="http://schemas.openxmlformats.org/officeDocument/2006/relationships/hyperlink" Target="http://www.linkedin.com/pub/james-sebastian/3/6A/2A1" TargetMode="External"/><Relationship Id="rId2569" Type="http://schemas.openxmlformats.org/officeDocument/2006/relationships/hyperlink" Target="http://ar.linkedin.com/pub/diego-rodriguez/4/877/A86" TargetMode="External"/><Relationship Id="rId3899" Type="http://schemas.openxmlformats.org/officeDocument/2006/relationships/hyperlink" Target="http://ar.linkedin.com/in/andrescanale" TargetMode="External"/><Relationship Id="rId1239" Type="http://schemas.openxmlformats.org/officeDocument/2006/relationships/hyperlink" Target="http://www.linkedin.com/pub/mitch-breines/0/B44/582" TargetMode="External"/><Relationship Id="rId3890" Type="http://schemas.openxmlformats.org/officeDocument/2006/relationships/hyperlink" Target="http://ar.linkedin.com/in/andrearuscitto" TargetMode="External"/><Relationship Id="rId2560" Type="http://schemas.openxmlformats.org/officeDocument/2006/relationships/hyperlink" Target="http://ar.linkedin.com/pub/horacio-castillo/A/589/414" TargetMode="External"/><Relationship Id="rId3892" Type="http://schemas.openxmlformats.org/officeDocument/2006/relationships/hyperlink" Target="http://ar.linkedin.com/pub/vanina-armesto/9/767/879" TargetMode="External"/><Relationship Id="rId1230" Type="http://schemas.openxmlformats.org/officeDocument/2006/relationships/hyperlink" Target="http://www.linkedin.com/in/dmorris1" TargetMode="External"/><Relationship Id="rId2561" Type="http://schemas.openxmlformats.org/officeDocument/2006/relationships/hyperlink" Target="http://ar.linkedin.com/in/facundobaez" TargetMode="External"/><Relationship Id="rId3891" Type="http://schemas.openxmlformats.org/officeDocument/2006/relationships/hyperlink" Target="http://ar.linkedin.com/pub/daniel-font/20/17A/661" TargetMode="External"/><Relationship Id="rId1231" Type="http://schemas.openxmlformats.org/officeDocument/2006/relationships/hyperlink" Target="http://www.linkedin.com/pub/perry-schugart/0/A30/35A" TargetMode="External"/><Relationship Id="rId2562" Type="http://schemas.openxmlformats.org/officeDocument/2006/relationships/hyperlink" Target="http://ar.linkedin.com/in/nicolasgraupen" TargetMode="External"/><Relationship Id="rId3894" Type="http://schemas.openxmlformats.org/officeDocument/2006/relationships/hyperlink" Target="http://www.linkedin.com/pub/adrian-prizont/16/7b5/787" TargetMode="External"/><Relationship Id="rId1232" Type="http://schemas.openxmlformats.org/officeDocument/2006/relationships/hyperlink" Target="http://www.linkedin.com/pub/henry-london/15/91/855" TargetMode="External"/><Relationship Id="rId2563" Type="http://schemas.openxmlformats.org/officeDocument/2006/relationships/hyperlink" Target="http://ar.linkedin.com/in/lucaspein" TargetMode="External"/><Relationship Id="rId3893" Type="http://schemas.openxmlformats.org/officeDocument/2006/relationships/hyperlink" Target="http://www.linkedin.com/pub/fernando-lillia/12/78/748" TargetMode="External"/><Relationship Id="rId1233" Type="http://schemas.openxmlformats.org/officeDocument/2006/relationships/hyperlink" Target="http://www.linkedin.com/in/arundhandapani" TargetMode="External"/><Relationship Id="rId2564" Type="http://schemas.openxmlformats.org/officeDocument/2006/relationships/hyperlink" Target="http://ar.linkedin.com/pub/mauricio-carletti/9/834/887" TargetMode="External"/><Relationship Id="rId3896" Type="http://schemas.openxmlformats.org/officeDocument/2006/relationships/hyperlink" Target="http://ar.linkedin.com/pub/hernan-ricchio/9/527/482" TargetMode="External"/><Relationship Id="rId1234" Type="http://schemas.openxmlformats.org/officeDocument/2006/relationships/hyperlink" Target="http://www.linkedin.com/in/gbaha" TargetMode="External"/><Relationship Id="rId2565" Type="http://schemas.openxmlformats.org/officeDocument/2006/relationships/hyperlink" Target="http://www.linkedin.com/in/santiagombustelo" TargetMode="External"/><Relationship Id="rId3895" Type="http://schemas.openxmlformats.org/officeDocument/2006/relationships/hyperlink" Target="http://ar.linkedin.com/in/damfernandez" TargetMode="External"/><Relationship Id="rId1224" Type="http://schemas.openxmlformats.org/officeDocument/2006/relationships/hyperlink" Target="http://br.linkedin.com/pub/luciana-kamiyama/29/386/38" TargetMode="External"/><Relationship Id="rId2555" Type="http://schemas.openxmlformats.org/officeDocument/2006/relationships/hyperlink" Target="http://ar.linkedin.com/pub/pablo-pellegrini/1/A43/70A" TargetMode="External"/><Relationship Id="rId3887" Type="http://schemas.openxmlformats.org/officeDocument/2006/relationships/hyperlink" Target="http://www.linkedin.com/pub/pablo-mat%C3%ADas-aparicio/24/199/867" TargetMode="External"/><Relationship Id="rId1225" Type="http://schemas.openxmlformats.org/officeDocument/2006/relationships/hyperlink" Target="http://br.linkedin.com/pub/j-nior-rocha/29/369/572" TargetMode="External"/><Relationship Id="rId2556" Type="http://schemas.openxmlformats.org/officeDocument/2006/relationships/hyperlink" Target="http://www.linkedin.com/pub/flavia-de-miranda/0/292/34" TargetMode="External"/><Relationship Id="rId3886" Type="http://schemas.openxmlformats.org/officeDocument/2006/relationships/hyperlink" Target="http://ar.linkedin.com/in/gislavieyra" TargetMode="External"/><Relationship Id="rId1226" Type="http://schemas.openxmlformats.org/officeDocument/2006/relationships/hyperlink" Target="http://br.linkedin.com/pub/daniela-epe/29/A24/690" TargetMode="External"/><Relationship Id="rId2557" Type="http://schemas.openxmlformats.org/officeDocument/2006/relationships/hyperlink" Target="http://ar.linkedin.com/pub/marisa-viola/1/5A1/B11" TargetMode="External"/><Relationship Id="rId3889" Type="http://schemas.openxmlformats.org/officeDocument/2006/relationships/hyperlink" Target="http://www.linkedin.com/pub/alenca-petrich/30/721/658" TargetMode="External"/><Relationship Id="rId1227" Type="http://schemas.openxmlformats.org/officeDocument/2006/relationships/hyperlink" Target="http://br.linkedin.com/pub/lucas-figueiredo/2A/47/3B5" TargetMode="External"/><Relationship Id="rId2558" Type="http://schemas.openxmlformats.org/officeDocument/2006/relationships/hyperlink" Target="http://ar.linkedin.com/pub/martin-chaia/1/A64/8B4" TargetMode="External"/><Relationship Id="rId3888" Type="http://schemas.openxmlformats.org/officeDocument/2006/relationships/hyperlink" Target="http://ar.linkedin.com/pub/leandro-tocalini/17/48A/877" TargetMode="External"/><Relationship Id="rId1228" Type="http://schemas.openxmlformats.org/officeDocument/2006/relationships/hyperlink" Target="http://uk.linkedin.com/in/gojko" TargetMode="External"/><Relationship Id="rId2559" Type="http://schemas.openxmlformats.org/officeDocument/2006/relationships/hyperlink" Target="http://ar.linkedin.com/in/fritzvw" TargetMode="External"/><Relationship Id="rId1229" Type="http://schemas.openxmlformats.org/officeDocument/2006/relationships/hyperlink" Target="http://www.linkedin.com/pub/ilya-welfeld/4/374/712" TargetMode="External"/><Relationship Id="rId3881" Type="http://schemas.openxmlformats.org/officeDocument/2006/relationships/hyperlink" Target="http://uk.linkedin.com/pub/patrick-holliday/5/2B2/5B3" TargetMode="External"/><Relationship Id="rId2550" Type="http://schemas.openxmlformats.org/officeDocument/2006/relationships/hyperlink" Target="http://www.linkedin.com/pub/elena-tortorici/5/249/BB8" TargetMode="External"/><Relationship Id="rId3880" Type="http://schemas.openxmlformats.org/officeDocument/2006/relationships/hyperlink" Target="http://www.linkedin.com/in/alansavitt" TargetMode="External"/><Relationship Id="rId1220" Type="http://schemas.openxmlformats.org/officeDocument/2006/relationships/hyperlink" Target="http://ca.linkedin.com/pub/greg-paupst/2/627/A21" TargetMode="External"/><Relationship Id="rId2551" Type="http://schemas.openxmlformats.org/officeDocument/2006/relationships/hyperlink" Target="http://www.linkedin.com/pub/alejandra-daiez/1/38b/935" TargetMode="External"/><Relationship Id="rId3883" Type="http://schemas.openxmlformats.org/officeDocument/2006/relationships/hyperlink" Target="http://ar.linkedin.com/in/paulaperezwillis" TargetMode="External"/><Relationship Id="rId1221" Type="http://schemas.openxmlformats.org/officeDocument/2006/relationships/hyperlink" Target="http://www.linkedin.com/in/rajachellappa" TargetMode="External"/><Relationship Id="rId2552" Type="http://schemas.openxmlformats.org/officeDocument/2006/relationships/hyperlink" Target="http://www.linkedin.com/pub/maria-cecilia-collazo/2/608/345" TargetMode="External"/><Relationship Id="rId3882" Type="http://schemas.openxmlformats.org/officeDocument/2006/relationships/hyperlink" Target="http://uk.linkedin.com/in/jamesrobertson27" TargetMode="External"/><Relationship Id="rId1222" Type="http://schemas.openxmlformats.org/officeDocument/2006/relationships/hyperlink" Target="http://www.linkedin.com/pub/baly-ambegaoker/2/963/581" TargetMode="External"/><Relationship Id="rId2553" Type="http://schemas.openxmlformats.org/officeDocument/2006/relationships/hyperlink" Target="http://ar.linkedin.com/in/silviaandino" TargetMode="External"/><Relationship Id="rId3885" Type="http://schemas.openxmlformats.org/officeDocument/2006/relationships/hyperlink" Target="http://ar.linkedin.com/in/leonelsonzini" TargetMode="External"/><Relationship Id="rId1223" Type="http://schemas.openxmlformats.org/officeDocument/2006/relationships/hyperlink" Target="http://uk.linkedin.com/pub/vikas-grover/4/339/29A" TargetMode="External"/><Relationship Id="rId2554" Type="http://schemas.openxmlformats.org/officeDocument/2006/relationships/hyperlink" Target="http://ar.linkedin.com/pub/gabriel-arrojo/5/3B9/626" TargetMode="External"/><Relationship Id="rId3884" Type="http://schemas.openxmlformats.org/officeDocument/2006/relationships/hyperlink" Target="http://ar.linkedin.com/in/javiercanete" TargetMode="External"/><Relationship Id="rId2500" Type="http://schemas.openxmlformats.org/officeDocument/2006/relationships/hyperlink" Target="http://www.linkedin.com/pub/robin-hsueh/4/792/B56" TargetMode="External"/><Relationship Id="rId3832" Type="http://schemas.openxmlformats.org/officeDocument/2006/relationships/hyperlink" Target="http://ar.linkedin.com/pub/carlos-mart%C3%ADnez/9/484/904" TargetMode="External"/><Relationship Id="rId2501" Type="http://schemas.openxmlformats.org/officeDocument/2006/relationships/hyperlink" Target="http://www.linkedin.com/in/karelindahl" TargetMode="External"/><Relationship Id="rId3831" Type="http://schemas.openxmlformats.org/officeDocument/2006/relationships/hyperlink" Target="http://ar.linkedin.com/pub/artem-ryabko/A/7B8/17B" TargetMode="External"/><Relationship Id="rId2502" Type="http://schemas.openxmlformats.org/officeDocument/2006/relationships/hyperlink" Target="http://www.linkedin.com/in/johnvandagriff" TargetMode="External"/><Relationship Id="rId3834" Type="http://schemas.openxmlformats.org/officeDocument/2006/relationships/hyperlink" Target="http://ar.linkedin.com/pub/jesus-juarez/11/446/6A2" TargetMode="External"/><Relationship Id="rId2503" Type="http://schemas.openxmlformats.org/officeDocument/2006/relationships/hyperlink" Target="http://uk.linkedin.com/in/leecorbett" TargetMode="External"/><Relationship Id="rId3833" Type="http://schemas.openxmlformats.org/officeDocument/2006/relationships/hyperlink" Target="http://www.linkedin.com/pub/hernan-savio/6/a2/64a" TargetMode="External"/><Relationship Id="rId2504" Type="http://schemas.openxmlformats.org/officeDocument/2006/relationships/hyperlink" Target="http://uk.linkedin.com/pub/arron-berry/14/3A8/368" TargetMode="External"/><Relationship Id="rId3836" Type="http://schemas.openxmlformats.org/officeDocument/2006/relationships/hyperlink" Target="http://ar.linkedin.com/in/jpdaniello" TargetMode="External"/><Relationship Id="rId2505" Type="http://schemas.openxmlformats.org/officeDocument/2006/relationships/hyperlink" Target="http://www.linkedin.com/pub/jailton-silva/24/19A/949" TargetMode="External"/><Relationship Id="rId3835" Type="http://schemas.openxmlformats.org/officeDocument/2006/relationships/hyperlink" Target="http://ar.linkedin.com/in/sergiofabianrojas" TargetMode="External"/><Relationship Id="rId2506" Type="http://schemas.openxmlformats.org/officeDocument/2006/relationships/hyperlink" Target="http://uk.linkedin.com/in/garysimpson1" TargetMode="External"/><Relationship Id="rId3838" Type="http://schemas.openxmlformats.org/officeDocument/2006/relationships/hyperlink" Target="http://ar.linkedin.com/pub/gustavo-gabriel-meza/20/106/932" TargetMode="External"/><Relationship Id="rId2507" Type="http://schemas.openxmlformats.org/officeDocument/2006/relationships/hyperlink" Target="http://www.linkedin.com/pub/kevin-singleton/12/176/600" TargetMode="External"/><Relationship Id="rId3837" Type="http://schemas.openxmlformats.org/officeDocument/2006/relationships/hyperlink" Target="http://www.linkedin.com/pub/sebasti%C3%A1n-gagliardi/0/472/710" TargetMode="External"/><Relationship Id="rId2508" Type="http://schemas.openxmlformats.org/officeDocument/2006/relationships/hyperlink" Target="http://www.linkedin.com/in/hashimkhan4u" TargetMode="External"/><Relationship Id="rId2509" Type="http://schemas.openxmlformats.org/officeDocument/2006/relationships/hyperlink" Target="http://www.linkedin.com/pub/pablo-kraan/4/324/563" TargetMode="External"/><Relationship Id="rId3839" Type="http://schemas.openxmlformats.org/officeDocument/2006/relationships/hyperlink" Target="http://ar.linkedin.com/pub/exequiel-g%C3%B3mez/B/11/AB2" TargetMode="External"/><Relationship Id="rId3830" Type="http://schemas.openxmlformats.org/officeDocument/2006/relationships/hyperlink" Target="http://ar.linkedin.com/in/alejandrofurfaro" TargetMode="External"/><Relationship Id="rId3821" Type="http://schemas.openxmlformats.org/officeDocument/2006/relationships/hyperlink" Target="http://ar.linkedin.com/pub/ricardo-lopez-camino/3/25A/A97" TargetMode="External"/><Relationship Id="rId3820" Type="http://schemas.openxmlformats.org/officeDocument/2006/relationships/hyperlink" Target="http://ar.linkedin.com/in/maurobruni" TargetMode="External"/><Relationship Id="rId3823" Type="http://schemas.openxmlformats.org/officeDocument/2006/relationships/hyperlink" Target="http://ar.linkedin.com/in/juansaravia" TargetMode="External"/><Relationship Id="rId3822" Type="http://schemas.openxmlformats.org/officeDocument/2006/relationships/hyperlink" Target="http://www.linkedin.com/in/diegomarengopeusso" TargetMode="External"/><Relationship Id="rId3825" Type="http://schemas.openxmlformats.org/officeDocument/2006/relationships/hyperlink" Target="http://www.linkedin.com/pub/germ%C3%A1n-bett/29/318/b03" TargetMode="External"/><Relationship Id="rId3824" Type="http://schemas.openxmlformats.org/officeDocument/2006/relationships/hyperlink" Target="http://ar.linkedin.com/in/dfhirsch" TargetMode="External"/><Relationship Id="rId3827" Type="http://schemas.openxmlformats.org/officeDocument/2006/relationships/hyperlink" Target="http://ar.linkedin.com/pub/daniel-lipchak/20/65B/785" TargetMode="External"/><Relationship Id="rId3826" Type="http://schemas.openxmlformats.org/officeDocument/2006/relationships/hyperlink" Target="http://www.linkedin.com/pub/sebasti%C3%A1n-mil%C3%ADa/25/929/612" TargetMode="External"/><Relationship Id="rId3829" Type="http://schemas.openxmlformats.org/officeDocument/2006/relationships/hyperlink" Target="http://ar.linkedin.com/pub/gonzalo-de-salas/7/293/263" TargetMode="External"/><Relationship Id="rId3828" Type="http://schemas.openxmlformats.org/officeDocument/2006/relationships/hyperlink" Target="http://ar.linkedin.com/pub/ignacio-laborde/14/260/981" TargetMode="External"/><Relationship Id="rId6094" Type="http://schemas.openxmlformats.org/officeDocument/2006/relationships/hyperlink" Target="http://www.linkedin.com/pub/todd-krautkremer/0/4A6/40A" TargetMode="External"/><Relationship Id="rId6095" Type="http://schemas.openxmlformats.org/officeDocument/2006/relationships/hyperlink" Target="http://www.linkedin.com/in/marcoscantarelli" TargetMode="External"/><Relationship Id="rId6092" Type="http://schemas.openxmlformats.org/officeDocument/2006/relationships/hyperlink" Target="http://www.linkedin.com/pub/stuart-eaton/0/5A7/531" TargetMode="External"/><Relationship Id="rId6093" Type="http://schemas.openxmlformats.org/officeDocument/2006/relationships/hyperlink" Target="http://www.linkedin.com/in/elizelkha" TargetMode="External"/><Relationship Id="rId6098" Type="http://schemas.openxmlformats.org/officeDocument/2006/relationships/hyperlink" Target="http://www.linkedin.com/pub/ernesto-cristian-marzik/22/a37/563" TargetMode="External"/><Relationship Id="rId6099" Type="http://schemas.openxmlformats.org/officeDocument/2006/relationships/hyperlink" Target="http://ar.linkedin.com/pub/laura-palmer/A/429/988" TargetMode="External"/><Relationship Id="rId6096" Type="http://schemas.openxmlformats.org/officeDocument/2006/relationships/hyperlink" Target="http://www.linkedin.com/in/rmora" TargetMode="External"/><Relationship Id="rId6097" Type="http://schemas.openxmlformats.org/officeDocument/2006/relationships/hyperlink" Target="http://www.linkedin.com/pub/alejandro-rabboni/4/3b8/164" TargetMode="External"/><Relationship Id="rId2522" Type="http://schemas.openxmlformats.org/officeDocument/2006/relationships/hyperlink" Target="http://ar.linkedin.com/pub/marcelo-carbone/B/444/240" TargetMode="External"/><Relationship Id="rId3854" Type="http://schemas.openxmlformats.org/officeDocument/2006/relationships/hyperlink" Target="http://www.linkedin.com/pub/juan-jose-dali-yv%C3%A1n/25/b60/189" TargetMode="External"/><Relationship Id="rId2523" Type="http://schemas.openxmlformats.org/officeDocument/2006/relationships/hyperlink" Target="http://ar.linkedin.com/in/borjalopezluis" TargetMode="External"/><Relationship Id="rId3853" Type="http://schemas.openxmlformats.org/officeDocument/2006/relationships/hyperlink" Target="http://ar.linkedin.com/pub/leonardo-suglia/19/687/2A" TargetMode="External"/><Relationship Id="rId2524" Type="http://schemas.openxmlformats.org/officeDocument/2006/relationships/hyperlink" Target="http://www.linkedin.com/pub/maria-florencia-sardi/3/395/65a" TargetMode="External"/><Relationship Id="rId3856" Type="http://schemas.openxmlformats.org/officeDocument/2006/relationships/hyperlink" Target="http://www.linkedin.com/pub/neil-veliz/10/138/37A" TargetMode="External"/><Relationship Id="rId2525" Type="http://schemas.openxmlformats.org/officeDocument/2006/relationships/hyperlink" Target="http://www.linkedin.com/in/revazquez" TargetMode="External"/><Relationship Id="rId3855" Type="http://schemas.openxmlformats.org/officeDocument/2006/relationships/hyperlink" Target="http://ar.linkedin.com/pub/german-pastrana/23/609/AA2" TargetMode="External"/><Relationship Id="rId2526" Type="http://schemas.openxmlformats.org/officeDocument/2006/relationships/hyperlink" Target="http://ar.linkedin.com/in/gschulman" TargetMode="External"/><Relationship Id="rId3858" Type="http://schemas.openxmlformats.org/officeDocument/2006/relationships/hyperlink" Target="http://www.linkedin.com/pub/federico-andr%C3%A9s-marenzi/b/11/296" TargetMode="External"/><Relationship Id="rId2527" Type="http://schemas.openxmlformats.org/officeDocument/2006/relationships/hyperlink" Target="http://ar.linkedin.com/pub/eduardo-palliotto/0/258/A7" TargetMode="External"/><Relationship Id="rId3857" Type="http://schemas.openxmlformats.org/officeDocument/2006/relationships/hyperlink" Target="http://ar.linkedin.com/in/gonzaloaguilar" TargetMode="External"/><Relationship Id="rId2528" Type="http://schemas.openxmlformats.org/officeDocument/2006/relationships/hyperlink" Target="http://ar.linkedin.com/in/laurarado" TargetMode="External"/><Relationship Id="rId2529" Type="http://schemas.openxmlformats.org/officeDocument/2006/relationships/hyperlink" Target="http://ar.linkedin.com/in/pabloscalesciani" TargetMode="External"/><Relationship Id="rId3859" Type="http://schemas.openxmlformats.org/officeDocument/2006/relationships/hyperlink" Target="http://www.linkedin.com/pub/ricardo-sim%C3%B3n-padr%C3%B3s/5/281/346" TargetMode="External"/><Relationship Id="rId3850" Type="http://schemas.openxmlformats.org/officeDocument/2006/relationships/hyperlink" Target="http://ar.linkedin.com/pub/julieta-weiss/6/78B/4B1" TargetMode="External"/><Relationship Id="rId2520" Type="http://schemas.openxmlformats.org/officeDocument/2006/relationships/hyperlink" Target="http://ar.linkedin.com/in/cmayle" TargetMode="External"/><Relationship Id="rId3852" Type="http://schemas.openxmlformats.org/officeDocument/2006/relationships/hyperlink" Target="http://ar.linkedin.com/in/jumadavila" TargetMode="External"/><Relationship Id="rId2521" Type="http://schemas.openxmlformats.org/officeDocument/2006/relationships/hyperlink" Target="http://ar.linkedin.com/pub/maria-eugenia-aldinio/3/94/42B" TargetMode="External"/><Relationship Id="rId3851" Type="http://schemas.openxmlformats.org/officeDocument/2006/relationships/hyperlink" Target="http://ar.linkedin.com/in/nadiaquiroga" TargetMode="External"/><Relationship Id="rId2511" Type="http://schemas.openxmlformats.org/officeDocument/2006/relationships/hyperlink" Target="http://ar.linkedin.com/pub/maximiliano-marasso/3/A78/6B9" TargetMode="External"/><Relationship Id="rId3843" Type="http://schemas.openxmlformats.org/officeDocument/2006/relationships/hyperlink" Target="http://ar.linkedin.com/in/jonkoma" TargetMode="External"/><Relationship Id="rId2512" Type="http://schemas.openxmlformats.org/officeDocument/2006/relationships/hyperlink" Target="http://ar.linkedin.com/pub/mart-n-herrero/5/BA0/A7A" TargetMode="External"/><Relationship Id="rId3842" Type="http://schemas.openxmlformats.org/officeDocument/2006/relationships/hyperlink" Target="http://www.linkedin.com/pub/ernesto-bergonzelli/2/54/a16" TargetMode="External"/><Relationship Id="rId2513" Type="http://schemas.openxmlformats.org/officeDocument/2006/relationships/hyperlink" Target="http://ar.linkedin.com/pub/german-villar/B/187/B09" TargetMode="External"/><Relationship Id="rId3845" Type="http://schemas.openxmlformats.org/officeDocument/2006/relationships/hyperlink" Target="http://ar.linkedin.com/pub/maria-ines-orlando/B/431/70" TargetMode="External"/><Relationship Id="rId2514" Type="http://schemas.openxmlformats.org/officeDocument/2006/relationships/hyperlink" Target="http://www.linkedin.com/in/mcastrofeijoo" TargetMode="External"/><Relationship Id="rId3844" Type="http://schemas.openxmlformats.org/officeDocument/2006/relationships/hyperlink" Target="http://ar.linkedin.com/pub/hernando-castiglioni/A/565/1BB" TargetMode="External"/><Relationship Id="rId2515" Type="http://schemas.openxmlformats.org/officeDocument/2006/relationships/hyperlink" Target="http://ar.linkedin.com/pub/alberto-sirvent/4/9A7/B37" TargetMode="External"/><Relationship Id="rId3847" Type="http://schemas.openxmlformats.org/officeDocument/2006/relationships/hyperlink" Target="http://ar.linkedin.com/in/gonzalorodriguezboido" TargetMode="External"/><Relationship Id="rId2516" Type="http://schemas.openxmlformats.org/officeDocument/2006/relationships/hyperlink" Target="http://ar.linkedin.com/in/diegoo" TargetMode="External"/><Relationship Id="rId3846" Type="http://schemas.openxmlformats.org/officeDocument/2006/relationships/hyperlink" Target="http://ar.linkedin.com/pub/sergio-avila/15/B7B/82A" TargetMode="External"/><Relationship Id="rId2517" Type="http://schemas.openxmlformats.org/officeDocument/2006/relationships/hyperlink" Target="http://ar.linkedin.com/in/achtig" TargetMode="External"/><Relationship Id="rId3849" Type="http://schemas.openxmlformats.org/officeDocument/2006/relationships/hyperlink" Target="http://ar.linkedin.com/in/sebastiancuri" TargetMode="External"/><Relationship Id="rId2518" Type="http://schemas.openxmlformats.org/officeDocument/2006/relationships/hyperlink" Target="http://ar.linkedin.com/pub/nicolas-capati/B/27B/277" TargetMode="External"/><Relationship Id="rId3848" Type="http://schemas.openxmlformats.org/officeDocument/2006/relationships/hyperlink" Target="http://ar.linkedin.com/in/estebansavignone" TargetMode="External"/><Relationship Id="rId2519" Type="http://schemas.openxmlformats.org/officeDocument/2006/relationships/hyperlink" Target="http://ar.linkedin.com/pub/carlos-lobalzo/7/627/3AB" TargetMode="External"/><Relationship Id="rId3841" Type="http://schemas.openxmlformats.org/officeDocument/2006/relationships/hyperlink" Target="http://ar.linkedin.com/in/gustavopeuriot" TargetMode="External"/><Relationship Id="rId2510" Type="http://schemas.openxmlformats.org/officeDocument/2006/relationships/hyperlink" Target="http://www.linkedin.com/pub/juan-umaran/0/b6b/b60" TargetMode="External"/><Relationship Id="rId3840" Type="http://schemas.openxmlformats.org/officeDocument/2006/relationships/hyperlink" Target="http://www.linkedin.com/pub/eduardo-nicolas-morales/17/351/514" TargetMode="External"/><Relationship Id="rId1290" Type="http://schemas.openxmlformats.org/officeDocument/2006/relationships/hyperlink" Target="http://www.linkedin.com/pub/ravi-mekala/2/60A/136" TargetMode="External"/><Relationship Id="rId1291" Type="http://schemas.openxmlformats.org/officeDocument/2006/relationships/hyperlink" Target="http://www.linkedin.com/pub/richard-mann/2/11A/341" TargetMode="External"/><Relationship Id="rId1292" Type="http://schemas.openxmlformats.org/officeDocument/2006/relationships/hyperlink" Target="http://br.linkedin.com/in/candreva" TargetMode="External"/><Relationship Id="rId1293" Type="http://schemas.openxmlformats.org/officeDocument/2006/relationships/hyperlink" Target="http://www.linkedin.com/in/antobud" TargetMode="External"/><Relationship Id="rId1294" Type="http://schemas.openxmlformats.org/officeDocument/2006/relationships/hyperlink" Target="http://pt.linkedin.com/in/vdomingos" TargetMode="External"/><Relationship Id="rId1295" Type="http://schemas.openxmlformats.org/officeDocument/2006/relationships/hyperlink" Target="http://www.linkedin.com/in/rogerwthomas" TargetMode="External"/><Relationship Id="rId1296" Type="http://schemas.openxmlformats.org/officeDocument/2006/relationships/hyperlink" Target="http://www.linkedin.com/in/globalebsjasonwu" TargetMode="External"/><Relationship Id="rId1297" Type="http://schemas.openxmlformats.org/officeDocument/2006/relationships/hyperlink" Target="http://www.linkedin.com/in/lorilovens" TargetMode="External"/><Relationship Id="rId1298" Type="http://schemas.openxmlformats.org/officeDocument/2006/relationships/hyperlink" Target="http://ca.linkedin.com/in/peterfalconeri" TargetMode="External"/><Relationship Id="rId1299" Type="http://schemas.openxmlformats.org/officeDocument/2006/relationships/hyperlink" Target="http://www.linkedin.com/in/matteococciardo" TargetMode="External"/><Relationship Id="rId1280" Type="http://schemas.openxmlformats.org/officeDocument/2006/relationships/hyperlink" Target="http://www.linkedin.com/in/lauragutnick" TargetMode="External"/><Relationship Id="rId1281" Type="http://schemas.openxmlformats.org/officeDocument/2006/relationships/hyperlink" Target="http://www.linkedin.com/in/paulwakefield" TargetMode="External"/><Relationship Id="rId1282" Type="http://schemas.openxmlformats.org/officeDocument/2006/relationships/hyperlink" Target="http://www.linkedin.com/pub/kathy-laquadra/4/8B9/574" TargetMode="External"/><Relationship Id="rId1283" Type="http://schemas.openxmlformats.org/officeDocument/2006/relationships/hyperlink" Target="http://www.linkedin.com/in/lazworld" TargetMode="External"/><Relationship Id="rId1284" Type="http://schemas.openxmlformats.org/officeDocument/2006/relationships/hyperlink" Target="http://www.linkedin.com/in/fabianlapresa" TargetMode="External"/><Relationship Id="rId1285" Type="http://schemas.openxmlformats.org/officeDocument/2006/relationships/hyperlink" Target="http://www.linkedin.com/pub/cindy-monroe/4/8B8/7A0" TargetMode="External"/><Relationship Id="rId1286" Type="http://schemas.openxmlformats.org/officeDocument/2006/relationships/hyperlink" Target="http://br.linkedin.com/pub/ana-cavalcanti/6/41B/B3" TargetMode="External"/><Relationship Id="rId1287" Type="http://schemas.openxmlformats.org/officeDocument/2006/relationships/hyperlink" Target="http://www.linkedin.com/in/gerardcunningham" TargetMode="External"/><Relationship Id="rId1288" Type="http://schemas.openxmlformats.org/officeDocument/2006/relationships/hyperlink" Target="http://www.linkedin.com/in/michaelang1" TargetMode="External"/><Relationship Id="rId1289" Type="http://schemas.openxmlformats.org/officeDocument/2006/relationships/hyperlink" Target="http://www.linkedin.com/in/kevinkappler" TargetMode="External"/><Relationship Id="rId8707" Type="http://schemas.openxmlformats.org/officeDocument/2006/relationships/hyperlink" Target="http://www.linkedin.com/in/timhoward" TargetMode="External"/><Relationship Id="rId8706" Type="http://schemas.openxmlformats.org/officeDocument/2006/relationships/hyperlink" Target="http://www.linkedin.com/in/timhuckaby" TargetMode="External"/><Relationship Id="rId8705" Type="http://schemas.openxmlformats.org/officeDocument/2006/relationships/hyperlink" Target="http://www.linkedin.com/in/dweekly" TargetMode="External"/><Relationship Id="rId8704" Type="http://schemas.openxmlformats.org/officeDocument/2006/relationships/hyperlink" Target="http://www.linkedin.com/in/colleenfarrell" TargetMode="External"/><Relationship Id="rId8709" Type="http://schemas.openxmlformats.org/officeDocument/2006/relationships/hyperlink" Target="http://www.linkedin.com/in/coreyhaines" TargetMode="External"/><Relationship Id="rId8708" Type="http://schemas.openxmlformats.org/officeDocument/2006/relationships/hyperlink" Target="http://www.linkedin.com/in/acdaitan" TargetMode="External"/><Relationship Id="rId8703" Type="http://schemas.openxmlformats.org/officeDocument/2006/relationships/hyperlink" Target="http://www.linkedin.com/pub/greg-fallon/0/897/730" TargetMode="External"/><Relationship Id="rId8702" Type="http://schemas.openxmlformats.org/officeDocument/2006/relationships/hyperlink" Target="http://www.linkedin.com/in/darrinalexbrandt" TargetMode="External"/><Relationship Id="rId8701" Type="http://schemas.openxmlformats.org/officeDocument/2006/relationships/hyperlink" Target="http://www.linkedin.com/pub/amnon-aliphas/0/10B/8B3" TargetMode="External"/><Relationship Id="rId8700" Type="http://schemas.openxmlformats.org/officeDocument/2006/relationships/hyperlink" Target="http://www.linkedin.com/in/gailconn" TargetMode="External"/><Relationship Id="rId1257" Type="http://schemas.openxmlformats.org/officeDocument/2006/relationships/hyperlink" Target="http://www.linkedin.com/pub/daniel-sarro/6/688/AA8" TargetMode="External"/><Relationship Id="rId2588" Type="http://schemas.openxmlformats.org/officeDocument/2006/relationships/hyperlink" Target="http://ar.linkedin.com/in/ndelfrate" TargetMode="External"/><Relationship Id="rId1258" Type="http://schemas.openxmlformats.org/officeDocument/2006/relationships/hyperlink" Target="http://www.linkedin.com/in/kendrall" TargetMode="External"/><Relationship Id="rId2589" Type="http://schemas.openxmlformats.org/officeDocument/2006/relationships/hyperlink" Target="http://ar.linkedin.com/pub/eduardo-calvert-de-bohun/1/663/164" TargetMode="External"/><Relationship Id="rId1259" Type="http://schemas.openxmlformats.org/officeDocument/2006/relationships/hyperlink" Target="http://www.linkedin.com/in/traviskatz" TargetMode="External"/><Relationship Id="rId2580" Type="http://schemas.openxmlformats.org/officeDocument/2006/relationships/hyperlink" Target="http://www.linkedin.com/pub/gast%C3%B3n-cozzo/2/614/23b" TargetMode="External"/><Relationship Id="rId1250" Type="http://schemas.openxmlformats.org/officeDocument/2006/relationships/hyperlink" Target="http://www.linkedin.com/in/dougperlson" TargetMode="External"/><Relationship Id="rId2581" Type="http://schemas.openxmlformats.org/officeDocument/2006/relationships/hyperlink" Target="http://ar.linkedin.com/in/pherrera" TargetMode="External"/><Relationship Id="rId1251" Type="http://schemas.openxmlformats.org/officeDocument/2006/relationships/hyperlink" Target="http://www.linkedin.com/pub/chad-laws/0/22/115" TargetMode="External"/><Relationship Id="rId2582" Type="http://schemas.openxmlformats.org/officeDocument/2006/relationships/hyperlink" Target="http://www.linkedin.com/pub/eric-mariano-folch/7/746/674" TargetMode="External"/><Relationship Id="rId1252" Type="http://schemas.openxmlformats.org/officeDocument/2006/relationships/hyperlink" Target="http://www.linkedin.com/pub/kia-behnia/0/17A/8B9" TargetMode="External"/><Relationship Id="rId2583" Type="http://schemas.openxmlformats.org/officeDocument/2006/relationships/hyperlink" Target="http://ar.linkedin.com/in/raulkhalil" TargetMode="External"/><Relationship Id="rId1253" Type="http://schemas.openxmlformats.org/officeDocument/2006/relationships/hyperlink" Target="http://www.linkedin.com/pub/naren-nachiappan/0/387/36" TargetMode="External"/><Relationship Id="rId2584" Type="http://schemas.openxmlformats.org/officeDocument/2006/relationships/hyperlink" Target="http://ar.linkedin.com/pub/victor-nahum/5/196/B7" TargetMode="External"/><Relationship Id="rId1254" Type="http://schemas.openxmlformats.org/officeDocument/2006/relationships/hyperlink" Target="http://www.linkedin.com/pub/prashant-bahadur/0/592/986" TargetMode="External"/><Relationship Id="rId2585" Type="http://schemas.openxmlformats.org/officeDocument/2006/relationships/hyperlink" Target="http://www.linkedin.com/pub/mar%C3%ADa-agustina-campana/19/42b/916" TargetMode="External"/><Relationship Id="rId1255" Type="http://schemas.openxmlformats.org/officeDocument/2006/relationships/hyperlink" Target="http://www.linkedin.com/in/samanthawfoster" TargetMode="External"/><Relationship Id="rId2586" Type="http://schemas.openxmlformats.org/officeDocument/2006/relationships/hyperlink" Target="http://ar.linkedin.com/pub/mariano-barutta/0/17/6B8" TargetMode="External"/><Relationship Id="rId1256" Type="http://schemas.openxmlformats.org/officeDocument/2006/relationships/hyperlink" Target="http://www.linkedin.com/in/lprevost" TargetMode="External"/><Relationship Id="rId2587" Type="http://schemas.openxmlformats.org/officeDocument/2006/relationships/hyperlink" Target="http://ar.linkedin.com/in/tgayoso" TargetMode="External"/><Relationship Id="rId1246" Type="http://schemas.openxmlformats.org/officeDocument/2006/relationships/hyperlink" Target="http://www.linkedin.com/pub/peter-flachsmann/1/594/A58" TargetMode="External"/><Relationship Id="rId2577" Type="http://schemas.openxmlformats.org/officeDocument/2006/relationships/hyperlink" Target="http://ar.linkedin.com/pub/ariel-giussani/1/442/A1A" TargetMode="External"/><Relationship Id="rId1247" Type="http://schemas.openxmlformats.org/officeDocument/2006/relationships/hyperlink" Target="http://www.linkedin.com/in/jackwagner54/" TargetMode="External"/><Relationship Id="rId2578" Type="http://schemas.openxmlformats.org/officeDocument/2006/relationships/hyperlink" Target="http://ar.linkedin.com/in/diegoiusef" TargetMode="External"/><Relationship Id="rId1248" Type="http://schemas.openxmlformats.org/officeDocument/2006/relationships/hyperlink" Target="http://www.linkedin.com/in/sthersh" TargetMode="External"/><Relationship Id="rId2579" Type="http://schemas.openxmlformats.org/officeDocument/2006/relationships/hyperlink" Target="http://www.linkedin.com/pub/pedro-maddalena/4/15a/373" TargetMode="External"/><Relationship Id="rId1249" Type="http://schemas.openxmlformats.org/officeDocument/2006/relationships/hyperlink" Target="http://www.linkedin.com/pub/laura-mcguire/0/29/809" TargetMode="External"/><Relationship Id="rId2570" Type="http://schemas.openxmlformats.org/officeDocument/2006/relationships/hyperlink" Target="http://ar.linkedin.com/pub/gustavo-jim-nez/1A/305/11A" TargetMode="External"/><Relationship Id="rId1240" Type="http://schemas.openxmlformats.org/officeDocument/2006/relationships/hyperlink" Target="http://www.linkedin.com/pub/jan-smyth/2/522/453" TargetMode="External"/><Relationship Id="rId2571" Type="http://schemas.openxmlformats.org/officeDocument/2006/relationships/hyperlink" Target="http://ar.linkedin.com/pub/gustavo-ventre/3/34A/368" TargetMode="External"/><Relationship Id="rId1241" Type="http://schemas.openxmlformats.org/officeDocument/2006/relationships/hyperlink" Target="http://www.linkedin.com/in/sirajd" TargetMode="External"/><Relationship Id="rId2572" Type="http://schemas.openxmlformats.org/officeDocument/2006/relationships/hyperlink" Target="http://ar.linkedin.com/in/sabrinanr" TargetMode="External"/><Relationship Id="rId1242" Type="http://schemas.openxmlformats.org/officeDocument/2006/relationships/hyperlink" Target="http://in.linkedin.com/in/omgiri" TargetMode="External"/><Relationship Id="rId2573" Type="http://schemas.openxmlformats.org/officeDocument/2006/relationships/hyperlink" Target="http://ar.linkedin.com/in/jcgonzalez" TargetMode="External"/><Relationship Id="rId1243" Type="http://schemas.openxmlformats.org/officeDocument/2006/relationships/hyperlink" Target="http://www.linkedin.com/in/michaeljhogan1" TargetMode="External"/><Relationship Id="rId2574" Type="http://schemas.openxmlformats.org/officeDocument/2006/relationships/hyperlink" Target="http://ar.linkedin.com/in/jvannini" TargetMode="External"/><Relationship Id="rId1244" Type="http://schemas.openxmlformats.org/officeDocument/2006/relationships/hyperlink" Target="http://www.linkedin.com/pub/dan-duffy/3/548/285" TargetMode="External"/><Relationship Id="rId2575" Type="http://schemas.openxmlformats.org/officeDocument/2006/relationships/hyperlink" Target="http://www.linkedin.com/pub/jorge-boria-jboria-liveware-com/0/52/B70" TargetMode="External"/><Relationship Id="rId1245" Type="http://schemas.openxmlformats.org/officeDocument/2006/relationships/hyperlink" Target="http://www.linkedin.com/in/cliffgregory" TargetMode="External"/><Relationship Id="rId2576" Type="http://schemas.openxmlformats.org/officeDocument/2006/relationships/hyperlink" Target="http://ar.linkedin.com/in/aleschiappa" TargetMode="External"/><Relationship Id="rId1279" Type="http://schemas.openxmlformats.org/officeDocument/2006/relationships/hyperlink" Target="http://www.linkedin.com/in/workbox" TargetMode="External"/><Relationship Id="rId1270" Type="http://schemas.openxmlformats.org/officeDocument/2006/relationships/hyperlink" Target="http://www.linkedin.com/pub/hyder-bilgrami/2/30/206" TargetMode="External"/><Relationship Id="rId1271" Type="http://schemas.openxmlformats.org/officeDocument/2006/relationships/hyperlink" Target="http://www.linkedin.com/in/pjlentr" TargetMode="External"/><Relationship Id="rId1272" Type="http://schemas.openxmlformats.org/officeDocument/2006/relationships/hyperlink" Target="http://www.linkedin.com/pub/patricia-conway/4/602/6" TargetMode="External"/><Relationship Id="rId1273" Type="http://schemas.openxmlformats.org/officeDocument/2006/relationships/hyperlink" Target="http://www.linkedin.com/pub/brandt-giffin/3/5B2/A07" TargetMode="External"/><Relationship Id="rId1274" Type="http://schemas.openxmlformats.org/officeDocument/2006/relationships/hyperlink" Target="http://www.linkedin.com/in/stephenbakergames" TargetMode="External"/><Relationship Id="rId1275" Type="http://schemas.openxmlformats.org/officeDocument/2006/relationships/hyperlink" Target="http://www.linkedin.com/in/jayasimhaananth" TargetMode="External"/><Relationship Id="rId1276" Type="http://schemas.openxmlformats.org/officeDocument/2006/relationships/hyperlink" Target="http://ph.linkedin.com/in/toddowens" TargetMode="External"/><Relationship Id="rId1277" Type="http://schemas.openxmlformats.org/officeDocument/2006/relationships/hyperlink" Target="http://www.linkedin.com/pub/simon-lukyanchyk-cim/4/766/611" TargetMode="External"/><Relationship Id="rId1278" Type="http://schemas.openxmlformats.org/officeDocument/2006/relationships/hyperlink" Target="http://www.linkedin.com/in/nadiagruzd" TargetMode="External"/><Relationship Id="rId1268" Type="http://schemas.openxmlformats.org/officeDocument/2006/relationships/hyperlink" Target="https://www.linkedin.com/in/medicaldeviceexecrecruiter" TargetMode="External"/><Relationship Id="rId2599" Type="http://schemas.openxmlformats.org/officeDocument/2006/relationships/hyperlink" Target="http://ar.linkedin.com/pub/adriana-alonso/12/A38/547" TargetMode="External"/><Relationship Id="rId1269" Type="http://schemas.openxmlformats.org/officeDocument/2006/relationships/hyperlink" Target="http://www.linkedin.com/pub/robert-levitan/0/61/33B" TargetMode="External"/><Relationship Id="rId10006" Type="http://schemas.openxmlformats.org/officeDocument/2006/relationships/hyperlink" Target="http://www.linkedin.com/in/peterkent" TargetMode="External"/><Relationship Id="rId10007" Type="http://schemas.openxmlformats.org/officeDocument/2006/relationships/hyperlink" Target="http://www.linkedin.com/in/steuds" TargetMode="External"/><Relationship Id="rId10004" Type="http://schemas.openxmlformats.org/officeDocument/2006/relationships/hyperlink" Target="http://www.linkedin.com/pub/john-rupert-davis/0/15/A65" TargetMode="External"/><Relationship Id="rId10005" Type="http://schemas.openxmlformats.org/officeDocument/2006/relationships/hyperlink" Target="http://www.linkedin.com/in/scottrfrancis" TargetMode="External"/><Relationship Id="rId10008" Type="http://schemas.openxmlformats.org/officeDocument/2006/relationships/hyperlink" Target="http://www.linkedin.com/in/viega" TargetMode="External"/><Relationship Id="rId2590" Type="http://schemas.openxmlformats.org/officeDocument/2006/relationships/hyperlink" Target="http://ar.linkedin.com/pub/guillermo-katilius/20/648/414" TargetMode="External"/><Relationship Id="rId10009" Type="http://schemas.openxmlformats.org/officeDocument/2006/relationships/drawing" Target="../drawings/drawing1.xml"/><Relationship Id="rId1260" Type="http://schemas.openxmlformats.org/officeDocument/2006/relationships/hyperlink" Target="http://www.linkedin.com/in/wendyshtan" TargetMode="External"/><Relationship Id="rId2591" Type="http://schemas.openxmlformats.org/officeDocument/2006/relationships/hyperlink" Target="http://www.linkedin.com/pub/dra-mariana-de-luca/18/a18/82b" TargetMode="External"/><Relationship Id="rId1261" Type="http://schemas.openxmlformats.org/officeDocument/2006/relationships/hyperlink" Target="http://www.linkedin.com/pub/lee-goldberg/0/166/B23" TargetMode="External"/><Relationship Id="rId2592" Type="http://schemas.openxmlformats.org/officeDocument/2006/relationships/hyperlink" Target="http://www.linkedin.com/pub/luis-walczak/7/893/9b" TargetMode="External"/><Relationship Id="rId1262" Type="http://schemas.openxmlformats.org/officeDocument/2006/relationships/hyperlink" Target="http://www.linkedin.com/in/walkerwhite" TargetMode="External"/><Relationship Id="rId2593" Type="http://schemas.openxmlformats.org/officeDocument/2006/relationships/hyperlink" Target="http://ar.linkedin.com/in/leonardosanabria" TargetMode="External"/><Relationship Id="rId1263" Type="http://schemas.openxmlformats.org/officeDocument/2006/relationships/hyperlink" Target="http://www.linkedin.com/in/bdupsky" TargetMode="External"/><Relationship Id="rId2594" Type="http://schemas.openxmlformats.org/officeDocument/2006/relationships/hyperlink" Target="http://ar.linkedin.com/pub/cecilia-perez-sibille/B/B27/718" TargetMode="External"/><Relationship Id="rId1264" Type="http://schemas.openxmlformats.org/officeDocument/2006/relationships/hyperlink" Target="http://fr.linkedin.com/in/jeanlucamagat" TargetMode="External"/><Relationship Id="rId2595" Type="http://schemas.openxmlformats.org/officeDocument/2006/relationships/hyperlink" Target="http://ar.linkedin.com/pub/monica-sznaidman/28/A43/49A" TargetMode="External"/><Relationship Id="rId10002" Type="http://schemas.openxmlformats.org/officeDocument/2006/relationships/hyperlink" Target="http://www.linkedin.com/in/wertheimer" TargetMode="External"/><Relationship Id="rId1265" Type="http://schemas.openxmlformats.org/officeDocument/2006/relationships/hyperlink" Target="http://nl.linkedin.com/in/docsys" TargetMode="External"/><Relationship Id="rId2596" Type="http://schemas.openxmlformats.org/officeDocument/2006/relationships/hyperlink" Target="http://ar.linkedin.com/in/miguelwest" TargetMode="External"/><Relationship Id="rId10003" Type="http://schemas.openxmlformats.org/officeDocument/2006/relationships/hyperlink" Target="http://www.linkedin.com/in/mikefeinstein" TargetMode="External"/><Relationship Id="rId1266" Type="http://schemas.openxmlformats.org/officeDocument/2006/relationships/hyperlink" Target="http://www.linkedin.com/pub/yogesh-patel/1/529/232" TargetMode="External"/><Relationship Id="rId2597" Type="http://schemas.openxmlformats.org/officeDocument/2006/relationships/hyperlink" Target="http://ar.linkedin.com/in/slemos" TargetMode="External"/><Relationship Id="rId10000" Type="http://schemas.openxmlformats.org/officeDocument/2006/relationships/hyperlink" Target="http://www.linkedin.com/in/jeneane" TargetMode="External"/><Relationship Id="rId1267" Type="http://schemas.openxmlformats.org/officeDocument/2006/relationships/hyperlink" Target="http://it.linkedin.com/in/pierangelorossi" TargetMode="External"/><Relationship Id="rId2598" Type="http://schemas.openxmlformats.org/officeDocument/2006/relationships/hyperlink" Target="http://www.linkedin.com/pub/gabriela-martinez-8-000/8/87a/587" TargetMode="External"/><Relationship Id="rId10001" Type="http://schemas.openxmlformats.org/officeDocument/2006/relationships/hyperlink" Target="http://www.linkedin.com/pub/michael-schwab/0/4/631" TargetMode="External"/><Relationship Id="rId3070" Type="http://schemas.openxmlformats.org/officeDocument/2006/relationships/hyperlink" Target="http://ar.linkedin.com/in/hernanforni" TargetMode="External"/><Relationship Id="rId3072" Type="http://schemas.openxmlformats.org/officeDocument/2006/relationships/hyperlink" Target="http://ar.linkedin.com/in/mtavelli" TargetMode="External"/><Relationship Id="rId3071" Type="http://schemas.openxmlformats.org/officeDocument/2006/relationships/hyperlink" Target="http://ar.linkedin.com/pub/evangelina-dedovich/0/BA4/822" TargetMode="External"/><Relationship Id="rId3074" Type="http://schemas.openxmlformats.org/officeDocument/2006/relationships/hyperlink" Target="http://ar.linkedin.com/in/germanisern" TargetMode="External"/><Relationship Id="rId3073" Type="http://schemas.openxmlformats.org/officeDocument/2006/relationships/hyperlink" Target="http://ar.linkedin.com/in/kolodzinski" TargetMode="External"/><Relationship Id="rId3076" Type="http://schemas.openxmlformats.org/officeDocument/2006/relationships/hyperlink" Target="http://www.linkedin.com/pub/juan-eduardo-sellar%C3%A9s/30/7bb/621" TargetMode="External"/><Relationship Id="rId3075" Type="http://schemas.openxmlformats.org/officeDocument/2006/relationships/hyperlink" Target="http://ar.linkedin.com/pub/daniela-cerutti/21/344/63" TargetMode="External"/><Relationship Id="rId3078" Type="http://schemas.openxmlformats.org/officeDocument/2006/relationships/hyperlink" Target="http://www.linkedin.com/pub/tom%C3%A1s-nahuel-gigante/25/755/252" TargetMode="External"/><Relationship Id="rId3077" Type="http://schemas.openxmlformats.org/officeDocument/2006/relationships/hyperlink" Target="http://ar.linkedin.com/pub/pablo-greco/14/2A8/76A" TargetMode="External"/><Relationship Id="rId3079" Type="http://schemas.openxmlformats.org/officeDocument/2006/relationships/hyperlink" Target="http://ar.linkedin.com/in/sebastianaxelirud" TargetMode="External"/><Relationship Id="rId4390" Type="http://schemas.openxmlformats.org/officeDocument/2006/relationships/hyperlink" Target="http://www.linkedin.com/pub/gretel-weber/24/62a/84b" TargetMode="External"/><Relationship Id="rId3061" Type="http://schemas.openxmlformats.org/officeDocument/2006/relationships/hyperlink" Target="http://www.linkedin.com/pub/paula-c%C3%A1nepa/6/96b/3ab" TargetMode="External"/><Relationship Id="rId4392" Type="http://schemas.openxmlformats.org/officeDocument/2006/relationships/hyperlink" Target="http://ar.linkedin.com/in/gabrielcatalano" TargetMode="External"/><Relationship Id="rId3060" Type="http://schemas.openxmlformats.org/officeDocument/2006/relationships/hyperlink" Target="http://ar.linkedin.com/in/patriciowatson" TargetMode="External"/><Relationship Id="rId4391" Type="http://schemas.openxmlformats.org/officeDocument/2006/relationships/hyperlink" Target="http://www.linkedin.com/pub/mariana-castro/0/273/4B1" TargetMode="External"/><Relationship Id="rId3063" Type="http://schemas.openxmlformats.org/officeDocument/2006/relationships/hyperlink" Target="http://www.linkedin.com/pub/marisa-alejandra-coria/1b/13b/895" TargetMode="External"/><Relationship Id="rId4394" Type="http://schemas.openxmlformats.org/officeDocument/2006/relationships/hyperlink" Target="http://www.linkedin.com/pub/silvina-danza/3/629/3b6" TargetMode="External"/><Relationship Id="rId3062" Type="http://schemas.openxmlformats.org/officeDocument/2006/relationships/hyperlink" Target="http://ar.linkedin.com/in/ceciliarojo" TargetMode="External"/><Relationship Id="rId4393" Type="http://schemas.openxmlformats.org/officeDocument/2006/relationships/hyperlink" Target="http://ar.linkedin.com/pub/carolina-ranieri/B/B97/628" TargetMode="External"/><Relationship Id="rId3065" Type="http://schemas.openxmlformats.org/officeDocument/2006/relationships/hyperlink" Target="http://www.linkedin.com/pub/gustavo-sorotski/0/b4a/758" TargetMode="External"/><Relationship Id="rId4396" Type="http://schemas.openxmlformats.org/officeDocument/2006/relationships/hyperlink" Target="http://ar.linkedin.com/pub/jennifer-jones/27/3BB/A32" TargetMode="External"/><Relationship Id="rId3064" Type="http://schemas.openxmlformats.org/officeDocument/2006/relationships/hyperlink" Target="http://ar.linkedin.com/pub/mike-bachmann/0/67A/712" TargetMode="External"/><Relationship Id="rId4395" Type="http://schemas.openxmlformats.org/officeDocument/2006/relationships/hyperlink" Target="http://www.linkedin.com/pub/pilar-mercado-perez/10/986/ba0" TargetMode="External"/><Relationship Id="rId3067" Type="http://schemas.openxmlformats.org/officeDocument/2006/relationships/hyperlink" Target="http://ar.linkedin.com/in/lmassuh" TargetMode="External"/><Relationship Id="rId4398" Type="http://schemas.openxmlformats.org/officeDocument/2006/relationships/hyperlink" Target="http://ar.linkedin.com/pub/santiago-wesenack/13/B89/26A" TargetMode="External"/><Relationship Id="rId3066" Type="http://schemas.openxmlformats.org/officeDocument/2006/relationships/hyperlink" Target="http://ar.linkedin.com/in/fernandocuneolibarona" TargetMode="External"/><Relationship Id="rId4397" Type="http://schemas.openxmlformats.org/officeDocument/2006/relationships/hyperlink" Target="http://ar.linkedin.com/pub/eugenia-ordo%C3%B1ez/1B/67/53A" TargetMode="External"/><Relationship Id="rId3069" Type="http://schemas.openxmlformats.org/officeDocument/2006/relationships/hyperlink" Target="http://ar.linkedin.com/pub/maria-ines-robles/14/A66/4A" TargetMode="External"/><Relationship Id="rId3068" Type="http://schemas.openxmlformats.org/officeDocument/2006/relationships/hyperlink" Target="http://ar.linkedin.com/in/alejandrogallegos" TargetMode="External"/><Relationship Id="rId4399" Type="http://schemas.openxmlformats.org/officeDocument/2006/relationships/hyperlink" Target="http://www.linkedin.com/in/javierabalmaceda" TargetMode="External"/><Relationship Id="rId3090" Type="http://schemas.openxmlformats.org/officeDocument/2006/relationships/hyperlink" Target="http://ar.linkedin.com/in/federicoplanas" TargetMode="External"/><Relationship Id="rId3092" Type="http://schemas.openxmlformats.org/officeDocument/2006/relationships/hyperlink" Target="http://ar.linkedin.com/pub/pablo-ferrari/0/383/97B" TargetMode="External"/><Relationship Id="rId3091" Type="http://schemas.openxmlformats.org/officeDocument/2006/relationships/hyperlink" Target="http://ar.linkedin.com/in/patriciaonieva" TargetMode="External"/><Relationship Id="rId3094" Type="http://schemas.openxmlformats.org/officeDocument/2006/relationships/hyperlink" Target="http://ar.linkedin.com/in/anabelencastro" TargetMode="External"/><Relationship Id="rId3093" Type="http://schemas.openxmlformats.org/officeDocument/2006/relationships/hyperlink" Target="http://ar.linkedin.com/in/ahantsch" TargetMode="External"/><Relationship Id="rId3096" Type="http://schemas.openxmlformats.org/officeDocument/2006/relationships/hyperlink" Target="http://ar.linkedin.com/pub/eduardo-a-maggi/22/536/838" TargetMode="External"/><Relationship Id="rId3095" Type="http://schemas.openxmlformats.org/officeDocument/2006/relationships/hyperlink" Target="http://ar.linkedin.com/pub/cristina-canzani/A/38/76" TargetMode="External"/><Relationship Id="rId3098" Type="http://schemas.openxmlformats.org/officeDocument/2006/relationships/hyperlink" Target="http://www.linkedin.com/pub/fernando-ricagno/0/a23/8a0" TargetMode="External"/><Relationship Id="rId3097" Type="http://schemas.openxmlformats.org/officeDocument/2006/relationships/hyperlink" Target="http://ar.linkedin.com/pub/hernan-ariel-gonzalez-matteo/11/640/550" TargetMode="External"/><Relationship Id="rId3099" Type="http://schemas.openxmlformats.org/officeDocument/2006/relationships/hyperlink" Target="http://ar.linkedin.com/pub/sandra-rouget/2/690/B07" TargetMode="External"/><Relationship Id="rId3081" Type="http://schemas.openxmlformats.org/officeDocument/2006/relationships/hyperlink" Target="http://ar.linkedin.com/pub/%C3%A1ngeles-celeste-curia/22/909/512" TargetMode="External"/><Relationship Id="rId3080" Type="http://schemas.openxmlformats.org/officeDocument/2006/relationships/hyperlink" Target="http://ar.linkedin.com/pub/melina-costantino/23/220/440" TargetMode="External"/><Relationship Id="rId3083" Type="http://schemas.openxmlformats.org/officeDocument/2006/relationships/hyperlink" Target="http://ar.linkedin.com/pub/jimena-barrionuevo/11/476/874" TargetMode="External"/><Relationship Id="rId3082" Type="http://schemas.openxmlformats.org/officeDocument/2006/relationships/hyperlink" Target="http://ar.linkedin.com/in/estebanpierazzoli" TargetMode="External"/><Relationship Id="rId3085" Type="http://schemas.openxmlformats.org/officeDocument/2006/relationships/hyperlink" Target="http://ar.linkedin.com/in/paulacerutti" TargetMode="External"/><Relationship Id="rId3084" Type="http://schemas.openxmlformats.org/officeDocument/2006/relationships/hyperlink" Target="http://www.linkedin.com/pub/juan-demarin/4/350/417" TargetMode="External"/><Relationship Id="rId3087" Type="http://schemas.openxmlformats.org/officeDocument/2006/relationships/hyperlink" Target="http://ar.linkedin.com/pub/marcelo-klappenbach/A/431/4A0" TargetMode="External"/><Relationship Id="rId3086" Type="http://schemas.openxmlformats.org/officeDocument/2006/relationships/hyperlink" Target="http://www.linkedin.com/pub/dolores-castelli/18/a63/670" TargetMode="External"/><Relationship Id="rId3089" Type="http://schemas.openxmlformats.org/officeDocument/2006/relationships/hyperlink" Target="http://ar.linkedin.com/pub/damian-jankowski/0/B90/36" TargetMode="External"/><Relationship Id="rId3088" Type="http://schemas.openxmlformats.org/officeDocument/2006/relationships/hyperlink" Target="http://ar.linkedin.com/pub/ariel-traverso/28/208/1A2" TargetMode="External"/><Relationship Id="rId3039" Type="http://schemas.openxmlformats.org/officeDocument/2006/relationships/hyperlink" Target="http://www.linkedin.com/pub/gloria-catinari/18/50/791" TargetMode="External"/><Relationship Id="rId5691" Type="http://schemas.openxmlformats.org/officeDocument/2006/relationships/hyperlink" Target="http://ar.linkedin.com/in/waltermazzoni" TargetMode="External"/><Relationship Id="rId5692" Type="http://schemas.openxmlformats.org/officeDocument/2006/relationships/hyperlink" Target="http://www.linkedin.com/in/davidolivencia" TargetMode="External"/><Relationship Id="rId3030" Type="http://schemas.openxmlformats.org/officeDocument/2006/relationships/hyperlink" Target="http://www.linkedin.com/pub/alan-jalife/0/9aa/b02" TargetMode="External"/><Relationship Id="rId4361" Type="http://schemas.openxmlformats.org/officeDocument/2006/relationships/hyperlink" Target="http://ar.linkedin.com/in/flaviaricci" TargetMode="External"/><Relationship Id="rId4360" Type="http://schemas.openxmlformats.org/officeDocument/2006/relationships/hyperlink" Target="http://ar.linkedin.com/in/lopezjuandiego" TargetMode="External"/><Relationship Id="rId5690" Type="http://schemas.openxmlformats.org/officeDocument/2006/relationships/hyperlink" Target="http://ar.linkedin.com/in/ruizrodolfo" TargetMode="External"/><Relationship Id="rId3032" Type="http://schemas.openxmlformats.org/officeDocument/2006/relationships/hyperlink" Target="http://ar.linkedin.com/in/diegonaya" TargetMode="External"/><Relationship Id="rId4363" Type="http://schemas.openxmlformats.org/officeDocument/2006/relationships/hyperlink" Target="http://ar.linkedin.com/in/susanadirosa" TargetMode="External"/><Relationship Id="rId5695" Type="http://schemas.openxmlformats.org/officeDocument/2006/relationships/hyperlink" Target="http://www.linkedin.com/pub/alice-dunlap-kraft/0/B28/B68" TargetMode="External"/><Relationship Id="rId3031" Type="http://schemas.openxmlformats.org/officeDocument/2006/relationships/hyperlink" Target="http://www.linkedin.com/pub/mariano-alejandro-gonz%C3%A1lez/6/5b/734" TargetMode="External"/><Relationship Id="rId4362" Type="http://schemas.openxmlformats.org/officeDocument/2006/relationships/hyperlink" Target="http://ar.linkedin.com/in/rquesada" TargetMode="External"/><Relationship Id="rId5696" Type="http://schemas.openxmlformats.org/officeDocument/2006/relationships/hyperlink" Target="http://ar.linkedin.com/pub/vanina-mariel-musmanno/A/632/497" TargetMode="External"/><Relationship Id="rId3034" Type="http://schemas.openxmlformats.org/officeDocument/2006/relationships/hyperlink" Target="http://ar.linkedin.com/pub/pablo-freixas/7/B02/95" TargetMode="External"/><Relationship Id="rId4365" Type="http://schemas.openxmlformats.org/officeDocument/2006/relationships/hyperlink" Target="http://www.linkedin.com/pub/mart%C3%ADn-hern%C3%A1ndez-k%C5%99eh%C3%A1%C4%8Dek/20/5a6/819" TargetMode="External"/><Relationship Id="rId5693" Type="http://schemas.openxmlformats.org/officeDocument/2006/relationships/hyperlink" Target="http://www.linkedin.com/pub/mike-briggs/0/15/460" TargetMode="External"/><Relationship Id="rId3033" Type="http://schemas.openxmlformats.org/officeDocument/2006/relationships/hyperlink" Target="http://ar.linkedin.com/pub/martin-naya/23/782/624" TargetMode="External"/><Relationship Id="rId4364" Type="http://schemas.openxmlformats.org/officeDocument/2006/relationships/hyperlink" Target="http://www.linkedin.com/pub/maria-rosa-frabasile/14/243/626" TargetMode="External"/><Relationship Id="rId5694" Type="http://schemas.openxmlformats.org/officeDocument/2006/relationships/hyperlink" Target="http://ca.linkedin.com/in/davidbouillet" TargetMode="External"/><Relationship Id="rId3036" Type="http://schemas.openxmlformats.org/officeDocument/2006/relationships/hyperlink" Target="http://ar.linkedin.com/in/julietamartino" TargetMode="External"/><Relationship Id="rId4367" Type="http://schemas.openxmlformats.org/officeDocument/2006/relationships/hyperlink" Target="http://ar.linkedin.com/pub/lucia-cavagna/23/99A/582" TargetMode="External"/><Relationship Id="rId5699" Type="http://schemas.openxmlformats.org/officeDocument/2006/relationships/hyperlink" Target="http://ar.linkedin.com/pub/marina-tricarico/4/991/A7A" TargetMode="External"/><Relationship Id="rId3035" Type="http://schemas.openxmlformats.org/officeDocument/2006/relationships/hyperlink" Target="http://ar.linkedin.com/pub/maria-soledad-piazza/19/AAA/B4B" TargetMode="External"/><Relationship Id="rId4366" Type="http://schemas.openxmlformats.org/officeDocument/2006/relationships/hyperlink" Target="http://www.linkedin.com/in/njalaty" TargetMode="External"/><Relationship Id="rId3038" Type="http://schemas.openxmlformats.org/officeDocument/2006/relationships/hyperlink" Target="http://ar.linkedin.com/pub/silvana-petrone/26/298/291" TargetMode="External"/><Relationship Id="rId4369" Type="http://schemas.openxmlformats.org/officeDocument/2006/relationships/hyperlink" Target="http://ar.linkedin.com/pub/ariel-barrionuevo/A/5A6/13" TargetMode="External"/><Relationship Id="rId5697" Type="http://schemas.openxmlformats.org/officeDocument/2006/relationships/hyperlink" Target="http://www.linkedin.com/pub/miguel-%C3%A1ngel-rocha/22/14/308" TargetMode="External"/><Relationship Id="rId3037" Type="http://schemas.openxmlformats.org/officeDocument/2006/relationships/hyperlink" Target="http://ar.linkedin.com/pub/ariel-dar%C3%ADo-achcar/27/B97/120" TargetMode="External"/><Relationship Id="rId4368" Type="http://schemas.openxmlformats.org/officeDocument/2006/relationships/hyperlink" Target="http://ar.linkedin.com/in/carolinawerner" TargetMode="External"/><Relationship Id="rId5698" Type="http://schemas.openxmlformats.org/officeDocument/2006/relationships/hyperlink" Target="http://www.linkedin.com/pub/tracy-erickson/5/A80/24B" TargetMode="External"/><Relationship Id="rId3029" Type="http://schemas.openxmlformats.org/officeDocument/2006/relationships/hyperlink" Target="http://www.linkedin.com/pub/gaston-aprile/a/646/b31" TargetMode="External"/><Relationship Id="rId3028" Type="http://schemas.openxmlformats.org/officeDocument/2006/relationships/hyperlink" Target="http://www.linkedin.com/pub/mariana-plazzotta/5/630/2a6" TargetMode="External"/><Relationship Id="rId4359" Type="http://schemas.openxmlformats.org/officeDocument/2006/relationships/hyperlink" Target="http://www.linkedin.com/pub/gonzalo-martinez-pasman/0/728/9a0" TargetMode="External"/><Relationship Id="rId5680" Type="http://schemas.openxmlformats.org/officeDocument/2006/relationships/hyperlink" Target="http://www.linkedin.com/pub/jose-luis-simionato/25/221/585" TargetMode="External"/><Relationship Id="rId5681" Type="http://schemas.openxmlformats.org/officeDocument/2006/relationships/hyperlink" Target="http://www.linkedin.com/pub/david-navarro-mba-lion/3/697/7B9" TargetMode="External"/><Relationship Id="rId4350" Type="http://schemas.openxmlformats.org/officeDocument/2006/relationships/hyperlink" Target="http://www.linkedin.com/pub/federico-mart%C3%ADn-betoldi/a/5b0/1a9" TargetMode="External"/><Relationship Id="rId3021" Type="http://schemas.openxmlformats.org/officeDocument/2006/relationships/hyperlink" Target="http://ar.linkedin.com/in/fcuadrado" TargetMode="External"/><Relationship Id="rId4352" Type="http://schemas.openxmlformats.org/officeDocument/2006/relationships/hyperlink" Target="http://ar.linkedin.com/pub/guido-pestrin/11/65B/81" TargetMode="External"/><Relationship Id="rId5684" Type="http://schemas.openxmlformats.org/officeDocument/2006/relationships/hyperlink" Target="http://www.linkedin.com/pub/david-muskatel/0/151/269" TargetMode="External"/><Relationship Id="rId3020" Type="http://schemas.openxmlformats.org/officeDocument/2006/relationships/hyperlink" Target="http://ar.linkedin.com/pub/rub%C3%A9n-riedel/2/3A9/B73" TargetMode="External"/><Relationship Id="rId4351" Type="http://schemas.openxmlformats.org/officeDocument/2006/relationships/hyperlink" Target="http://ar.linkedin.com/pub/gabriela-caserta/9/781/B93" TargetMode="External"/><Relationship Id="rId5685" Type="http://schemas.openxmlformats.org/officeDocument/2006/relationships/hyperlink" Target="http://www.linkedin.com/pub/reinaldo-cereseto/1/81/A2A" TargetMode="External"/><Relationship Id="rId3023" Type="http://schemas.openxmlformats.org/officeDocument/2006/relationships/hyperlink" Target="http://ar.linkedin.com/pub/sandra-ryan/4/560/AAB" TargetMode="External"/><Relationship Id="rId4354" Type="http://schemas.openxmlformats.org/officeDocument/2006/relationships/hyperlink" Target="http://www.linkedin.com/pub/mo-o-neill/6/BA0/B75" TargetMode="External"/><Relationship Id="rId5682" Type="http://schemas.openxmlformats.org/officeDocument/2006/relationships/hyperlink" Target="http://www.linkedin.com/pub/ricardo-sahagun/1/729/610" TargetMode="External"/><Relationship Id="rId3022" Type="http://schemas.openxmlformats.org/officeDocument/2006/relationships/hyperlink" Target="http://ar.linkedin.com/pub/vanina-andrea-papa/0/50A/539" TargetMode="External"/><Relationship Id="rId4353" Type="http://schemas.openxmlformats.org/officeDocument/2006/relationships/hyperlink" Target="http://ar.linkedin.com/in/jorgeamiguel" TargetMode="External"/><Relationship Id="rId5683" Type="http://schemas.openxmlformats.org/officeDocument/2006/relationships/hyperlink" Target="http://www.linkedin.com/pub/victoria-cashion/3/A64/54" TargetMode="External"/><Relationship Id="rId3025" Type="http://schemas.openxmlformats.org/officeDocument/2006/relationships/hyperlink" Target="http://ar.linkedin.com/pub/silvina-moscuzza/9/641/B03" TargetMode="External"/><Relationship Id="rId4356" Type="http://schemas.openxmlformats.org/officeDocument/2006/relationships/hyperlink" Target="http://ar.linkedin.com/in/claudiomiglesias" TargetMode="External"/><Relationship Id="rId5688" Type="http://schemas.openxmlformats.org/officeDocument/2006/relationships/hyperlink" Target="http://ar.linkedin.com/pub/alberto-ramundo/0/367/213" TargetMode="External"/><Relationship Id="rId3024" Type="http://schemas.openxmlformats.org/officeDocument/2006/relationships/hyperlink" Target="http://ar.linkedin.com/pub/alejandro-petruzzelli/7/901/208" TargetMode="External"/><Relationship Id="rId4355" Type="http://schemas.openxmlformats.org/officeDocument/2006/relationships/hyperlink" Target="http://www.linkedin.com/in/matiasmiguelvillar" TargetMode="External"/><Relationship Id="rId5689" Type="http://schemas.openxmlformats.org/officeDocument/2006/relationships/hyperlink" Target="http://www.linkedin.com/pub/de-lorenzis-pia/10/9/785" TargetMode="External"/><Relationship Id="rId3027" Type="http://schemas.openxmlformats.org/officeDocument/2006/relationships/hyperlink" Target="http://www.linkedin.com/pub/kevin-dishun/0/651/469" TargetMode="External"/><Relationship Id="rId4358" Type="http://schemas.openxmlformats.org/officeDocument/2006/relationships/hyperlink" Target="http://ar.linkedin.com/in/pedroalmonacid" TargetMode="External"/><Relationship Id="rId5686" Type="http://schemas.openxmlformats.org/officeDocument/2006/relationships/hyperlink" Target="http://www.linkedin.com/pub/joe-noonan/0/519/699" TargetMode="External"/><Relationship Id="rId3026" Type="http://schemas.openxmlformats.org/officeDocument/2006/relationships/hyperlink" Target="http://ar.linkedin.com/in/ecrimi" TargetMode="External"/><Relationship Id="rId4357" Type="http://schemas.openxmlformats.org/officeDocument/2006/relationships/hyperlink" Target="http://ar.linkedin.com/pub/mart-n-arguindegui/20/B15/807" TargetMode="External"/><Relationship Id="rId5687" Type="http://schemas.openxmlformats.org/officeDocument/2006/relationships/hyperlink" Target="http://www.linkedin.com/in/juancarlosgutierrez" TargetMode="External"/><Relationship Id="rId3050" Type="http://schemas.openxmlformats.org/officeDocument/2006/relationships/hyperlink" Target="http://ar.linkedin.com/pub/maria-pinedo/14/675/355" TargetMode="External"/><Relationship Id="rId4381" Type="http://schemas.openxmlformats.org/officeDocument/2006/relationships/hyperlink" Target="http://www.linkedin.com/pub/marcela-bayarsky/a/403/970" TargetMode="External"/><Relationship Id="rId4380" Type="http://schemas.openxmlformats.org/officeDocument/2006/relationships/hyperlink" Target="http://www.linkedin.com/pub/julian-pallanza/a/a6/b63" TargetMode="External"/><Relationship Id="rId3052" Type="http://schemas.openxmlformats.org/officeDocument/2006/relationships/hyperlink" Target="http://www.linkedin.com/in/diegobetancor" TargetMode="External"/><Relationship Id="rId4383" Type="http://schemas.openxmlformats.org/officeDocument/2006/relationships/hyperlink" Target="http://ar.linkedin.com/pub/martin-perez/2/64B/408" TargetMode="External"/><Relationship Id="rId3051" Type="http://schemas.openxmlformats.org/officeDocument/2006/relationships/hyperlink" Target="http://ar.linkedin.com/pub/maria-peluffo/10/329/941" TargetMode="External"/><Relationship Id="rId4382" Type="http://schemas.openxmlformats.org/officeDocument/2006/relationships/hyperlink" Target="http://ar.linkedin.com/pub/josefina-recondo/8/11B/1A6" TargetMode="External"/><Relationship Id="rId3054" Type="http://schemas.openxmlformats.org/officeDocument/2006/relationships/hyperlink" Target="http://ar.linkedin.com/pub/paula-buentes/26/45B/892" TargetMode="External"/><Relationship Id="rId4385" Type="http://schemas.openxmlformats.org/officeDocument/2006/relationships/hyperlink" Target="http://ar.linkedin.com/pub/mayra-moreno/B/317/154" TargetMode="External"/><Relationship Id="rId3053" Type="http://schemas.openxmlformats.org/officeDocument/2006/relationships/hyperlink" Target="http://ar.linkedin.com/pub/epifanio-blanco/0/508/7" TargetMode="External"/><Relationship Id="rId4384" Type="http://schemas.openxmlformats.org/officeDocument/2006/relationships/hyperlink" Target="http://ar.linkedin.com/in/silvinacantesano" TargetMode="External"/><Relationship Id="rId3056" Type="http://schemas.openxmlformats.org/officeDocument/2006/relationships/hyperlink" Target="http://ar.linkedin.com/in/arodriguez61" TargetMode="External"/><Relationship Id="rId4387" Type="http://schemas.openxmlformats.org/officeDocument/2006/relationships/hyperlink" Target="http://ar.linkedin.com/in/trescuartos" TargetMode="External"/><Relationship Id="rId3055" Type="http://schemas.openxmlformats.org/officeDocument/2006/relationships/hyperlink" Target="http://www.linkedin.com/pub/rommel-pereira-otero/13/916/318" TargetMode="External"/><Relationship Id="rId4386" Type="http://schemas.openxmlformats.org/officeDocument/2006/relationships/hyperlink" Target="http://ar.linkedin.com/in/marianonerd" TargetMode="External"/><Relationship Id="rId3058" Type="http://schemas.openxmlformats.org/officeDocument/2006/relationships/hyperlink" Target="http://ar.linkedin.com/pub/juan-sorroche/6/4B/675" TargetMode="External"/><Relationship Id="rId4389" Type="http://schemas.openxmlformats.org/officeDocument/2006/relationships/hyperlink" Target="http://ar.linkedin.com/pub/facundo-de-la-iglesia/4/810/B16" TargetMode="External"/><Relationship Id="rId3057" Type="http://schemas.openxmlformats.org/officeDocument/2006/relationships/hyperlink" Target="http://ar.linkedin.com/in/pdelprato" TargetMode="External"/><Relationship Id="rId4388" Type="http://schemas.openxmlformats.org/officeDocument/2006/relationships/hyperlink" Target="http://ar.linkedin.com/pub/lionel-modi/5/BAB/487" TargetMode="External"/><Relationship Id="rId3059" Type="http://schemas.openxmlformats.org/officeDocument/2006/relationships/hyperlink" Target="http://www.linkedin.com/pub/alejo-f-l%C3%B3pez-lecube/0/316/488" TargetMode="External"/><Relationship Id="rId4370" Type="http://schemas.openxmlformats.org/officeDocument/2006/relationships/hyperlink" Target="http://ar.linkedin.com/in/sergioalvarez100" TargetMode="External"/><Relationship Id="rId3041" Type="http://schemas.openxmlformats.org/officeDocument/2006/relationships/hyperlink" Target="http://ar.linkedin.com/pub/carlos-escalada/1/68/B06" TargetMode="External"/><Relationship Id="rId4372" Type="http://schemas.openxmlformats.org/officeDocument/2006/relationships/hyperlink" Target="http://ar.linkedin.com/in/romanramiro" TargetMode="External"/><Relationship Id="rId3040" Type="http://schemas.openxmlformats.org/officeDocument/2006/relationships/hyperlink" Target="http://www.linkedin.com/in/memesanza2007" TargetMode="External"/><Relationship Id="rId4371" Type="http://schemas.openxmlformats.org/officeDocument/2006/relationships/hyperlink" Target="http://www.linkedin.com/pub/h%C3%A9ctor-de-p%C3%A9rez/0/672/722" TargetMode="External"/><Relationship Id="rId3043" Type="http://schemas.openxmlformats.org/officeDocument/2006/relationships/hyperlink" Target="http://ar.linkedin.com/in/augustoferrari" TargetMode="External"/><Relationship Id="rId4374" Type="http://schemas.openxmlformats.org/officeDocument/2006/relationships/hyperlink" Target="http://www.linkedin.com/pub/daniel-gonzalez-iglesias/13/b41/41" TargetMode="External"/><Relationship Id="rId3042" Type="http://schemas.openxmlformats.org/officeDocument/2006/relationships/hyperlink" Target="http://ar.linkedin.com/pub/carlos-vargas-eguinoa/2/779/38" TargetMode="External"/><Relationship Id="rId4373" Type="http://schemas.openxmlformats.org/officeDocument/2006/relationships/hyperlink" Target="http://www.linkedin.com/in/ezequielfritz" TargetMode="External"/><Relationship Id="rId3045" Type="http://schemas.openxmlformats.org/officeDocument/2006/relationships/hyperlink" Target="http://ar.linkedin.com/in/gbrey" TargetMode="External"/><Relationship Id="rId4376" Type="http://schemas.openxmlformats.org/officeDocument/2006/relationships/hyperlink" Target="http://ar.linkedin.com/pub/patricio-leach/9/175/580" TargetMode="External"/><Relationship Id="rId3044" Type="http://schemas.openxmlformats.org/officeDocument/2006/relationships/hyperlink" Target="http://ar.linkedin.com/in/santiagocardarelli" TargetMode="External"/><Relationship Id="rId4375" Type="http://schemas.openxmlformats.org/officeDocument/2006/relationships/hyperlink" Target="http://www.linkedin.com/pub/ignacio-vidaguren/0/1A0/91" TargetMode="External"/><Relationship Id="rId3047" Type="http://schemas.openxmlformats.org/officeDocument/2006/relationships/hyperlink" Target="http://ar.linkedin.com/in/elgalu" TargetMode="External"/><Relationship Id="rId4378" Type="http://schemas.openxmlformats.org/officeDocument/2006/relationships/hyperlink" Target="http://ar.linkedin.com/pub/walter-moreno/1A/657/8B2" TargetMode="External"/><Relationship Id="rId3046" Type="http://schemas.openxmlformats.org/officeDocument/2006/relationships/hyperlink" Target="http://www.linkedin.com/pub/mariano-calvari/4/93a/437" TargetMode="External"/><Relationship Id="rId4377" Type="http://schemas.openxmlformats.org/officeDocument/2006/relationships/hyperlink" Target="http://ar.linkedin.com/pub/david-mijares/1/3A8/78A" TargetMode="External"/><Relationship Id="rId3049" Type="http://schemas.openxmlformats.org/officeDocument/2006/relationships/hyperlink" Target="http://ar.linkedin.com/pub/jorge-bonifacio/27/904/394" TargetMode="External"/><Relationship Id="rId3048" Type="http://schemas.openxmlformats.org/officeDocument/2006/relationships/hyperlink" Target="http://mx.linkedin.com/pub/jose-ayala-partida/26/665/432" TargetMode="External"/><Relationship Id="rId4379" Type="http://schemas.openxmlformats.org/officeDocument/2006/relationships/hyperlink" Target="http://ar.linkedin.com/in/fernandomoyano" TargetMode="External"/><Relationship Id="rId9210" Type="http://schemas.openxmlformats.org/officeDocument/2006/relationships/hyperlink" Target="http://www.linkedin.com/in/brady" TargetMode="External"/><Relationship Id="rId9211" Type="http://schemas.openxmlformats.org/officeDocument/2006/relationships/hyperlink" Target="http://www.linkedin.com/pub/allison-levine/4/2B/82B" TargetMode="External"/><Relationship Id="rId9212" Type="http://schemas.openxmlformats.org/officeDocument/2006/relationships/hyperlink" Target="http://www.linkedin.com/in/danaustin" TargetMode="External"/><Relationship Id="rId9217" Type="http://schemas.openxmlformats.org/officeDocument/2006/relationships/hyperlink" Target="http://www.linkedin.com/pub/uri-benedek/4/34B/2AB" TargetMode="External"/><Relationship Id="rId9218" Type="http://schemas.openxmlformats.org/officeDocument/2006/relationships/hyperlink" Target="http://www.linkedin.com/in/zaharamossman" TargetMode="External"/><Relationship Id="rId9219" Type="http://schemas.openxmlformats.org/officeDocument/2006/relationships/hyperlink" Target="http://www.linkedin.com/pub/andrew-pessotti/7/B30/737" TargetMode="External"/><Relationship Id="rId9213" Type="http://schemas.openxmlformats.org/officeDocument/2006/relationships/hyperlink" Target="http://www.linkedin.com/in/jebrickman" TargetMode="External"/><Relationship Id="rId9214" Type="http://schemas.openxmlformats.org/officeDocument/2006/relationships/hyperlink" Target="http://www.linkedin.com/pub/dustin-finley-15k-/2/30B/11A" TargetMode="External"/><Relationship Id="rId9215" Type="http://schemas.openxmlformats.org/officeDocument/2006/relationships/hyperlink" Target="http://www.linkedin.com/in/craigcollins" TargetMode="External"/><Relationship Id="rId9216" Type="http://schemas.openxmlformats.org/officeDocument/2006/relationships/hyperlink" Target="http://www.linkedin.com/in/clintbailey" TargetMode="External"/><Relationship Id="rId9200" Type="http://schemas.openxmlformats.org/officeDocument/2006/relationships/hyperlink" Target="http://www.linkedin.com/in/richardmdavid" TargetMode="External"/><Relationship Id="rId9201" Type="http://schemas.openxmlformats.org/officeDocument/2006/relationships/hyperlink" Target="http://www.linkedin.com/in/mikedektas" TargetMode="External"/><Relationship Id="rId9206" Type="http://schemas.openxmlformats.org/officeDocument/2006/relationships/hyperlink" Target="http://www.linkedin.com/in/juliecorbo" TargetMode="External"/><Relationship Id="rId9207" Type="http://schemas.openxmlformats.org/officeDocument/2006/relationships/hyperlink" Target="http://www.linkedin.com/in/jackkaiser" TargetMode="External"/><Relationship Id="rId9208" Type="http://schemas.openxmlformats.org/officeDocument/2006/relationships/hyperlink" Target="http://www.linkedin.com/in/jenniferbrownconsulting" TargetMode="External"/><Relationship Id="rId9209" Type="http://schemas.openxmlformats.org/officeDocument/2006/relationships/hyperlink" Target="http://www.linkedin.com/in/kateflanagan1" TargetMode="External"/><Relationship Id="rId9202" Type="http://schemas.openxmlformats.org/officeDocument/2006/relationships/hyperlink" Target="http://www.linkedin.com/in/normalane" TargetMode="External"/><Relationship Id="rId9203" Type="http://schemas.openxmlformats.org/officeDocument/2006/relationships/hyperlink" Target="http://www.linkedin.com/in/leebyrne" TargetMode="External"/><Relationship Id="rId9204" Type="http://schemas.openxmlformats.org/officeDocument/2006/relationships/hyperlink" Target="http://www.linkedin.com/pub/jeff-brown/3/B6A/4B2" TargetMode="External"/><Relationship Id="rId9205" Type="http://schemas.openxmlformats.org/officeDocument/2006/relationships/hyperlink" Target="https://www.linkedin.com/pub/kevin-smith/7/100/630" TargetMode="External"/><Relationship Id="rId9231" Type="http://schemas.openxmlformats.org/officeDocument/2006/relationships/hyperlink" Target="http://www.linkedin.com/in/seanwgreene" TargetMode="External"/><Relationship Id="rId9232" Type="http://schemas.openxmlformats.org/officeDocument/2006/relationships/hyperlink" Target="http://www.linkedin.com/pub/ana-subero/15/646/633" TargetMode="External"/><Relationship Id="rId9233" Type="http://schemas.openxmlformats.org/officeDocument/2006/relationships/hyperlink" Target="http://www.linkedin.com/in/esilberman" TargetMode="External"/><Relationship Id="rId9234" Type="http://schemas.openxmlformats.org/officeDocument/2006/relationships/hyperlink" Target="http://www.linkedin.com/in/clairegeorge" TargetMode="External"/><Relationship Id="rId9230" Type="http://schemas.openxmlformats.org/officeDocument/2006/relationships/hyperlink" Target="http://www.linkedin.com/in/loumaiuri" TargetMode="External"/><Relationship Id="rId9239" Type="http://schemas.openxmlformats.org/officeDocument/2006/relationships/hyperlink" Target="http://uk.linkedin.com/pub/david-quantrell/5/7A/993" TargetMode="External"/><Relationship Id="rId9235" Type="http://schemas.openxmlformats.org/officeDocument/2006/relationships/hyperlink" Target="http://www.linkedin.com/in/danguerrero" TargetMode="External"/><Relationship Id="rId9236" Type="http://schemas.openxmlformats.org/officeDocument/2006/relationships/hyperlink" Target="http://www.linkedin.com/in/kfarr" TargetMode="External"/><Relationship Id="rId9237" Type="http://schemas.openxmlformats.org/officeDocument/2006/relationships/hyperlink" Target="http://www.linkedin.com/in/tomdebolt" TargetMode="External"/><Relationship Id="rId9238" Type="http://schemas.openxmlformats.org/officeDocument/2006/relationships/hyperlink" Target="http://www.linkedin.com/in/mikemaloney" TargetMode="External"/><Relationship Id="rId9220" Type="http://schemas.openxmlformats.org/officeDocument/2006/relationships/hyperlink" Target="http://www.linkedin.com/pub/catherine-mccoy-pmp-csm/8/154/4A7" TargetMode="External"/><Relationship Id="rId9221" Type="http://schemas.openxmlformats.org/officeDocument/2006/relationships/hyperlink" Target="http://www.linkedin.com/in/armandoescalante" TargetMode="External"/><Relationship Id="rId9222" Type="http://schemas.openxmlformats.org/officeDocument/2006/relationships/hyperlink" Target="http://www.linkedin.com/pub/steve-bennett/0/236/864" TargetMode="External"/><Relationship Id="rId9223" Type="http://schemas.openxmlformats.org/officeDocument/2006/relationships/hyperlink" Target="http://www.linkedin.com/pub/tonya-brock/8/487/992" TargetMode="External"/><Relationship Id="rId9228" Type="http://schemas.openxmlformats.org/officeDocument/2006/relationships/hyperlink" Target="http://www.linkedin.com/in/michaelmcclurg" TargetMode="External"/><Relationship Id="rId9229" Type="http://schemas.openxmlformats.org/officeDocument/2006/relationships/hyperlink" Target="http://fr.linkedin.com/in/ericchaniot" TargetMode="External"/><Relationship Id="rId9224" Type="http://schemas.openxmlformats.org/officeDocument/2006/relationships/hyperlink" Target="http://www.linkedin.com/in/jimlipuma" TargetMode="External"/><Relationship Id="rId9225" Type="http://schemas.openxmlformats.org/officeDocument/2006/relationships/hyperlink" Target="http://www.linkedin.com/pub/bob-pack/2/693/A32" TargetMode="External"/><Relationship Id="rId9226" Type="http://schemas.openxmlformats.org/officeDocument/2006/relationships/hyperlink" Target="http://www.linkedin.com/pub/kevin-sullivan/0/5A4/569" TargetMode="External"/><Relationship Id="rId9227" Type="http://schemas.openxmlformats.org/officeDocument/2006/relationships/hyperlink" Target="http://uk.linkedin.com/pub/david-crofts/2/8AB/843" TargetMode="External"/><Relationship Id="rId9297" Type="http://schemas.openxmlformats.org/officeDocument/2006/relationships/hyperlink" Target="http://www.linkedin.com/in/terryswack" TargetMode="External"/><Relationship Id="rId9298" Type="http://schemas.openxmlformats.org/officeDocument/2006/relationships/hyperlink" Target="https://www.linkedin.com/pub/mark-gigliotti/0/28b/a82" TargetMode="External"/><Relationship Id="rId9299" Type="http://schemas.openxmlformats.org/officeDocument/2006/relationships/hyperlink" Target="http://www.linkedin.com/in/lisakdonnelly" TargetMode="External"/><Relationship Id="rId9293" Type="http://schemas.openxmlformats.org/officeDocument/2006/relationships/hyperlink" Target="http://www.linkedin.com/pub/rich-sutton/1/B59/906" TargetMode="External"/><Relationship Id="rId9294" Type="http://schemas.openxmlformats.org/officeDocument/2006/relationships/hyperlink" Target="http://www.linkedin.com/pub/chris-heilbock/3/9B6/5B7" TargetMode="External"/><Relationship Id="rId9295" Type="http://schemas.openxmlformats.org/officeDocument/2006/relationships/hyperlink" Target="http://www.linkedin.com/in/yourdon" TargetMode="External"/><Relationship Id="rId9296" Type="http://schemas.openxmlformats.org/officeDocument/2006/relationships/hyperlink" Target="http://www.linkedin.com/in/jackaskeels" TargetMode="External"/><Relationship Id="rId9290" Type="http://schemas.openxmlformats.org/officeDocument/2006/relationships/hyperlink" Target="http://www.linkedin.com/in/patrickgainer" TargetMode="External"/><Relationship Id="rId9291" Type="http://schemas.openxmlformats.org/officeDocument/2006/relationships/hyperlink" Target="http://www.linkedin.com/in/giuseppemascarella" TargetMode="External"/><Relationship Id="rId9292" Type="http://schemas.openxmlformats.org/officeDocument/2006/relationships/hyperlink" Target="http://www.linkedin.com/in/fitzpatrickken" TargetMode="External"/><Relationship Id="rId9286" Type="http://schemas.openxmlformats.org/officeDocument/2006/relationships/hyperlink" Target="http://www.linkedin.com/in/christianolsson" TargetMode="External"/><Relationship Id="rId9287" Type="http://schemas.openxmlformats.org/officeDocument/2006/relationships/hyperlink" Target="http://www.linkedin.com/in/donatodiorio" TargetMode="External"/><Relationship Id="rId9288" Type="http://schemas.openxmlformats.org/officeDocument/2006/relationships/hyperlink" Target="http://www.linkedin.com/in/tanok" TargetMode="External"/><Relationship Id="rId9289" Type="http://schemas.openxmlformats.org/officeDocument/2006/relationships/hyperlink" Target="http://www.linkedin.com/in/clintcielto" TargetMode="External"/><Relationship Id="rId9282" Type="http://schemas.openxmlformats.org/officeDocument/2006/relationships/hyperlink" Target="http://www.linkedin.com/in/venkatvallabhaneni" TargetMode="External"/><Relationship Id="rId9283" Type="http://schemas.openxmlformats.org/officeDocument/2006/relationships/hyperlink" Target="http://www.linkedin.com/pub/eric-westerkamp/0/19A/9A5" TargetMode="External"/><Relationship Id="rId9284" Type="http://schemas.openxmlformats.org/officeDocument/2006/relationships/hyperlink" Target="http://www.linkedin.com/in/perrochon" TargetMode="External"/><Relationship Id="rId9285" Type="http://schemas.openxmlformats.org/officeDocument/2006/relationships/hyperlink" Target="http://www.linkedin.com/in/karon45" TargetMode="External"/><Relationship Id="rId5714" Type="http://schemas.openxmlformats.org/officeDocument/2006/relationships/hyperlink" Target="http://www.linkedin.com/in/joseluisortega" TargetMode="External"/><Relationship Id="rId5715" Type="http://schemas.openxmlformats.org/officeDocument/2006/relationships/hyperlink" Target="http://www.linkedin.com/in/diegopando" TargetMode="External"/><Relationship Id="rId5712" Type="http://schemas.openxmlformats.org/officeDocument/2006/relationships/hyperlink" Target="http://www.linkedin.com/in/diegocolombo" TargetMode="External"/><Relationship Id="rId5713" Type="http://schemas.openxmlformats.org/officeDocument/2006/relationships/hyperlink" Target="http://www.linkedin.com/pub/andres-elffman/6/b03/870" TargetMode="External"/><Relationship Id="rId5718" Type="http://schemas.openxmlformats.org/officeDocument/2006/relationships/hyperlink" Target="http://www.linkedin.com/pub/alison-richards/0/144/5B4" TargetMode="External"/><Relationship Id="rId5719" Type="http://schemas.openxmlformats.org/officeDocument/2006/relationships/hyperlink" Target="http://www.linkedin.com/pub/kari-freedus/26/570/B0B" TargetMode="External"/><Relationship Id="rId5716" Type="http://schemas.openxmlformats.org/officeDocument/2006/relationships/hyperlink" Target="http://ar.linkedin.com/in/gluzzani" TargetMode="External"/><Relationship Id="rId5717" Type="http://schemas.openxmlformats.org/officeDocument/2006/relationships/hyperlink" Target="http://www.linkedin.com/in/johnsfritz" TargetMode="External"/><Relationship Id="rId5710" Type="http://schemas.openxmlformats.org/officeDocument/2006/relationships/hyperlink" Target="http://ar.linkedin.com/pub/manuel-cuan/0/380/896" TargetMode="External"/><Relationship Id="rId5711" Type="http://schemas.openxmlformats.org/officeDocument/2006/relationships/hyperlink" Target="http://www.linkedin.com/pub/guillermo-cengotitabengoa/0/328/325" TargetMode="External"/><Relationship Id="rId5703" Type="http://schemas.openxmlformats.org/officeDocument/2006/relationships/hyperlink" Target="http://ar.linkedin.com/in/cordobacarlos" TargetMode="External"/><Relationship Id="rId5704" Type="http://schemas.openxmlformats.org/officeDocument/2006/relationships/hyperlink" Target="http://www.linkedin.com/pub/marc-cristiano/0/407/306" TargetMode="External"/><Relationship Id="rId5701" Type="http://schemas.openxmlformats.org/officeDocument/2006/relationships/hyperlink" Target="http://www.linkedin.com/pub/matias-exequiel-cancemi/20/443/20b" TargetMode="External"/><Relationship Id="rId5702" Type="http://schemas.openxmlformats.org/officeDocument/2006/relationships/hyperlink" Target="http://www.linkedin.com/pub/marcelo-paraj%C3%B3/2/a56/971" TargetMode="External"/><Relationship Id="rId5707" Type="http://schemas.openxmlformats.org/officeDocument/2006/relationships/hyperlink" Target="http://www.linkedin.com/pub/nicolas-igot/15/575/b83" TargetMode="External"/><Relationship Id="rId5708" Type="http://schemas.openxmlformats.org/officeDocument/2006/relationships/hyperlink" Target="http://ar.linkedin.com/in/pablogabrieltello" TargetMode="External"/><Relationship Id="rId5705" Type="http://schemas.openxmlformats.org/officeDocument/2006/relationships/hyperlink" Target="http://www.linkedin.com/pub/dan-lofgren/0/2BA/915" TargetMode="External"/><Relationship Id="rId5706" Type="http://schemas.openxmlformats.org/officeDocument/2006/relationships/hyperlink" Target="http://www.linkedin.com/in/scottdavidwhite" TargetMode="External"/><Relationship Id="rId5709" Type="http://schemas.openxmlformats.org/officeDocument/2006/relationships/hyperlink" Target="http://www.linkedin.com/in/fmorales" TargetMode="External"/><Relationship Id="rId5700" Type="http://schemas.openxmlformats.org/officeDocument/2006/relationships/hyperlink" Target="http://ar.linkedin.com/in/agustinarivas" TargetMode="External"/><Relationship Id="rId9253" Type="http://schemas.openxmlformats.org/officeDocument/2006/relationships/hyperlink" Target="http://www.linkedin.com/in/brettclay" TargetMode="External"/><Relationship Id="rId9254" Type="http://schemas.openxmlformats.org/officeDocument/2006/relationships/hyperlink" Target="http://www.linkedin.com/in/salesleadexpert" TargetMode="External"/><Relationship Id="rId9255" Type="http://schemas.openxmlformats.org/officeDocument/2006/relationships/hyperlink" Target="http://www.linkedin.com/in/linville" TargetMode="External"/><Relationship Id="rId9256" Type="http://schemas.openxmlformats.org/officeDocument/2006/relationships/hyperlink" Target="http://www.linkedin.com/pub/jeremy-schultz/3/598/764" TargetMode="External"/><Relationship Id="rId9250" Type="http://schemas.openxmlformats.org/officeDocument/2006/relationships/hyperlink" Target="http://www.linkedin.com/in/rohitdewan" TargetMode="External"/><Relationship Id="rId9251" Type="http://schemas.openxmlformats.org/officeDocument/2006/relationships/hyperlink" Target="http://www.linkedin.com/pub/steve-berke/B/891/419" TargetMode="External"/><Relationship Id="rId9252" Type="http://schemas.openxmlformats.org/officeDocument/2006/relationships/hyperlink" Target="http://www.linkedin.com/in/colindaymude" TargetMode="External"/><Relationship Id="rId9257" Type="http://schemas.openxmlformats.org/officeDocument/2006/relationships/hyperlink" Target="http://www.linkedin.com/pub/jenny-ciappa/3/605/99A" TargetMode="External"/><Relationship Id="rId9258" Type="http://schemas.openxmlformats.org/officeDocument/2006/relationships/hyperlink" Target="http://www.linkedin.com/pub/jim-justinich/3/74A/868" TargetMode="External"/><Relationship Id="rId9259" Type="http://schemas.openxmlformats.org/officeDocument/2006/relationships/hyperlink" Target="http://www.linkedin.com/pub/alan-daniel/11/45/9A8" TargetMode="External"/><Relationship Id="rId9242" Type="http://schemas.openxmlformats.org/officeDocument/2006/relationships/hyperlink" Target="http://www.linkedin.com/in/markstouse" TargetMode="External"/><Relationship Id="rId9243" Type="http://schemas.openxmlformats.org/officeDocument/2006/relationships/hyperlink" Target="http://www.linkedin.com/in/danielha" TargetMode="External"/><Relationship Id="rId9244" Type="http://schemas.openxmlformats.org/officeDocument/2006/relationships/hyperlink" Target="http://www.linkedin.com/in/ronzaragoza" TargetMode="External"/><Relationship Id="rId9245" Type="http://schemas.openxmlformats.org/officeDocument/2006/relationships/hyperlink" Target="http://www.linkedin.com/in/larryschweitzer" TargetMode="External"/><Relationship Id="rId9240" Type="http://schemas.openxmlformats.org/officeDocument/2006/relationships/hyperlink" Target="http://www.linkedin.com/pub/scott-davis/3/53/7A7" TargetMode="External"/><Relationship Id="rId9241" Type="http://schemas.openxmlformats.org/officeDocument/2006/relationships/hyperlink" Target="http://www.linkedin.com/in/ronshell" TargetMode="External"/><Relationship Id="rId9246" Type="http://schemas.openxmlformats.org/officeDocument/2006/relationships/hyperlink" Target="http://www.linkedin.com/in/rwalkervc" TargetMode="External"/><Relationship Id="rId9247" Type="http://schemas.openxmlformats.org/officeDocument/2006/relationships/hyperlink" Target="http://www.linkedin.com/in/cms1013" TargetMode="External"/><Relationship Id="rId9248" Type="http://schemas.openxmlformats.org/officeDocument/2006/relationships/hyperlink" Target="http://www.linkedin.com/pub/tim-johnson/4/1A/37A" TargetMode="External"/><Relationship Id="rId9249" Type="http://schemas.openxmlformats.org/officeDocument/2006/relationships/hyperlink" Target="http://www.linkedin.com/in/paulsitar" TargetMode="External"/><Relationship Id="rId9280" Type="http://schemas.openxmlformats.org/officeDocument/2006/relationships/hyperlink" Target="http://www.linkedin.com/in/bobbyfishkin" TargetMode="External"/><Relationship Id="rId9281" Type="http://schemas.openxmlformats.org/officeDocument/2006/relationships/hyperlink" Target="http://www.linkedin.com/in/cmcmanis" TargetMode="External"/><Relationship Id="rId9275" Type="http://schemas.openxmlformats.org/officeDocument/2006/relationships/hyperlink" Target="http://www.linkedin.com/in/davidrbernstein" TargetMode="External"/><Relationship Id="rId9276" Type="http://schemas.openxmlformats.org/officeDocument/2006/relationships/hyperlink" Target="http://www.linkedin.com/in/mtanner" TargetMode="External"/><Relationship Id="rId9277" Type="http://schemas.openxmlformats.org/officeDocument/2006/relationships/hyperlink" Target="http://www.linkedin.com/pub/paul-zyla/3/A47/B89" TargetMode="External"/><Relationship Id="rId9278" Type="http://schemas.openxmlformats.org/officeDocument/2006/relationships/hyperlink" Target="http://www.linkedin.com/in/lloydtaylor" TargetMode="External"/><Relationship Id="rId9271" Type="http://schemas.openxmlformats.org/officeDocument/2006/relationships/hyperlink" Target="http://www.linkedin.com/in/tomfishburne" TargetMode="External"/><Relationship Id="rId9272" Type="http://schemas.openxmlformats.org/officeDocument/2006/relationships/hyperlink" Target="http://www.linkedin.com/in/jjoyner" TargetMode="External"/><Relationship Id="rId9273" Type="http://schemas.openxmlformats.org/officeDocument/2006/relationships/hyperlink" Target="http://www.linkedin.com/in/pierreloic" TargetMode="External"/><Relationship Id="rId9274" Type="http://schemas.openxmlformats.org/officeDocument/2006/relationships/hyperlink" Target="http://ca.linkedin.com/in/jenhunter" TargetMode="External"/><Relationship Id="rId9279" Type="http://schemas.openxmlformats.org/officeDocument/2006/relationships/hyperlink" Target="http://www.linkedin.com/pub/jeffrey-williams/3/80B/307" TargetMode="External"/><Relationship Id="rId9270" Type="http://schemas.openxmlformats.org/officeDocument/2006/relationships/hyperlink" Target="http://www.linkedin.com/in/pkjarvis" TargetMode="External"/><Relationship Id="rId9264" Type="http://schemas.openxmlformats.org/officeDocument/2006/relationships/hyperlink" Target="http://www.linkedin.com/pub/josh-fieldman/8/B8B/19B" TargetMode="External"/><Relationship Id="rId9265" Type="http://schemas.openxmlformats.org/officeDocument/2006/relationships/hyperlink" Target="http://www.linkedin.com/pub/mike-mcbride/0/81A/11A" TargetMode="External"/><Relationship Id="rId9266" Type="http://schemas.openxmlformats.org/officeDocument/2006/relationships/hyperlink" Target="http://www.linkedin.com/in/fages04081963" TargetMode="External"/><Relationship Id="rId9267" Type="http://schemas.openxmlformats.org/officeDocument/2006/relationships/hyperlink" Target="http://www.linkedin.com/in/christianbuckley" TargetMode="External"/><Relationship Id="rId9260" Type="http://schemas.openxmlformats.org/officeDocument/2006/relationships/hyperlink" Target="http://www.linkedin.com/in/micheleelsaesser" TargetMode="External"/><Relationship Id="rId9261" Type="http://schemas.openxmlformats.org/officeDocument/2006/relationships/hyperlink" Target="http://www.linkedin.com/pub/erin-swim/11/261/614" TargetMode="External"/><Relationship Id="rId9262" Type="http://schemas.openxmlformats.org/officeDocument/2006/relationships/hyperlink" Target="http://www.linkedin.com/pub/ellen-gould/3/177/80A" TargetMode="External"/><Relationship Id="rId9263" Type="http://schemas.openxmlformats.org/officeDocument/2006/relationships/hyperlink" Target="http://www.linkedin.com/in/robertjreagan" TargetMode="External"/><Relationship Id="rId9268" Type="http://schemas.openxmlformats.org/officeDocument/2006/relationships/hyperlink" Target="http://www.linkedin.com/in/sfrancisatx" TargetMode="External"/><Relationship Id="rId9269" Type="http://schemas.openxmlformats.org/officeDocument/2006/relationships/hyperlink" Target="http://www.linkedin.com/pub/craig-nevill-manning/0/2/A62" TargetMode="External"/><Relationship Id="rId3117" Type="http://schemas.openxmlformats.org/officeDocument/2006/relationships/hyperlink" Target="http://ar.linkedin.com/in/pablosz" TargetMode="External"/><Relationship Id="rId4448" Type="http://schemas.openxmlformats.org/officeDocument/2006/relationships/hyperlink" Target="http://www.linkedin.com/pub/romina-gomez-vieyra/21/420/7bb" TargetMode="External"/><Relationship Id="rId3116" Type="http://schemas.openxmlformats.org/officeDocument/2006/relationships/hyperlink" Target="http://ar.linkedin.com/pub/monica-merodio/29/A71/B8B" TargetMode="External"/><Relationship Id="rId4447" Type="http://schemas.openxmlformats.org/officeDocument/2006/relationships/hyperlink" Target="http://ar.linkedin.com/in/alejandrotombesi" TargetMode="External"/><Relationship Id="rId3119" Type="http://schemas.openxmlformats.org/officeDocument/2006/relationships/hyperlink" Target="http://ar.linkedin.com/in/cristianmensegues" TargetMode="External"/><Relationship Id="rId5778" Type="http://schemas.openxmlformats.org/officeDocument/2006/relationships/hyperlink" Target="http://ar.linkedin.com/in/marianostempler" TargetMode="External"/><Relationship Id="rId3118" Type="http://schemas.openxmlformats.org/officeDocument/2006/relationships/hyperlink" Target="http://ar.linkedin.com/in/rabulafia" TargetMode="External"/><Relationship Id="rId4449" Type="http://schemas.openxmlformats.org/officeDocument/2006/relationships/hyperlink" Target="http://ar.linkedin.com/pub/eduardo-canedo/9/1B4/330" TargetMode="External"/><Relationship Id="rId5779" Type="http://schemas.openxmlformats.org/officeDocument/2006/relationships/hyperlink" Target="http://ar.linkedin.com/in/claudioroitman" TargetMode="External"/><Relationship Id="rId4440" Type="http://schemas.openxmlformats.org/officeDocument/2006/relationships/hyperlink" Target="http://ar.linkedin.com/in/sebastiannardi" TargetMode="External"/><Relationship Id="rId5772" Type="http://schemas.openxmlformats.org/officeDocument/2006/relationships/hyperlink" Target="http://www.linkedin.com/pub/jerson-calderon/9/219/153" TargetMode="External"/><Relationship Id="rId5773" Type="http://schemas.openxmlformats.org/officeDocument/2006/relationships/hyperlink" Target="http://www.linkedin.com/pub/randall-wiley/2/780/4A6" TargetMode="External"/><Relationship Id="rId3111" Type="http://schemas.openxmlformats.org/officeDocument/2006/relationships/hyperlink" Target="http://ar.linkedin.com/in/jimenaferriol" TargetMode="External"/><Relationship Id="rId4442" Type="http://schemas.openxmlformats.org/officeDocument/2006/relationships/hyperlink" Target="http://ar.linkedin.com/pub/martin-lang/8/848/563" TargetMode="External"/><Relationship Id="rId5770" Type="http://schemas.openxmlformats.org/officeDocument/2006/relationships/hyperlink" Target="http://ar.linkedin.com/in/paulobusacca" TargetMode="External"/><Relationship Id="rId3110" Type="http://schemas.openxmlformats.org/officeDocument/2006/relationships/hyperlink" Target="http://ar.linkedin.com/pub/carla-marcelli/0/243/160" TargetMode="External"/><Relationship Id="rId4441" Type="http://schemas.openxmlformats.org/officeDocument/2006/relationships/hyperlink" Target="http://ar.linkedin.com/pub/luc%C3%ADa-cabral/21/870/622" TargetMode="External"/><Relationship Id="rId5771" Type="http://schemas.openxmlformats.org/officeDocument/2006/relationships/hyperlink" Target="http://www.linkedin.com/in/marianaoz36" TargetMode="External"/><Relationship Id="rId3113" Type="http://schemas.openxmlformats.org/officeDocument/2006/relationships/hyperlink" Target="http://www.linkedin.com/pub/dario-busco/4/343/575" TargetMode="External"/><Relationship Id="rId4444" Type="http://schemas.openxmlformats.org/officeDocument/2006/relationships/hyperlink" Target="http://ar.linkedin.com/pub/carlos-mari/1/173/B78" TargetMode="External"/><Relationship Id="rId5776" Type="http://schemas.openxmlformats.org/officeDocument/2006/relationships/hyperlink" Target="http://ar.linkedin.com/in/podestacc" TargetMode="External"/><Relationship Id="rId3112" Type="http://schemas.openxmlformats.org/officeDocument/2006/relationships/hyperlink" Target="http://ar.linkedin.com/pub/alejandro-zalazar/2/409/515" TargetMode="External"/><Relationship Id="rId4443" Type="http://schemas.openxmlformats.org/officeDocument/2006/relationships/hyperlink" Target="http://www.linkedin.com/pub/carlos-defez/a/b73/554" TargetMode="External"/><Relationship Id="rId5777" Type="http://schemas.openxmlformats.org/officeDocument/2006/relationships/hyperlink" Target="http://ar.linkedin.com/pub/fabian-esposito/6/9B/910" TargetMode="External"/><Relationship Id="rId3115" Type="http://schemas.openxmlformats.org/officeDocument/2006/relationships/hyperlink" Target="http://ar.linkedin.com/pub/cristian-gandrup/12/446/155" TargetMode="External"/><Relationship Id="rId4446" Type="http://schemas.openxmlformats.org/officeDocument/2006/relationships/hyperlink" Target="http://ar.linkedin.com/pub/tiseira-patricia/B/A00/441" TargetMode="External"/><Relationship Id="rId5774" Type="http://schemas.openxmlformats.org/officeDocument/2006/relationships/hyperlink" Target="http://www.linkedin.com/pub/dar%C3%ADo-galasso/22/702/545" TargetMode="External"/><Relationship Id="rId3114" Type="http://schemas.openxmlformats.org/officeDocument/2006/relationships/hyperlink" Target="http://ar.linkedin.com/pub/jorge-amadeo/5/426/A62" TargetMode="External"/><Relationship Id="rId4445" Type="http://schemas.openxmlformats.org/officeDocument/2006/relationships/hyperlink" Target="http://ar.linkedin.com/in/gerardogil" TargetMode="External"/><Relationship Id="rId5775" Type="http://schemas.openxmlformats.org/officeDocument/2006/relationships/hyperlink" Target="http://www.linkedin.com/in/sicanepa" TargetMode="External"/><Relationship Id="rId3106" Type="http://schemas.openxmlformats.org/officeDocument/2006/relationships/hyperlink" Target="http://uk.linkedin.com/pub/yann-roche/A/A37/581" TargetMode="External"/><Relationship Id="rId4437" Type="http://schemas.openxmlformats.org/officeDocument/2006/relationships/hyperlink" Target="http://www.linkedin.com/pub/gabriel-fabi%C3%A1n-font/14/4a0/406" TargetMode="External"/><Relationship Id="rId5769" Type="http://schemas.openxmlformats.org/officeDocument/2006/relationships/hyperlink" Target="http://www.linkedin.com/pub/chris-blackburn/13/486/973" TargetMode="External"/><Relationship Id="rId3105" Type="http://schemas.openxmlformats.org/officeDocument/2006/relationships/hyperlink" Target="http://ar.linkedin.com/pub/matias-heinrich/2/23B/A68" TargetMode="External"/><Relationship Id="rId4436" Type="http://schemas.openxmlformats.org/officeDocument/2006/relationships/hyperlink" Target="http://ar.linkedin.com/in/agriffouliere" TargetMode="External"/><Relationship Id="rId3108" Type="http://schemas.openxmlformats.org/officeDocument/2006/relationships/hyperlink" Target="http://www.linkedin.com/pub/dina-sznirer/0/246/428" TargetMode="External"/><Relationship Id="rId4439" Type="http://schemas.openxmlformats.org/officeDocument/2006/relationships/hyperlink" Target="http://ar.linkedin.com/pub/jorge-rousseaux/8/853/81A" TargetMode="External"/><Relationship Id="rId5767" Type="http://schemas.openxmlformats.org/officeDocument/2006/relationships/hyperlink" Target="http://ar.linkedin.com/in/leonardoabdelnour" TargetMode="External"/><Relationship Id="rId3107" Type="http://schemas.openxmlformats.org/officeDocument/2006/relationships/hyperlink" Target="http://ar.linkedin.com/in/monicavilanova" TargetMode="External"/><Relationship Id="rId4438" Type="http://schemas.openxmlformats.org/officeDocument/2006/relationships/hyperlink" Target="http://ar.linkedin.com/pub/guido-belotti/6/A80/B46" TargetMode="External"/><Relationship Id="rId5768" Type="http://schemas.openxmlformats.org/officeDocument/2006/relationships/hyperlink" Target="http://www.linkedin.com/pub/melisa-loyza/30/81/273" TargetMode="External"/><Relationship Id="rId3109" Type="http://schemas.openxmlformats.org/officeDocument/2006/relationships/hyperlink" Target="http://uk.linkedin.com/pub/andy-turner/8/A32/827" TargetMode="External"/><Relationship Id="rId5761" Type="http://schemas.openxmlformats.org/officeDocument/2006/relationships/hyperlink" Target="https://www.linkedin.com/in/estebansuti" TargetMode="External"/><Relationship Id="rId5762" Type="http://schemas.openxmlformats.org/officeDocument/2006/relationships/hyperlink" Target="http://ar.linkedin.com/in/marcelosaludas" TargetMode="External"/><Relationship Id="rId3100" Type="http://schemas.openxmlformats.org/officeDocument/2006/relationships/hyperlink" Target="http://ar.linkedin.com/pub/alberto-luque/6/986/7B9" TargetMode="External"/><Relationship Id="rId4431" Type="http://schemas.openxmlformats.org/officeDocument/2006/relationships/hyperlink" Target="http://ar.linkedin.com/pub/daniel-l-dominguez/18/51/BB5" TargetMode="External"/><Relationship Id="rId4430" Type="http://schemas.openxmlformats.org/officeDocument/2006/relationships/hyperlink" Target="http://ar.linkedin.com/in/yesicavissani" TargetMode="External"/><Relationship Id="rId5760" Type="http://schemas.openxmlformats.org/officeDocument/2006/relationships/hyperlink" Target="http://www.linkedin.com/pub/chris-heller/0/650/907" TargetMode="External"/><Relationship Id="rId3102" Type="http://schemas.openxmlformats.org/officeDocument/2006/relationships/hyperlink" Target="http://www.linkedin.com/pub/guido-cambiasso/a/914/674" TargetMode="External"/><Relationship Id="rId4433" Type="http://schemas.openxmlformats.org/officeDocument/2006/relationships/hyperlink" Target="http://www.linkedin.com/in/edumoranvallejos" TargetMode="External"/><Relationship Id="rId5765" Type="http://schemas.openxmlformats.org/officeDocument/2006/relationships/hyperlink" Target="http://ar.linkedin.com/pub/nicol-s-pablo-raposo/23/837/186" TargetMode="External"/><Relationship Id="rId3101" Type="http://schemas.openxmlformats.org/officeDocument/2006/relationships/hyperlink" Target="http://www.linkedin.com/pub/marcelo-chouhy/4/b9b/b9a" TargetMode="External"/><Relationship Id="rId4432" Type="http://schemas.openxmlformats.org/officeDocument/2006/relationships/hyperlink" Target="http://ar.linkedin.com/pub/jorge-demaria/5/B90/367" TargetMode="External"/><Relationship Id="rId5766" Type="http://schemas.openxmlformats.org/officeDocument/2006/relationships/hyperlink" Target="http://www.linkedin.com/pub/jim-fong/0/93A/B79" TargetMode="External"/><Relationship Id="rId3104" Type="http://schemas.openxmlformats.org/officeDocument/2006/relationships/hyperlink" Target="http://ar.linkedin.com/pub/alejandro-alculumbre/B/68B/81" TargetMode="External"/><Relationship Id="rId4435" Type="http://schemas.openxmlformats.org/officeDocument/2006/relationships/hyperlink" Target="http://ar.linkedin.com/in/ramaguido" TargetMode="External"/><Relationship Id="rId5763" Type="http://schemas.openxmlformats.org/officeDocument/2006/relationships/hyperlink" Target="http://ar.linkedin.com/in/javiervillegas" TargetMode="External"/><Relationship Id="rId3103" Type="http://schemas.openxmlformats.org/officeDocument/2006/relationships/hyperlink" Target="http://www.linkedin.com/pub/dolder-javier/1/456/587" TargetMode="External"/><Relationship Id="rId4434" Type="http://schemas.openxmlformats.org/officeDocument/2006/relationships/hyperlink" Target="http://www.linkedin.com/in/diegoarnaiz" TargetMode="External"/><Relationship Id="rId5764" Type="http://schemas.openxmlformats.org/officeDocument/2006/relationships/hyperlink" Target="http://www.linkedin.com/pub/vinay-shankar/0/630/72A" TargetMode="External"/><Relationship Id="rId3139" Type="http://schemas.openxmlformats.org/officeDocument/2006/relationships/hyperlink" Target="http://ar.linkedin.com/pub/mariana-di-bella/A/875/3A9" TargetMode="External"/><Relationship Id="rId3138" Type="http://schemas.openxmlformats.org/officeDocument/2006/relationships/hyperlink" Target="http://www.linkedin.com/pub/pablo-schcolnik/8/b93/a09" TargetMode="External"/><Relationship Id="rId4469" Type="http://schemas.openxmlformats.org/officeDocument/2006/relationships/hyperlink" Target="http://www.linkedin.com/pub/adri%C3%A1n-kappes/20/250/789" TargetMode="External"/><Relationship Id="rId5790" Type="http://schemas.openxmlformats.org/officeDocument/2006/relationships/hyperlink" Target="http://ar.linkedin.com/pub/nanci-turrado/13/B78/301" TargetMode="External"/><Relationship Id="rId5791" Type="http://schemas.openxmlformats.org/officeDocument/2006/relationships/hyperlink" Target="http://ar.linkedin.com/pub/miguel-perez/18/B4/893" TargetMode="External"/><Relationship Id="rId4460" Type="http://schemas.openxmlformats.org/officeDocument/2006/relationships/hyperlink" Target="http://www.linkedin.com/pub/mar%C3%ADa-bel%C3%A9n-trezza/16/331/9b0" TargetMode="External"/><Relationship Id="rId3131" Type="http://schemas.openxmlformats.org/officeDocument/2006/relationships/hyperlink" Target="http://www.linkedin.com/in/julianzarate" TargetMode="External"/><Relationship Id="rId4462" Type="http://schemas.openxmlformats.org/officeDocument/2006/relationships/hyperlink" Target="http://ar.linkedin.com/pub/eduardo-andrino/1/58/839" TargetMode="External"/><Relationship Id="rId5794" Type="http://schemas.openxmlformats.org/officeDocument/2006/relationships/hyperlink" Target="http://ar.linkedin.com/in/smadrigale" TargetMode="External"/><Relationship Id="rId3130" Type="http://schemas.openxmlformats.org/officeDocument/2006/relationships/hyperlink" Target="http://ar.linkedin.com/in/dvukov" TargetMode="External"/><Relationship Id="rId4461" Type="http://schemas.openxmlformats.org/officeDocument/2006/relationships/hyperlink" Target="http://www.linkedin.com/pub/luraschi-sebastian/9/1b5/4ab" TargetMode="External"/><Relationship Id="rId5795" Type="http://schemas.openxmlformats.org/officeDocument/2006/relationships/hyperlink" Target="http://ar.linkedin.com/pub/alejandro-solla/22/91B/96A" TargetMode="External"/><Relationship Id="rId3133" Type="http://schemas.openxmlformats.org/officeDocument/2006/relationships/hyperlink" Target="http://www.linkedin.com/pub/juan-pablo-juanpi/6/6b0/505" TargetMode="External"/><Relationship Id="rId4464" Type="http://schemas.openxmlformats.org/officeDocument/2006/relationships/hyperlink" Target="http://ar.linkedin.com/in/angelyamada" TargetMode="External"/><Relationship Id="rId5792" Type="http://schemas.openxmlformats.org/officeDocument/2006/relationships/hyperlink" Target="http://www.linkedin.com/pub/carlos-lagler/12/a99/446" TargetMode="External"/><Relationship Id="rId3132" Type="http://schemas.openxmlformats.org/officeDocument/2006/relationships/hyperlink" Target="http://ar.linkedin.com/pub/guido-militello/9/8B5/535" TargetMode="External"/><Relationship Id="rId4463" Type="http://schemas.openxmlformats.org/officeDocument/2006/relationships/hyperlink" Target="http://ar.linkedin.com/in/piacambariere" TargetMode="External"/><Relationship Id="rId5793" Type="http://schemas.openxmlformats.org/officeDocument/2006/relationships/hyperlink" Target="http://ar.linkedin.com/pub/fernando-aquino/17/183/226" TargetMode="External"/><Relationship Id="rId3135" Type="http://schemas.openxmlformats.org/officeDocument/2006/relationships/hyperlink" Target="http://ar.linkedin.com/in/navarroaxel" TargetMode="External"/><Relationship Id="rId4466" Type="http://schemas.openxmlformats.org/officeDocument/2006/relationships/hyperlink" Target="http://ar.linkedin.com/in/juandalotto" TargetMode="External"/><Relationship Id="rId5798" Type="http://schemas.openxmlformats.org/officeDocument/2006/relationships/hyperlink" Target="http://www.linkedin.com/pub/lautaro-merigo/19/584/576" TargetMode="External"/><Relationship Id="rId3134" Type="http://schemas.openxmlformats.org/officeDocument/2006/relationships/hyperlink" Target="http://ar.linkedin.com/pub/julio-lima/5/AA3/265" TargetMode="External"/><Relationship Id="rId4465" Type="http://schemas.openxmlformats.org/officeDocument/2006/relationships/hyperlink" Target="http://ar.linkedin.com/pub/alejandra-rosas/A/745/625" TargetMode="External"/><Relationship Id="rId5799" Type="http://schemas.openxmlformats.org/officeDocument/2006/relationships/hyperlink" Target="http://ar.linkedin.com/pub/julieta-barrionuevo/10/5B0/B1" TargetMode="External"/><Relationship Id="rId3137" Type="http://schemas.openxmlformats.org/officeDocument/2006/relationships/hyperlink" Target="http://www.linkedin.com/in/mauriciolombardo" TargetMode="External"/><Relationship Id="rId4468" Type="http://schemas.openxmlformats.org/officeDocument/2006/relationships/hyperlink" Target="http://ar.linkedin.com/pub/valeria-izzo/11/2AB/553" TargetMode="External"/><Relationship Id="rId5796" Type="http://schemas.openxmlformats.org/officeDocument/2006/relationships/hyperlink" Target="http://www.linkedin.com/in/diegoabruno" TargetMode="External"/><Relationship Id="rId3136" Type="http://schemas.openxmlformats.org/officeDocument/2006/relationships/hyperlink" Target="http://ar.linkedin.com/in/fernandezsm" TargetMode="External"/><Relationship Id="rId4467" Type="http://schemas.openxmlformats.org/officeDocument/2006/relationships/hyperlink" Target="http://ar.linkedin.com/pub/hugo-coiro/0/30B/555" TargetMode="External"/><Relationship Id="rId5797" Type="http://schemas.openxmlformats.org/officeDocument/2006/relationships/hyperlink" Target="http://www.linkedin.com/in/mariarfernandez" TargetMode="External"/><Relationship Id="rId3128" Type="http://schemas.openxmlformats.org/officeDocument/2006/relationships/hyperlink" Target="http://ar.linkedin.com/pub/ezequiel-alfredo-pignatta/1B/481/635" TargetMode="External"/><Relationship Id="rId4459" Type="http://schemas.openxmlformats.org/officeDocument/2006/relationships/hyperlink" Target="http://www.linkedin.com/pub/soledad-vicenzotti/24/aa9/a84" TargetMode="External"/><Relationship Id="rId3127" Type="http://schemas.openxmlformats.org/officeDocument/2006/relationships/hyperlink" Target="http://www.linkedin.com/pub/martin-tropper/0/484/4a4" TargetMode="External"/><Relationship Id="rId4458" Type="http://schemas.openxmlformats.org/officeDocument/2006/relationships/hyperlink" Target="http://ar.linkedin.com/in/claudioquipildor" TargetMode="External"/><Relationship Id="rId5789" Type="http://schemas.openxmlformats.org/officeDocument/2006/relationships/hyperlink" Target="http://ar.linkedin.com/in/mumibarbosa" TargetMode="External"/><Relationship Id="rId3129" Type="http://schemas.openxmlformats.org/officeDocument/2006/relationships/hyperlink" Target="http://www.linkedin.com/pub/mike-denny/4/500/466" TargetMode="External"/><Relationship Id="rId5780" Type="http://schemas.openxmlformats.org/officeDocument/2006/relationships/hyperlink" Target="http://www.linkedin.com/in/molinadamian" TargetMode="External"/><Relationship Id="rId3120" Type="http://schemas.openxmlformats.org/officeDocument/2006/relationships/hyperlink" Target="http://www.linkedin.com/pub/optierp-sistemas/2a/3a2/a34" TargetMode="External"/><Relationship Id="rId4451" Type="http://schemas.openxmlformats.org/officeDocument/2006/relationships/hyperlink" Target="http://ar.linkedin.com/in/pberkovics" TargetMode="External"/><Relationship Id="rId5783" Type="http://schemas.openxmlformats.org/officeDocument/2006/relationships/hyperlink" Target="http://ar.linkedin.com/pub/ramiro-gallo/4/2A/690" TargetMode="External"/><Relationship Id="rId4450" Type="http://schemas.openxmlformats.org/officeDocument/2006/relationships/hyperlink" Target="http://ar.linkedin.com/pub/gustavo-marcelo-fourcade/B/357/B85" TargetMode="External"/><Relationship Id="rId5784" Type="http://schemas.openxmlformats.org/officeDocument/2006/relationships/hyperlink" Target="http://ar.linkedin.com/pub/andrea-serrano/4/A88/245" TargetMode="External"/><Relationship Id="rId3122" Type="http://schemas.openxmlformats.org/officeDocument/2006/relationships/hyperlink" Target="http://ar.linkedin.com/pub/mar%C3%ADa-pellitta/23/38A/865" TargetMode="External"/><Relationship Id="rId4453" Type="http://schemas.openxmlformats.org/officeDocument/2006/relationships/hyperlink" Target="http://ar.linkedin.com/pub/julieta-dalam-n/8/166/4B2" TargetMode="External"/><Relationship Id="rId5781" Type="http://schemas.openxmlformats.org/officeDocument/2006/relationships/hyperlink" Target="http://ar.linkedin.com/in/jonatanfasano" TargetMode="External"/><Relationship Id="rId3121" Type="http://schemas.openxmlformats.org/officeDocument/2006/relationships/hyperlink" Target="http://ar.linkedin.com/pub/julia-miranda/1/796/238" TargetMode="External"/><Relationship Id="rId4452" Type="http://schemas.openxmlformats.org/officeDocument/2006/relationships/hyperlink" Target="http://ar.linkedin.com/in/gvisintin" TargetMode="External"/><Relationship Id="rId5782" Type="http://schemas.openxmlformats.org/officeDocument/2006/relationships/hyperlink" Target="http://www.linkedin.com/pub/gustavo-berron/23/92/a33" TargetMode="External"/><Relationship Id="rId3124" Type="http://schemas.openxmlformats.org/officeDocument/2006/relationships/hyperlink" Target="http://www.linkedin.com/pub/victor-tenorio/5/663/63" TargetMode="External"/><Relationship Id="rId4455" Type="http://schemas.openxmlformats.org/officeDocument/2006/relationships/hyperlink" Target="http://ar.linkedin.com/pub/pablo-a-fernandez/8/132/196" TargetMode="External"/><Relationship Id="rId5787" Type="http://schemas.openxmlformats.org/officeDocument/2006/relationships/hyperlink" Target="http://ar.linkedin.com/pub/javier-alfonso/15/927/11" TargetMode="External"/><Relationship Id="rId3123" Type="http://schemas.openxmlformats.org/officeDocument/2006/relationships/hyperlink" Target="http://ar.linkedin.com/pub/jorge-sabatini/23/72A/678" TargetMode="External"/><Relationship Id="rId4454" Type="http://schemas.openxmlformats.org/officeDocument/2006/relationships/hyperlink" Target="http://www.linkedin.com/in/marianodelavega" TargetMode="External"/><Relationship Id="rId5788" Type="http://schemas.openxmlformats.org/officeDocument/2006/relationships/hyperlink" Target="http://ar.linkedin.com/pub/nicolas-casco/9/33/1A5" TargetMode="External"/><Relationship Id="rId3126" Type="http://schemas.openxmlformats.org/officeDocument/2006/relationships/hyperlink" Target="http://ar.linkedin.com/pub/jorge-ferreiro/0/386/462" TargetMode="External"/><Relationship Id="rId4457" Type="http://schemas.openxmlformats.org/officeDocument/2006/relationships/hyperlink" Target="http://ar.linkedin.com/in/jonatansuarez" TargetMode="External"/><Relationship Id="rId5785" Type="http://schemas.openxmlformats.org/officeDocument/2006/relationships/hyperlink" Target="http://ar.linkedin.com/in/marielminotti" TargetMode="External"/><Relationship Id="rId3125" Type="http://schemas.openxmlformats.org/officeDocument/2006/relationships/hyperlink" Target="http://ar.linkedin.com/pub/enrique-arce/0/266/28" TargetMode="External"/><Relationship Id="rId4456" Type="http://schemas.openxmlformats.org/officeDocument/2006/relationships/hyperlink" Target="http://ar.linkedin.com/pub/paula-renes/25/8B/7A7" TargetMode="External"/><Relationship Id="rId5786" Type="http://schemas.openxmlformats.org/officeDocument/2006/relationships/hyperlink" Target="http://www.linkedin.com/pub/richar-dalmada/9/269/535" TargetMode="External"/><Relationship Id="rId4404" Type="http://schemas.openxmlformats.org/officeDocument/2006/relationships/hyperlink" Target="http://ar.linkedin.com/pub/monica-szydlowski/B/31A/186" TargetMode="External"/><Relationship Id="rId5736" Type="http://schemas.openxmlformats.org/officeDocument/2006/relationships/hyperlink" Target="http://www.linkedin.com/pub/steve-metcalf/11/628/A5" TargetMode="External"/><Relationship Id="rId4403" Type="http://schemas.openxmlformats.org/officeDocument/2006/relationships/hyperlink" Target="http://ar.linkedin.com/in/analiapalli" TargetMode="External"/><Relationship Id="rId5737" Type="http://schemas.openxmlformats.org/officeDocument/2006/relationships/hyperlink" Target="http://www.linkedin.com/in/patrickfrancois" TargetMode="External"/><Relationship Id="rId4406" Type="http://schemas.openxmlformats.org/officeDocument/2006/relationships/hyperlink" Target="http://ar.linkedin.com/pub/diego-zorzi/B/839/905" TargetMode="External"/><Relationship Id="rId5734" Type="http://schemas.openxmlformats.org/officeDocument/2006/relationships/hyperlink" Target="http://www.linkedin.com/in/rcreegan" TargetMode="External"/><Relationship Id="rId4405" Type="http://schemas.openxmlformats.org/officeDocument/2006/relationships/hyperlink" Target="http://ar.linkedin.com/in/cansebarrhh" TargetMode="External"/><Relationship Id="rId5735" Type="http://schemas.openxmlformats.org/officeDocument/2006/relationships/hyperlink" Target="http://www.linkedin.com/in/stevekennyraleigh" TargetMode="External"/><Relationship Id="rId4408" Type="http://schemas.openxmlformats.org/officeDocument/2006/relationships/hyperlink" Target="http://www.linkedin.com/pub/gabriela-yanina-assad/18/360/614" TargetMode="External"/><Relationship Id="rId4407" Type="http://schemas.openxmlformats.org/officeDocument/2006/relationships/hyperlink" Target="http://ar.linkedin.com/pub/marina-virginia-aragon-s/23/335/576" TargetMode="External"/><Relationship Id="rId5738" Type="http://schemas.openxmlformats.org/officeDocument/2006/relationships/hyperlink" Target="http://www.linkedin.com/pub/mark-lysynecky/24/28A/807" TargetMode="External"/><Relationship Id="rId4409" Type="http://schemas.openxmlformats.org/officeDocument/2006/relationships/hyperlink" Target="http://ar.linkedin.com/in/apanciera" TargetMode="External"/><Relationship Id="rId5739" Type="http://schemas.openxmlformats.org/officeDocument/2006/relationships/hyperlink" Target="http://www.linkedin.com/pub/kay-tarpley/7/11B/B5B" TargetMode="External"/><Relationship Id="rId4400" Type="http://schemas.openxmlformats.org/officeDocument/2006/relationships/hyperlink" Target="http://ar.linkedin.com/pub/federico-sandler/0/A70/775" TargetMode="External"/><Relationship Id="rId5732" Type="http://schemas.openxmlformats.org/officeDocument/2006/relationships/hyperlink" Target="http://www.linkedin.com/in/mikepollitt" TargetMode="External"/><Relationship Id="rId5733" Type="http://schemas.openxmlformats.org/officeDocument/2006/relationships/hyperlink" Target="http://www.linkedin.com/pub/walter-pajaro/3/948/270" TargetMode="External"/><Relationship Id="rId4402" Type="http://schemas.openxmlformats.org/officeDocument/2006/relationships/hyperlink" Target="http://ar.linkedin.com/pub/adrian-silberman/0/38B/427" TargetMode="External"/><Relationship Id="rId5730" Type="http://schemas.openxmlformats.org/officeDocument/2006/relationships/hyperlink" Target="http://www.linkedin.com/in/petergailey" TargetMode="External"/><Relationship Id="rId4401" Type="http://schemas.openxmlformats.org/officeDocument/2006/relationships/hyperlink" Target="http://ar.linkedin.com/in/lauravaillard" TargetMode="External"/><Relationship Id="rId5731" Type="http://schemas.openxmlformats.org/officeDocument/2006/relationships/hyperlink" Target="http://www.linkedin.com/pub/kent-t-kelley/0/237/98" TargetMode="External"/><Relationship Id="rId5725" Type="http://schemas.openxmlformats.org/officeDocument/2006/relationships/hyperlink" Target="http://www.linkedin.com/pub/%E2%98%81%EF%B8%8Fmauricio-%C3%A1lvarez%E2%98%81%EF%B8%8F/0/138/14" TargetMode="External"/><Relationship Id="rId5726" Type="http://schemas.openxmlformats.org/officeDocument/2006/relationships/hyperlink" Target="http://www.linkedin.com/pub/julian-somodi/8/494/382" TargetMode="External"/><Relationship Id="rId5723" Type="http://schemas.openxmlformats.org/officeDocument/2006/relationships/hyperlink" Target="http://ar.linkedin.com/pub/omar-vallejos/1/975/700" TargetMode="External"/><Relationship Id="rId5724" Type="http://schemas.openxmlformats.org/officeDocument/2006/relationships/hyperlink" Target="http://ar.linkedin.com/in/bilinkis" TargetMode="External"/><Relationship Id="rId5729" Type="http://schemas.openxmlformats.org/officeDocument/2006/relationships/hyperlink" Target="http://www.linkedin.com/in/stevenborg" TargetMode="External"/><Relationship Id="rId5727" Type="http://schemas.openxmlformats.org/officeDocument/2006/relationships/hyperlink" Target="http://www.linkedin.com/pub/michael-snayd/0/4B0/880" TargetMode="External"/><Relationship Id="rId5728" Type="http://schemas.openxmlformats.org/officeDocument/2006/relationships/hyperlink" Target="http://www.linkedin.com/pub/dominic-telaro-cfpim-cirm/1/685/126" TargetMode="External"/><Relationship Id="rId5721" Type="http://schemas.openxmlformats.org/officeDocument/2006/relationships/hyperlink" Target="http://ar.linkedin.com/pub/leonardo-prada/5/A24/B31" TargetMode="External"/><Relationship Id="rId5722" Type="http://schemas.openxmlformats.org/officeDocument/2006/relationships/hyperlink" Target="http://ar.linkedin.com/in/smerlo" TargetMode="External"/><Relationship Id="rId5720" Type="http://schemas.openxmlformats.org/officeDocument/2006/relationships/hyperlink" Target="http://ar.linkedin.com/in/ncvier" TargetMode="External"/><Relationship Id="rId4426" Type="http://schemas.openxmlformats.org/officeDocument/2006/relationships/hyperlink" Target="http://ar.linkedin.com/in/nicolasferrario" TargetMode="External"/><Relationship Id="rId5758" Type="http://schemas.openxmlformats.org/officeDocument/2006/relationships/hyperlink" Target="http://www.linkedin.com/in/joejorczak" TargetMode="External"/><Relationship Id="rId4425" Type="http://schemas.openxmlformats.org/officeDocument/2006/relationships/hyperlink" Target="http://ar.linkedin.com/pub/julian-galazzi/A/526/B22" TargetMode="External"/><Relationship Id="rId5759" Type="http://schemas.openxmlformats.org/officeDocument/2006/relationships/hyperlink" Target="http://www.linkedin.com/pub/chris-ciauri/0/155/97B" TargetMode="External"/><Relationship Id="rId4428" Type="http://schemas.openxmlformats.org/officeDocument/2006/relationships/hyperlink" Target="http://www.linkedin.com/in/hbarrozo" TargetMode="External"/><Relationship Id="rId5756" Type="http://schemas.openxmlformats.org/officeDocument/2006/relationships/hyperlink" Target="http://www.linkedin.com/pub/jim-mckeighan/0/97A/313" TargetMode="External"/><Relationship Id="rId4427" Type="http://schemas.openxmlformats.org/officeDocument/2006/relationships/hyperlink" Target="http://ar.linkedin.com/in/grogowy" TargetMode="External"/><Relationship Id="rId5757" Type="http://schemas.openxmlformats.org/officeDocument/2006/relationships/hyperlink" Target="http://www.linkedin.com/in/ssugarman" TargetMode="External"/><Relationship Id="rId4429" Type="http://schemas.openxmlformats.org/officeDocument/2006/relationships/hyperlink" Target="http://ar.linkedin.com/pub/german-brito/1/756/245" TargetMode="External"/><Relationship Id="rId5750" Type="http://schemas.openxmlformats.org/officeDocument/2006/relationships/hyperlink" Target="http://www.linkedin.com/pub/luciene-regnery-lcb-mba-cgbp/10/728/806" TargetMode="External"/><Relationship Id="rId5751" Type="http://schemas.openxmlformats.org/officeDocument/2006/relationships/hyperlink" Target="http://ar.linkedin.com/pub/gustavo-lazzeri/1/B72/4B7" TargetMode="External"/><Relationship Id="rId4420" Type="http://schemas.openxmlformats.org/officeDocument/2006/relationships/hyperlink" Target="http://ar.linkedin.com/pub/carla-pasini/B/465/86" TargetMode="External"/><Relationship Id="rId4422" Type="http://schemas.openxmlformats.org/officeDocument/2006/relationships/hyperlink" Target="http://ar.linkedin.com/pub/martin-puppo/2A/910/331" TargetMode="External"/><Relationship Id="rId5754" Type="http://schemas.openxmlformats.org/officeDocument/2006/relationships/hyperlink" Target="http://ar.linkedin.com/in/ezequielsallis" TargetMode="External"/><Relationship Id="rId4421" Type="http://schemas.openxmlformats.org/officeDocument/2006/relationships/hyperlink" Target="http://www.linkedin.com/pub/noelia-del-ben/2a/79b/258" TargetMode="External"/><Relationship Id="rId5755" Type="http://schemas.openxmlformats.org/officeDocument/2006/relationships/hyperlink" Target="http://www.linkedin.com/pub/prakash-nauduri/0/6B2/629" TargetMode="External"/><Relationship Id="rId4424" Type="http://schemas.openxmlformats.org/officeDocument/2006/relationships/hyperlink" Target="http://ar.linkedin.com/pub/juan-martin-romero/22/37B/566" TargetMode="External"/><Relationship Id="rId5752" Type="http://schemas.openxmlformats.org/officeDocument/2006/relationships/hyperlink" Target="http://ar.linkedin.com/in/iglesias" TargetMode="External"/><Relationship Id="rId4423" Type="http://schemas.openxmlformats.org/officeDocument/2006/relationships/hyperlink" Target="http://www.linkedin.com/pub/mariela-panchenko/9/96b/a63" TargetMode="External"/><Relationship Id="rId5753" Type="http://schemas.openxmlformats.org/officeDocument/2006/relationships/hyperlink" Target="http://www.linkedin.com/in/adamroll" TargetMode="External"/><Relationship Id="rId4415" Type="http://schemas.openxmlformats.org/officeDocument/2006/relationships/hyperlink" Target="http://www.linkedin.com/pub/pablo-ren%C3%B3/0/239/96b" TargetMode="External"/><Relationship Id="rId5747" Type="http://schemas.openxmlformats.org/officeDocument/2006/relationships/hyperlink" Target="http://www.linkedin.com/pub/majo-ros-ferrando/20/8A7/903" TargetMode="External"/><Relationship Id="rId4414" Type="http://schemas.openxmlformats.org/officeDocument/2006/relationships/hyperlink" Target="http://ar.linkedin.com/pub/daniel-monetto/7/85A/419" TargetMode="External"/><Relationship Id="rId5748" Type="http://schemas.openxmlformats.org/officeDocument/2006/relationships/hyperlink" Target="http://www.linkedin.com/pub/inma-kern/27/B99/617" TargetMode="External"/><Relationship Id="rId4417" Type="http://schemas.openxmlformats.org/officeDocument/2006/relationships/hyperlink" Target="http://ar.linkedin.com/pub/valeria-viale/20/454/109" TargetMode="External"/><Relationship Id="rId5745" Type="http://schemas.openxmlformats.org/officeDocument/2006/relationships/hyperlink" Target="http://www.linkedin.com/in/ganeshvlrk" TargetMode="External"/><Relationship Id="rId4416" Type="http://schemas.openxmlformats.org/officeDocument/2006/relationships/hyperlink" Target="http://www.linkedin.com/pub/maria-catalina-arnaldo/14/515/22b" TargetMode="External"/><Relationship Id="rId5746" Type="http://schemas.openxmlformats.org/officeDocument/2006/relationships/hyperlink" Target="http://www.linkedin.com/pub/julien-testut/0/B47/81B" TargetMode="External"/><Relationship Id="rId4419" Type="http://schemas.openxmlformats.org/officeDocument/2006/relationships/hyperlink" Target="http://ar.linkedin.com/pub/roc%C3%ADo-bustamante/1/A96/A9" TargetMode="External"/><Relationship Id="rId4418" Type="http://schemas.openxmlformats.org/officeDocument/2006/relationships/hyperlink" Target="http://www.linkedin.com/pub/mariano-ruben-ghirelli/10/421/683" TargetMode="External"/><Relationship Id="rId5749" Type="http://schemas.openxmlformats.org/officeDocument/2006/relationships/hyperlink" Target="http://ar.linkedin.com/pub/ariel-martinez/3/92B/763" TargetMode="External"/><Relationship Id="rId5740" Type="http://schemas.openxmlformats.org/officeDocument/2006/relationships/hyperlink" Target="http://www.linkedin.com/pub/jaime-serrato/1/72/159" TargetMode="External"/><Relationship Id="rId4411" Type="http://schemas.openxmlformats.org/officeDocument/2006/relationships/hyperlink" Target="http://ar.linkedin.com/pub/natalia-fortunato/3/592/388" TargetMode="External"/><Relationship Id="rId5743" Type="http://schemas.openxmlformats.org/officeDocument/2006/relationships/hyperlink" Target="http://www.linkedin.com/pub/ana-lucero-alvarado/6/163/104" TargetMode="External"/><Relationship Id="rId4410" Type="http://schemas.openxmlformats.org/officeDocument/2006/relationships/hyperlink" Target="http://ar.linkedin.com/pub/natali-lloret/26/6A0/32" TargetMode="External"/><Relationship Id="rId5744" Type="http://schemas.openxmlformats.org/officeDocument/2006/relationships/hyperlink" Target="http://www.linkedin.com/pub/carlos-romero/2/A43/6" TargetMode="External"/><Relationship Id="rId4413" Type="http://schemas.openxmlformats.org/officeDocument/2006/relationships/hyperlink" Target="http://ar.linkedin.com/pub/gabriela-alvarez/30/A33/541" TargetMode="External"/><Relationship Id="rId5741" Type="http://schemas.openxmlformats.org/officeDocument/2006/relationships/hyperlink" Target="http://ar.linkedin.com/in/mereles" TargetMode="External"/><Relationship Id="rId4412" Type="http://schemas.openxmlformats.org/officeDocument/2006/relationships/hyperlink" Target="http://ar.linkedin.com/in/alejandrorush" TargetMode="External"/><Relationship Id="rId5742" Type="http://schemas.openxmlformats.org/officeDocument/2006/relationships/hyperlink" Target="http://www.linkedin.com/pub/juan-jeronimo-ginzburg/4/b77/560" TargetMode="External"/><Relationship Id="rId3191" Type="http://schemas.openxmlformats.org/officeDocument/2006/relationships/hyperlink" Target="http://ar.linkedin.com/pub/luciana-mor%C3%A1n/10/6B2/520" TargetMode="External"/><Relationship Id="rId3190" Type="http://schemas.openxmlformats.org/officeDocument/2006/relationships/hyperlink" Target="http://ar.linkedin.com/in/franciscotorres" TargetMode="External"/><Relationship Id="rId3193" Type="http://schemas.openxmlformats.org/officeDocument/2006/relationships/hyperlink" Target="http://ar.linkedin.com/in/mauroeg" TargetMode="External"/><Relationship Id="rId3192" Type="http://schemas.openxmlformats.org/officeDocument/2006/relationships/hyperlink" Target="http://ar.linkedin.com/pub/patricio-corvalan/23/317/215" TargetMode="External"/><Relationship Id="rId3195" Type="http://schemas.openxmlformats.org/officeDocument/2006/relationships/hyperlink" Target="http://ar.linkedin.com/pub/nicolas-letticugna/1B/A07/B09" TargetMode="External"/><Relationship Id="rId3194" Type="http://schemas.openxmlformats.org/officeDocument/2006/relationships/hyperlink" Target="http://ar.linkedin.com/pub/juan-ceciliano/21/AA3/31B" TargetMode="External"/><Relationship Id="rId3197" Type="http://schemas.openxmlformats.org/officeDocument/2006/relationships/hyperlink" Target="http://ar.linkedin.com/pub/diego-durante/28/759/B9B" TargetMode="External"/><Relationship Id="rId3196" Type="http://schemas.openxmlformats.org/officeDocument/2006/relationships/hyperlink" Target="http://ar.linkedin.com/pub/gabriel-nicora/13/302/1A3" TargetMode="External"/><Relationship Id="rId3199" Type="http://schemas.openxmlformats.org/officeDocument/2006/relationships/hyperlink" Target="http://ar.linkedin.com/pub/antonio-faccin/0/215/432" TargetMode="External"/><Relationship Id="rId3198" Type="http://schemas.openxmlformats.org/officeDocument/2006/relationships/hyperlink" Target="http://ar.linkedin.com/pub/valeria-eransus/15/436/978" TargetMode="External"/><Relationship Id="rId3180" Type="http://schemas.openxmlformats.org/officeDocument/2006/relationships/hyperlink" Target="http://ar.linkedin.com/pub/martin-carnicero/9/439/85B" TargetMode="External"/><Relationship Id="rId3182" Type="http://schemas.openxmlformats.org/officeDocument/2006/relationships/hyperlink" Target="http://ar.linkedin.com/pub/gonzalo-dominguez/12/A9A/5B6" TargetMode="External"/><Relationship Id="rId3181" Type="http://schemas.openxmlformats.org/officeDocument/2006/relationships/hyperlink" Target="http://ar.linkedin.com/pub/lourdes-dearmas/6/230/63" TargetMode="External"/><Relationship Id="rId3184" Type="http://schemas.openxmlformats.org/officeDocument/2006/relationships/hyperlink" Target="http://ar.linkedin.com/pub/roberto-sabatini/2A/4B4/6A1" TargetMode="External"/><Relationship Id="rId3183" Type="http://schemas.openxmlformats.org/officeDocument/2006/relationships/hyperlink" Target="http://www.linkedin.com/pub/mariano-panepucci/21/3a9/80" TargetMode="External"/><Relationship Id="rId3186" Type="http://schemas.openxmlformats.org/officeDocument/2006/relationships/hyperlink" Target="http://ar.linkedin.com/in/borishicke" TargetMode="External"/><Relationship Id="rId3185" Type="http://schemas.openxmlformats.org/officeDocument/2006/relationships/hyperlink" Target="http://ar.linkedin.com/in/amaranghello" TargetMode="External"/><Relationship Id="rId3188" Type="http://schemas.openxmlformats.org/officeDocument/2006/relationships/hyperlink" Target="http://ar.linkedin.com/in/alejandrosassone" TargetMode="External"/><Relationship Id="rId3187" Type="http://schemas.openxmlformats.org/officeDocument/2006/relationships/hyperlink" Target="http://ar.linkedin.com/pub/alberto-pignataro/7/593/B77" TargetMode="External"/><Relationship Id="rId3189" Type="http://schemas.openxmlformats.org/officeDocument/2006/relationships/hyperlink" Target="http://www.linkedin.com/pub/ezequiel-fetter/27/242/1a" TargetMode="External"/><Relationship Id="rId4480" Type="http://schemas.openxmlformats.org/officeDocument/2006/relationships/hyperlink" Target="http://ar.linkedin.com/pub/jorge-barletta/2/325/707" TargetMode="External"/><Relationship Id="rId3151" Type="http://schemas.openxmlformats.org/officeDocument/2006/relationships/hyperlink" Target="http://ar.linkedin.com/in/facundolopez" TargetMode="External"/><Relationship Id="rId4482" Type="http://schemas.openxmlformats.org/officeDocument/2006/relationships/hyperlink" Target="http://www.linkedin.com/pub/gisela-analia-herrera/24/270/b15" TargetMode="External"/><Relationship Id="rId3150" Type="http://schemas.openxmlformats.org/officeDocument/2006/relationships/hyperlink" Target="http://www.linkedin.com/pub/luis-goicouria/0/5B/75A" TargetMode="External"/><Relationship Id="rId4481" Type="http://schemas.openxmlformats.org/officeDocument/2006/relationships/hyperlink" Target="http://ar.linkedin.com/in/ceciliaesposito" TargetMode="External"/><Relationship Id="rId3153" Type="http://schemas.openxmlformats.org/officeDocument/2006/relationships/hyperlink" Target="http://ar.linkedin.com/in/estebangallego" TargetMode="External"/><Relationship Id="rId4484" Type="http://schemas.openxmlformats.org/officeDocument/2006/relationships/hyperlink" Target="http://www.linkedin.com/pub/b%C3%A1rbara-ressia/21/6ab/18b" TargetMode="External"/><Relationship Id="rId3152" Type="http://schemas.openxmlformats.org/officeDocument/2006/relationships/hyperlink" Target="http://www.linkedin.com/pub/maria-laura-scatassa/22/804/409" TargetMode="External"/><Relationship Id="rId4483" Type="http://schemas.openxmlformats.org/officeDocument/2006/relationships/hyperlink" Target="http://ar.linkedin.com/in/marcelinov" TargetMode="External"/><Relationship Id="rId3155" Type="http://schemas.openxmlformats.org/officeDocument/2006/relationships/hyperlink" Target="http://www.linkedin.com/pub/pablo-trozzoli/0/676/2a2" TargetMode="External"/><Relationship Id="rId4486" Type="http://schemas.openxmlformats.org/officeDocument/2006/relationships/hyperlink" Target="http://ar.linkedin.com/in/danielsessarego" TargetMode="External"/><Relationship Id="rId3154" Type="http://schemas.openxmlformats.org/officeDocument/2006/relationships/hyperlink" Target="http://ar.linkedin.com/pub/mar%C3%ADa-silvina-marchesotti/15/675/6BA" TargetMode="External"/><Relationship Id="rId4485" Type="http://schemas.openxmlformats.org/officeDocument/2006/relationships/hyperlink" Target="http://ar.linkedin.com/in/fabianwizenfeld" TargetMode="External"/><Relationship Id="rId3157" Type="http://schemas.openxmlformats.org/officeDocument/2006/relationships/hyperlink" Target="http://ar.linkedin.com/pub/paula-penedo/12/6B7/130" TargetMode="External"/><Relationship Id="rId4488" Type="http://schemas.openxmlformats.org/officeDocument/2006/relationships/hyperlink" Target="http://ar.linkedin.com/in/mpelle2010" TargetMode="External"/><Relationship Id="rId3156" Type="http://schemas.openxmlformats.org/officeDocument/2006/relationships/hyperlink" Target="http://ar.linkedin.com/pub/tatiana-lozano/23/3B5/B49" TargetMode="External"/><Relationship Id="rId4487" Type="http://schemas.openxmlformats.org/officeDocument/2006/relationships/hyperlink" Target="http://ar.linkedin.com/pub/cristian-canelo/9/4A7/25B" TargetMode="External"/><Relationship Id="rId3159" Type="http://schemas.openxmlformats.org/officeDocument/2006/relationships/hyperlink" Target="http://ar.linkedin.com/pub/marcelo-rodriguez/2/1A/254" TargetMode="External"/><Relationship Id="rId3158" Type="http://schemas.openxmlformats.org/officeDocument/2006/relationships/hyperlink" Target="http://www.linkedin.com/pub/emanuel-morales/30/538/893" TargetMode="External"/><Relationship Id="rId4489" Type="http://schemas.openxmlformats.org/officeDocument/2006/relationships/hyperlink" Target="http://ar.linkedin.com/in/arielpascar" TargetMode="External"/><Relationship Id="rId3149" Type="http://schemas.openxmlformats.org/officeDocument/2006/relationships/hyperlink" Target="http://ar.linkedin.com/in/rominasolfernandez" TargetMode="External"/><Relationship Id="rId3140" Type="http://schemas.openxmlformats.org/officeDocument/2006/relationships/hyperlink" Target="http://ar.linkedin.com/pub/bettxandys-arenas/23/23A/864" TargetMode="External"/><Relationship Id="rId4471" Type="http://schemas.openxmlformats.org/officeDocument/2006/relationships/hyperlink" Target="http://ar.linkedin.com/in/angelcolangelo" TargetMode="External"/><Relationship Id="rId4470" Type="http://schemas.openxmlformats.org/officeDocument/2006/relationships/hyperlink" Target="http://www.linkedin.com/pub/lu-hirthe/6/706/238" TargetMode="External"/><Relationship Id="rId3142" Type="http://schemas.openxmlformats.org/officeDocument/2006/relationships/hyperlink" Target="http://ar.linkedin.com/pub/facundo-verna/14/317/28" TargetMode="External"/><Relationship Id="rId4473" Type="http://schemas.openxmlformats.org/officeDocument/2006/relationships/hyperlink" Target="http://www.linkedin.com/pub/alvaro-gomez-barraza/23/410/847" TargetMode="External"/><Relationship Id="rId3141" Type="http://schemas.openxmlformats.org/officeDocument/2006/relationships/hyperlink" Target="http://www.linkedin.com/pub/pedro-lag%C3%BCes/12/25a/255" TargetMode="External"/><Relationship Id="rId4472" Type="http://schemas.openxmlformats.org/officeDocument/2006/relationships/hyperlink" Target="http://ar.linkedin.com/in/alexandrawlasiuk" TargetMode="External"/><Relationship Id="rId3144" Type="http://schemas.openxmlformats.org/officeDocument/2006/relationships/hyperlink" Target="http://www.linkedin.com/pub/carola-pradas/a/320/170" TargetMode="External"/><Relationship Id="rId4475" Type="http://schemas.openxmlformats.org/officeDocument/2006/relationships/hyperlink" Target="http://ar.linkedin.com/pub/jorge-colombo/24/970/A34" TargetMode="External"/><Relationship Id="rId3143" Type="http://schemas.openxmlformats.org/officeDocument/2006/relationships/hyperlink" Target="http://ar.linkedin.com/pub/ernesto-dorfman/0/284/33" TargetMode="External"/><Relationship Id="rId4474" Type="http://schemas.openxmlformats.org/officeDocument/2006/relationships/hyperlink" Target="http://www.linkedin.com/pub/maria-eugenia-eslava-lopez/23/776/547" TargetMode="External"/><Relationship Id="rId3146" Type="http://schemas.openxmlformats.org/officeDocument/2006/relationships/hyperlink" Target="http://www.linkedin.com/in/santamariagrace" TargetMode="External"/><Relationship Id="rId4477" Type="http://schemas.openxmlformats.org/officeDocument/2006/relationships/hyperlink" Target="http://ar.linkedin.com/in/patriciaarneri" TargetMode="External"/><Relationship Id="rId3145" Type="http://schemas.openxmlformats.org/officeDocument/2006/relationships/hyperlink" Target="http://ar.linkedin.com/in/solfernandez" TargetMode="External"/><Relationship Id="rId4476" Type="http://schemas.openxmlformats.org/officeDocument/2006/relationships/hyperlink" Target="http://ar.linkedin.com/in/gmareque" TargetMode="External"/><Relationship Id="rId3148" Type="http://schemas.openxmlformats.org/officeDocument/2006/relationships/hyperlink" Target="http://ar.linkedin.com/pub/bernardo-jos-r-zquin/2A/236/89A" TargetMode="External"/><Relationship Id="rId4479" Type="http://schemas.openxmlformats.org/officeDocument/2006/relationships/hyperlink" Target="http://ar.linkedin.com/pub/claudio-pietraroia/7/9B7/B41" TargetMode="External"/><Relationship Id="rId3147" Type="http://schemas.openxmlformats.org/officeDocument/2006/relationships/hyperlink" Target="http://ar.linkedin.com/pub/sebastian-gilardoni/1A/9/489" TargetMode="External"/><Relationship Id="rId4478" Type="http://schemas.openxmlformats.org/officeDocument/2006/relationships/hyperlink" Target="http://ar.linkedin.com/in/gabrielatomassoni" TargetMode="External"/><Relationship Id="rId3171" Type="http://schemas.openxmlformats.org/officeDocument/2006/relationships/hyperlink" Target="http://ar.linkedin.com/pub/fernando-ferrel/17/603/720" TargetMode="External"/><Relationship Id="rId3170" Type="http://schemas.openxmlformats.org/officeDocument/2006/relationships/hyperlink" Target="http://www.linkedin.com/pub/mariano-lucas-moraca/27/ab1/171" TargetMode="External"/><Relationship Id="rId3173" Type="http://schemas.openxmlformats.org/officeDocument/2006/relationships/hyperlink" Target="http://ar.linkedin.com/pub/nicol-s-augusto-luchi/2B/33A/604" TargetMode="External"/><Relationship Id="rId3172" Type="http://schemas.openxmlformats.org/officeDocument/2006/relationships/hyperlink" Target="http://ar.linkedin.com/in/leonardocortese" TargetMode="External"/><Relationship Id="rId3175" Type="http://schemas.openxmlformats.org/officeDocument/2006/relationships/hyperlink" Target="http://ar.linkedin.com/pub/horacio-gennari/0/82A/4A1" TargetMode="External"/><Relationship Id="rId3174" Type="http://schemas.openxmlformats.org/officeDocument/2006/relationships/hyperlink" Target="http://ar.linkedin.com/in/laureanopasina" TargetMode="External"/><Relationship Id="rId3177" Type="http://schemas.openxmlformats.org/officeDocument/2006/relationships/hyperlink" Target="http://ar.linkedin.com/pub/javier-congil/30/8B2/390" TargetMode="External"/><Relationship Id="rId3176" Type="http://schemas.openxmlformats.org/officeDocument/2006/relationships/hyperlink" Target="http://www.linkedin.com/pub/gerardo-e-mirco/1b/b02/507" TargetMode="External"/><Relationship Id="rId3179" Type="http://schemas.openxmlformats.org/officeDocument/2006/relationships/hyperlink" Target="http://ar.linkedin.com/pub/carolina-torres/20/508/A91" TargetMode="External"/><Relationship Id="rId3178" Type="http://schemas.openxmlformats.org/officeDocument/2006/relationships/hyperlink" Target="http://ar.linkedin.com/in/jorgequipildor" TargetMode="External"/><Relationship Id="rId3160" Type="http://schemas.openxmlformats.org/officeDocument/2006/relationships/hyperlink" Target="http://ar.linkedin.com/pub/augusto-kestelboim/0/202/688" TargetMode="External"/><Relationship Id="rId4491" Type="http://schemas.openxmlformats.org/officeDocument/2006/relationships/hyperlink" Target="http://ar.linkedin.com/pub/eduardo-vigilante/23/331/A60" TargetMode="External"/><Relationship Id="rId4490" Type="http://schemas.openxmlformats.org/officeDocument/2006/relationships/hyperlink" Target="http://ar.linkedin.com/in/greguilon" TargetMode="External"/><Relationship Id="rId3162" Type="http://schemas.openxmlformats.org/officeDocument/2006/relationships/hyperlink" Target="http://www.linkedin.com/in/washingtonperez" TargetMode="External"/><Relationship Id="rId4493" Type="http://schemas.openxmlformats.org/officeDocument/2006/relationships/hyperlink" Target="http://ar.linkedin.com/in/vivianasuarez" TargetMode="External"/><Relationship Id="rId3161" Type="http://schemas.openxmlformats.org/officeDocument/2006/relationships/hyperlink" Target="http://ar.linkedin.com/in/juanpgauthier" TargetMode="External"/><Relationship Id="rId4492" Type="http://schemas.openxmlformats.org/officeDocument/2006/relationships/hyperlink" Target="http://www.linkedin.com/pub/fernando-giaquinta/6/71a/683" TargetMode="External"/><Relationship Id="rId3164" Type="http://schemas.openxmlformats.org/officeDocument/2006/relationships/hyperlink" Target="http://ar.linkedin.com/in/agustinagagliardi" TargetMode="External"/><Relationship Id="rId4495" Type="http://schemas.openxmlformats.org/officeDocument/2006/relationships/hyperlink" Target="http://www.linkedin.com/pub/geraldine-czarny/8/aab/317" TargetMode="External"/><Relationship Id="rId3163" Type="http://schemas.openxmlformats.org/officeDocument/2006/relationships/hyperlink" Target="http://ar.linkedin.com/pub/clara-silvano-lima/30/611/283" TargetMode="External"/><Relationship Id="rId4494" Type="http://schemas.openxmlformats.org/officeDocument/2006/relationships/hyperlink" Target="http://ar.linkedin.com/in/pablogoldmann" TargetMode="External"/><Relationship Id="rId3166" Type="http://schemas.openxmlformats.org/officeDocument/2006/relationships/hyperlink" Target="http://www.linkedin.com/pub/rosely-del-castillo-celado/28/516/a53" TargetMode="External"/><Relationship Id="rId4497" Type="http://schemas.openxmlformats.org/officeDocument/2006/relationships/hyperlink" Target="http://www.linkedin.com/pub/adriana-gabriela-cerutti/5/692/958" TargetMode="External"/><Relationship Id="rId3165" Type="http://schemas.openxmlformats.org/officeDocument/2006/relationships/hyperlink" Target="http://www.linkedin.com/pub/dario-osvaldo-quintas/19/648/a59" TargetMode="External"/><Relationship Id="rId4496" Type="http://schemas.openxmlformats.org/officeDocument/2006/relationships/hyperlink" Target="http://ar.linkedin.com/pub/reclutamiento-acs-mexico-argentina/29/544/A75" TargetMode="External"/><Relationship Id="rId3168" Type="http://schemas.openxmlformats.org/officeDocument/2006/relationships/hyperlink" Target="http://ar.linkedin.com/pub/ariel-bachiller/6/8B/622" TargetMode="External"/><Relationship Id="rId4499" Type="http://schemas.openxmlformats.org/officeDocument/2006/relationships/hyperlink" Target="http://www.linkedin.com/in/voneche" TargetMode="External"/><Relationship Id="rId3167" Type="http://schemas.openxmlformats.org/officeDocument/2006/relationships/hyperlink" Target="http://ar.linkedin.com/pub/lucas-fuster/17/608/4A1" TargetMode="External"/><Relationship Id="rId4498" Type="http://schemas.openxmlformats.org/officeDocument/2006/relationships/hyperlink" Target="http://ar.linkedin.com/pub/carlos-canova/3/205/7B8" TargetMode="External"/><Relationship Id="rId3169" Type="http://schemas.openxmlformats.org/officeDocument/2006/relationships/hyperlink" Target="http://ar.linkedin.com/pub/soledad-dur%C3%A1n/1A/302/228" TargetMode="External"/><Relationship Id="rId9330" Type="http://schemas.openxmlformats.org/officeDocument/2006/relationships/hyperlink" Target="http://www.linkedin.com/in/bennettrobert" TargetMode="External"/><Relationship Id="rId9331" Type="http://schemas.openxmlformats.org/officeDocument/2006/relationships/hyperlink" Target="http://www.linkedin.com/pub/gentry-ganote/1/90/3A" TargetMode="External"/><Relationship Id="rId9332" Type="http://schemas.openxmlformats.org/officeDocument/2006/relationships/hyperlink" Target="http://www.linkedin.com/in/jenniferbarone" TargetMode="External"/><Relationship Id="rId9333" Type="http://schemas.openxmlformats.org/officeDocument/2006/relationships/hyperlink" Target="https://www.linkedin.com/in/abbashaiderali" TargetMode="External"/><Relationship Id="rId8002" Type="http://schemas.openxmlformats.org/officeDocument/2006/relationships/hyperlink" Target="http://www.linkedin.com/in/philiplee" TargetMode="External"/><Relationship Id="rId8001" Type="http://schemas.openxmlformats.org/officeDocument/2006/relationships/hyperlink" Target="http://www.linkedin.com/pub/paulo-lerner/3/748/B14" TargetMode="External"/><Relationship Id="rId8000" Type="http://schemas.openxmlformats.org/officeDocument/2006/relationships/hyperlink" Target="http://www.linkedin.com/pub/bill-yoder/10/742/565" TargetMode="External"/><Relationship Id="rId8006" Type="http://schemas.openxmlformats.org/officeDocument/2006/relationships/hyperlink" Target="http://www.linkedin.com/in/gillespie" TargetMode="External"/><Relationship Id="rId9338" Type="http://schemas.openxmlformats.org/officeDocument/2006/relationships/hyperlink" Target="http://www.linkedin.com/pub/laura-linden-rangel/0/571/3A8" TargetMode="External"/><Relationship Id="rId8005" Type="http://schemas.openxmlformats.org/officeDocument/2006/relationships/hyperlink" Target="http://www.linkedin.com/in/webmarketingrecruiter" TargetMode="External"/><Relationship Id="rId9339" Type="http://schemas.openxmlformats.org/officeDocument/2006/relationships/hyperlink" Target="http://www.linkedin.com/pub/ben-taitelbaum/4/410/4B7" TargetMode="External"/><Relationship Id="rId8004" Type="http://schemas.openxmlformats.org/officeDocument/2006/relationships/hyperlink" Target="http://www.linkedin.com/in/joymarcus" TargetMode="External"/><Relationship Id="rId8003" Type="http://schemas.openxmlformats.org/officeDocument/2006/relationships/hyperlink" Target="http://www.linkedin.com/in/brianlawley" TargetMode="External"/><Relationship Id="rId9334" Type="http://schemas.openxmlformats.org/officeDocument/2006/relationships/hyperlink" Target="http://www.linkedin.com/in/roderickmorris" TargetMode="External"/><Relationship Id="rId8009" Type="http://schemas.openxmlformats.org/officeDocument/2006/relationships/hyperlink" Target="http://www.linkedin.com/in/joefeldman" TargetMode="External"/><Relationship Id="rId9335" Type="http://schemas.openxmlformats.org/officeDocument/2006/relationships/hyperlink" Target="http://www.linkedin.com/in/stevenearle" TargetMode="External"/><Relationship Id="rId8008" Type="http://schemas.openxmlformats.org/officeDocument/2006/relationships/hyperlink" Target="http://www.linkedin.com/pub/keith-uchida/2/459/316" TargetMode="External"/><Relationship Id="rId9336" Type="http://schemas.openxmlformats.org/officeDocument/2006/relationships/hyperlink" Target="http://www.linkedin.com/pub/bob-gagnon/0/30B/A61" TargetMode="External"/><Relationship Id="rId8007" Type="http://schemas.openxmlformats.org/officeDocument/2006/relationships/hyperlink" Target="http://www.linkedin.com/in/garyzukowski" TargetMode="External"/><Relationship Id="rId9337" Type="http://schemas.openxmlformats.org/officeDocument/2006/relationships/hyperlink" Target="http://www.linkedin.com/in/mattallen" TargetMode="External"/><Relationship Id="rId9320" Type="http://schemas.openxmlformats.org/officeDocument/2006/relationships/hyperlink" Target="http://www.linkedin.com/in/ralphrhoward" TargetMode="External"/><Relationship Id="rId9321" Type="http://schemas.openxmlformats.org/officeDocument/2006/relationships/hyperlink" Target="http://www.linkedin.com/in/waltmclaren" TargetMode="External"/><Relationship Id="rId9322" Type="http://schemas.openxmlformats.org/officeDocument/2006/relationships/hyperlink" Target="http://www.linkedin.com/in/bonigala" TargetMode="External"/><Relationship Id="rId9327" Type="http://schemas.openxmlformats.org/officeDocument/2006/relationships/hyperlink" Target="http://www.linkedin.com/in/mcleodglass" TargetMode="External"/><Relationship Id="rId9328" Type="http://schemas.openxmlformats.org/officeDocument/2006/relationships/hyperlink" Target="http://www.linkedin.com/in/thomaskoulopoulos" TargetMode="External"/><Relationship Id="rId9329" Type="http://schemas.openxmlformats.org/officeDocument/2006/relationships/hyperlink" Target="http://www.linkedin.com/pub/piper-walker/4/1BB/102" TargetMode="External"/><Relationship Id="rId9323" Type="http://schemas.openxmlformats.org/officeDocument/2006/relationships/hyperlink" Target="http://www.linkedin.com/in/jamesrforrest" TargetMode="External"/><Relationship Id="rId9324" Type="http://schemas.openxmlformats.org/officeDocument/2006/relationships/hyperlink" Target="http://www.linkedin.com/pub/steve-kroll/0/337/997" TargetMode="External"/><Relationship Id="rId9325" Type="http://schemas.openxmlformats.org/officeDocument/2006/relationships/hyperlink" Target="http://www.linkedin.com/pub/capers-jones/0/344/409" TargetMode="External"/><Relationship Id="rId9326" Type="http://schemas.openxmlformats.org/officeDocument/2006/relationships/hyperlink" Target="http://www.linkedin.com/pub/alex-cochrane/4/4B7/462" TargetMode="External"/><Relationship Id="rId8020" Type="http://schemas.openxmlformats.org/officeDocument/2006/relationships/hyperlink" Target="http://www.linkedin.com/in/attagirlsattic" TargetMode="External"/><Relationship Id="rId9352" Type="http://schemas.openxmlformats.org/officeDocument/2006/relationships/hyperlink" Target="http://www.linkedin.com/in/timdillard" TargetMode="External"/><Relationship Id="rId9353" Type="http://schemas.openxmlformats.org/officeDocument/2006/relationships/hyperlink" Target="http://www.linkedin.com/in/mindydrummond" TargetMode="External"/><Relationship Id="rId9354" Type="http://schemas.openxmlformats.org/officeDocument/2006/relationships/hyperlink" Target="http://www.linkedin.com/in/rhettguthrie" TargetMode="External"/><Relationship Id="rId9355" Type="http://schemas.openxmlformats.org/officeDocument/2006/relationships/hyperlink" Target="http://www.linkedin.com/in/jeffdalton" TargetMode="External"/><Relationship Id="rId8024" Type="http://schemas.openxmlformats.org/officeDocument/2006/relationships/hyperlink" Target="http://www.linkedin.com/pub/silvia-yaber/0/14B/618" TargetMode="External"/><Relationship Id="rId8023" Type="http://schemas.openxmlformats.org/officeDocument/2006/relationships/hyperlink" Target="http://www.linkedin.com/pub/john-blocker/9/116/694" TargetMode="External"/><Relationship Id="rId8022" Type="http://schemas.openxmlformats.org/officeDocument/2006/relationships/hyperlink" Target="http://www.linkedin.com/in/marceloalejandrorusso" TargetMode="External"/><Relationship Id="rId9350" Type="http://schemas.openxmlformats.org/officeDocument/2006/relationships/hyperlink" Target="http://www.linkedin.com/in/imcarlbrown" TargetMode="External"/><Relationship Id="rId8021" Type="http://schemas.openxmlformats.org/officeDocument/2006/relationships/hyperlink" Target="http://www.linkedin.com/in/andrewfields" TargetMode="External"/><Relationship Id="rId9351" Type="http://schemas.openxmlformats.org/officeDocument/2006/relationships/hyperlink" Target="http://www.linkedin.com/in/brunoaziza" TargetMode="External"/><Relationship Id="rId8028" Type="http://schemas.openxmlformats.org/officeDocument/2006/relationships/hyperlink" Target="http://www.linkedin.com/in/stacymdc" TargetMode="External"/><Relationship Id="rId8027" Type="http://schemas.openxmlformats.org/officeDocument/2006/relationships/hyperlink" Target="http://www.linkedin.com/in/billcampbell" TargetMode="External"/><Relationship Id="rId8026" Type="http://schemas.openxmlformats.org/officeDocument/2006/relationships/hyperlink" Target="http://www.linkedin.com/in/cbesnoy" TargetMode="External"/><Relationship Id="rId8025" Type="http://schemas.openxmlformats.org/officeDocument/2006/relationships/hyperlink" Target="http://www.linkedin.com/in/joneszachary" TargetMode="External"/><Relationship Id="rId9356" Type="http://schemas.openxmlformats.org/officeDocument/2006/relationships/hyperlink" Target="http://www.linkedin.com/pub/jeffrey-clay/0/258/A6" TargetMode="External"/><Relationship Id="rId9357" Type="http://schemas.openxmlformats.org/officeDocument/2006/relationships/hyperlink" Target="http://www.linkedin.com/in/dannygillis" TargetMode="External"/><Relationship Id="rId9358" Type="http://schemas.openxmlformats.org/officeDocument/2006/relationships/hyperlink" Target="http://www.linkedin.com/in/brandatenterprisefactory" TargetMode="External"/><Relationship Id="rId8029" Type="http://schemas.openxmlformats.org/officeDocument/2006/relationships/hyperlink" Target="http://www.linkedin.com/pub/miguel-di-vincenzo/15/10B/15" TargetMode="External"/><Relationship Id="rId9359" Type="http://schemas.openxmlformats.org/officeDocument/2006/relationships/hyperlink" Target="http://www.linkedin.com/pub/david-g-ullman/0/784/566" TargetMode="External"/><Relationship Id="rId9341" Type="http://schemas.openxmlformats.org/officeDocument/2006/relationships/hyperlink" Target="http://www.linkedin.com/pub/justin-foster/1/127/423" TargetMode="External"/><Relationship Id="rId9342" Type="http://schemas.openxmlformats.org/officeDocument/2006/relationships/hyperlink" Target="http://www.linkedin.com/in/boeparrish" TargetMode="External"/><Relationship Id="rId9343" Type="http://schemas.openxmlformats.org/officeDocument/2006/relationships/hyperlink" Target="http://www.linkedin.com/in/markhoeft" TargetMode="External"/><Relationship Id="rId9344" Type="http://schemas.openxmlformats.org/officeDocument/2006/relationships/hyperlink" Target="http://www.linkedin.com/in/dantemalagrino" TargetMode="External"/><Relationship Id="rId8013" Type="http://schemas.openxmlformats.org/officeDocument/2006/relationships/hyperlink" Target="http://www.linkedin.com/pub/fred-m-guerra/4/858/B56" TargetMode="External"/><Relationship Id="rId8012" Type="http://schemas.openxmlformats.org/officeDocument/2006/relationships/hyperlink" Target="http://www.linkedin.com/pub/bob-henricks/30/775/137" TargetMode="External"/><Relationship Id="rId8011" Type="http://schemas.openxmlformats.org/officeDocument/2006/relationships/hyperlink" Target="http://www.linkedin.com/in/michaelgruen" TargetMode="External"/><Relationship Id="rId8010" Type="http://schemas.openxmlformats.org/officeDocument/2006/relationships/hyperlink" Target="https://www.linkedin.com/in/mktgstrategist" TargetMode="External"/><Relationship Id="rId9340" Type="http://schemas.openxmlformats.org/officeDocument/2006/relationships/hyperlink" Target="http://www.linkedin.com/in/christopherlhanson" TargetMode="External"/><Relationship Id="rId8017" Type="http://schemas.openxmlformats.org/officeDocument/2006/relationships/hyperlink" Target="http://www.linkedin.com/pub/paramita-chakraborty-pmp-csm/4/885/879" TargetMode="External"/><Relationship Id="rId9349" Type="http://schemas.openxmlformats.org/officeDocument/2006/relationships/hyperlink" Target="http://www.linkedin.com/in/williamlovell" TargetMode="External"/><Relationship Id="rId8016" Type="http://schemas.openxmlformats.org/officeDocument/2006/relationships/hyperlink" Target="http://www.linkedin.com/in/sherryhall1" TargetMode="External"/><Relationship Id="rId8015" Type="http://schemas.openxmlformats.org/officeDocument/2006/relationships/hyperlink" Target="http://www.linkedin.com/in/gregvanhorn" TargetMode="External"/><Relationship Id="rId8014" Type="http://schemas.openxmlformats.org/officeDocument/2006/relationships/hyperlink" Target="http://www.linkedin.com/in/trevorpoapst" TargetMode="External"/><Relationship Id="rId9345" Type="http://schemas.openxmlformats.org/officeDocument/2006/relationships/hyperlink" Target="http://www.linkedin.com/pub/dr-nathan-baruch/0/31B/919" TargetMode="External"/><Relationship Id="rId9346" Type="http://schemas.openxmlformats.org/officeDocument/2006/relationships/hyperlink" Target="http://www.linkedin.com/in/ricksurett" TargetMode="External"/><Relationship Id="rId8019" Type="http://schemas.openxmlformats.org/officeDocument/2006/relationships/hyperlink" Target="http://www.linkedin.com/in/clintschaff" TargetMode="External"/><Relationship Id="rId9347" Type="http://schemas.openxmlformats.org/officeDocument/2006/relationships/hyperlink" Target="http://www.linkedin.com/pub/marc-chesover/0/5b2/855" TargetMode="External"/><Relationship Id="rId8018" Type="http://schemas.openxmlformats.org/officeDocument/2006/relationships/hyperlink" Target="http://www.linkedin.com/in/scottrhayes" TargetMode="External"/><Relationship Id="rId9348" Type="http://schemas.openxmlformats.org/officeDocument/2006/relationships/hyperlink" Target="http://www.linkedin.com/pub/jay-andre/0/256/3A2" TargetMode="External"/><Relationship Id="rId9310" Type="http://schemas.openxmlformats.org/officeDocument/2006/relationships/hyperlink" Target="http://www.linkedin.com/in/adrienneobey" TargetMode="External"/><Relationship Id="rId9311" Type="http://schemas.openxmlformats.org/officeDocument/2006/relationships/hyperlink" Target="http://www.linkedin.com/in/amithnagarajan" TargetMode="External"/><Relationship Id="rId9316" Type="http://schemas.openxmlformats.org/officeDocument/2006/relationships/hyperlink" Target="http://www.linkedin.com/pub/joe-walsh/0/236/B0" TargetMode="External"/><Relationship Id="rId9317" Type="http://schemas.openxmlformats.org/officeDocument/2006/relationships/hyperlink" Target="http://www.linkedin.com/pub/erin-jensen/3/981/AB3" TargetMode="External"/><Relationship Id="rId9318" Type="http://schemas.openxmlformats.org/officeDocument/2006/relationships/hyperlink" Target="http://www.linkedin.com/in/bhargavarishi" TargetMode="External"/><Relationship Id="rId9319" Type="http://schemas.openxmlformats.org/officeDocument/2006/relationships/hyperlink" Target="http://www.linkedin.com/in/alsiano" TargetMode="External"/><Relationship Id="rId9312" Type="http://schemas.openxmlformats.org/officeDocument/2006/relationships/hyperlink" Target="http://www.linkedin.com/in/jamiecirrito" TargetMode="External"/><Relationship Id="rId9313" Type="http://schemas.openxmlformats.org/officeDocument/2006/relationships/hyperlink" Target="http://www.linkedin.com/in/joshmarmer" TargetMode="External"/><Relationship Id="rId9314" Type="http://schemas.openxmlformats.org/officeDocument/2006/relationships/hyperlink" Target="http://www.linkedin.com/in/timryan" TargetMode="External"/><Relationship Id="rId9315" Type="http://schemas.openxmlformats.org/officeDocument/2006/relationships/hyperlink" Target="http://www.linkedin.com/pub/kristy-mcdonnell-ortiz/3/70A/403" TargetMode="External"/><Relationship Id="rId9309" Type="http://schemas.openxmlformats.org/officeDocument/2006/relationships/hyperlink" Target="http://www.linkedin.com/pub/jonathan-tipton/9/839/192" TargetMode="External"/><Relationship Id="rId9300" Type="http://schemas.openxmlformats.org/officeDocument/2006/relationships/hyperlink" Target="http://www.linkedin.com/pub/daryle-burt/4/263/37B" TargetMode="External"/><Relationship Id="rId9305" Type="http://schemas.openxmlformats.org/officeDocument/2006/relationships/hyperlink" Target="http://www.linkedin.com/in/allenmireles" TargetMode="External"/><Relationship Id="rId9306" Type="http://schemas.openxmlformats.org/officeDocument/2006/relationships/hyperlink" Target="http://www.linkedin.com/in/amantonopoulos" TargetMode="External"/><Relationship Id="rId9307" Type="http://schemas.openxmlformats.org/officeDocument/2006/relationships/hyperlink" Target="http://www.linkedin.com/in/johnowens1" TargetMode="External"/><Relationship Id="rId9308" Type="http://schemas.openxmlformats.org/officeDocument/2006/relationships/hyperlink" Target="http://www.linkedin.com/in/richalbert" TargetMode="External"/><Relationship Id="rId9301" Type="http://schemas.openxmlformats.org/officeDocument/2006/relationships/hyperlink" Target="http://www.linkedin.com/pub/anne-issacs/0/174/899" TargetMode="External"/><Relationship Id="rId9302" Type="http://schemas.openxmlformats.org/officeDocument/2006/relationships/hyperlink" Target="http://www.linkedin.com/pub/michele-markham/3/B9B/48" TargetMode="External"/><Relationship Id="rId9303" Type="http://schemas.openxmlformats.org/officeDocument/2006/relationships/hyperlink" Target="http://www.linkedin.com/in/jfschirmer" TargetMode="External"/><Relationship Id="rId9304" Type="http://schemas.openxmlformats.org/officeDocument/2006/relationships/hyperlink" Target="http://www.linkedin.com/in/euglow" TargetMode="External"/><Relationship Id="rId5813" Type="http://schemas.openxmlformats.org/officeDocument/2006/relationships/hyperlink" Target="http://www.linkedin.com/pub/matt-johnson/3/A06/855" TargetMode="External"/><Relationship Id="rId5814" Type="http://schemas.openxmlformats.org/officeDocument/2006/relationships/hyperlink" Target="http://www.linkedin.com/pub/charrise-ingram/3/760/678" TargetMode="External"/><Relationship Id="rId5811" Type="http://schemas.openxmlformats.org/officeDocument/2006/relationships/hyperlink" Target="http://www.linkedin.com/pub/gonzalo-sole/1/8/989" TargetMode="External"/><Relationship Id="rId5812" Type="http://schemas.openxmlformats.org/officeDocument/2006/relationships/hyperlink" Target="http://ar.linkedin.com/in/obisignano" TargetMode="External"/><Relationship Id="rId5817" Type="http://schemas.openxmlformats.org/officeDocument/2006/relationships/hyperlink" Target="http://www.linkedin.com/pub/hernan-sfoggia/23/95a/95a" TargetMode="External"/><Relationship Id="rId5818" Type="http://schemas.openxmlformats.org/officeDocument/2006/relationships/hyperlink" Target="http://www.linkedin.com/pub/juan-manuel-guadalupe/22/bb7/b21" TargetMode="External"/><Relationship Id="rId5815" Type="http://schemas.openxmlformats.org/officeDocument/2006/relationships/hyperlink" Target="http://ar.linkedin.com/pub/cesar-delgado/5/695/31" TargetMode="External"/><Relationship Id="rId5816" Type="http://schemas.openxmlformats.org/officeDocument/2006/relationships/hyperlink" Target="http://ar.linkedin.com/in/maurok" TargetMode="External"/><Relationship Id="rId5819" Type="http://schemas.openxmlformats.org/officeDocument/2006/relationships/hyperlink" Target="http://www.linkedin.com/pub/agustin-viglietti/19/74/609" TargetMode="External"/><Relationship Id="rId8093" Type="http://schemas.openxmlformats.org/officeDocument/2006/relationships/hyperlink" Target="http://www.linkedin.com/in/seonkim" TargetMode="External"/><Relationship Id="rId8092" Type="http://schemas.openxmlformats.org/officeDocument/2006/relationships/hyperlink" Target="http://www.linkedin.com/pub/lucas-tettamanti/26/35b/26" TargetMode="External"/><Relationship Id="rId8091" Type="http://schemas.openxmlformats.org/officeDocument/2006/relationships/hyperlink" Target="http://www.linkedin.com/in/ceochagavia" TargetMode="External"/><Relationship Id="rId8090" Type="http://schemas.openxmlformats.org/officeDocument/2006/relationships/hyperlink" Target="http://www.linkedin.com/pub/farid-askari-phd-pmp-csm/8/66B/690" TargetMode="External"/><Relationship Id="rId8086" Type="http://schemas.openxmlformats.org/officeDocument/2006/relationships/hyperlink" Target="http://www.linkedin.com/in/joetoppi" TargetMode="External"/><Relationship Id="rId8085" Type="http://schemas.openxmlformats.org/officeDocument/2006/relationships/hyperlink" Target="http://www.linkedin.com/in/davidsirbasku104" TargetMode="External"/><Relationship Id="rId8084" Type="http://schemas.openxmlformats.org/officeDocument/2006/relationships/hyperlink" Target="http://www.linkedin.com/in/bsifflard" TargetMode="External"/><Relationship Id="rId8083" Type="http://schemas.openxmlformats.org/officeDocument/2006/relationships/hyperlink" Target="http://www.linkedin.com/in/daveshutts" TargetMode="External"/><Relationship Id="rId8089" Type="http://schemas.openxmlformats.org/officeDocument/2006/relationships/hyperlink" Target="http://www.linkedin.com/pub/michael-douroux/4/300/BA6" TargetMode="External"/><Relationship Id="rId8088" Type="http://schemas.openxmlformats.org/officeDocument/2006/relationships/hyperlink" Target="http://www.linkedin.com/in/kathleenerickson" TargetMode="External"/><Relationship Id="rId8087" Type="http://schemas.openxmlformats.org/officeDocument/2006/relationships/hyperlink" Target="http://www.linkedin.com/in/gordbreese" TargetMode="External"/><Relationship Id="rId5810" Type="http://schemas.openxmlformats.org/officeDocument/2006/relationships/hyperlink" Target="http://ar.linkedin.com/in/juaneduardogarcia" TargetMode="External"/><Relationship Id="rId5802" Type="http://schemas.openxmlformats.org/officeDocument/2006/relationships/hyperlink" Target="http://www.linkedin.com/in/arielschwartzman" TargetMode="External"/><Relationship Id="rId5803" Type="http://schemas.openxmlformats.org/officeDocument/2006/relationships/hyperlink" Target="http://ar.linkedin.com/in/ctommasi" TargetMode="External"/><Relationship Id="rId5800" Type="http://schemas.openxmlformats.org/officeDocument/2006/relationships/hyperlink" Target="http://www.linkedin.com/pub/brent-tanner/A/311/6B5" TargetMode="External"/><Relationship Id="rId5801" Type="http://schemas.openxmlformats.org/officeDocument/2006/relationships/hyperlink" Target="http://www.linkedin.com/pub/howard-coons/4/352/896" TargetMode="External"/><Relationship Id="rId5806" Type="http://schemas.openxmlformats.org/officeDocument/2006/relationships/hyperlink" Target="http://ar.linkedin.com/pub/juan-manuel-rivero/19/937/522" TargetMode="External"/><Relationship Id="rId5807" Type="http://schemas.openxmlformats.org/officeDocument/2006/relationships/hyperlink" Target="http://www.linkedin.com/in/mikeehsu" TargetMode="External"/><Relationship Id="rId5804" Type="http://schemas.openxmlformats.org/officeDocument/2006/relationships/hyperlink" Target="http://www.linkedin.com/pub/hani-zion/7/A27/5B3" TargetMode="External"/><Relationship Id="rId5805" Type="http://schemas.openxmlformats.org/officeDocument/2006/relationships/hyperlink" Target="http://www.linkedin.com/pub/stephen-opalenski/6/43B/844" TargetMode="External"/><Relationship Id="rId5808" Type="http://schemas.openxmlformats.org/officeDocument/2006/relationships/hyperlink" Target="http://ar.linkedin.com/pub/lucas-pacheco/26/179/583" TargetMode="External"/><Relationship Id="rId5809" Type="http://schemas.openxmlformats.org/officeDocument/2006/relationships/hyperlink" Target="http://ar.linkedin.com/pub/luciano-cuesta/21/278/987" TargetMode="External"/><Relationship Id="rId8082" Type="http://schemas.openxmlformats.org/officeDocument/2006/relationships/hyperlink" Target="https://www.linkedin.com/in/yudasaydun" TargetMode="External"/><Relationship Id="rId8081" Type="http://schemas.openxmlformats.org/officeDocument/2006/relationships/hyperlink" Target="http://www.linkedin.com/in/ronadelman" TargetMode="External"/><Relationship Id="rId8080" Type="http://schemas.openxmlformats.org/officeDocument/2006/relationships/hyperlink" Target="http://www.linkedin.com/in/rickrossprofile/" TargetMode="External"/><Relationship Id="rId8075" Type="http://schemas.openxmlformats.org/officeDocument/2006/relationships/hyperlink" Target="http://www.linkedin.com/in/edwinysanchez" TargetMode="External"/><Relationship Id="rId8074" Type="http://schemas.openxmlformats.org/officeDocument/2006/relationships/hyperlink" Target="http://www.linkedin.com/pub/alex-ramirez/1A/72B/464" TargetMode="External"/><Relationship Id="rId8073" Type="http://schemas.openxmlformats.org/officeDocument/2006/relationships/hyperlink" Target="http://www.linkedin.com/pub/abelicio-quintero/10/141/A93" TargetMode="External"/><Relationship Id="rId8072" Type="http://schemas.openxmlformats.org/officeDocument/2006/relationships/hyperlink" Target="http://www.linkedin.com/in/markpukita" TargetMode="External"/><Relationship Id="rId8079" Type="http://schemas.openxmlformats.org/officeDocument/2006/relationships/hyperlink" Target="http://www.linkedin.com/in/anakahlia" TargetMode="External"/><Relationship Id="rId8078" Type="http://schemas.openxmlformats.org/officeDocument/2006/relationships/hyperlink" Target="http://anakahliahotmail.com" TargetMode="External"/><Relationship Id="rId8077" Type="http://schemas.openxmlformats.org/officeDocument/2006/relationships/hyperlink" Target="http://www.linkedin.com/in/davidreingold" TargetMode="External"/><Relationship Id="rId8076" Type="http://schemas.openxmlformats.org/officeDocument/2006/relationships/hyperlink" Target="http://www.linkedin.com/in/jredwing" TargetMode="External"/><Relationship Id="rId4503" Type="http://schemas.openxmlformats.org/officeDocument/2006/relationships/hyperlink" Target="http://ar.linkedin.com/pub/angel-gallardo/5/552/2A2" TargetMode="External"/><Relationship Id="rId5835" Type="http://schemas.openxmlformats.org/officeDocument/2006/relationships/hyperlink" Target="http://www.linkedin.com/pub/eduardo-santaella/0/50/369" TargetMode="External"/><Relationship Id="rId4502" Type="http://schemas.openxmlformats.org/officeDocument/2006/relationships/hyperlink" Target="http://ar.linkedin.com/pub/mario-arancibia/1/707/8B4" TargetMode="External"/><Relationship Id="rId5836" Type="http://schemas.openxmlformats.org/officeDocument/2006/relationships/hyperlink" Target="http://www.linkedin.com/pub/angeleri-paula/22/3a2/532" TargetMode="External"/><Relationship Id="rId4505" Type="http://schemas.openxmlformats.org/officeDocument/2006/relationships/hyperlink" Target="http://ar.linkedin.com/pub/enrique-villar/6/201/79A" TargetMode="External"/><Relationship Id="rId5833" Type="http://schemas.openxmlformats.org/officeDocument/2006/relationships/hyperlink" Target="http://ar.linkedin.com/in/pablolaulhe" TargetMode="External"/><Relationship Id="rId4504" Type="http://schemas.openxmlformats.org/officeDocument/2006/relationships/hyperlink" Target="http://ar.linkedin.com/pub/natalia-cozzi/2B/710/537" TargetMode="External"/><Relationship Id="rId5834" Type="http://schemas.openxmlformats.org/officeDocument/2006/relationships/hyperlink" Target="http://ar.linkedin.com/in/alejandrochiarillo" TargetMode="External"/><Relationship Id="rId4507" Type="http://schemas.openxmlformats.org/officeDocument/2006/relationships/hyperlink" Target="http://ar.linkedin.com/pub/alejandro-hernan-lopez/17/A42/12" TargetMode="External"/><Relationship Id="rId5839" Type="http://schemas.openxmlformats.org/officeDocument/2006/relationships/hyperlink" Target="http://ar.linkedin.com/pub/jesica-arce/B/532/840" TargetMode="External"/><Relationship Id="rId4506" Type="http://schemas.openxmlformats.org/officeDocument/2006/relationships/hyperlink" Target="http://www.linkedin.com/pub/mariela-sepulveda/0/117/942" TargetMode="External"/><Relationship Id="rId4509" Type="http://schemas.openxmlformats.org/officeDocument/2006/relationships/hyperlink" Target="http://ar.linkedin.com/pub/mar-a-soledad-cataldo/30/5B2/716" TargetMode="External"/><Relationship Id="rId5837" Type="http://schemas.openxmlformats.org/officeDocument/2006/relationships/hyperlink" Target="http://www.linkedin.com/in/davidboronat" TargetMode="External"/><Relationship Id="rId4508" Type="http://schemas.openxmlformats.org/officeDocument/2006/relationships/hyperlink" Target="http://www.linkedin.com/pub/emiliano-d%C3%A1vila/23/62a/a06" TargetMode="External"/><Relationship Id="rId5838" Type="http://schemas.openxmlformats.org/officeDocument/2006/relationships/hyperlink" Target="http://www.linkedin.com/pub/carlos-scuderi/5/BAA/116" TargetMode="External"/><Relationship Id="rId5831" Type="http://schemas.openxmlformats.org/officeDocument/2006/relationships/hyperlink" Target="http://ar.linkedin.com/pub/daniel-soto/23/841/597" TargetMode="External"/><Relationship Id="rId5832" Type="http://schemas.openxmlformats.org/officeDocument/2006/relationships/hyperlink" Target="http://ar.linkedin.com/pub/jorge-yennaccaro/9/630/519" TargetMode="External"/><Relationship Id="rId4501" Type="http://schemas.openxmlformats.org/officeDocument/2006/relationships/hyperlink" Target="http://www.linkedin.com/pub/sebasti%C3%A1n-pablo-torrisi/a/749/60" TargetMode="External"/><Relationship Id="rId4500" Type="http://schemas.openxmlformats.org/officeDocument/2006/relationships/hyperlink" Target="http://ar.linkedin.com/pub/sofia-fernandez-madero/4/738/B77" TargetMode="External"/><Relationship Id="rId5830" Type="http://schemas.openxmlformats.org/officeDocument/2006/relationships/hyperlink" Target="http://ar.linkedin.com/pub/roque-salde/5/595/533" TargetMode="External"/><Relationship Id="rId5824" Type="http://schemas.openxmlformats.org/officeDocument/2006/relationships/hyperlink" Target="http://ar.linkedin.com/in/leandroferrari" TargetMode="External"/><Relationship Id="rId5825" Type="http://schemas.openxmlformats.org/officeDocument/2006/relationships/hyperlink" Target="http://ar.linkedin.com/in/maurocastagnasso" TargetMode="External"/><Relationship Id="rId5822" Type="http://schemas.openxmlformats.org/officeDocument/2006/relationships/hyperlink" Target="http://www.linkedin.com/in/pablobianco" TargetMode="External"/><Relationship Id="rId5823" Type="http://schemas.openxmlformats.org/officeDocument/2006/relationships/hyperlink" Target="http://ar.linkedin.com/in/gabrielbulfon" TargetMode="External"/><Relationship Id="rId5828" Type="http://schemas.openxmlformats.org/officeDocument/2006/relationships/hyperlink" Target="http://www.linkedin.com/in/stevenmbailey" TargetMode="External"/><Relationship Id="rId5829" Type="http://schemas.openxmlformats.org/officeDocument/2006/relationships/hyperlink" Target="http://www.linkedin.com/in/traversomartin" TargetMode="External"/><Relationship Id="rId5826" Type="http://schemas.openxmlformats.org/officeDocument/2006/relationships/hyperlink" Target="http://ar.linkedin.com/in/jminsky" TargetMode="External"/><Relationship Id="rId5827" Type="http://schemas.openxmlformats.org/officeDocument/2006/relationships/hyperlink" Target="http://ar.linkedin.com/in/fgalvarez" TargetMode="External"/><Relationship Id="rId8097" Type="http://schemas.openxmlformats.org/officeDocument/2006/relationships/hyperlink" Target="http://www.linkedin.com/in/mikegrandinetti" TargetMode="External"/><Relationship Id="rId8096" Type="http://schemas.openxmlformats.org/officeDocument/2006/relationships/hyperlink" Target="http://www.linkedin.com/in/agraber" TargetMode="External"/><Relationship Id="rId8095" Type="http://schemas.openxmlformats.org/officeDocument/2006/relationships/hyperlink" Target="http://www.linkedin.com/in/ryangoodmansd" TargetMode="External"/><Relationship Id="rId8094" Type="http://schemas.openxmlformats.org/officeDocument/2006/relationships/hyperlink" Target="http://www.linkedin.com/in/davidrodnitzky" TargetMode="External"/><Relationship Id="rId8099" Type="http://schemas.openxmlformats.org/officeDocument/2006/relationships/hyperlink" Target="http://www.linkedin.com/in/davidbeisel" TargetMode="External"/><Relationship Id="rId8098" Type="http://schemas.openxmlformats.org/officeDocument/2006/relationships/hyperlink" Target="http://www.linkedin.com/in/leaddogvc" TargetMode="External"/><Relationship Id="rId5820" Type="http://schemas.openxmlformats.org/officeDocument/2006/relationships/hyperlink" Target="http://ar.linkedin.com/pub/joel-di-rosa/25/166/56B" TargetMode="External"/><Relationship Id="rId5821" Type="http://schemas.openxmlformats.org/officeDocument/2006/relationships/hyperlink" Target="http://www.linkedin.com/in/eduardocrea" TargetMode="External"/><Relationship Id="rId9380" Type="http://schemas.openxmlformats.org/officeDocument/2006/relationships/hyperlink" Target="http://www.linkedin.com/in/joshuafisher" TargetMode="External"/><Relationship Id="rId8042" Type="http://schemas.openxmlformats.org/officeDocument/2006/relationships/hyperlink" Target="http://www.linkedin.com/in/rromanchik" TargetMode="External"/><Relationship Id="rId9374" Type="http://schemas.openxmlformats.org/officeDocument/2006/relationships/hyperlink" Target="http://www.linkedin.com/in/leejohns" TargetMode="External"/><Relationship Id="rId8041" Type="http://schemas.openxmlformats.org/officeDocument/2006/relationships/hyperlink" Target="http://www.linkedin.com/pub/jay-leader/B/B34/1A1" TargetMode="External"/><Relationship Id="rId9375" Type="http://schemas.openxmlformats.org/officeDocument/2006/relationships/hyperlink" Target="http://www.linkedin.com/pub/cynthia-wood/0/B47/622" TargetMode="External"/><Relationship Id="rId8040" Type="http://schemas.openxmlformats.org/officeDocument/2006/relationships/hyperlink" Target="http://www.linkedin.com/pub/alvio-barrios/4/40A/83A" TargetMode="External"/><Relationship Id="rId9376" Type="http://schemas.openxmlformats.org/officeDocument/2006/relationships/hyperlink" Target="http://www.linkedin.com/in/finlayson" TargetMode="External"/><Relationship Id="rId9377" Type="http://schemas.openxmlformats.org/officeDocument/2006/relationships/hyperlink" Target="http://www.linkedin.com/in/jtadams" TargetMode="External"/><Relationship Id="rId8046" Type="http://schemas.openxmlformats.org/officeDocument/2006/relationships/hyperlink" Target="http://www.linkedin.com/pub/yali-luna/9/332/88B" TargetMode="External"/><Relationship Id="rId9370" Type="http://schemas.openxmlformats.org/officeDocument/2006/relationships/hyperlink" Target="http://www.linkedin.com/pub/sean-jazayeri/0/939/12A" TargetMode="External"/><Relationship Id="rId8045" Type="http://schemas.openxmlformats.org/officeDocument/2006/relationships/hyperlink" Target="http://www.linkedin.com/pub/john-c-molloy/B/288/18A" TargetMode="External"/><Relationship Id="rId9371" Type="http://schemas.openxmlformats.org/officeDocument/2006/relationships/hyperlink" Target="http://www.linkedin.com/in/mfree" TargetMode="External"/><Relationship Id="rId8044" Type="http://schemas.openxmlformats.org/officeDocument/2006/relationships/hyperlink" Target="http://www.linkedin.com/in/jonathanlogan" TargetMode="External"/><Relationship Id="rId9372" Type="http://schemas.openxmlformats.org/officeDocument/2006/relationships/hyperlink" Target="http://www.linkedin.com/pub/tim-taylor/10/486/528" TargetMode="External"/><Relationship Id="rId8043" Type="http://schemas.openxmlformats.org/officeDocument/2006/relationships/hyperlink" Target="http://www.linkedin.com/in/lsrtechnology" TargetMode="External"/><Relationship Id="rId9373" Type="http://schemas.openxmlformats.org/officeDocument/2006/relationships/hyperlink" Target="http://www.linkedin.com/pub/mark-bruininga/0/A74/330" TargetMode="External"/><Relationship Id="rId8049" Type="http://schemas.openxmlformats.org/officeDocument/2006/relationships/hyperlink" Target="http://www.linkedin.com/in/christiecordes" TargetMode="External"/><Relationship Id="rId8048" Type="http://schemas.openxmlformats.org/officeDocument/2006/relationships/hyperlink" Target="http://www.linkedin.com/in/johnluismaldonado" TargetMode="External"/><Relationship Id="rId8047" Type="http://schemas.openxmlformats.org/officeDocument/2006/relationships/hyperlink" Target="http://www.linkedin.com/in/johncostigan" TargetMode="External"/><Relationship Id="rId9378" Type="http://schemas.openxmlformats.org/officeDocument/2006/relationships/hyperlink" Target="http://www.linkedin.com/in/julienjasserme" TargetMode="External"/><Relationship Id="rId9379" Type="http://schemas.openxmlformats.org/officeDocument/2006/relationships/hyperlink" Target="http://www.linkedin.com/in/kevinpdunn" TargetMode="External"/><Relationship Id="rId8031" Type="http://schemas.openxmlformats.org/officeDocument/2006/relationships/hyperlink" Target="http://www.linkedin.com/in/craigmullins" TargetMode="External"/><Relationship Id="rId9363" Type="http://schemas.openxmlformats.org/officeDocument/2006/relationships/hyperlink" Target="http://www.linkedin.com/in/garyabrown" TargetMode="External"/><Relationship Id="rId8030" Type="http://schemas.openxmlformats.org/officeDocument/2006/relationships/hyperlink" Target="http://www.linkedin.com/pub/mario-wilson/22/294/139" TargetMode="External"/><Relationship Id="rId9364" Type="http://schemas.openxmlformats.org/officeDocument/2006/relationships/hyperlink" Target="http://www.linkedin.com/in/daneiref" TargetMode="External"/><Relationship Id="rId9365" Type="http://schemas.openxmlformats.org/officeDocument/2006/relationships/hyperlink" Target="http://www.linkedin.com/in/lmattiazzi" TargetMode="External"/><Relationship Id="rId9366" Type="http://schemas.openxmlformats.org/officeDocument/2006/relationships/hyperlink" Target="http://www.linkedin.com/pub/bob-kinney/4/328/BB2" TargetMode="External"/><Relationship Id="rId8035" Type="http://schemas.openxmlformats.org/officeDocument/2006/relationships/hyperlink" Target="http://www.linkedin.com/pub/jeff-pulver/0/1/B50" TargetMode="External"/><Relationship Id="rId8034" Type="http://schemas.openxmlformats.org/officeDocument/2006/relationships/hyperlink" Target="http://www.linkedin.com/in/kellysmith" TargetMode="External"/><Relationship Id="rId9360" Type="http://schemas.openxmlformats.org/officeDocument/2006/relationships/hyperlink" Target="http://www.linkedin.com/pub/jeannie-ladesso/4/993/28B" TargetMode="External"/><Relationship Id="rId8033" Type="http://schemas.openxmlformats.org/officeDocument/2006/relationships/hyperlink" Target="http://www.linkedin.com/in/earache" TargetMode="External"/><Relationship Id="rId9361" Type="http://schemas.openxmlformats.org/officeDocument/2006/relationships/hyperlink" Target="http://www.linkedin.com/pub/annie-lawrenson/3/B99/A83" TargetMode="External"/><Relationship Id="rId8032" Type="http://schemas.openxmlformats.org/officeDocument/2006/relationships/hyperlink" Target="https://www.linkedin.com/in/jeffreylsmith" TargetMode="External"/><Relationship Id="rId9362" Type="http://schemas.openxmlformats.org/officeDocument/2006/relationships/hyperlink" Target="http://www.linkedin.com/in/cperkins" TargetMode="External"/><Relationship Id="rId8039" Type="http://schemas.openxmlformats.org/officeDocument/2006/relationships/hyperlink" Target="http://www.linkedin.com/pub/bill-porreca/0/4B5/B73" TargetMode="External"/><Relationship Id="rId8038" Type="http://schemas.openxmlformats.org/officeDocument/2006/relationships/hyperlink" Target="http://www.linkedin.com/in/bberson1" TargetMode="External"/><Relationship Id="rId8037" Type="http://schemas.openxmlformats.org/officeDocument/2006/relationships/hyperlink" Target="http://www.linkedin.com/in/ericgrenier1" TargetMode="External"/><Relationship Id="rId8036" Type="http://schemas.openxmlformats.org/officeDocument/2006/relationships/hyperlink" Target="http://www.linkedin.com/pub/theresa-o-neil/2/A37/499" TargetMode="External"/><Relationship Id="rId9367" Type="http://schemas.openxmlformats.org/officeDocument/2006/relationships/hyperlink" Target="http://www.linkedin.com/in/amitkeynan" TargetMode="External"/><Relationship Id="rId9368" Type="http://schemas.openxmlformats.org/officeDocument/2006/relationships/hyperlink" Target="http://www.linkedin.com/in/benthroop" TargetMode="External"/><Relationship Id="rId9369" Type="http://schemas.openxmlformats.org/officeDocument/2006/relationships/hyperlink" Target="http://www.linkedin.com/in/barnett" TargetMode="External"/><Relationship Id="rId8071" Type="http://schemas.openxmlformats.org/officeDocument/2006/relationships/hyperlink" Target="https://www.linkedin.com/pub/john-puente-msit/4/773/240" TargetMode="External"/><Relationship Id="rId8070" Type="http://schemas.openxmlformats.org/officeDocument/2006/relationships/hyperlink" Target="http://www.linkedin.com/in/jaypga" TargetMode="External"/><Relationship Id="rId8064" Type="http://schemas.openxmlformats.org/officeDocument/2006/relationships/hyperlink" Target="http://www.linkedin.com/in/rahulpatel" TargetMode="External"/><Relationship Id="rId9396" Type="http://schemas.openxmlformats.org/officeDocument/2006/relationships/hyperlink" Target="http://www.linkedin.com/in/vinmccaffrey" TargetMode="External"/><Relationship Id="rId8063" Type="http://schemas.openxmlformats.org/officeDocument/2006/relationships/hyperlink" Target="http://www.linkedin.com/in/janlattunen" TargetMode="External"/><Relationship Id="rId9397" Type="http://schemas.openxmlformats.org/officeDocument/2006/relationships/hyperlink" Target="http://www.linkedin.com/in/cameronfranks" TargetMode="External"/><Relationship Id="rId8062" Type="http://schemas.openxmlformats.org/officeDocument/2006/relationships/hyperlink" Target="http://www.linkedin.com/in/miguelcastroutn" TargetMode="External"/><Relationship Id="rId9398" Type="http://schemas.openxmlformats.org/officeDocument/2006/relationships/hyperlink" Target="http://www.linkedin.com/in/rogerfrey" TargetMode="External"/><Relationship Id="rId8061" Type="http://schemas.openxmlformats.org/officeDocument/2006/relationships/hyperlink" Target="http://www.linkedin.com/pub/lissette-valdes-brito/16/6B6/878" TargetMode="External"/><Relationship Id="rId9399" Type="http://schemas.openxmlformats.org/officeDocument/2006/relationships/hyperlink" Target="http://www.linkedin.com/pub/paul-asobayire/1/4A9/9BA" TargetMode="External"/><Relationship Id="rId8068" Type="http://schemas.openxmlformats.org/officeDocument/2006/relationships/hyperlink" Target="http://www.linkedin.com/pub/jose-luis-sanchez/2/268/219" TargetMode="External"/><Relationship Id="rId9392" Type="http://schemas.openxmlformats.org/officeDocument/2006/relationships/hyperlink" Target="http://www.linkedin.com/in/tonnison" TargetMode="External"/><Relationship Id="rId8067" Type="http://schemas.openxmlformats.org/officeDocument/2006/relationships/hyperlink" Target="http://www.linkedin.com/in/ankrishn" TargetMode="External"/><Relationship Id="rId9393" Type="http://schemas.openxmlformats.org/officeDocument/2006/relationships/hyperlink" Target="http://www.linkedin.com/in/claydscott" TargetMode="External"/><Relationship Id="rId8066" Type="http://schemas.openxmlformats.org/officeDocument/2006/relationships/hyperlink" Target="http://www.linkedin.com/in/gustavorazzetti" TargetMode="External"/><Relationship Id="rId9394" Type="http://schemas.openxmlformats.org/officeDocument/2006/relationships/hyperlink" Target="http://www.linkedin.com/pub/donna-drake/4/6A2/395" TargetMode="External"/><Relationship Id="rId8065" Type="http://schemas.openxmlformats.org/officeDocument/2006/relationships/hyperlink" Target="http://www.linkedin.com/in/toanshu" TargetMode="External"/><Relationship Id="rId9395" Type="http://schemas.openxmlformats.org/officeDocument/2006/relationships/hyperlink" Target="http://www.linkedin.com/in/robertdparker" TargetMode="External"/><Relationship Id="rId8069" Type="http://schemas.openxmlformats.org/officeDocument/2006/relationships/hyperlink" Target="http://www.linkedin.com/in/davidrios" TargetMode="External"/><Relationship Id="rId9390" Type="http://schemas.openxmlformats.org/officeDocument/2006/relationships/hyperlink" Target="http://www.linkedin.com/in/davidbye" TargetMode="External"/><Relationship Id="rId9391" Type="http://schemas.openxmlformats.org/officeDocument/2006/relationships/hyperlink" Target="https://www.linkedin.com/in/mvirzi" TargetMode="External"/><Relationship Id="rId8060" Type="http://schemas.openxmlformats.org/officeDocument/2006/relationships/hyperlink" Target="http://www.linkedin.com/pub/jimena-urquijo/7/84B/811" TargetMode="External"/><Relationship Id="rId8053" Type="http://schemas.openxmlformats.org/officeDocument/2006/relationships/hyperlink" Target="http://www.linkedin.com/in/prfiestaspatronales" TargetMode="External"/><Relationship Id="rId9385" Type="http://schemas.openxmlformats.org/officeDocument/2006/relationships/hyperlink" Target="http://www.linkedin.com/in/docmartinbaron" TargetMode="External"/><Relationship Id="rId8052" Type="http://schemas.openxmlformats.org/officeDocument/2006/relationships/hyperlink" Target="http://www.linkedin.com/in/icannotfindit" TargetMode="External"/><Relationship Id="rId9386" Type="http://schemas.openxmlformats.org/officeDocument/2006/relationships/hyperlink" Target="http://www.linkedin.com/in/heathernewman" TargetMode="External"/><Relationship Id="rId8051" Type="http://schemas.openxmlformats.org/officeDocument/2006/relationships/hyperlink" Target="http://www.linkedin.com/pub/jaxon-reilly/8/554/123" TargetMode="External"/><Relationship Id="rId9387" Type="http://schemas.openxmlformats.org/officeDocument/2006/relationships/hyperlink" Target="http://www.linkedin.com/pub/patrick-irestone/5/375/61" TargetMode="External"/><Relationship Id="rId8050" Type="http://schemas.openxmlformats.org/officeDocument/2006/relationships/hyperlink" Target="http://www.linkedin.com/in/gmcgehrin" TargetMode="External"/><Relationship Id="rId9388" Type="http://schemas.openxmlformats.org/officeDocument/2006/relationships/hyperlink" Target="http://www.linkedin.com/in/charlesnaselli" TargetMode="External"/><Relationship Id="rId8057" Type="http://schemas.openxmlformats.org/officeDocument/2006/relationships/hyperlink" Target="http://www.linkedin.com/in/fernandoespuelas" TargetMode="External"/><Relationship Id="rId9381" Type="http://schemas.openxmlformats.org/officeDocument/2006/relationships/hyperlink" Target="http://www.linkedin.com/pub/anne-lynch/3/BBB/617" TargetMode="External"/><Relationship Id="rId8056" Type="http://schemas.openxmlformats.org/officeDocument/2006/relationships/hyperlink" Target="http://www.linkedin.com/in/governorjaneswift" TargetMode="External"/><Relationship Id="rId9382" Type="http://schemas.openxmlformats.org/officeDocument/2006/relationships/hyperlink" Target="http://www.linkedin.com/in/madhuraggarwal" TargetMode="External"/><Relationship Id="rId8055" Type="http://schemas.openxmlformats.org/officeDocument/2006/relationships/hyperlink" Target="http://www.linkedin.com/in/fitzgeraldoatis" TargetMode="External"/><Relationship Id="rId9383" Type="http://schemas.openxmlformats.org/officeDocument/2006/relationships/hyperlink" Target="http://www.linkedin.com/in/johnsdimauro" TargetMode="External"/><Relationship Id="rId8054" Type="http://schemas.openxmlformats.org/officeDocument/2006/relationships/hyperlink" Target="http://www.linkedin.com/in/pabloperezbarreiro" TargetMode="External"/><Relationship Id="rId9384" Type="http://schemas.openxmlformats.org/officeDocument/2006/relationships/hyperlink" Target="https://www.linkedin.com/in/michaeljack" TargetMode="External"/><Relationship Id="rId8059" Type="http://schemas.openxmlformats.org/officeDocument/2006/relationships/hyperlink" Target="http://www.linkedin.com/in/biamonteiro" TargetMode="External"/><Relationship Id="rId8058" Type="http://schemas.openxmlformats.org/officeDocument/2006/relationships/hyperlink" Target="http://www.linkedin.com/pub/sinval-medeiros/10/6/A49" TargetMode="External"/><Relationship Id="rId9389" Type="http://schemas.openxmlformats.org/officeDocument/2006/relationships/hyperlink" Target="http://www.linkedin.com/in/evanbinder" TargetMode="External"/><Relationship Id="rId3238" Type="http://schemas.openxmlformats.org/officeDocument/2006/relationships/hyperlink" Target="http://ar.linkedin.com/in/slopezgalanes" TargetMode="External"/><Relationship Id="rId4569" Type="http://schemas.openxmlformats.org/officeDocument/2006/relationships/hyperlink" Target="http://ar.linkedin.com/in/karinapennino" TargetMode="External"/><Relationship Id="rId3237" Type="http://schemas.openxmlformats.org/officeDocument/2006/relationships/hyperlink" Target="http://www.linkedin.com/pub/luciana-vi%C3%B1as/a/38/26" TargetMode="External"/><Relationship Id="rId4568" Type="http://schemas.openxmlformats.org/officeDocument/2006/relationships/hyperlink" Target="http://www.linkedin.com/pub/agostina-guarnieri/28/52b/5ab" TargetMode="External"/><Relationship Id="rId5899" Type="http://schemas.openxmlformats.org/officeDocument/2006/relationships/hyperlink" Target="http://www.linkedin.com/pub/fern%C3%A1n-pizarro-posse/4/444/397" TargetMode="External"/><Relationship Id="rId3239" Type="http://schemas.openxmlformats.org/officeDocument/2006/relationships/hyperlink" Target="http://ar.linkedin.com/in/fgermano" TargetMode="External"/><Relationship Id="rId5890" Type="http://schemas.openxmlformats.org/officeDocument/2006/relationships/hyperlink" Target="http://ar.linkedin.com/pub/claudio-san-pedro-/3/730/241" TargetMode="External"/><Relationship Id="rId3230" Type="http://schemas.openxmlformats.org/officeDocument/2006/relationships/hyperlink" Target="http://ar.linkedin.com/in/humbertoduchen" TargetMode="External"/><Relationship Id="rId4561" Type="http://schemas.openxmlformats.org/officeDocument/2006/relationships/hyperlink" Target="http://ar.linkedin.com/pub/rocio-sabatini/23/747/874" TargetMode="External"/><Relationship Id="rId5893" Type="http://schemas.openxmlformats.org/officeDocument/2006/relationships/hyperlink" Target="http://www.linkedin.com/pub/rodolfo-clebsch/16/539/886" TargetMode="External"/><Relationship Id="rId4560" Type="http://schemas.openxmlformats.org/officeDocument/2006/relationships/hyperlink" Target="http://www.linkedin.com/pub/ignacio-de-carabassa/28/120/6b5" TargetMode="External"/><Relationship Id="rId5894" Type="http://schemas.openxmlformats.org/officeDocument/2006/relationships/hyperlink" Target="http://ar.linkedin.com/pub/horacio-villa/19/6BA/A0A" TargetMode="External"/><Relationship Id="rId3232" Type="http://schemas.openxmlformats.org/officeDocument/2006/relationships/hyperlink" Target="http://www.linkedin.com/in/martindiegoalvarez" TargetMode="External"/><Relationship Id="rId4563" Type="http://schemas.openxmlformats.org/officeDocument/2006/relationships/hyperlink" Target="http://ar.linkedin.com/pub/paula-mosca/26/475/581" TargetMode="External"/><Relationship Id="rId5891" Type="http://schemas.openxmlformats.org/officeDocument/2006/relationships/hyperlink" Target="http://ar.linkedin.com/pub/eduardo-d%C3%ADaz/16/76/1B4" TargetMode="External"/><Relationship Id="rId3231" Type="http://schemas.openxmlformats.org/officeDocument/2006/relationships/hyperlink" Target="http://ar.linkedin.com/pub/nahuel-zej%C3%A1n-ju%C3%A1rez/26/B49/8A7" TargetMode="External"/><Relationship Id="rId4562" Type="http://schemas.openxmlformats.org/officeDocument/2006/relationships/hyperlink" Target="http://www.linkedin.com/pub/mariana-sarramea/11/352/a59" TargetMode="External"/><Relationship Id="rId5892" Type="http://schemas.openxmlformats.org/officeDocument/2006/relationships/hyperlink" Target="http://ar.linkedin.com/pub/pablo-higa/A/9A3/1A6" TargetMode="External"/><Relationship Id="rId3234" Type="http://schemas.openxmlformats.org/officeDocument/2006/relationships/hyperlink" Target="http://ar.linkedin.com/pub/rodrigo-perello/9/809/735" TargetMode="External"/><Relationship Id="rId4565" Type="http://schemas.openxmlformats.org/officeDocument/2006/relationships/hyperlink" Target="http://ar.linkedin.com/pub/ferm%C3%ADn-dom%C3%ADnguez/1A/36A/635" TargetMode="External"/><Relationship Id="rId5897" Type="http://schemas.openxmlformats.org/officeDocument/2006/relationships/hyperlink" Target="http://ar.linkedin.com/pub/carolina-mamani/7/A56/128" TargetMode="External"/><Relationship Id="rId3233" Type="http://schemas.openxmlformats.org/officeDocument/2006/relationships/hyperlink" Target="http://ar.linkedin.com/in/patriciajsilva" TargetMode="External"/><Relationship Id="rId4564" Type="http://schemas.openxmlformats.org/officeDocument/2006/relationships/hyperlink" Target="http://ar.linkedin.com/pub/magdalena-novoa/9/978/3B6" TargetMode="External"/><Relationship Id="rId5898" Type="http://schemas.openxmlformats.org/officeDocument/2006/relationships/hyperlink" Target="http://ar.linkedin.com/pub/agustin-fazio/9/9A5/B8B" TargetMode="External"/><Relationship Id="rId3236" Type="http://schemas.openxmlformats.org/officeDocument/2006/relationships/hyperlink" Target="http://ar.linkedin.com/pub/lisandro-vinitsky/9/19/470" TargetMode="External"/><Relationship Id="rId4567" Type="http://schemas.openxmlformats.org/officeDocument/2006/relationships/hyperlink" Target="http://www.linkedin.com/pub/mat%C3%ADas-enr%C3%ADquez/25/4b0/a1b" TargetMode="External"/><Relationship Id="rId5895" Type="http://schemas.openxmlformats.org/officeDocument/2006/relationships/hyperlink" Target="http://ar.linkedin.com/pub/karina-ines-costa/3/647/A77" TargetMode="External"/><Relationship Id="rId3235" Type="http://schemas.openxmlformats.org/officeDocument/2006/relationships/hyperlink" Target="http://ar.linkedin.com/pub/wenceslao-frascaroli/20/6/6A4" TargetMode="External"/><Relationship Id="rId4566" Type="http://schemas.openxmlformats.org/officeDocument/2006/relationships/hyperlink" Target="http://www.linkedin.com/pub/marcel-tucciarelli/17/5AB/28B" TargetMode="External"/><Relationship Id="rId5896" Type="http://schemas.openxmlformats.org/officeDocument/2006/relationships/hyperlink" Target="http://www.linkedin.com/pub/martin-parra-it-pmp-pgmp/18/4b7/212" TargetMode="External"/><Relationship Id="rId3227" Type="http://schemas.openxmlformats.org/officeDocument/2006/relationships/hyperlink" Target="http://ar.linkedin.com/pub/cristian-sanchez/4/A41/57A" TargetMode="External"/><Relationship Id="rId4558" Type="http://schemas.openxmlformats.org/officeDocument/2006/relationships/hyperlink" Target="http://ar.linkedin.com/pub/natalia-grossetti/29/454/502" TargetMode="External"/><Relationship Id="rId3226" Type="http://schemas.openxmlformats.org/officeDocument/2006/relationships/hyperlink" Target="http://ar.linkedin.com/pub/juan-carlos-espinosa/4/6B4/727" TargetMode="External"/><Relationship Id="rId4557" Type="http://schemas.openxmlformats.org/officeDocument/2006/relationships/hyperlink" Target="http://ar.linkedin.com/in/farce" TargetMode="External"/><Relationship Id="rId3229" Type="http://schemas.openxmlformats.org/officeDocument/2006/relationships/hyperlink" Target="http://ar.linkedin.com/pub/hern-n-vittino/6/5A/9A8" TargetMode="External"/><Relationship Id="rId5888" Type="http://schemas.openxmlformats.org/officeDocument/2006/relationships/hyperlink" Target="http://www.linkedin.com/in/dennisblake" TargetMode="External"/><Relationship Id="rId3228" Type="http://schemas.openxmlformats.org/officeDocument/2006/relationships/hyperlink" Target="http://ar.linkedin.com/in/maximilianosigmund" TargetMode="External"/><Relationship Id="rId4559" Type="http://schemas.openxmlformats.org/officeDocument/2006/relationships/hyperlink" Target="http://ar.linkedin.com/pub/fabian-florentin/A/744/11B" TargetMode="External"/><Relationship Id="rId5889" Type="http://schemas.openxmlformats.org/officeDocument/2006/relationships/hyperlink" Target="http://www.linkedin.com/pub/claudio-pucci/7/A33/30B" TargetMode="External"/><Relationship Id="rId4550" Type="http://schemas.openxmlformats.org/officeDocument/2006/relationships/hyperlink" Target="http://br.linkedin.com/in/rodrigopementa" TargetMode="External"/><Relationship Id="rId5882" Type="http://schemas.openxmlformats.org/officeDocument/2006/relationships/hyperlink" Target="http://ar.linkedin.com/in/csosa" TargetMode="External"/><Relationship Id="rId5883" Type="http://schemas.openxmlformats.org/officeDocument/2006/relationships/hyperlink" Target="http://www.linkedin.com/pub/ramon-mejia/1/173/285" TargetMode="External"/><Relationship Id="rId3221" Type="http://schemas.openxmlformats.org/officeDocument/2006/relationships/hyperlink" Target="http://ar.linkedin.com/in/gustavosuarez" TargetMode="External"/><Relationship Id="rId4552" Type="http://schemas.openxmlformats.org/officeDocument/2006/relationships/hyperlink" Target="http://ar.linkedin.com/pub/ivan-cordoba/24/568/981" TargetMode="External"/><Relationship Id="rId5880" Type="http://schemas.openxmlformats.org/officeDocument/2006/relationships/hyperlink" Target="http://www.linkedin.com/in/alejandraolea" TargetMode="External"/><Relationship Id="rId3220" Type="http://schemas.openxmlformats.org/officeDocument/2006/relationships/hyperlink" Target="http://www.linkedin.com/pub/alejandro-mainardi/1/969/144" TargetMode="External"/><Relationship Id="rId4551" Type="http://schemas.openxmlformats.org/officeDocument/2006/relationships/hyperlink" Target="http://ar.linkedin.com/in/mluvecce" TargetMode="External"/><Relationship Id="rId5881" Type="http://schemas.openxmlformats.org/officeDocument/2006/relationships/hyperlink" Target="http://www.linkedin.com/pub/jose-antonio-garcia-gonzalez/2/707/125" TargetMode="External"/><Relationship Id="rId3223" Type="http://schemas.openxmlformats.org/officeDocument/2006/relationships/hyperlink" Target="http://ar.linkedin.com/pub/norberto-kwist/5/374/B29" TargetMode="External"/><Relationship Id="rId4554" Type="http://schemas.openxmlformats.org/officeDocument/2006/relationships/hyperlink" Target="http://ar.linkedin.com/pub/diego-canosa/11/70B/768" TargetMode="External"/><Relationship Id="rId5886" Type="http://schemas.openxmlformats.org/officeDocument/2006/relationships/hyperlink" Target="http://www.linkedin.com/pub/antonio-pastor/5/19A/3A7" TargetMode="External"/><Relationship Id="rId3222" Type="http://schemas.openxmlformats.org/officeDocument/2006/relationships/hyperlink" Target="http://ar.linkedin.com/in/christiansabino" TargetMode="External"/><Relationship Id="rId4553" Type="http://schemas.openxmlformats.org/officeDocument/2006/relationships/hyperlink" Target="http://ar.linkedin.com/pub/campetella-monica/4/62A/136" TargetMode="External"/><Relationship Id="rId5887" Type="http://schemas.openxmlformats.org/officeDocument/2006/relationships/hyperlink" Target="http://ar.linkedin.com/in/juanpabloromerobarenghi" TargetMode="External"/><Relationship Id="rId3225" Type="http://schemas.openxmlformats.org/officeDocument/2006/relationships/hyperlink" Target="http://ar.linkedin.com/in/federicoramos" TargetMode="External"/><Relationship Id="rId4556" Type="http://schemas.openxmlformats.org/officeDocument/2006/relationships/hyperlink" Target="http://www.linkedin.com/pub/alexia-mariana-cifre/26/a6b/367" TargetMode="External"/><Relationship Id="rId5884" Type="http://schemas.openxmlformats.org/officeDocument/2006/relationships/hyperlink" Target="http://ar.linkedin.com/in/gerardogabrielarce" TargetMode="External"/><Relationship Id="rId3224" Type="http://schemas.openxmlformats.org/officeDocument/2006/relationships/hyperlink" Target="http://ar.linkedin.com/pub/martin-arco/15/B7/B7B" TargetMode="External"/><Relationship Id="rId4555" Type="http://schemas.openxmlformats.org/officeDocument/2006/relationships/hyperlink" Target="http://www.linkedin.com/pub/gisela-beloso/22/99b/410" TargetMode="External"/><Relationship Id="rId5885" Type="http://schemas.openxmlformats.org/officeDocument/2006/relationships/hyperlink" Target="http://www.linkedin.com/pub/phil-searle/0/68A/82" TargetMode="External"/><Relationship Id="rId3259" Type="http://schemas.openxmlformats.org/officeDocument/2006/relationships/hyperlink" Target="http://www.linkedin.com/pub/lilian-medin/12/173/948" TargetMode="External"/><Relationship Id="rId3250" Type="http://schemas.openxmlformats.org/officeDocument/2006/relationships/hyperlink" Target="http://ar.linkedin.com/pub/ayelen-aguirre/2/527/884" TargetMode="External"/><Relationship Id="rId4581" Type="http://schemas.openxmlformats.org/officeDocument/2006/relationships/hyperlink" Target="http://ar.linkedin.com/pub/aldo-fornasari/7/B36/825" TargetMode="External"/><Relationship Id="rId4580" Type="http://schemas.openxmlformats.org/officeDocument/2006/relationships/hyperlink" Target="http://ar.linkedin.com/pub/daniel-lempert/0/1A1/AB9" TargetMode="External"/><Relationship Id="rId3252" Type="http://schemas.openxmlformats.org/officeDocument/2006/relationships/hyperlink" Target="http://ar.linkedin.com/in/wanczu" TargetMode="External"/><Relationship Id="rId4583" Type="http://schemas.openxmlformats.org/officeDocument/2006/relationships/hyperlink" Target="http://ar.linkedin.com/in/anabellaespindola" TargetMode="External"/><Relationship Id="rId3251" Type="http://schemas.openxmlformats.org/officeDocument/2006/relationships/hyperlink" Target="http://ar.linkedin.com/pub/nicolas-qui-ones/20/B04/249" TargetMode="External"/><Relationship Id="rId4582" Type="http://schemas.openxmlformats.org/officeDocument/2006/relationships/hyperlink" Target="http://ar.linkedin.com/pub/gustavo-novak/2/805/A11" TargetMode="External"/><Relationship Id="rId3254" Type="http://schemas.openxmlformats.org/officeDocument/2006/relationships/hyperlink" Target="http://www.linkedin.com/pub/fernando-pi/19/346/7ab" TargetMode="External"/><Relationship Id="rId4585" Type="http://schemas.openxmlformats.org/officeDocument/2006/relationships/hyperlink" Target="http://ar.linkedin.com/pub/diego-sueldo/23/613/B36" TargetMode="External"/><Relationship Id="rId3253" Type="http://schemas.openxmlformats.org/officeDocument/2006/relationships/hyperlink" Target="http://www.linkedin.com/pub/eduardo-ra%C3%BAl-murolo/2/199/345" TargetMode="External"/><Relationship Id="rId4584" Type="http://schemas.openxmlformats.org/officeDocument/2006/relationships/hyperlink" Target="http://ar.linkedin.com/in/ximenagasparini" TargetMode="External"/><Relationship Id="rId3256" Type="http://schemas.openxmlformats.org/officeDocument/2006/relationships/hyperlink" Target="http://www.linkedin.com/pub/sebastian-nozaki/27/30/708" TargetMode="External"/><Relationship Id="rId4587" Type="http://schemas.openxmlformats.org/officeDocument/2006/relationships/hyperlink" Target="http://ar.linkedin.com/pub/federico-alfredo/6/170/874" TargetMode="External"/><Relationship Id="rId3255" Type="http://schemas.openxmlformats.org/officeDocument/2006/relationships/hyperlink" Target="http://ar.linkedin.com/pub/victor-spala/0/62B/312" TargetMode="External"/><Relationship Id="rId4586" Type="http://schemas.openxmlformats.org/officeDocument/2006/relationships/hyperlink" Target="http://ar.linkedin.com/in/mealbaytero" TargetMode="External"/><Relationship Id="rId3258" Type="http://schemas.openxmlformats.org/officeDocument/2006/relationships/hyperlink" Target="http://ar.linkedin.com/pub/roberto-moldes/0/2A8/49B" TargetMode="External"/><Relationship Id="rId4589" Type="http://schemas.openxmlformats.org/officeDocument/2006/relationships/hyperlink" Target="http://ar.linkedin.com/pub/hernan-santiso/0/7B1/696" TargetMode="External"/><Relationship Id="rId3257" Type="http://schemas.openxmlformats.org/officeDocument/2006/relationships/hyperlink" Target="http://www.linkedin.com/pub/martin-perez-menendez/0/401/416" TargetMode="External"/><Relationship Id="rId4588" Type="http://schemas.openxmlformats.org/officeDocument/2006/relationships/hyperlink" Target="http://ar.linkedin.com/pub/claudio-belen/5/496/B10" TargetMode="External"/><Relationship Id="rId3249" Type="http://schemas.openxmlformats.org/officeDocument/2006/relationships/hyperlink" Target="http://www.linkedin.com/in/perfilmag" TargetMode="External"/><Relationship Id="rId3248" Type="http://schemas.openxmlformats.org/officeDocument/2006/relationships/hyperlink" Target="http://ar.linkedin.com/pub/florencia-quispe/A/720/1BB" TargetMode="External"/><Relationship Id="rId4579" Type="http://schemas.openxmlformats.org/officeDocument/2006/relationships/hyperlink" Target="http://ar.linkedin.com/pub/pablo-antonini/10/877/961" TargetMode="External"/><Relationship Id="rId4570" Type="http://schemas.openxmlformats.org/officeDocument/2006/relationships/hyperlink" Target="http://www.linkedin.com/pub/maria-andrea-bonecco/0/a20/24a" TargetMode="External"/><Relationship Id="rId3241" Type="http://schemas.openxmlformats.org/officeDocument/2006/relationships/hyperlink" Target="http://ar.linkedin.com/in/gustavomagenta" TargetMode="External"/><Relationship Id="rId4572" Type="http://schemas.openxmlformats.org/officeDocument/2006/relationships/hyperlink" Target="http://www.linkedin.com/pub/agostina-rapanelli/25/ab0/583" TargetMode="External"/><Relationship Id="rId3240" Type="http://schemas.openxmlformats.org/officeDocument/2006/relationships/hyperlink" Target="http://ar.linkedin.com/in/facundoprecentado" TargetMode="External"/><Relationship Id="rId4571" Type="http://schemas.openxmlformats.org/officeDocument/2006/relationships/hyperlink" Target="http://ar.linkedin.com/pub/martin-buteler/2/412/A40" TargetMode="External"/><Relationship Id="rId3243" Type="http://schemas.openxmlformats.org/officeDocument/2006/relationships/hyperlink" Target="http://ar.linkedin.com/in/jwaitz" TargetMode="External"/><Relationship Id="rId4574" Type="http://schemas.openxmlformats.org/officeDocument/2006/relationships/hyperlink" Target="http://ar.linkedin.com/in/cymrecursoshumanos" TargetMode="External"/><Relationship Id="rId3242" Type="http://schemas.openxmlformats.org/officeDocument/2006/relationships/hyperlink" Target="http://ar.linkedin.com/pub/carlos-basualdo/0/745/B50" TargetMode="External"/><Relationship Id="rId4573" Type="http://schemas.openxmlformats.org/officeDocument/2006/relationships/hyperlink" Target="http://www.linkedin.com/pub/jos%C3%A9-dos-santos-costa/1/5ba/11a" TargetMode="External"/><Relationship Id="rId3245" Type="http://schemas.openxmlformats.org/officeDocument/2006/relationships/hyperlink" Target="http://www.linkedin.com/pub/ariel-casali/14/29B/B6" TargetMode="External"/><Relationship Id="rId4576" Type="http://schemas.openxmlformats.org/officeDocument/2006/relationships/hyperlink" Target="http://www.linkedin.com/pub/agustin-perez-d-ambrosio/26/64/332" TargetMode="External"/><Relationship Id="rId3244" Type="http://schemas.openxmlformats.org/officeDocument/2006/relationships/hyperlink" Target="http://www.linkedin.com/pub/daniel-rowinsky/6/620/240" TargetMode="External"/><Relationship Id="rId4575" Type="http://schemas.openxmlformats.org/officeDocument/2006/relationships/hyperlink" Target="http://www.linkedin.com/pub/stella-goreico/a/432/137" TargetMode="External"/><Relationship Id="rId3247" Type="http://schemas.openxmlformats.org/officeDocument/2006/relationships/hyperlink" Target="http://ar.linkedin.com/in/sebastianlozano" TargetMode="External"/><Relationship Id="rId4578" Type="http://schemas.openxmlformats.org/officeDocument/2006/relationships/hyperlink" Target="http://ar.linkedin.com/pub/gabriel-alonso/10/5AB/891" TargetMode="External"/><Relationship Id="rId3246" Type="http://schemas.openxmlformats.org/officeDocument/2006/relationships/hyperlink" Target="http://ar.linkedin.com/pub/christian-vazquez/2/619/64" TargetMode="External"/><Relationship Id="rId4577" Type="http://schemas.openxmlformats.org/officeDocument/2006/relationships/hyperlink" Target="http://ar.linkedin.com/pub/pablo-caffe/26/989/154" TargetMode="External"/><Relationship Id="rId4525" Type="http://schemas.openxmlformats.org/officeDocument/2006/relationships/hyperlink" Target="http://www.linkedin.com/pub/pablo-pajon/b/774/759" TargetMode="External"/><Relationship Id="rId5857" Type="http://schemas.openxmlformats.org/officeDocument/2006/relationships/hyperlink" Target="http://www.linkedin.com/pub/yoonie-tang/2/A2B/21" TargetMode="External"/><Relationship Id="rId4524" Type="http://schemas.openxmlformats.org/officeDocument/2006/relationships/hyperlink" Target="http://ar.linkedin.com/pub/santiago-romay/A/30/921" TargetMode="External"/><Relationship Id="rId5858" Type="http://schemas.openxmlformats.org/officeDocument/2006/relationships/hyperlink" Target="http://ar.linkedin.com/in/ramorn" TargetMode="External"/><Relationship Id="rId4527" Type="http://schemas.openxmlformats.org/officeDocument/2006/relationships/hyperlink" Target="http://ar.linkedin.com/pub/renato-rossello/8/956/383" TargetMode="External"/><Relationship Id="rId5855" Type="http://schemas.openxmlformats.org/officeDocument/2006/relationships/hyperlink" Target="http://www.linkedin.com/pub/yeshey-tshogay/A/230/447" TargetMode="External"/><Relationship Id="rId4526" Type="http://schemas.openxmlformats.org/officeDocument/2006/relationships/hyperlink" Target="http://ar.linkedin.com/pub/sergio-pozzoli/B/6A0/4B9" TargetMode="External"/><Relationship Id="rId5856" Type="http://schemas.openxmlformats.org/officeDocument/2006/relationships/hyperlink" Target="http://www.linkedin.com/pub/sham-careem/1/866/161" TargetMode="External"/><Relationship Id="rId4529" Type="http://schemas.openxmlformats.org/officeDocument/2006/relationships/hyperlink" Target="http://ar.linkedin.com/in/ecaprarulo" TargetMode="External"/><Relationship Id="rId4528" Type="http://schemas.openxmlformats.org/officeDocument/2006/relationships/hyperlink" Target="http://www.linkedin.com/in/hugodamiani" TargetMode="External"/><Relationship Id="rId5859" Type="http://schemas.openxmlformats.org/officeDocument/2006/relationships/hyperlink" Target="http://ar.linkedin.com/pub/francisco-palacios/27/781/5A8" TargetMode="External"/><Relationship Id="rId5850" Type="http://schemas.openxmlformats.org/officeDocument/2006/relationships/hyperlink" Target="http://www.linkedin.com/pub/david-gilarranz/5/957/A63" TargetMode="External"/><Relationship Id="rId4521" Type="http://schemas.openxmlformats.org/officeDocument/2006/relationships/hyperlink" Target="http://ar.linkedin.com/in/franfarina" TargetMode="External"/><Relationship Id="rId5853" Type="http://schemas.openxmlformats.org/officeDocument/2006/relationships/hyperlink" Target="http://www.linkedin.com/in/andresarias" TargetMode="External"/><Relationship Id="rId4520" Type="http://schemas.openxmlformats.org/officeDocument/2006/relationships/hyperlink" Target="http://ar.linkedin.com/pub/gaston-barrionuevo/19/52A/766" TargetMode="External"/><Relationship Id="rId5854" Type="http://schemas.openxmlformats.org/officeDocument/2006/relationships/hyperlink" Target="http://www.linkedin.com/pub/adriana-daantje/8/94B/B80" TargetMode="External"/><Relationship Id="rId4523" Type="http://schemas.openxmlformats.org/officeDocument/2006/relationships/hyperlink" Target="http://ar.linkedin.com/pub/antonella-di-marzio/30/969/4A" TargetMode="External"/><Relationship Id="rId5851" Type="http://schemas.openxmlformats.org/officeDocument/2006/relationships/hyperlink" Target="http://www.linkedin.com/pub/alexis-guini/18/687/89" TargetMode="External"/><Relationship Id="rId4522" Type="http://schemas.openxmlformats.org/officeDocument/2006/relationships/hyperlink" Target="http://www.linkedin.com/pub/andres-marro/18/627/761" TargetMode="External"/><Relationship Id="rId5852" Type="http://schemas.openxmlformats.org/officeDocument/2006/relationships/hyperlink" Target="http://www.linkedin.com/pub/federico-giovannetti/1/24B/27B" TargetMode="External"/><Relationship Id="rId4514" Type="http://schemas.openxmlformats.org/officeDocument/2006/relationships/hyperlink" Target="http://ar.linkedin.com/pub/m-nica-acosta/8/498/6B9" TargetMode="External"/><Relationship Id="rId5846" Type="http://schemas.openxmlformats.org/officeDocument/2006/relationships/hyperlink" Target="http://www.linkedin.com/pub/leandro-iacono/20/608/6A5" TargetMode="External"/><Relationship Id="rId4513" Type="http://schemas.openxmlformats.org/officeDocument/2006/relationships/hyperlink" Target="http://ar.linkedin.com/pub/claudia-cristina-rossi/A/427/60A" TargetMode="External"/><Relationship Id="rId5847" Type="http://schemas.openxmlformats.org/officeDocument/2006/relationships/hyperlink" Target="http://ar.linkedin.com/pub/axel-chevallier-boutell/8/547/B48" TargetMode="External"/><Relationship Id="rId4516" Type="http://schemas.openxmlformats.org/officeDocument/2006/relationships/hyperlink" Target="http://www.linkedin.com/in/dvenditti" TargetMode="External"/><Relationship Id="rId5844" Type="http://schemas.openxmlformats.org/officeDocument/2006/relationships/hyperlink" Target="http://www.linkedin.com/pub/rodolfo-edgardo-cattaneo/7/a40/308" TargetMode="External"/><Relationship Id="rId4515" Type="http://schemas.openxmlformats.org/officeDocument/2006/relationships/hyperlink" Target="http://ar.linkedin.com/pub/luciana-arce/9/4A4/84A" TargetMode="External"/><Relationship Id="rId5845" Type="http://schemas.openxmlformats.org/officeDocument/2006/relationships/hyperlink" Target="http://www.linkedin.com/in/brunospinelli" TargetMode="External"/><Relationship Id="rId4518" Type="http://schemas.openxmlformats.org/officeDocument/2006/relationships/hyperlink" Target="http://ar.linkedin.com/pub/agustina-paz/10/167/832" TargetMode="External"/><Relationship Id="rId4517" Type="http://schemas.openxmlformats.org/officeDocument/2006/relationships/hyperlink" Target="http://www.linkedin.com/pub/paola-racana-consultora/16/251/a83" TargetMode="External"/><Relationship Id="rId5848" Type="http://schemas.openxmlformats.org/officeDocument/2006/relationships/hyperlink" Target="http://www.linkedin.com/pub/sebasti%C3%A1n-v%C3%A1zquez-montoto/20/510/405" TargetMode="External"/><Relationship Id="rId4519" Type="http://schemas.openxmlformats.org/officeDocument/2006/relationships/hyperlink" Target="http://www.linkedin.com/pub/sebastian-lonegro/5/673/13b" TargetMode="External"/><Relationship Id="rId5849" Type="http://schemas.openxmlformats.org/officeDocument/2006/relationships/hyperlink" Target="http://www.linkedin.com/pub/juan-gomez-de-la-vega/0/6B/646" TargetMode="External"/><Relationship Id="rId4510" Type="http://schemas.openxmlformats.org/officeDocument/2006/relationships/hyperlink" Target="http://www.linkedin.com/pub/mart%C3%ADn-gambardella/22/b92/38b" TargetMode="External"/><Relationship Id="rId5842" Type="http://schemas.openxmlformats.org/officeDocument/2006/relationships/hyperlink" Target="http://www.linkedin.com/pub/lidia-schmukler/23/124/4a2" TargetMode="External"/><Relationship Id="rId5843" Type="http://schemas.openxmlformats.org/officeDocument/2006/relationships/hyperlink" Target="http://www.linkedin.com/pub/daniela-hernandez/24/38B/129" TargetMode="External"/><Relationship Id="rId4512" Type="http://schemas.openxmlformats.org/officeDocument/2006/relationships/hyperlink" Target="http://ar.linkedin.com/pub/carlos-fanego/18/230/443" TargetMode="External"/><Relationship Id="rId5840" Type="http://schemas.openxmlformats.org/officeDocument/2006/relationships/hyperlink" Target="http://www.linkedin.com/pub/gustavo-perrone/1/B47/7B" TargetMode="External"/><Relationship Id="rId4511" Type="http://schemas.openxmlformats.org/officeDocument/2006/relationships/hyperlink" Target="http://ar.linkedin.com/pub/florencia-b%C3%B6se/A/610/20" TargetMode="External"/><Relationship Id="rId5841" Type="http://schemas.openxmlformats.org/officeDocument/2006/relationships/hyperlink" Target="http://ar.linkedin.com/pub/miguel-sarria/8/38A/169" TargetMode="External"/><Relationship Id="rId3216" Type="http://schemas.openxmlformats.org/officeDocument/2006/relationships/hyperlink" Target="http://ar.linkedin.com/pub/hern%C3%A1n-britos/11/451/726" TargetMode="External"/><Relationship Id="rId4547" Type="http://schemas.openxmlformats.org/officeDocument/2006/relationships/hyperlink" Target="http://ar.linkedin.com/pub/federico-gallo/8/446/BB3" TargetMode="External"/><Relationship Id="rId5879" Type="http://schemas.openxmlformats.org/officeDocument/2006/relationships/hyperlink" Target="http://www.linkedin.com/pub/renato-motta/0/187/249" TargetMode="External"/><Relationship Id="rId3215" Type="http://schemas.openxmlformats.org/officeDocument/2006/relationships/hyperlink" Target="http://www.linkedin.com/pub/ricardo-caldes/1/8a5/613" TargetMode="External"/><Relationship Id="rId4546" Type="http://schemas.openxmlformats.org/officeDocument/2006/relationships/hyperlink" Target="http://www.linkedin.com/pub/gerardo-barros-giusti/15/27a/87a" TargetMode="External"/><Relationship Id="rId3218" Type="http://schemas.openxmlformats.org/officeDocument/2006/relationships/hyperlink" Target="http://ar.linkedin.com/in/ferrarisebastian" TargetMode="External"/><Relationship Id="rId4549" Type="http://schemas.openxmlformats.org/officeDocument/2006/relationships/hyperlink" Target="http://ar.linkedin.com/pub/cecilia-ordano/11/B70/98B" TargetMode="External"/><Relationship Id="rId5877" Type="http://schemas.openxmlformats.org/officeDocument/2006/relationships/hyperlink" Target="http://ar.linkedin.com/in/jmbaiutti" TargetMode="External"/><Relationship Id="rId3217" Type="http://schemas.openxmlformats.org/officeDocument/2006/relationships/hyperlink" Target="http://www.linkedin.com/pub/marcos-impalea/5/6b/8a2" TargetMode="External"/><Relationship Id="rId4548" Type="http://schemas.openxmlformats.org/officeDocument/2006/relationships/hyperlink" Target="http://ar.linkedin.com/in/motivacion" TargetMode="External"/><Relationship Id="rId5878" Type="http://schemas.openxmlformats.org/officeDocument/2006/relationships/hyperlink" Target="http://www.linkedin.com/in/sarabakerbitto" TargetMode="External"/><Relationship Id="rId3219" Type="http://schemas.openxmlformats.org/officeDocument/2006/relationships/hyperlink" Target="http://ar.linkedin.com/in/daniking" TargetMode="External"/><Relationship Id="rId5871" Type="http://schemas.openxmlformats.org/officeDocument/2006/relationships/hyperlink" Target="http://www.linkedin.com/pub/laura-szpindler/4/859/335" TargetMode="External"/><Relationship Id="rId5872" Type="http://schemas.openxmlformats.org/officeDocument/2006/relationships/hyperlink" Target="http://ar.linkedin.com/in/rodolfof" TargetMode="External"/><Relationship Id="rId3210" Type="http://schemas.openxmlformats.org/officeDocument/2006/relationships/hyperlink" Target="http://ar.linkedin.com/pub/leandro-galli/9/285/853" TargetMode="External"/><Relationship Id="rId4541" Type="http://schemas.openxmlformats.org/officeDocument/2006/relationships/hyperlink" Target="http://ar.linkedin.com/pub/ariel-fabiano/17/901/352" TargetMode="External"/><Relationship Id="rId4540" Type="http://schemas.openxmlformats.org/officeDocument/2006/relationships/hyperlink" Target="http://ar.linkedin.com/pub/hugo-zagarzazu/2A/29A/B53" TargetMode="External"/><Relationship Id="rId5870" Type="http://schemas.openxmlformats.org/officeDocument/2006/relationships/hyperlink" Target="http://ar.linkedin.com/pub/francisco-jos%C3%A9-rold%C3%A1n/13/A34/808" TargetMode="External"/><Relationship Id="rId3212" Type="http://schemas.openxmlformats.org/officeDocument/2006/relationships/hyperlink" Target="http://ar.linkedin.com/in/pablodanielbarbi" TargetMode="External"/><Relationship Id="rId4543" Type="http://schemas.openxmlformats.org/officeDocument/2006/relationships/hyperlink" Target="http://ar.linkedin.com/pub/claudia-kahn/13/A53/99" TargetMode="External"/><Relationship Id="rId5875" Type="http://schemas.openxmlformats.org/officeDocument/2006/relationships/hyperlink" Target="http://uk.linkedin.com/pub/marcelo-daniel-oviedo/2A/804/557" TargetMode="External"/><Relationship Id="rId3211" Type="http://schemas.openxmlformats.org/officeDocument/2006/relationships/hyperlink" Target="http://ar.linkedin.com/pub/garcilaso-jordana/3/1A8/605" TargetMode="External"/><Relationship Id="rId4542" Type="http://schemas.openxmlformats.org/officeDocument/2006/relationships/hyperlink" Target="http://ar.linkedin.com/pub/diana-bermudez/18/897/6B5" TargetMode="External"/><Relationship Id="rId5876" Type="http://schemas.openxmlformats.org/officeDocument/2006/relationships/hyperlink" Target="http://ar.linkedin.com/pub/edgardo-garrido/9/758/346" TargetMode="External"/><Relationship Id="rId3214" Type="http://schemas.openxmlformats.org/officeDocument/2006/relationships/hyperlink" Target="http://ar.linkedin.com/in/eassefi" TargetMode="External"/><Relationship Id="rId4545" Type="http://schemas.openxmlformats.org/officeDocument/2006/relationships/hyperlink" Target="http://ar.linkedin.com/pub/claudio-kiwowicz/27/228/38A" TargetMode="External"/><Relationship Id="rId5873" Type="http://schemas.openxmlformats.org/officeDocument/2006/relationships/hyperlink" Target="http://ar.linkedin.com/in/lucaswells" TargetMode="External"/><Relationship Id="rId3213" Type="http://schemas.openxmlformats.org/officeDocument/2006/relationships/hyperlink" Target="http://www.linkedin.com/pub/sebastian-caldumbide/15/733/836" TargetMode="External"/><Relationship Id="rId4544" Type="http://schemas.openxmlformats.org/officeDocument/2006/relationships/hyperlink" Target="http://www.linkedin.com/pub/yanina-ferrero-de-la-torre/25/551/b88" TargetMode="External"/><Relationship Id="rId5874" Type="http://schemas.openxmlformats.org/officeDocument/2006/relationships/hyperlink" Target="http://ar.linkedin.com/in/dlineiro" TargetMode="External"/><Relationship Id="rId3205" Type="http://schemas.openxmlformats.org/officeDocument/2006/relationships/hyperlink" Target="http://www.linkedin.com/pub/leandro-zirpoli/3/35a/7b" TargetMode="External"/><Relationship Id="rId4536" Type="http://schemas.openxmlformats.org/officeDocument/2006/relationships/hyperlink" Target="http://ar.linkedin.com/in/22071956" TargetMode="External"/><Relationship Id="rId5868" Type="http://schemas.openxmlformats.org/officeDocument/2006/relationships/hyperlink" Target="http://www.linkedin.com/pub/javier-robertazzi/a/645/582" TargetMode="External"/><Relationship Id="rId3204" Type="http://schemas.openxmlformats.org/officeDocument/2006/relationships/hyperlink" Target="http://ar.linkedin.com/in/florenciabeccar" TargetMode="External"/><Relationship Id="rId4535" Type="http://schemas.openxmlformats.org/officeDocument/2006/relationships/hyperlink" Target="http://ar.linkedin.com/pub/daniela-iturria/11/668/829" TargetMode="External"/><Relationship Id="rId5869" Type="http://schemas.openxmlformats.org/officeDocument/2006/relationships/hyperlink" Target="http://www.linkedin.com/pub/sergio-cabanela/13/2b5/8b8" TargetMode="External"/><Relationship Id="rId3207" Type="http://schemas.openxmlformats.org/officeDocument/2006/relationships/hyperlink" Target="http://ar.linkedin.com/in/sergioreynoso" TargetMode="External"/><Relationship Id="rId4538" Type="http://schemas.openxmlformats.org/officeDocument/2006/relationships/hyperlink" Target="http://ar.linkedin.com/pub/lionel-portnoy-rosso/8/6B3/128" TargetMode="External"/><Relationship Id="rId5866" Type="http://schemas.openxmlformats.org/officeDocument/2006/relationships/hyperlink" Target="http://ar.linkedin.com/pub/patricia-nastasi/4/6A8/A2B" TargetMode="External"/><Relationship Id="rId3206" Type="http://schemas.openxmlformats.org/officeDocument/2006/relationships/hyperlink" Target="http://www.linkedin.com/pub/debra-depuy/3/a51/744" TargetMode="External"/><Relationship Id="rId4537" Type="http://schemas.openxmlformats.org/officeDocument/2006/relationships/hyperlink" Target="http://ar.linkedin.com/in/josealvarezchaus" TargetMode="External"/><Relationship Id="rId5867" Type="http://schemas.openxmlformats.org/officeDocument/2006/relationships/hyperlink" Target="http://www.linkedin.com/pub/pablo-pedreira-agilda/10/808/802" TargetMode="External"/><Relationship Id="rId3209" Type="http://schemas.openxmlformats.org/officeDocument/2006/relationships/hyperlink" Target="http://ar.linkedin.com/in/gastonalgaze" TargetMode="External"/><Relationship Id="rId3208" Type="http://schemas.openxmlformats.org/officeDocument/2006/relationships/hyperlink" Target="http://ar.linkedin.com/pub/hernan-zinik/4/246/967" TargetMode="External"/><Relationship Id="rId4539" Type="http://schemas.openxmlformats.org/officeDocument/2006/relationships/hyperlink" Target="http://ar.linkedin.com/in/pablosguajardo" TargetMode="External"/><Relationship Id="rId5860" Type="http://schemas.openxmlformats.org/officeDocument/2006/relationships/hyperlink" Target="http://ar.linkedin.com/pub/miriam-castellani/9/A24/B8" TargetMode="External"/><Relationship Id="rId5861" Type="http://schemas.openxmlformats.org/officeDocument/2006/relationships/hyperlink" Target="http://ar.linkedin.com/in/germanbanchio" TargetMode="External"/><Relationship Id="rId4530" Type="http://schemas.openxmlformats.org/officeDocument/2006/relationships/hyperlink" Target="http://ar.linkedin.com/in/wwwlinkedincomcarlos1831" TargetMode="External"/><Relationship Id="rId3201" Type="http://schemas.openxmlformats.org/officeDocument/2006/relationships/hyperlink" Target="http://ar.linkedin.com/in/alejandrovieira" TargetMode="External"/><Relationship Id="rId4532" Type="http://schemas.openxmlformats.org/officeDocument/2006/relationships/hyperlink" Target="http://www.linkedin.com/pub/alberto-m-druetta-pmp/1/a07/b54" TargetMode="External"/><Relationship Id="rId5864" Type="http://schemas.openxmlformats.org/officeDocument/2006/relationships/hyperlink" Target="http://www.linkedin.com/pub/michael-lucido/A/998/689" TargetMode="External"/><Relationship Id="rId3200" Type="http://schemas.openxmlformats.org/officeDocument/2006/relationships/hyperlink" Target="http://ar.linkedin.com/pub/pablo-nunzio/1/922/400" TargetMode="External"/><Relationship Id="rId4531" Type="http://schemas.openxmlformats.org/officeDocument/2006/relationships/hyperlink" Target="http://ar.linkedin.com/pub/lic-guillermo-polzella/4/B55/370" TargetMode="External"/><Relationship Id="rId5865" Type="http://schemas.openxmlformats.org/officeDocument/2006/relationships/hyperlink" Target="http://ar.linkedin.com/pub/federico-andre/3/B38/320" TargetMode="External"/><Relationship Id="rId3203" Type="http://schemas.openxmlformats.org/officeDocument/2006/relationships/hyperlink" Target="http://ar.linkedin.com/pub/patricio-kenny/7/BB9/6B4" TargetMode="External"/><Relationship Id="rId4534" Type="http://schemas.openxmlformats.org/officeDocument/2006/relationships/hyperlink" Target="http://ar.linkedin.com/pub/euge-iglesias/19/623/47B" TargetMode="External"/><Relationship Id="rId5862" Type="http://schemas.openxmlformats.org/officeDocument/2006/relationships/hyperlink" Target="http://www.linkedin.com/in/lautenberg" TargetMode="External"/><Relationship Id="rId3202" Type="http://schemas.openxmlformats.org/officeDocument/2006/relationships/hyperlink" Target="http://ar.linkedin.com/pub/damian-martinez/21/441/544" TargetMode="External"/><Relationship Id="rId4533" Type="http://schemas.openxmlformats.org/officeDocument/2006/relationships/hyperlink" Target="http://ar.linkedin.com/pub/facundo-calegari/2/38B/85" TargetMode="External"/><Relationship Id="rId5863" Type="http://schemas.openxmlformats.org/officeDocument/2006/relationships/hyperlink" Target="http://www.linkedin.com/pub/brandt-sartell/6/49/5B4" TargetMode="External"/><Relationship Id="rId190" Type="http://schemas.openxmlformats.org/officeDocument/2006/relationships/hyperlink" Target="http://uk.linkedin.com/pub/varinder-bains/2/438/B82" TargetMode="External"/><Relationship Id="rId194" Type="http://schemas.openxmlformats.org/officeDocument/2006/relationships/hyperlink" Target="http://cl.linkedin.com/in/armandopenafiel" TargetMode="External"/><Relationship Id="rId193" Type="http://schemas.openxmlformats.org/officeDocument/2006/relationships/hyperlink" Target="http://br.linkedin.com/pub/manoel-messias/29/197/A32" TargetMode="External"/><Relationship Id="rId192" Type="http://schemas.openxmlformats.org/officeDocument/2006/relationships/hyperlink" Target="http://www.linkedin.com/in/amirq" TargetMode="External"/><Relationship Id="rId191" Type="http://schemas.openxmlformats.org/officeDocument/2006/relationships/hyperlink" Target="http://br.linkedin.com/in/jorgedantas" TargetMode="External"/><Relationship Id="rId187" Type="http://schemas.openxmlformats.org/officeDocument/2006/relationships/hyperlink" Target="http://www.linkedin.com/in/mkotorres" TargetMode="External"/><Relationship Id="rId186" Type="http://schemas.openxmlformats.org/officeDocument/2006/relationships/hyperlink" Target="http://br.linkedin.com/pub/mariana-teixeira/10/761/252" TargetMode="External"/><Relationship Id="rId185" Type="http://schemas.openxmlformats.org/officeDocument/2006/relationships/hyperlink" Target="http://pt.linkedin.com/pub/jaime-ferreira/1/636/10" TargetMode="External"/><Relationship Id="rId184" Type="http://schemas.openxmlformats.org/officeDocument/2006/relationships/hyperlink" Target="http://www.linkedin.com/in/tomgordon" TargetMode="External"/><Relationship Id="rId189" Type="http://schemas.openxmlformats.org/officeDocument/2006/relationships/hyperlink" Target="http://www.linkedin.com/in/21stbroker" TargetMode="External"/><Relationship Id="rId188" Type="http://schemas.openxmlformats.org/officeDocument/2006/relationships/hyperlink" Target="http://mx.linkedin.com/pub/daniel-g-mez-i-iguez/2B/26A/142" TargetMode="External"/><Relationship Id="rId183" Type="http://schemas.openxmlformats.org/officeDocument/2006/relationships/hyperlink" Target="http://www.linkedin.com/in/javiercovarrubiasgil" TargetMode="External"/><Relationship Id="rId182" Type="http://schemas.openxmlformats.org/officeDocument/2006/relationships/hyperlink" Target="http://mx.linkedin.com/in/deltaexecutive" TargetMode="External"/><Relationship Id="rId181" Type="http://schemas.openxmlformats.org/officeDocument/2006/relationships/hyperlink" Target="http://www.linkedin.com/pub/udi-shani/8/848/453" TargetMode="External"/><Relationship Id="rId180" Type="http://schemas.openxmlformats.org/officeDocument/2006/relationships/hyperlink" Target="http://www.linkedin.com/in/nandakumarkv" TargetMode="External"/><Relationship Id="rId176" Type="http://schemas.openxmlformats.org/officeDocument/2006/relationships/hyperlink" Target="http://www.linkedin.com/pub/leonardo-avila/11/22A/AA9" TargetMode="External"/><Relationship Id="rId175" Type="http://schemas.openxmlformats.org/officeDocument/2006/relationships/hyperlink" Target="http://br.linkedin.com/pub/flavio-azevedo/11/434/284" TargetMode="External"/><Relationship Id="rId174" Type="http://schemas.openxmlformats.org/officeDocument/2006/relationships/hyperlink" Target="http://uk.linkedin.com/in/chrismerchant" TargetMode="External"/><Relationship Id="rId173" Type="http://schemas.openxmlformats.org/officeDocument/2006/relationships/hyperlink" Target="http://www.linkedin.com/pub/tim-sullivan/4/B75/714" TargetMode="External"/><Relationship Id="rId179" Type="http://schemas.openxmlformats.org/officeDocument/2006/relationships/hyperlink" Target="http://br.linkedin.com/in/claudiorinnert" TargetMode="External"/><Relationship Id="rId178" Type="http://schemas.openxmlformats.org/officeDocument/2006/relationships/hyperlink" Target="http://www.linkedin.com/pub/shannon-byrne/5/593/A0B" TargetMode="External"/><Relationship Id="rId177" Type="http://schemas.openxmlformats.org/officeDocument/2006/relationships/hyperlink" Target="http://www.linkedin.com/in/joshuacostea" TargetMode="External"/><Relationship Id="rId198" Type="http://schemas.openxmlformats.org/officeDocument/2006/relationships/hyperlink" Target="http://vivekbhugrayahoo.com" TargetMode="External"/><Relationship Id="rId197" Type="http://schemas.openxmlformats.org/officeDocument/2006/relationships/hyperlink" Target="https://www.linkedin.com/in/jasonneff" TargetMode="External"/><Relationship Id="rId196" Type="http://schemas.openxmlformats.org/officeDocument/2006/relationships/hyperlink" Target="http://www.linkedin.com/in/cmayaud" TargetMode="External"/><Relationship Id="rId195" Type="http://schemas.openxmlformats.org/officeDocument/2006/relationships/hyperlink" Target="http://br.linkedin.com/pub/rafael-cristaldo/29/AB9/251" TargetMode="External"/><Relationship Id="rId199" Type="http://schemas.openxmlformats.org/officeDocument/2006/relationships/hyperlink" Target="http://www.linkedin.com/pub/vivek-bhugra-vivek-bhugra-yahoo-com/4/450/829" TargetMode="External"/><Relationship Id="rId150" Type="http://schemas.openxmlformats.org/officeDocument/2006/relationships/hyperlink" Target="http://www.linkedin.com/pub/mario-rietti/21/B88/AB8" TargetMode="External"/><Relationship Id="rId149" Type="http://schemas.openxmlformats.org/officeDocument/2006/relationships/hyperlink" Target="http://www.linkedin.com/pub/geoff-cook/3/5BA/A3" TargetMode="External"/><Relationship Id="rId148" Type="http://schemas.openxmlformats.org/officeDocument/2006/relationships/hyperlink" Target="http://www.linkedin.com/pub/cesar-castillo/9/B82/4BA" TargetMode="External"/><Relationship Id="rId3270" Type="http://schemas.openxmlformats.org/officeDocument/2006/relationships/hyperlink" Target="http://www.linkedin.com/pub/jos%C3%A9-dondo-b%C3%BChler/23/328/295" TargetMode="External"/><Relationship Id="rId3272" Type="http://schemas.openxmlformats.org/officeDocument/2006/relationships/hyperlink" Target="http://ar.linkedin.com/pub/eduardo-armanini/28/7B/615" TargetMode="External"/><Relationship Id="rId3271" Type="http://schemas.openxmlformats.org/officeDocument/2006/relationships/hyperlink" Target="http://www.linkedin.com/pub/facundo-nahuel-rivero-falco/23/581/538" TargetMode="External"/><Relationship Id="rId143" Type="http://schemas.openxmlformats.org/officeDocument/2006/relationships/hyperlink" Target="http://www.linkedin.com/in/chronosedith" TargetMode="External"/><Relationship Id="rId3274" Type="http://schemas.openxmlformats.org/officeDocument/2006/relationships/hyperlink" Target="http://ar.linkedin.com/pub/marina-bilbao/27/292/390" TargetMode="External"/><Relationship Id="rId142" Type="http://schemas.openxmlformats.org/officeDocument/2006/relationships/hyperlink" Target="http://www.linkedin.com/in/alok1verma" TargetMode="External"/><Relationship Id="rId3273" Type="http://schemas.openxmlformats.org/officeDocument/2006/relationships/hyperlink" Target="http://ar.linkedin.com/pub/gabriel-di-prinzio/15/795/9A" TargetMode="External"/><Relationship Id="rId141" Type="http://schemas.openxmlformats.org/officeDocument/2006/relationships/hyperlink" Target="http://mx.linkedin.com/pub/lic-eduardo-m-ndez-y-m-/23/595/510" TargetMode="External"/><Relationship Id="rId3276" Type="http://schemas.openxmlformats.org/officeDocument/2006/relationships/hyperlink" Target="http://www.linkedin.com/pub/juan-manuel-orbuch/16/767/466" TargetMode="External"/><Relationship Id="rId140" Type="http://schemas.openxmlformats.org/officeDocument/2006/relationships/hyperlink" Target="https://www.linkedin.com/in/plunchete" TargetMode="External"/><Relationship Id="rId3275" Type="http://schemas.openxmlformats.org/officeDocument/2006/relationships/hyperlink" Target="http://ar.linkedin.com/pub/luis-racca/7/956/A87" TargetMode="External"/><Relationship Id="rId147" Type="http://schemas.openxmlformats.org/officeDocument/2006/relationships/hyperlink" Target="http://www.linkedin.com/in/cdesert" TargetMode="External"/><Relationship Id="rId3278" Type="http://schemas.openxmlformats.org/officeDocument/2006/relationships/hyperlink" Target="http://ar.linkedin.com/in/caguirre" TargetMode="External"/><Relationship Id="rId146" Type="http://schemas.openxmlformats.org/officeDocument/2006/relationships/hyperlink" Target="http://www.linkedin.com/in/stellagimeneznorfleet" TargetMode="External"/><Relationship Id="rId3277" Type="http://schemas.openxmlformats.org/officeDocument/2006/relationships/hyperlink" Target="http://ar.linkedin.com/in/christianpineyro" TargetMode="External"/><Relationship Id="rId145" Type="http://schemas.openxmlformats.org/officeDocument/2006/relationships/hyperlink" Target="http://uk.linkedin.com/in/matthewbarnett" TargetMode="External"/><Relationship Id="rId144" Type="http://schemas.openxmlformats.org/officeDocument/2006/relationships/hyperlink" Target="http://br.linkedin.com/pub/ruben-levcovitz/0/A12/486" TargetMode="External"/><Relationship Id="rId3279" Type="http://schemas.openxmlformats.org/officeDocument/2006/relationships/hyperlink" Target="http://ar.linkedin.com/pub/nahuel-dikenstein/21/849/599" TargetMode="External"/><Relationship Id="rId139" Type="http://schemas.openxmlformats.org/officeDocument/2006/relationships/hyperlink" Target="http://br.linkedin.com/pub/marcelo-teixeira-de-souza/29/349/3A4" TargetMode="External"/><Relationship Id="rId138" Type="http://schemas.openxmlformats.org/officeDocument/2006/relationships/hyperlink" Target="http://ar.linkedin.com/in/juanserrot" TargetMode="External"/><Relationship Id="rId137" Type="http://schemas.openxmlformats.org/officeDocument/2006/relationships/hyperlink" Target="http://www.linkedin.com/in/mikeengland" TargetMode="External"/><Relationship Id="rId4590" Type="http://schemas.openxmlformats.org/officeDocument/2006/relationships/hyperlink" Target="http://ar.linkedin.com/pub/daniel-castro/9/12A/631" TargetMode="External"/><Relationship Id="rId3261" Type="http://schemas.openxmlformats.org/officeDocument/2006/relationships/hyperlink" Target="http://www.linkedin.com/pub/agust%C3%ADn-gaynor/16/746/6b" TargetMode="External"/><Relationship Id="rId4592" Type="http://schemas.openxmlformats.org/officeDocument/2006/relationships/hyperlink" Target="http://ar.linkedin.com/pub/agustin-zimmer/13/58A/B" TargetMode="External"/><Relationship Id="rId3260" Type="http://schemas.openxmlformats.org/officeDocument/2006/relationships/hyperlink" Target="http://www.linkedin.com/pub/mar%C3%ADa-paula-zunino/21/343/21a" TargetMode="External"/><Relationship Id="rId4591" Type="http://schemas.openxmlformats.org/officeDocument/2006/relationships/hyperlink" Target="http://ar.linkedin.com/pub/mariel-benitez/1A/41B/6B0" TargetMode="External"/><Relationship Id="rId132" Type="http://schemas.openxmlformats.org/officeDocument/2006/relationships/hyperlink" Target="http://br.linkedin.com/pub/eduardo-alves/12/409/662" TargetMode="External"/><Relationship Id="rId3263" Type="http://schemas.openxmlformats.org/officeDocument/2006/relationships/hyperlink" Target="http://www.linkedin.com/pub/cintia-puliti-fittipaldi/22/7aa/161" TargetMode="External"/><Relationship Id="rId4594" Type="http://schemas.openxmlformats.org/officeDocument/2006/relationships/hyperlink" Target="http://ar.linkedin.com/pub/manolo-catalan/20/221/9A8" TargetMode="External"/><Relationship Id="rId131" Type="http://schemas.openxmlformats.org/officeDocument/2006/relationships/hyperlink" Target="http://mx.linkedin.com/pub/sergio-anduaga/24/663/58" TargetMode="External"/><Relationship Id="rId3262" Type="http://schemas.openxmlformats.org/officeDocument/2006/relationships/hyperlink" Target="http://www.linkedin.com/pub/maria-clara-dellepiane/2/148/8bb" TargetMode="External"/><Relationship Id="rId4593" Type="http://schemas.openxmlformats.org/officeDocument/2006/relationships/hyperlink" Target="http://www.linkedin.com/pub/mario-h-zelaray%C3%A1n/0/938/964" TargetMode="External"/><Relationship Id="rId130" Type="http://schemas.openxmlformats.org/officeDocument/2006/relationships/hyperlink" Target="http://www.linkedin.com/in/rcnick4" TargetMode="External"/><Relationship Id="rId3265" Type="http://schemas.openxmlformats.org/officeDocument/2006/relationships/hyperlink" Target="http://ar.linkedin.com/in/carloszorzoli" TargetMode="External"/><Relationship Id="rId4596" Type="http://schemas.openxmlformats.org/officeDocument/2006/relationships/hyperlink" Target="http://ar.linkedin.com/pub/pablo-minetti/2B/8B/B60" TargetMode="External"/><Relationship Id="rId3264" Type="http://schemas.openxmlformats.org/officeDocument/2006/relationships/hyperlink" Target="http://www.linkedin.com/pub/mariel-kleiner/14/700/783" TargetMode="External"/><Relationship Id="rId4595" Type="http://schemas.openxmlformats.org/officeDocument/2006/relationships/hyperlink" Target="http://ar.linkedin.com/pub/alberto-gomez/25/89/B82" TargetMode="External"/><Relationship Id="rId136" Type="http://schemas.openxmlformats.org/officeDocument/2006/relationships/hyperlink" Target="http://www.linkedin.com/in/josesiandre" TargetMode="External"/><Relationship Id="rId3267" Type="http://schemas.openxmlformats.org/officeDocument/2006/relationships/hyperlink" Target="http://www.linkedin.com/pub/alejandra-ortiz-de-rozas/2/764/a48" TargetMode="External"/><Relationship Id="rId4598" Type="http://schemas.openxmlformats.org/officeDocument/2006/relationships/hyperlink" Target="http://ar.linkedin.com/in/martinchazanavicius" TargetMode="External"/><Relationship Id="rId135" Type="http://schemas.openxmlformats.org/officeDocument/2006/relationships/hyperlink" Target="http://www.linkedin.com/in/garytabachnik" TargetMode="External"/><Relationship Id="rId3266" Type="http://schemas.openxmlformats.org/officeDocument/2006/relationships/hyperlink" Target="http://ar.linkedin.com/in/slavutsky" TargetMode="External"/><Relationship Id="rId4597" Type="http://schemas.openxmlformats.org/officeDocument/2006/relationships/hyperlink" Target="http://ar.linkedin.com/pub/nicole-m-ller/14/A1B/965" TargetMode="External"/><Relationship Id="rId134" Type="http://schemas.openxmlformats.org/officeDocument/2006/relationships/hyperlink" Target="http://www.linkedin.com/pub/francisco-de-oliveira-lopez/0/161/95a" TargetMode="External"/><Relationship Id="rId3269" Type="http://schemas.openxmlformats.org/officeDocument/2006/relationships/hyperlink" Target="http://www.linkedin.com/pub/ignacio-maimone/5/ab/3a8" TargetMode="External"/><Relationship Id="rId133" Type="http://schemas.openxmlformats.org/officeDocument/2006/relationships/hyperlink" Target="http://www.linkedin.com/in/marcelosaviolicavalcanti" TargetMode="External"/><Relationship Id="rId3268" Type="http://schemas.openxmlformats.org/officeDocument/2006/relationships/hyperlink" Target="http://www.linkedin.com/pub/agustina-san-german/21/b19/484" TargetMode="External"/><Relationship Id="rId4599" Type="http://schemas.openxmlformats.org/officeDocument/2006/relationships/hyperlink" Target="http://www.linkedin.com/pub/fernando-besano/a/5b4/714" TargetMode="External"/><Relationship Id="rId172" Type="http://schemas.openxmlformats.org/officeDocument/2006/relationships/hyperlink" Target="http://br.linkedin.com/pub/antonio-carlos-freitas/0/A33/322" TargetMode="External"/><Relationship Id="rId171" Type="http://schemas.openxmlformats.org/officeDocument/2006/relationships/hyperlink" Target="http://br.linkedin.com/pub/advogado-e-professor-luiz-antonio-guerra/23/942/7A6" TargetMode="External"/><Relationship Id="rId170" Type="http://schemas.openxmlformats.org/officeDocument/2006/relationships/hyperlink" Target="http://mx.linkedin.com/pub/erika-arias-bogarin/26/A14/775" TargetMode="External"/><Relationship Id="rId3290" Type="http://schemas.openxmlformats.org/officeDocument/2006/relationships/hyperlink" Target="http://ar.linkedin.com/in/jjaime" TargetMode="External"/><Relationship Id="rId3292" Type="http://schemas.openxmlformats.org/officeDocument/2006/relationships/hyperlink" Target="http://ar.linkedin.com/pub/victoria-jauregui-lorda/1A/9B0/43A" TargetMode="External"/><Relationship Id="rId3291" Type="http://schemas.openxmlformats.org/officeDocument/2006/relationships/hyperlink" Target="http://br.linkedin.com/pub/vanessa-t%C3%A3o-nakano/29/B3A/A4" TargetMode="External"/><Relationship Id="rId3294" Type="http://schemas.openxmlformats.org/officeDocument/2006/relationships/hyperlink" Target="http://ar.linkedin.com/in/eugenianaser" TargetMode="External"/><Relationship Id="rId3293" Type="http://schemas.openxmlformats.org/officeDocument/2006/relationships/hyperlink" Target="http://www.linkedin.com/pub/sabrina-ciliberti/27/a20/2a8" TargetMode="External"/><Relationship Id="rId165" Type="http://schemas.openxmlformats.org/officeDocument/2006/relationships/hyperlink" Target="http://br.linkedin.com/pub/marcos-wrobel/8/474/37" TargetMode="External"/><Relationship Id="rId3296" Type="http://schemas.openxmlformats.org/officeDocument/2006/relationships/hyperlink" Target="http://www.linkedin.com/in/hugoenriquemerlo" TargetMode="External"/><Relationship Id="rId164" Type="http://schemas.openxmlformats.org/officeDocument/2006/relationships/hyperlink" Target="http://www.linkedin.com/in/barryweiss" TargetMode="External"/><Relationship Id="rId3295" Type="http://schemas.openxmlformats.org/officeDocument/2006/relationships/hyperlink" Target="http://ar.linkedin.com/in/juanpso" TargetMode="External"/><Relationship Id="rId163" Type="http://schemas.openxmlformats.org/officeDocument/2006/relationships/hyperlink" Target="http://www.linkedin.com/in/enekoknorr" TargetMode="External"/><Relationship Id="rId3298" Type="http://schemas.openxmlformats.org/officeDocument/2006/relationships/hyperlink" Target="http://ar.linkedin.com/pub/maria-jose-ferrero/13/706/A43" TargetMode="External"/><Relationship Id="rId162" Type="http://schemas.openxmlformats.org/officeDocument/2006/relationships/hyperlink" Target="http://br.linkedin.com/in/claudioendo" TargetMode="External"/><Relationship Id="rId3297" Type="http://schemas.openxmlformats.org/officeDocument/2006/relationships/hyperlink" Target="http://ar.linkedin.com/pub/jos%C3%A9-nadir/A/706/29A" TargetMode="External"/><Relationship Id="rId169" Type="http://schemas.openxmlformats.org/officeDocument/2006/relationships/hyperlink" Target="http://mx.linkedin.com/pub/ricardo-lopez-gaytan/25/358/977" TargetMode="External"/><Relationship Id="rId168" Type="http://schemas.openxmlformats.org/officeDocument/2006/relationships/hyperlink" Target="http://mx.linkedin.com/pub/roberto-soto/22/197/740" TargetMode="External"/><Relationship Id="rId3299" Type="http://schemas.openxmlformats.org/officeDocument/2006/relationships/hyperlink" Target="http://ar.linkedin.com/in/gustavosanchez" TargetMode="External"/><Relationship Id="rId167" Type="http://schemas.openxmlformats.org/officeDocument/2006/relationships/hyperlink" Target="http://www.linkedin.com/in/ppcbuyers" TargetMode="External"/><Relationship Id="rId166" Type="http://schemas.openxmlformats.org/officeDocument/2006/relationships/hyperlink" Target="http://www.linkedin.com/pub/fernando-moreira/26/BB1/28A" TargetMode="External"/><Relationship Id="rId161" Type="http://schemas.openxmlformats.org/officeDocument/2006/relationships/hyperlink" Target="http://br.linkedin.com/in/pfgutmann" TargetMode="External"/><Relationship Id="rId160" Type="http://schemas.openxmlformats.org/officeDocument/2006/relationships/hyperlink" Target="http://br.linkedin.com/pub/alexandre-zago/0/2B9/712" TargetMode="External"/><Relationship Id="rId159" Type="http://schemas.openxmlformats.org/officeDocument/2006/relationships/hyperlink" Target="http://www.linkedin.com/in/shernandes" TargetMode="External"/><Relationship Id="rId3281" Type="http://schemas.openxmlformats.org/officeDocument/2006/relationships/hyperlink" Target="http://ar.linkedin.com/pub/leandro-pardo/24/78/245" TargetMode="External"/><Relationship Id="rId3280" Type="http://schemas.openxmlformats.org/officeDocument/2006/relationships/hyperlink" Target="http://ar.linkedin.com/in/gastonocampo" TargetMode="External"/><Relationship Id="rId3283" Type="http://schemas.openxmlformats.org/officeDocument/2006/relationships/hyperlink" Target="http://ar.linkedin.com/pub/eduardo-bottinelli/9/824/79" TargetMode="External"/><Relationship Id="rId3282" Type="http://schemas.openxmlformats.org/officeDocument/2006/relationships/hyperlink" Target="http://ar.linkedin.com/pub/gustavo-gomez/12/740/AB0" TargetMode="External"/><Relationship Id="rId154" Type="http://schemas.openxmlformats.org/officeDocument/2006/relationships/hyperlink" Target="http://uk.linkedin.com/in/murraynewlands" TargetMode="External"/><Relationship Id="rId3285" Type="http://schemas.openxmlformats.org/officeDocument/2006/relationships/hyperlink" Target="http://ar.linkedin.com/pub/guillermo-montero/A/AB2/134" TargetMode="External"/><Relationship Id="rId153" Type="http://schemas.openxmlformats.org/officeDocument/2006/relationships/hyperlink" Target="http://www.linkedin.com/pub/ted-adams/0/296/A96" TargetMode="External"/><Relationship Id="rId3284" Type="http://schemas.openxmlformats.org/officeDocument/2006/relationships/hyperlink" Target="http://www.linkedin.com/pub/juan-pablo-bruzzo/0/590/10b" TargetMode="External"/><Relationship Id="rId152" Type="http://schemas.openxmlformats.org/officeDocument/2006/relationships/hyperlink" Target="http://br.linkedin.com/pub/john-kinney/0/234/BA1" TargetMode="External"/><Relationship Id="rId3287" Type="http://schemas.openxmlformats.org/officeDocument/2006/relationships/hyperlink" Target="http://ar.linkedin.com/in/carolinan" TargetMode="External"/><Relationship Id="rId151" Type="http://schemas.openxmlformats.org/officeDocument/2006/relationships/hyperlink" Target="http://www.linkedin.com/pub/zara-ohanjanyan/13/593/683" TargetMode="External"/><Relationship Id="rId3286" Type="http://schemas.openxmlformats.org/officeDocument/2006/relationships/hyperlink" Target="http://ar.linkedin.com/pub/sebastian-suarez/21/26B/46A" TargetMode="External"/><Relationship Id="rId158" Type="http://schemas.openxmlformats.org/officeDocument/2006/relationships/hyperlink" Target="http://ar.linkedin.com/pub/mauricio-mid-n/24/36B/230" TargetMode="External"/><Relationship Id="rId3289" Type="http://schemas.openxmlformats.org/officeDocument/2006/relationships/hyperlink" Target="http://ar.linkedin.com/in/lurizzi" TargetMode="External"/><Relationship Id="rId157" Type="http://schemas.openxmlformats.org/officeDocument/2006/relationships/hyperlink" Target="http://in.linkedin.com/pub/yogesh-kakar/5/B0A/650" TargetMode="External"/><Relationship Id="rId3288" Type="http://schemas.openxmlformats.org/officeDocument/2006/relationships/hyperlink" Target="http://ar.linkedin.com/in/jmromeu" TargetMode="External"/><Relationship Id="rId156" Type="http://schemas.openxmlformats.org/officeDocument/2006/relationships/hyperlink" Target="http://mx.linkedin.com/pub/susana-rojas/29/39A/A78" TargetMode="External"/><Relationship Id="rId155" Type="http://schemas.openxmlformats.org/officeDocument/2006/relationships/hyperlink" Target="http://at.linkedin.com/pub/werner-dorfmeister/1A/3A6/8B6" TargetMode="External"/><Relationship Id="rId9451" Type="http://schemas.openxmlformats.org/officeDocument/2006/relationships/hyperlink" Target="http://www.linkedin.com/in/johnmaxwell" TargetMode="External"/><Relationship Id="rId9452" Type="http://schemas.openxmlformats.org/officeDocument/2006/relationships/hyperlink" Target="http://www.linkedin.com/in/louellman" TargetMode="External"/><Relationship Id="rId9453" Type="http://schemas.openxmlformats.org/officeDocument/2006/relationships/hyperlink" Target="http://www.linkedin.com/in/evanherbst" TargetMode="External"/><Relationship Id="rId9454" Type="http://schemas.openxmlformats.org/officeDocument/2006/relationships/hyperlink" Target="http://www.linkedin.com/pub/john-gunn/0/94/911" TargetMode="External"/><Relationship Id="rId8123" Type="http://schemas.openxmlformats.org/officeDocument/2006/relationships/hyperlink" Target="http://www.linkedin.com/in/frankaddante" TargetMode="External"/><Relationship Id="rId8122" Type="http://schemas.openxmlformats.org/officeDocument/2006/relationships/hyperlink" Target="http://www.linkedin.com/in/mikeseiman" TargetMode="External"/><Relationship Id="rId8121" Type="http://schemas.openxmlformats.org/officeDocument/2006/relationships/hyperlink" Target="http://www.linkedin.com/in/amysheridan" TargetMode="External"/><Relationship Id="rId8120" Type="http://schemas.openxmlformats.org/officeDocument/2006/relationships/hyperlink" Target="http://www.linkedin.com/in/jmullarney" TargetMode="External"/><Relationship Id="rId9450" Type="http://schemas.openxmlformats.org/officeDocument/2006/relationships/hyperlink" Target="http://www.linkedin.com/in/hibbert" TargetMode="External"/><Relationship Id="rId8127" Type="http://schemas.openxmlformats.org/officeDocument/2006/relationships/hyperlink" Target="http://www.linkedin.com/in/ericbull" TargetMode="External"/><Relationship Id="rId9459" Type="http://schemas.openxmlformats.org/officeDocument/2006/relationships/hyperlink" Target="http://www.linkedin.com/in/jackiebassett" TargetMode="External"/><Relationship Id="rId8126" Type="http://schemas.openxmlformats.org/officeDocument/2006/relationships/hyperlink" Target="http://www.linkedin.com/in/markweir2008" TargetMode="External"/><Relationship Id="rId8125" Type="http://schemas.openxmlformats.org/officeDocument/2006/relationships/hyperlink" Target="http://www.linkedin.com/pub/ray-jimenez/4/363/170" TargetMode="External"/><Relationship Id="rId8124" Type="http://schemas.openxmlformats.org/officeDocument/2006/relationships/hyperlink" Target="http://www.linkedin.com/in/robrasko" TargetMode="External"/><Relationship Id="rId9455" Type="http://schemas.openxmlformats.org/officeDocument/2006/relationships/hyperlink" Target="http://www.linkedin.com/pub/jon-bennett/0/225/915" TargetMode="External"/><Relationship Id="rId9456" Type="http://schemas.openxmlformats.org/officeDocument/2006/relationships/hyperlink" Target="http://www.linkedin.com/in/arielsilverstone" TargetMode="External"/><Relationship Id="rId8129" Type="http://schemas.openxmlformats.org/officeDocument/2006/relationships/hyperlink" Target="http://www.linkedin.com/pub/ziad-abdelnour/0/69/588" TargetMode="External"/><Relationship Id="rId9457" Type="http://schemas.openxmlformats.org/officeDocument/2006/relationships/hyperlink" Target="http://www.linkedin.com/pub/joe-fuca/0/282/27B" TargetMode="External"/><Relationship Id="rId8128" Type="http://schemas.openxmlformats.org/officeDocument/2006/relationships/hyperlink" Target="http://www.linkedin.com/in/businessintelligence" TargetMode="External"/><Relationship Id="rId9458" Type="http://schemas.openxmlformats.org/officeDocument/2006/relationships/hyperlink" Target="http://www.linkedin.com/in/robertgbarker" TargetMode="External"/><Relationship Id="rId9440" Type="http://schemas.openxmlformats.org/officeDocument/2006/relationships/hyperlink" Target="http://www.linkedin.com/in/mikeodonnell" TargetMode="External"/><Relationship Id="rId9441" Type="http://schemas.openxmlformats.org/officeDocument/2006/relationships/hyperlink" Target="http://www.linkedin.com/pub/mark-hobson/0/44/801" TargetMode="External"/><Relationship Id="rId9442" Type="http://schemas.openxmlformats.org/officeDocument/2006/relationships/hyperlink" Target="http://www.linkedin.com/in/atbenmoore" TargetMode="External"/><Relationship Id="rId9443" Type="http://schemas.openxmlformats.org/officeDocument/2006/relationships/hyperlink" Target="http://www.linkedin.com/pub/rogier-fentener-van-vlissingen/0/7/555" TargetMode="External"/><Relationship Id="rId8112" Type="http://schemas.openxmlformats.org/officeDocument/2006/relationships/hyperlink" Target="http://www.linkedin.com/in/robertderow" TargetMode="External"/><Relationship Id="rId8111" Type="http://schemas.openxmlformats.org/officeDocument/2006/relationships/hyperlink" Target="http://www.linkedin.com/pub/amber-paul/3/72A/5" TargetMode="External"/><Relationship Id="rId8110" Type="http://schemas.openxmlformats.org/officeDocument/2006/relationships/hyperlink" Target="http://www.linkedin.com/in/4caseycummings" TargetMode="External"/><Relationship Id="rId8116" Type="http://schemas.openxmlformats.org/officeDocument/2006/relationships/hyperlink" Target="http://www.linkedin.com/in/trishalyn" TargetMode="External"/><Relationship Id="rId9448" Type="http://schemas.openxmlformats.org/officeDocument/2006/relationships/hyperlink" Target="http://www.linkedin.com/in/jheltzel" TargetMode="External"/><Relationship Id="rId8115" Type="http://schemas.openxmlformats.org/officeDocument/2006/relationships/hyperlink" Target="http://www.linkedin.com/pub/brook-schaaf/0/261/97A" TargetMode="External"/><Relationship Id="rId9449" Type="http://schemas.openxmlformats.org/officeDocument/2006/relationships/hyperlink" Target="http://www.linkedin.com/in/jeffconklin" TargetMode="External"/><Relationship Id="rId8114" Type="http://schemas.openxmlformats.org/officeDocument/2006/relationships/hyperlink" Target="http://www.linkedin.com/in/scottyamano" TargetMode="External"/><Relationship Id="rId8113" Type="http://schemas.openxmlformats.org/officeDocument/2006/relationships/hyperlink" Target="http://www.linkedin.com/pub/timothy-adams/2/6A3/852" TargetMode="External"/><Relationship Id="rId9444" Type="http://schemas.openxmlformats.org/officeDocument/2006/relationships/hyperlink" Target="http://www.linkedin.com/in/kevinmerritt" TargetMode="External"/><Relationship Id="rId8119" Type="http://schemas.openxmlformats.org/officeDocument/2006/relationships/hyperlink" Target="http://www.linkedin.com/pub/sam-gross/19/BB8/20B" TargetMode="External"/><Relationship Id="rId9445" Type="http://schemas.openxmlformats.org/officeDocument/2006/relationships/hyperlink" Target="http://www.linkedin.com/in/smarder" TargetMode="External"/><Relationship Id="rId8118" Type="http://schemas.openxmlformats.org/officeDocument/2006/relationships/hyperlink" Target="http://www.linkedin.com/pub/tom-wise/6/86/11A" TargetMode="External"/><Relationship Id="rId9446" Type="http://schemas.openxmlformats.org/officeDocument/2006/relationships/hyperlink" Target="http://www.linkedin.com/in/paultoomey" TargetMode="External"/><Relationship Id="rId8117" Type="http://schemas.openxmlformats.org/officeDocument/2006/relationships/hyperlink" Target="http://www.linkedin.com/in/elibarnett" TargetMode="External"/><Relationship Id="rId9447" Type="http://schemas.openxmlformats.org/officeDocument/2006/relationships/hyperlink" Target="http://www.linkedin.com/pub/kenneth-roth/0/84/221" TargetMode="External"/><Relationship Id="rId8141" Type="http://schemas.openxmlformats.org/officeDocument/2006/relationships/hyperlink" Target="https://www.linkedin.com/pub/jos%C3%A9-neves/18/977/b77" TargetMode="External"/><Relationship Id="rId9473" Type="http://schemas.openxmlformats.org/officeDocument/2006/relationships/hyperlink" Target="http://www.linkedin.com/in/warburglee" TargetMode="External"/><Relationship Id="rId8140" Type="http://schemas.openxmlformats.org/officeDocument/2006/relationships/hyperlink" Target="http://www.linkedin.com/in/prxgauthier" TargetMode="External"/><Relationship Id="rId9474" Type="http://schemas.openxmlformats.org/officeDocument/2006/relationships/hyperlink" Target="http://www.linkedin.com/in/cookjr" TargetMode="External"/><Relationship Id="rId9475" Type="http://schemas.openxmlformats.org/officeDocument/2006/relationships/hyperlink" Target="http://www.linkedin.com/pub/jeff-leist/0/541/5BB" TargetMode="External"/><Relationship Id="rId9476" Type="http://schemas.openxmlformats.org/officeDocument/2006/relationships/hyperlink" Target="http://www.linkedin.com/in/huguesdelannoy" TargetMode="External"/><Relationship Id="rId8145" Type="http://schemas.openxmlformats.org/officeDocument/2006/relationships/hyperlink" Target="http://www.linkedin.com/in/mickierosen" TargetMode="External"/><Relationship Id="rId8144" Type="http://schemas.openxmlformats.org/officeDocument/2006/relationships/hyperlink" Target="http://www.linkedin.com/pub/doug-anderson/1A/787/123" TargetMode="External"/><Relationship Id="rId9470" Type="http://schemas.openxmlformats.org/officeDocument/2006/relationships/hyperlink" Target="http://www.linkedin.com/in/davehartig" TargetMode="External"/><Relationship Id="rId8143" Type="http://schemas.openxmlformats.org/officeDocument/2006/relationships/hyperlink" Target="http://www.linkedin.com/in/benjaminfeinman" TargetMode="External"/><Relationship Id="rId9471" Type="http://schemas.openxmlformats.org/officeDocument/2006/relationships/hyperlink" Target="http://www.linkedin.com/in/davidgreenbaum" TargetMode="External"/><Relationship Id="rId8142" Type="http://schemas.openxmlformats.org/officeDocument/2006/relationships/hyperlink" Target="http://www.linkedin.com/pub/mark-lehmann/4/823/941" TargetMode="External"/><Relationship Id="rId9472" Type="http://schemas.openxmlformats.org/officeDocument/2006/relationships/hyperlink" Target="http://www.linkedin.com/pub/robert-jansen/0/41A/877" TargetMode="External"/><Relationship Id="rId8149" Type="http://schemas.openxmlformats.org/officeDocument/2006/relationships/hyperlink" Target="http://www.linkedin.com/in/jaimezuluaga" TargetMode="External"/><Relationship Id="rId8148" Type="http://schemas.openxmlformats.org/officeDocument/2006/relationships/hyperlink" Target="http://www.linkedin.com/in/nereaalvarez" TargetMode="External"/><Relationship Id="rId8147" Type="http://schemas.openxmlformats.org/officeDocument/2006/relationships/hyperlink" Target="http://www.linkedin.com/pub/jeff-wiley/0/98B/632" TargetMode="External"/><Relationship Id="rId8146" Type="http://schemas.openxmlformats.org/officeDocument/2006/relationships/hyperlink" Target="http://www.linkedin.com/in/micheleberardi" TargetMode="External"/><Relationship Id="rId9477" Type="http://schemas.openxmlformats.org/officeDocument/2006/relationships/hyperlink" Target="http://www.linkedin.com/in/stevegehlen" TargetMode="External"/><Relationship Id="rId9478" Type="http://schemas.openxmlformats.org/officeDocument/2006/relationships/hyperlink" Target="http://www.linkedin.com/in/scottathiele" TargetMode="External"/><Relationship Id="rId9479" Type="http://schemas.openxmlformats.org/officeDocument/2006/relationships/hyperlink" Target="http://www.linkedin.com/pub/michele-bourdon-keeffe/0/98/B94" TargetMode="External"/><Relationship Id="rId8130" Type="http://schemas.openxmlformats.org/officeDocument/2006/relationships/hyperlink" Target="http://www.linkedin.com/pub/dave-svatik/0/56A/753" TargetMode="External"/><Relationship Id="rId9462" Type="http://schemas.openxmlformats.org/officeDocument/2006/relationships/hyperlink" Target="http://www.linkedin.com/in/andersbrown" TargetMode="External"/><Relationship Id="rId9463" Type="http://schemas.openxmlformats.org/officeDocument/2006/relationships/hyperlink" Target="http://www.linkedin.com/in/bobmartintexas" TargetMode="External"/><Relationship Id="rId9464" Type="http://schemas.openxmlformats.org/officeDocument/2006/relationships/hyperlink" Target="http://www.linkedin.com/pub/allison-schultz/0/416/112" TargetMode="External"/><Relationship Id="rId9465" Type="http://schemas.openxmlformats.org/officeDocument/2006/relationships/hyperlink" Target="http://www.linkedin.com/pub/john-kwarsick/0/2A4/144" TargetMode="External"/><Relationship Id="rId8134" Type="http://schemas.openxmlformats.org/officeDocument/2006/relationships/hyperlink" Target="https://www.linkedin.com/in/punitsoni" TargetMode="External"/><Relationship Id="rId8133" Type="http://schemas.openxmlformats.org/officeDocument/2006/relationships/hyperlink" Target="http://www.linkedin.com/pub/deirdre-toner/5/70B/33A" TargetMode="External"/><Relationship Id="rId8132" Type="http://schemas.openxmlformats.org/officeDocument/2006/relationships/hyperlink" Target="http://www.linkedin.com/pub/wissam-hershey/22/50a/a51" TargetMode="External"/><Relationship Id="rId9460" Type="http://schemas.openxmlformats.org/officeDocument/2006/relationships/hyperlink" Target="http://www.linkedin.com/in/johnwolpert" TargetMode="External"/><Relationship Id="rId8131" Type="http://schemas.openxmlformats.org/officeDocument/2006/relationships/hyperlink" Target="http://www.linkedin.com/in/dtaylor92" TargetMode="External"/><Relationship Id="rId9461" Type="http://schemas.openxmlformats.org/officeDocument/2006/relationships/hyperlink" Target="http://www.linkedin.com/pub/adam-stewart/4/883/AA7" TargetMode="External"/><Relationship Id="rId8138" Type="http://schemas.openxmlformats.org/officeDocument/2006/relationships/hyperlink" Target="https://www.linkedin.com/in/valterklug" TargetMode="External"/><Relationship Id="rId8137" Type="http://schemas.openxmlformats.org/officeDocument/2006/relationships/hyperlink" Target="http://www.linkedin.com/pub/wellington-sculley/3/1BB/50" TargetMode="External"/><Relationship Id="rId8136" Type="http://schemas.openxmlformats.org/officeDocument/2006/relationships/hyperlink" Target="http://www.linkedin.com/in/charleswalton2010" TargetMode="External"/><Relationship Id="rId8135" Type="http://schemas.openxmlformats.org/officeDocument/2006/relationships/hyperlink" Target="http://www.linkedin.com/in/ericduprat" TargetMode="External"/><Relationship Id="rId9466" Type="http://schemas.openxmlformats.org/officeDocument/2006/relationships/hyperlink" Target="http://www.linkedin.com/pub/tim-harris/0/66/A58" TargetMode="External"/><Relationship Id="rId9467" Type="http://schemas.openxmlformats.org/officeDocument/2006/relationships/hyperlink" Target="http://www.linkedin.com/in/shawchuang" TargetMode="External"/><Relationship Id="rId9468" Type="http://schemas.openxmlformats.org/officeDocument/2006/relationships/hyperlink" Target="http://www.linkedin.com/in/gerhardt" TargetMode="External"/><Relationship Id="rId8139" Type="http://schemas.openxmlformats.org/officeDocument/2006/relationships/hyperlink" Target="http://www.linkedin.com/in/wilsondk" TargetMode="External"/><Relationship Id="rId9469" Type="http://schemas.openxmlformats.org/officeDocument/2006/relationships/hyperlink" Target="http://www.linkedin.com/in/peterhoopes" TargetMode="External"/><Relationship Id="rId9419" Type="http://schemas.openxmlformats.org/officeDocument/2006/relationships/hyperlink" Target="http://www.linkedin.com/pub/patti-smith/5/942/8B2" TargetMode="External"/><Relationship Id="rId9410" Type="http://schemas.openxmlformats.org/officeDocument/2006/relationships/hyperlink" Target="http://www.linkedin.com/in/ronaldallen" TargetMode="External"/><Relationship Id="rId9415" Type="http://schemas.openxmlformats.org/officeDocument/2006/relationships/hyperlink" Target="http://ca.linkedin.com/in/grantjurgeneit" TargetMode="External"/><Relationship Id="rId9416" Type="http://schemas.openxmlformats.org/officeDocument/2006/relationships/hyperlink" Target="http://www.linkedin.com/in/tbhcreative" TargetMode="External"/><Relationship Id="rId9417" Type="http://schemas.openxmlformats.org/officeDocument/2006/relationships/hyperlink" Target="http://www.linkedin.com/in/johnbuckeridge" TargetMode="External"/><Relationship Id="rId9418" Type="http://schemas.openxmlformats.org/officeDocument/2006/relationships/hyperlink" Target="http://www.linkedin.com/in/jchadstewart" TargetMode="External"/><Relationship Id="rId9411" Type="http://schemas.openxmlformats.org/officeDocument/2006/relationships/hyperlink" Target="http://www.linkedin.com/pub/jordan-miller/5/742/30A" TargetMode="External"/><Relationship Id="rId9412" Type="http://schemas.openxmlformats.org/officeDocument/2006/relationships/hyperlink" Target="http://uk.linkedin.com/pub/tony-pepper/0/298/23" TargetMode="External"/><Relationship Id="rId9413" Type="http://schemas.openxmlformats.org/officeDocument/2006/relationships/hyperlink" Target="http://www.linkedin.com/pub/michael-brady/5/871/112" TargetMode="External"/><Relationship Id="rId9414" Type="http://schemas.openxmlformats.org/officeDocument/2006/relationships/hyperlink" Target="http://www.linkedin.com/pub/bob-cooke/5/9A2/8B1" TargetMode="External"/><Relationship Id="rId9408" Type="http://schemas.openxmlformats.org/officeDocument/2006/relationships/hyperlink" Target="http://www.linkedin.com/in/tamararpearlman" TargetMode="External"/><Relationship Id="rId9409" Type="http://schemas.openxmlformats.org/officeDocument/2006/relationships/hyperlink" Target="http://www.linkedin.com/pub/guy-pfeffermann/4/5B0/B26" TargetMode="External"/><Relationship Id="rId9404" Type="http://schemas.openxmlformats.org/officeDocument/2006/relationships/hyperlink" Target="http://www.linkedin.com/pub/kevin-o-connor/5/371/100" TargetMode="External"/><Relationship Id="rId9405" Type="http://schemas.openxmlformats.org/officeDocument/2006/relationships/hyperlink" Target="http://www.linkedin.com/pub/chuck-lightening/5/174/734" TargetMode="External"/><Relationship Id="rId9406" Type="http://schemas.openxmlformats.org/officeDocument/2006/relationships/hyperlink" Target="http://www.linkedin.com/pub/fritz-guthrie/5/404/235" TargetMode="External"/><Relationship Id="rId9407" Type="http://schemas.openxmlformats.org/officeDocument/2006/relationships/hyperlink" Target="http://www.linkedin.com/in/miketaylorinnovativee" TargetMode="External"/><Relationship Id="rId9400" Type="http://schemas.openxmlformats.org/officeDocument/2006/relationships/hyperlink" Target="http://www.linkedin.com/pub/wiley-farler/4/A55/8B6" TargetMode="External"/><Relationship Id="rId9401" Type="http://schemas.openxmlformats.org/officeDocument/2006/relationships/hyperlink" Target="http://bg.linkedin.com/in/vassillefterov" TargetMode="External"/><Relationship Id="rId9402" Type="http://schemas.openxmlformats.org/officeDocument/2006/relationships/hyperlink" Target="http://www.linkedin.com/in/johnaceti" TargetMode="External"/><Relationship Id="rId9403" Type="http://schemas.openxmlformats.org/officeDocument/2006/relationships/hyperlink" Target="http://www.linkedin.com/in/arisonesh" TargetMode="External"/><Relationship Id="rId9430" Type="http://schemas.openxmlformats.org/officeDocument/2006/relationships/hyperlink" Target="https://www.linkedin.com/in/jrichau" TargetMode="External"/><Relationship Id="rId9431" Type="http://schemas.openxmlformats.org/officeDocument/2006/relationships/hyperlink" Target="http://www.linkedin.com/pub/joe-fink/0/42/A5B" TargetMode="External"/><Relationship Id="rId9432" Type="http://schemas.openxmlformats.org/officeDocument/2006/relationships/hyperlink" Target="http://www.linkedin.com/in/peterlutz" TargetMode="External"/><Relationship Id="rId8101" Type="http://schemas.openxmlformats.org/officeDocument/2006/relationships/hyperlink" Target="http://www.linkedin.com/pub/john-kreisa/0/164/920" TargetMode="External"/><Relationship Id="rId8100" Type="http://schemas.openxmlformats.org/officeDocument/2006/relationships/hyperlink" Target="http://www.linkedin.com/in/robgo" TargetMode="External"/><Relationship Id="rId8105" Type="http://schemas.openxmlformats.org/officeDocument/2006/relationships/hyperlink" Target="http://www.linkedin.com/pub/john-peketz/5/658/A02" TargetMode="External"/><Relationship Id="rId9437" Type="http://schemas.openxmlformats.org/officeDocument/2006/relationships/hyperlink" Target="http://www.linkedin.com/in/josiahjohnson" TargetMode="External"/><Relationship Id="rId8104" Type="http://schemas.openxmlformats.org/officeDocument/2006/relationships/hyperlink" Target="http://www.linkedin.com/in/victorgarcia73" TargetMode="External"/><Relationship Id="rId9438" Type="http://schemas.openxmlformats.org/officeDocument/2006/relationships/hyperlink" Target="http://www.linkedin.com/pub/alex-nasson/0/4/969" TargetMode="External"/><Relationship Id="rId8103" Type="http://schemas.openxmlformats.org/officeDocument/2006/relationships/hyperlink" Target="http://www.linkedin.com/in/michaelmedipor" TargetMode="External"/><Relationship Id="rId9439" Type="http://schemas.openxmlformats.org/officeDocument/2006/relationships/hyperlink" Target="http://www.linkedin.com/in/andrewbliwen" TargetMode="External"/><Relationship Id="rId8102" Type="http://schemas.openxmlformats.org/officeDocument/2006/relationships/hyperlink" Target="http://www.linkedin.com/in/kcorless" TargetMode="External"/><Relationship Id="rId8109" Type="http://schemas.openxmlformats.org/officeDocument/2006/relationships/hyperlink" Target="http://www.linkedin.com/in/lsm007" TargetMode="External"/><Relationship Id="rId9433" Type="http://schemas.openxmlformats.org/officeDocument/2006/relationships/hyperlink" Target="http://www.linkedin.com/in/aagarwal" TargetMode="External"/><Relationship Id="rId8108" Type="http://schemas.openxmlformats.org/officeDocument/2006/relationships/hyperlink" Target="http://www.linkedin.com/in/obcomconsulting" TargetMode="External"/><Relationship Id="rId9434" Type="http://schemas.openxmlformats.org/officeDocument/2006/relationships/hyperlink" Target="http://www.linkedin.com/in/walhus" TargetMode="External"/><Relationship Id="rId8107" Type="http://schemas.openxmlformats.org/officeDocument/2006/relationships/hyperlink" Target="http://www.linkedin.com/pub/raul-bruno-pico/23/AB6/A04" TargetMode="External"/><Relationship Id="rId9435" Type="http://schemas.openxmlformats.org/officeDocument/2006/relationships/hyperlink" Target="http://www.linkedin.com/pub/hector-lopez-camacho/4/781/566" TargetMode="External"/><Relationship Id="rId8106" Type="http://schemas.openxmlformats.org/officeDocument/2006/relationships/hyperlink" Target="http://www.linkedin.com/in/jer979" TargetMode="External"/><Relationship Id="rId9436" Type="http://schemas.openxmlformats.org/officeDocument/2006/relationships/hyperlink" Target="http://www.linkedin.com/in/chadnuss" TargetMode="External"/><Relationship Id="rId9420" Type="http://schemas.openxmlformats.org/officeDocument/2006/relationships/hyperlink" Target="http://www.linkedin.com/in/brookepaul" TargetMode="External"/><Relationship Id="rId9421" Type="http://schemas.openxmlformats.org/officeDocument/2006/relationships/hyperlink" Target="http://www.linkedin.com/in/kdale" TargetMode="External"/><Relationship Id="rId9426" Type="http://schemas.openxmlformats.org/officeDocument/2006/relationships/hyperlink" Target="http://www.linkedin.com/in/davyn" TargetMode="External"/><Relationship Id="rId9427" Type="http://schemas.openxmlformats.org/officeDocument/2006/relationships/hyperlink" Target="http://www.linkedin.com/in/seancrawfordmurphy" TargetMode="External"/><Relationship Id="rId9428" Type="http://schemas.openxmlformats.org/officeDocument/2006/relationships/hyperlink" Target="http://www.linkedin.com/in/davidsmithaustin" TargetMode="External"/><Relationship Id="rId9429" Type="http://schemas.openxmlformats.org/officeDocument/2006/relationships/hyperlink" Target="http://www.linkedin.com/in/ericjdavidson" TargetMode="External"/><Relationship Id="rId9422" Type="http://schemas.openxmlformats.org/officeDocument/2006/relationships/hyperlink" Target="http://www.linkedin.com/in/michaelgregson" TargetMode="External"/><Relationship Id="rId9423" Type="http://schemas.openxmlformats.org/officeDocument/2006/relationships/hyperlink" Target="http://www.linkedin.com/in/toddwmeyers" TargetMode="External"/><Relationship Id="rId9424" Type="http://schemas.openxmlformats.org/officeDocument/2006/relationships/hyperlink" Target="http://www.linkedin.com/pub/john-giessuebel/A/488/94B" TargetMode="External"/><Relationship Id="rId9425" Type="http://schemas.openxmlformats.org/officeDocument/2006/relationships/hyperlink" Target="http://www.linkedin.com/in/nicperez" TargetMode="External"/><Relationship Id="rId4602" Type="http://schemas.openxmlformats.org/officeDocument/2006/relationships/hyperlink" Target="http://ar.linkedin.com/in/silvinacoto" TargetMode="External"/><Relationship Id="rId5934" Type="http://schemas.openxmlformats.org/officeDocument/2006/relationships/hyperlink" Target="http://www.linkedin.com/in/petersawala" TargetMode="External"/><Relationship Id="rId4601" Type="http://schemas.openxmlformats.org/officeDocument/2006/relationships/hyperlink" Target="http://www.linkedin.com/pub/ezequiel-archenti/5/146/904" TargetMode="External"/><Relationship Id="rId5935" Type="http://schemas.openxmlformats.org/officeDocument/2006/relationships/hyperlink" Target="http://www.linkedin.com/pub/justin-mcnamara/0/7AB/114" TargetMode="External"/><Relationship Id="rId4604" Type="http://schemas.openxmlformats.org/officeDocument/2006/relationships/hyperlink" Target="http://ar.linkedin.com/in/sandrabernachea" TargetMode="External"/><Relationship Id="rId5932" Type="http://schemas.openxmlformats.org/officeDocument/2006/relationships/hyperlink" Target="http://www.linkedin.com/in/dtrungtran" TargetMode="External"/><Relationship Id="rId4603" Type="http://schemas.openxmlformats.org/officeDocument/2006/relationships/hyperlink" Target="http://www.linkedin.com/pub/fidel-carril/4/206/a56" TargetMode="External"/><Relationship Id="rId5933" Type="http://schemas.openxmlformats.org/officeDocument/2006/relationships/hyperlink" Target="http://www.linkedin.com/pub/jill-angeles/1/603/600" TargetMode="External"/><Relationship Id="rId4606" Type="http://schemas.openxmlformats.org/officeDocument/2006/relationships/hyperlink" Target="http://ar.linkedin.com/pub/eduardo-beker/2/15/497" TargetMode="External"/><Relationship Id="rId5938" Type="http://schemas.openxmlformats.org/officeDocument/2006/relationships/hyperlink" Target="http://www.linkedin.com/in/kimberlyeubank" TargetMode="External"/><Relationship Id="rId4605" Type="http://schemas.openxmlformats.org/officeDocument/2006/relationships/hyperlink" Target="http://www.linkedin.com/pub/mariano-kruskevich/0/40b/31a" TargetMode="External"/><Relationship Id="rId5939" Type="http://schemas.openxmlformats.org/officeDocument/2006/relationships/hyperlink" Target="http://www.linkedin.com/pub/ken-e-/4/434/777" TargetMode="External"/><Relationship Id="rId4608" Type="http://schemas.openxmlformats.org/officeDocument/2006/relationships/hyperlink" Target="http://ar.linkedin.com/in/walteruribe" TargetMode="External"/><Relationship Id="rId5936" Type="http://schemas.openxmlformats.org/officeDocument/2006/relationships/hyperlink" Target="http://www.linkedin.com/in/amywilsonatt" TargetMode="External"/><Relationship Id="rId4607" Type="http://schemas.openxmlformats.org/officeDocument/2006/relationships/hyperlink" Target="http://ar.linkedin.com/pub/mercedes-iglesias/2A/923/A0A" TargetMode="External"/><Relationship Id="rId5937" Type="http://schemas.openxmlformats.org/officeDocument/2006/relationships/hyperlink" Target="https://www.linkedin.com/in/markwnagel" TargetMode="External"/><Relationship Id="rId4609" Type="http://schemas.openxmlformats.org/officeDocument/2006/relationships/hyperlink" Target="http://www.linkedin.com/in/louisblank" TargetMode="External"/><Relationship Id="rId5930" Type="http://schemas.openxmlformats.org/officeDocument/2006/relationships/hyperlink" Target="http://www.linkedin.com/in/dmcmahon" TargetMode="External"/><Relationship Id="rId5931" Type="http://schemas.openxmlformats.org/officeDocument/2006/relationships/hyperlink" Target="http://www.linkedin.com/in/craigkaiser" TargetMode="External"/><Relationship Id="rId4600" Type="http://schemas.openxmlformats.org/officeDocument/2006/relationships/hyperlink" Target="http://ar.linkedin.com/pub/javier-lorenzo/0/773/844" TargetMode="External"/><Relationship Id="rId5923" Type="http://schemas.openxmlformats.org/officeDocument/2006/relationships/hyperlink" Target="http://www.linkedin.com/in/cortlandconnell" TargetMode="External"/><Relationship Id="rId5924" Type="http://schemas.openxmlformats.org/officeDocument/2006/relationships/hyperlink" Target="http://www.linkedin.com/in/mannybenor" TargetMode="External"/><Relationship Id="rId5921" Type="http://schemas.openxmlformats.org/officeDocument/2006/relationships/hyperlink" Target="http://www.linkedin.com/in/jeffchance" TargetMode="External"/><Relationship Id="rId5922" Type="http://schemas.openxmlformats.org/officeDocument/2006/relationships/hyperlink" Target="http://www.linkedin.com/in/brianalanross" TargetMode="External"/><Relationship Id="rId5927" Type="http://schemas.openxmlformats.org/officeDocument/2006/relationships/hyperlink" Target="http://www.linkedin.com/in/banchick" TargetMode="External"/><Relationship Id="rId5928" Type="http://schemas.openxmlformats.org/officeDocument/2006/relationships/hyperlink" Target="http://ca.linkedin.com/in/stevewickens" TargetMode="External"/><Relationship Id="rId5925" Type="http://schemas.openxmlformats.org/officeDocument/2006/relationships/hyperlink" Target="http://www.linkedin.com/pub/brock-predovich/4/967/234" TargetMode="External"/><Relationship Id="rId5926" Type="http://schemas.openxmlformats.org/officeDocument/2006/relationships/hyperlink" Target="http://www.linkedin.com/in/joeflores" TargetMode="External"/><Relationship Id="rId5929" Type="http://schemas.openxmlformats.org/officeDocument/2006/relationships/hyperlink" Target="http://www.linkedin.com/pub/alex-green/0/2B/2B3" TargetMode="External"/><Relationship Id="rId8196" Type="http://schemas.openxmlformats.org/officeDocument/2006/relationships/hyperlink" Target="http://www.linkedin.com/pub/pat-mallon/12/B95/7B4" TargetMode="External"/><Relationship Id="rId8195" Type="http://schemas.openxmlformats.org/officeDocument/2006/relationships/hyperlink" Target="http://www.linkedin.com/in/michaelleifer" TargetMode="External"/><Relationship Id="rId8194" Type="http://schemas.openxmlformats.org/officeDocument/2006/relationships/hyperlink" Target="http://www.linkedin.com/pub/baudouin-corman/0/38/130" TargetMode="External"/><Relationship Id="rId8193" Type="http://schemas.openxmlformats.org/officeDocument/2006/relationships/hyperlink" Target="http://www.linkedin.com/pub/bill-kohler/B/B85/1A5" TargetMode="External"/><Relationship Id="rId8199" Type="http://schemas.openxmlformats.org/officeDocument/2006/relationships/hyperlink" Target="http://ar.linkedin.com/in/martinmaslo" TargetMode="External"/><Relationship Id="rId8198" Type="http://schemas.openxmlformats.org/officeDocument/2006/relationships/hyperlink" Target="http://www.linkedin.com/pub/valerie-pusceddu/4/42B/705" TargetMode="External"/><Relationship Id="rId8197" Type="http://schemas.openxmlformats.org/officeDocument/2006/relationships/hyperlink" Target="http://www.linkedin.com/pub/tom-mcginn/0/71/5" TargetMode="External"/><Relationship Id="rId5920" Type="http://schemas.openxmlformats.org/officeDocument/2006/relationships/hyperlink" Target="http://www.linkedin.com/in/jimihendrix" TargetMode="External"/><Relationship Id="rId4624" Type="http://schemas.openxmlformats.org/officeDocument/2006/relationships/hyperlink" Target="http://ar.linkedin.com/in/federicogonzalez" TargetMode="External"/><Relationship Id="rId5956" Type="http://schemas.openxmlformats.org/officeDocument/2006/relationships/hyperlink" Target="http://ar.linkedin.com/in/vazquezfernando" TargetMode="External"/><Relationship Id="rId4623" Type="http://schemas.openxmlformats.org/officeDocument/2006/relationships/hyperlink" Target="http://ar.linkedin.com/in/rsarti" TargetMode="External"/><Relationship Id="rId5957" Type="http://schemas.openxmlformats.org/officeDocument/2006/relationships/hyperlink" Target="http://ar.linkedin.com/in/mpdominguez" TargetMode="External"/><Relationship Id="rId4626" Type="http://schemas.openxmlformats.org/officeDocument/2006/relationships/hyperlink" Target="http://www.linkedin.com/pub/juan-andr%C3%A9s-mucic/27/1bb/bb" TargetMode="External"/><Relationship Id="rId5954" Type="http://schemas.openxmlformats.org/officeDocument/2006/relationships/hyperlink" Target="http://ar.linkedin.com/pub/josefina-casiraghi/6/784/43" TargetMode="External"/><Relationship Id="rId4625" Type="http://schemas.openxmlformats.org/officeDocument/2006/relationships/hyperlink" Target="http://ar.linkedin.com/pub/rodrigo-linares/7/2B4/B82" TargetMode="External"/><Relationship Id="rId5955" Type="http://schemas.openxmlformats.org/officeDocument/2006/relationships/hyperlink" Target="http://ar.linkedin.com/in/juanpablof" TargetMode="External"/><Relationship Id="rId4628" Type="http://schemas.openxmlformats.org/officeDocument/2006/relationships/hyperlink" Target="http://ar.linkedin.com/pub/pedro-contartese/3/54B/95" TargetMode="External"/><Relationship Id="rId4627" Type="http://schemas.openxmlformats.org/officeDocument/2006/relationships/hyperlink" Target="http://ar.linkedin.com/in/aledevescovi" TargetMode="External"/><Relationship Id="rId5958" Type="http://schemas.openxmlformats.org/officeDocument/2006/relationships/hyperlink" Target="http://www.linkedin.com/pub/rafael-fernandez-le-baron/26/48b/250" TargetMode="External"/><Relationship Id="rId4629" Type="http://schemas.openxmlformats.org/officeDocument/2006/relationships/hyperlink" Target="http://www.linkedin.com/in/luisvidald" TargetMode="External"/><Relationship Id="rId5959" Type="http://schemas.openxmlformats.org/officeDocument/2006/relationships/hyperlink" Target="http://www.linkedin.com/in/pcapurro" TargetMode="External"/><Relationship Id="rId4620" Type="http://schemas.openxmlformats.org/officeDocument/2006/relationships/hyperlink" Target="http://ar.linkedin.com/pub/maria-jose-paladino/20/594/94B" TargetMode="External"/><Relationship Id="rId5952" Type="http://schemas.openxmlformats.org/officeDocument/2006/relationships/hyperlink" Target="http://www.linkedin.com/pub/alberto-salazar/10/186/970" TargetMode="External"/><Relationship Id="rId5953" Type="http://schemas.openxmlformats.org/officeDocument/2006/relationships/hyperlink" Target="http://www.linkedin.com/pub/lisa-doria-mongulla%5D/0/7BA/883" TargetMode="External"/><Relationship Id="rId4622" Type="http://schemas.openxmlformats.org/officeDocument/2006/relationships/hyperlink" Target="http://ar.linkedin.com/pub/gabriel-gomez/2/951/631" TargetMode="External"/><Relationship Id="rId5950" Type="http://schemas.openxmlformats.org/officeDocument/2006/relationships/hyperlink" Target="http://www.linkedin.com/in/boferm" TargetMode="External"/><Relationship Id="rId4621" Type="http://schemas.openxmlformats.org/officeDocument/2006/relationships/hyperlink" Target="http://ar.linkedin.com/in/lauralfaro" TargetMode="External"/><Relationship Id="rId5951" Type="http://schemas.openxmlformats.org/officeDocument/2006/relationships/hyperlink" Target="http://www.linkedin.com/pub/rafael-castillo/1/1A5/593" TargetMode="External"/><Relationship Id="rId4613" Type="http://schemas.openxmlformats.org/officeDocument/2006/relationships/hyperlink" Target="http://ar.linkedin.com/in/marianoblumenfeld" TargetMode="External"/><Relationship Id="rId5945" Type="http://schemas.openxmlformats.org/officeDocument/2006/relationships/hyperlink" Target="http://www.linkedin.com/pub/chris-mcguire/2/483/A25" TargetMode="External"/><Relationship Id="rId4612" Type="http://schemas.openxmlformats.org/officeDocument/2006/relationships/hyperlink" Target="http://ar.linkedin.com/pub/ale-madeira/15/34B/514" TargetMode="External"/><Relationship Id="rId5946" Type="http://schemas.openxmlformats.org/officeDocument/2006/relationships/hyperlink" Target="http://www.linkedin.com/pub/nara-rajagopalan/0/85/675" TargetMode="External"/><Relationship Id="rId4615" Type="http://schemas.openxmlformats.org/officeDocument/2006/relationships/hyperlink" Target="http://www.linkedin.com/in/marcelamaurer" TargetMode="External"/><Relationship Id="rId5943" Type="http://schemas.openxmlformats.org/officeDocument/2006/relationships/hyperlink" Target="http://www.linkedin.com/pub/saul-federman/1/486/358" TargetMode="External"/><Relationship Id="rId4614" Type="http://schemas.openxmlformats.org/officeDocument/2006/relationships/hyperlink" Target="http://ar.linkedin.com/pub/n%C3%A9lida-alfano/0/733/797" TargetMode="External"/><Relationship Id="rId5944" Type="http://schemas.openxmlformats.org/officeDocument/2006/relationships/hyperlink" Target="http://www.linkedin.com/in/9425en" TargetMode="External"/><Relationship Id="rId4617" Type="http://schemas.openxmlformats.org/officeDocument/2006/relationships/hyperlink" Target="http://ar.linkedin.com/pub/natalia-e-navarro-mugas/27/6A6/994" TargetMode="External"/><Relationship Id="rId5949" Type="http://schemas.openxmlformats.org/officeDocument/2006/relationships/hyperlink" Target="http://www.linkedin.com/in/javierjimenez61" TargetMode="External"/><Relationship Id="rId4616" Type="http://schemas.openxmlformats.org/officeDocument/2006/relationships/hyperlink" Target="http://ar.linkedin.com/pub/rodrigo-barros/1/A82/BB" TargetMode="External"/><Relationship Id="rId4619" Type="http://schemas.openxmlformats.org/officeDocument/2006/relationships/hyperlink" Target="http://ar.linkedin.com/pub/sergio-quinteros/2/9B7/800" TargetMode="External"/><Relationship Id="rId5947" Type="http://schemas.openxmlformats.org/officeDocument/2006/relationships/hyperlink" Target="http://www.linkedin.com/in/mikebossert" TargetMode="External"/><Relationship Id="rId4618" Type="http://schemas.openxmlformats.org/officeDocument/2006/relationships/hyperlink" Target="http://www.linkedin.com/pub/alberto-alejandro-brea/a/a30/18a" TargetMode="External"/><Relationship Id="rId5948" Type="http://schemas.openxmlformats.org/officeDocument/2006/relationships/hyperlink" Target="http://www.linkedin.com/in/davidkawamoto" TargetMode="External"/><Relationship Id="rId5941" Type="http://schemas.openxmlformats.org/officeDocument/2006/relationships/hyperlink" Target="http://www.linkedin.com/pub/jeffrey-tucholski/5/8B2/224" TargetMode="External"/><Relationship Id="rId5942" Type="http://schemas.openxmlformats.org/officeDocument/2006/relationships/hyperlink" Target="http://uk.linkedin.com/pub/hushpreet-dhaliwal/18/9A2/A36" TargetMode="External"/><Relationship Id="rId4611" Type="http://schemas.openxmlformats.org/officeDocument/2006/relationships/hyperlink" Target="http://www.linkedin.com/pub/juan-carlos-fracas/3/42/4a7" TargetMode="External"/><Relationship Id="rId4610" Type="http://schemas.openxmlformats.org/officeDocument/2006/relationships/hyperlink" Target="http://www.linkedin.com/in/marianokaseiri" TargetMode="External"/><Relationship Id="rId5940" Type="http://schemas.openxmlformats.org/officeDocument/2006/relationships/hyperlink" Target="http://www.linkedin.com/in/tmoonier" TargetMode="External"/><Relationship Id="rId8170" Type="http://schemas.openxmlformats.org/officeDocument/2006/relationships/hyperlink" Target="http://www.linkedin.com/pub/cindy-chaw/2/BAA/A12" TargetMode="External"/><Relationship Id="rId8163" Type="http://schemas.openxmlformats.org/officeDocument/2006/relationships/hyperlink" Target="http://www.linkedin.com/in/steveluttmann" TargetMode="External"/><Relationship Id="rId9495" Type="http://schemas.openxmlformats.org/officeDocument/2006/relationships/hyperlink" Target="http://www.linkedin.com/in/alanweinkrantz" TargetMode="External"/><Relationship Id="rId8162" Type="http://schemas.openxmlformats.org/officeDocument/2006/relationships/hyperlink" Target="http://www.linkedin.com/pub/john-leiter-cpa/3/814/319" TargetMode="External"/><Relationship Id="rId9496" Type="http://schemas.openxmlformats.org/officeDocument/2006/relationships/hyperlink" Target="http://www.linkedin.com/in/burkeallen" TargetMode="External"/><Relationship Id="rId8161" Type="http://schemas.openxmlformats.org/officeDocument/2006/relationships/hyperlink" Target="http://www.linkedin.com/in/krishbhat" TargetMode="External"/><Relationship Id="rId9497" Type="http://schemas.openxmlformats.org/officeDocument/2006/relationships/hyperlink" Target="http://www.linkedin.com/in/smthatcher" TargetMode="External"/><Relationship Id="rId8160" Type="http://schemas.openxmlformats.org/officeDocument/2006/relationships/hyperlink" Target="http://www.linkedin.com/in/eeichen" TargetMode="External"/><Relationship Id="rId9498" Type="http://schemas.openxmlformats.org/officeDocument/2006/relationships/hyperlink" Target="http://www.linkedin.com/in/paultoprac" TargetMode="External"/><Relationship Id="rId8167" Type="http://schemas.openxmlformats.org/officeDocument/2006/relationships/hyperlink" Target="http://www.linkedin.com/pub/diana-de-la-torriente/5/749/8ab" TargetMode="External"/><Relationship Id="rId9491" Type="http://schemas.openxmlformats.org/officeDocument/2006/relationships/hyperlink" Target="http://www.linkedin.com/in/farshid" TargetMode="External"/><Relationship Id="rId8166" Type="http://schemas.openxmlformats.org/officeDocument/2006/relationships/hyperlink" Target="http://www.linkedin.com/in/alejomontoya/" TargetMode="External"/><Relationship Id="rId9492" Type="http://schemas.openxmlformats.org/officeDocument/2006/relationships/hyperlink" Target="http://www.linkedin.com/in/leaderxy" TargetMode="External"/><Relationship Id="rId8165" Type="http://schemas.openxmlformats.org/officeDocument/2006/relationships/hyperlink" Target="http://www.linkedin.com/in/oscarhenao" TargetMode="External"/><Relationship Id="rId9493" Type="http://schemas.openxmlformats.org/officeDocument/2006/relationships/hyperlink" Target="http://www.linkedin.com/in/brianpcombs" TargetMode="External"/><Relationship Id="rId8164" Type="http://schemas.openxmlformats.org/officeDocument/2006/relationships/hyperlink" Target="http://www.linkedin.com/pub/german-gonzalez/6/47A/816" TargetMode="External"/><Relationship Id="rId9494" Type="http://schemas.openxmlformats.org/officeDocument/2006/relationships/hyperlink" Target="http://www.linkedin.com/in/matthewadam" TargetMode="External"/><Relationship Id="rId8169" Type="http://schemas.openxmlformats.org/officeDocument/2006/relationships/hyperlink" Target="http://www.linkedin.com/in/raygunst" TargetMode="External"/><Relationship Id="rId8168" Type="http://schemas.openxmlformats.org/officeDocument/2006/relationships/hyperlink" Target="http://www.linkedin.com/in/garygrund" TargetMode="External"/><Relationship Id="rId9499" Type="http://schemas.openxmlformats.org/officeDocument/2006/relationships/hyperlink" Target="http://www.linkedin.com/pub/ali-bliss/0/B16/77" TargetMode="External"/><Relationship Id="rId9490" Type="http://schemas.openxmlformats.org/officeDocument/2006/relationships/hyperlink" Target="https://www.linkedin.com/in/msklar" TargetMode="External"/><Relationship Id="rId8152" Type="http://schemas.openxmlformats.org/officeDocument/2006/relationships/hyperlink" Target="http://www.linkedin.com/pub/alex-algarme-sr/27/687/227" TargetMode="External"/><Relationship Id="rId9484" Type="http://schemas.openxmlformats.org/officeDocument/2006/relationships/hyperlink" Target="http://www.linkedin.com/in/matthewnordby" TargetMode="External"/><Relationship Id="rId8151" Type="http://schemas.openxmlformats.org/officeDocument/2006/relationships/hyperlink" Target="http://www.linkedin.com/pub/james-doughty/0/649/53A" TargetMode="External"/><Relationship Id="rId9485" Type="http://schemas.openxmlformats.org/officeDocument/2006/relationships/hyperlink" Target="http://www.linkedin.com/pub/jonno-wells/0/1B/A87" TargetMode="External"/><Relationship Id="rId8150" Type="http://schemas.openxmlformats.org/officeDocument/2006/relationships/hyperlink" Target="http://ca.linkedin.com/in/karnagupta" TargetMode="External"/><Relationship Id="rId9486" Type="http://schemas.openxmlformats.org/officeDocument/2006/relationships/hyperlink" Target="http://www.linkedin.com/in/stevevandegrift" TargetMode="External"/><Relationship Id="rId9487" Type="http://schemas.openxmlformats.org/officeDocument/2006/relationships/hyperlink" Target="http://www.linkedin.com/in/ashbanerjee" TargetMode="External"/><Relationship Id="rId8156" Type="http://schemas.openxmlformats.org/officeDocument/2006/relationships/hyperlink" Target="http://www.linkedin.com/in/stanmarts" TargetMode="External"/><Relationship Id="rId9480" Type="http://schemas.openxmlformats.org/officeDocument/2006/relationships/hyperlink" Target="http://www.linkedin.com/pub/robert-beatty/0/725/60" TargetMode="External"/><Relationship Id="rId8155" Type="http://schemas.openxmlformats.org/officeDocument/2006/relationships/hyperlink" Target="http://www.linkedin.com/in/johnredell" TargetMode="External"/><Relationship Id="rId9481" Type="http://schemas.openxmlformats.org/officeDocument/2006/relationships/hyperlink" Target="http://www.linkedin.com/in/tomparish" TargetMode="External"/><Relationship Id="rId8154" Type="http://schemas.openxmlformats.org/officeDocument/2006/relationships/hyperlink" Target="http://www.linkedin.com/in/jasonbaadsgaard" TargetMode="External"/><Relationship Id="rId9482" Type="http://schemas.openxmlformats.org/officeDocument/2006/relationships/hyperlink" Target="http://www.linkedin.com/in/markeagle" TargetMode="External"/><Relationship Id="rId8153" Type="http://schemas.openxmlformats.org/officeDocument/2006/relationships/hyperlink" Target="http://www.linkedin.com/pub/eve-white-glp/3/736/8B0" TargetMode="External"/><Relationship Id="rId9483" Type="http://schemas.openxmlformats.org/officeDocument/2006/relationships/hyperlink" Target="http://www.linkedin.com/pub/darren-thomas/6/853/B3" TargetMode="External"/><Relationship Id="rId8159" Type="http://schemas.openxmlformats.org/officeDocument/2006/relationships/hyperlink" Target="http://www.linkedin.com/pub/john-carr/1/119/6" TargetMode="External"/><Relationship Id="rId8158" Type="http://schemas.openxmlformats.org/officeDocument/2006/relationships/hyperlink" Target="http://www.linkedin.com/in/nelsovillamizar" TargetMode="External"/><Relationship Id="rId8157" Type="http://schemas.openxmlformats.org/officeDocument/2006/relationships/hyperlink" Target="http://www.linkedin.com/pub/dean-stiles/4/A17/889" TargetMode="External"/><Relationship Id="rId9488" Type="http://schemas.openxmlformats.org/officeDocument/2006/relationships/hyperlink" Target="http://www.linkedin.com/in/andrewruse" TargetMode="External"/><Relationship Id="rId9489" Type="http://schemas.openxmlformats.org/officeDocument/2006/relationships/hyperlink" Target="http://www.linkedin.com/in/connietwynham" TargetMode="External"/><Relationship Id="rId5912" Type="http://schemas.openxmlformats.org/officeDocument/2006/relationships/hyperlink" Target="https://www.linkedin.com/pub/nigel-shanahan/0/6a4/327" TargetMode="External"/><Relationship Id="rId5913" Type="http://schemas.openxmlformats.org/officeDocument/2006/relationships/hyperlink" Target="http://www.linkedin.com/in/daniellemachado" TargetMode="External"/><Relationship Id="rId5910" Type="http://schemas.openxmlformats.org/officeDocument/2006/relationships/hyperlink" Target="http://www.linkedin.com/pub/jason-kapalka/5/330/788" TargetMode="External"/><Relationship Id="rId5911" Type="http://schemas.openxmlformats.org/officeDocument/2006/relationships/hyperlink" Target="http://uk.linkedin.com/pub/stefan-hohmann/8/143/1B3" TargetMode="External"/><Relationship Id="rId5916" Type="http://schemas.openxmlformats.org/officeDocument/2006/relationships/hyperlink" Target="http://www.linkedin.com/pub/beatrice-davis/0/685/A1A" TargetMode="External"/><Relationship Id="rId5917" Type="http://schemas.openxmlformats.org/officeDocument/2006/relationships/hyperlink" Target="http://www.linkedin.com/in/tatsuya" TargetMode="External"/><Relationship Id="rId5914" Type="http://schemas.openxmlformats.org/officeDocument/2006/relationships/hyperlink" Target="http://www.linkedin.com/pub/patrick-murray/0/B9B/752" TargetMode="External"/><Relationship Id="rId5915" Type="http://schemas.openxmlformats.org/officeDocument/2006/relationships/hyperlink" Target="http://fr.linkedin.com/in/amitm" TargetMode="External"/><Relationship Id="rId5918" Type="http://schemas.openxmlformats.org/officeDocument/2006/relationships/hyperlink" Target="http://www.linkedin.com/in/nickgogerty" TargetMode="External"/><Relationship Id="rId5919" Type="http://schemas.openxmlformats.org/officeDocument/2006/relationships/hyperlink" Target="http://www.linkedin.com/in/larrypaisley" TargetMode="External"/><Relationship Id="rId8192" Type="http://schemas.openxmlformats.org/officeDocument/2006/relationships/hyperlink" Target="http://www.linkedin.com/in/kerins" TargetMode="External"/><Relationship Id="rId8191" Type="http://schemas.openxmlformats.org/officeDocument/2006/relationships/hyperlink" Target="http://www.linkedin.com/in/danielkatz" TargetMode="External"/><Relationship Id="rId8190" Type="http://schemas.openxmlformats.org/officeDocument/2006/relationships/hyperlink" Target="http://www.linkedin.com/in/foellmer" TargetMode="External"/><Relationship Id="rId8185" Type="http://schemas.openxmlformats.org/officeDocument/2006/relationships/hyperlink" Target="http://ar.linkedin.com/pub/mariano-urreta/29/36B/299" TargetMode="External"/><Relationship Id="rId8184" Type="http://schemas.openxmlformats.org/officeDocument/2006/relationships/hyperlink" Target="http://www.linkedin.com/in/12443579" TargetMode="External"/><Relationship Id="rId8183" Type="http://schemas.openxmlformats.org/officeDocument/2006/relationships/hyperlink" Target="http://www.linkedin.com/pub/paul-brown/B/371/5AA" TargetMode="External"/><Relationship Id="rId8182" Type="http://schemas.openxmlformats.org/officeDocument/2006/relationships/hyperlink" Target="http://www.linkedin.com/pub/robb-auber/25/53A/B79" TargetMode="External"/><Relationship Id="rId8189" Type="http://schemas.openxmlformats.org/officeDocument/2006/relationships/hyperlink" Target="http://ar.linkedin.com/pub/jorge-zanabone/14/163/315" TargetMode="External"/><Relationship Id="rId8188" Type="http://schemas.openxmlformats.org/officeDocument/2006/relationships/hyperlink" Target="http://www.linkedin.com/pub/dennis-forte/10/236/504" TargetMode="External"/><Relationship Id="rId8187" Type="http://schemas.openxmlformats.org/officeDocument/2006/relationships/hyperlink" Target="http://www.linkedin.com/in/gexecutives" TargetMode="External"/><Relationship Id="rId8186" Type="http://schemas.openxmlformats.org/officeDocument/2006/relationships/hyperlink" Target="http://www.linkedin.com/in/alcordoba" TargetMode="External"/><Relationship Id="rId5901" Type="http://schemas.openxmlformats.org/officeDocument/2006/relationships/hyperlink" Target="http://ar.linkedin.com/pub/sebastian-garay/16/710/900" TargetMode="External"/><Relationship Id="rId5902" Type="http://schemas.openxmlformats.org/officeDocument/2006/relationships/hyperlink" Target="http://ar.linkedin.com/pub/eduardo-adrian-herrera/7/2A3/1A" TargetMode="External"/><Relationship Id="rId5900" Type="http://schemas.openxmlformats.org/officeDocument/2006/relationships/hyperlink" Target="http://ar.linkedin.com/pub/karina-cardalda/5/379/A99" TargetMode="External"/><Relationship Id="rId5905" Type="http://schemas.openxmlformats.org/officeDocument/2006/relationships/hyperlink" Target="http://www.linkedin.com/pub/alberto-roldan/3/1BA/457" TargetMode="External"/><Relationship Id="rId5906" Type="http://schemas.openxmlformats.org/officeDocument/2006/relationships/hyperlink" Target="http://www.linkedin.com/in/puneetarora1" TargetMode="External"/><Relationship Id="rId5903" Type="http://schemas.openxmlformats.org/officeDocument/2006/relationships/hyperlink" Target="http://ar.linkedin.com/in/diegolevett" TargetMode="External"/><Relationship Id="rId5904" Type="http://schemas.openxmlformats.org/officeDocument/2006/relationships/hyperlink" Target="http://www.linkedin.com/pub/gustavo-gabriel-veloso/31/38/426" TargetMode="External"/><Relationship Id="rId5909" Type="http://schemas.openxmlformats.org/officeDocument/2006/relationships/hyperlink" Target="http://www.linkedin.com/pub/kyu-lee/0/780/BB8" TargetMode="External"/><Relationship Id="rId5907" Type="http://schemas.openxmlformats.org/officeDocument/2006/relationships/hyperlink" Target="http://www.linkedin.com/in/cireynolds" TargetMode="External"/><Relationship Id="rId5908" Type="http://schemas.openxmlformats.org/officeDocument/2006/relationships/hyperlink" Target="http://www.linkedin.com/in/martinstier" TargetMode="External"/><Relationship Id="rId8181" Type="http://schemas.openxmlformats.org/officeDocument/2006/relationships/hyperlink" Target="http://www.linkedin.com/in/augustoaragone" TargetMode="External"/><Relationship Id="rId8180" Type="http://schemas.openxmlformats.org/officeDocument/2006/relationships/hyperlink" Target="http://www.linkedin.com/pub/gustavo-lopez/7/116/616" TargetMode="External"/><Relationship Id="rId8174" Type="http://schemas.openxmlformats.org/officeDocument/2006/relationships/hyperlink" Target="http://www.linkedin.com/pub/robert-nelson/4/AA9/522" TargetMode="External"/><Relationship Id="rId8173" Type="http://schemas.openxmlformats.org/officeDocument/2006/relationships/hyperlink" Target="http://www.linkedin.com/pub/francesco-gamba/6/141/35" TargetMode="External"/><Relationship Id="rId8172" Type="http://schemas.openxmlformats.org/officeDocument/2006/relationships/hyperlink" Target="http://www.linkedin.com/in/markeallen" TargetMode="External"/><Relationship Id="rId8171" Type="http://schemas.openxmlformats.org/officeDocument/2006/relationships/hyperlink" Target="http://www.linkedin.com/pub/chris-duncan/1/2A8/749" TargetMode="External"/><Relationship Id="rId8178" Type="http://schemas.openxmlformats.org/officeDocument/2006/relationships/hyperlink" Target="http://www.linkedin.com/in/oscarbos01" TargetMode="External"/><Relationship Id="rId8177" Type="http://schemas.openxmlformats.org/officeDocument/2006/relationships/hyperlink" Target="http://www.linkedin.com/in/rachelmacha" TargetMode="External"/><Relationship Id="rId8176" Type="http://schemas.openxmlformats.org/officeDocument/2006/relationships/hyperlink" Target="http://www.linkedin.com/pub/jack-magee/12/446/556" TargetMode="External"/><Relationship Id="rId8175" Type="http://schemas.openxmlformats.org/officeDocument/2006/relationships/hyperlink" Target="http://www.linkedin.com/in/hyperionalexandreseran" TargetMode="External"/><Relationship Id="rId8179" Type="http://schemas.openxmlformats.org/officeDocument/2006/relationships/hyperlink" Target="https://www.linkedin.com/in/antonforth" TargetMode="External"/><Relationship Id="rId2027" Type="http://schemas.openxmlformats.org/officeDocument/2006/relationships/hyperlink" Target="http://www.linkedin.com/pub/indu-navar/0/17/59A" TargetMode="External"/><Relationship Id="rId3359" Type="http://schemas.openxmlformats.org/officeDocument/2006/relationships/hyperlink" Target="http://ar.linkedin.com/in/darioardiles" TargetMode="External"/><Relationship Id="rId2028" Type="http://schemas.openxmlformats.org/officeDocument/2006/relationships/hyperlink" Target="http://www.linkedin.com/pub/orr-shakked/0/73/422" TargetMode="External"/><Relationship Id="rId3358" Type="http://schemas.openxmlformats.org/officeDocument/2006/relationships/hyperlink" Target="http://www.linkedin.com/in/stifelm" TargetMode="External"/><Relationship Id="rId4689" Type="http://schemas.openxmlformats.org/officeDocument/2006/relationships/hyperlink" Target="http://ar.linkedin.com/in/leandrofoggia" TargetMode="External"/><Relationship Id="rId2029" Type="http://schemas.openxmlformats.org/officeDocument/2006/relationships/hyperlink" Target="http://www.linkedin.com/pub/pete-dearborn/21/59B/1BB" TargetMode="External"/><Relationship Id="rId107" Type="http://schemas.openxmlformats.org/officeDocument/2006/relationships/hyperlink" Target="http://www.linkedin.com/in/ezapolsky" TargetMode="External"/><Relationship Id="rId106" Type="http://schemas.openxmlformats.org/officeDocument/2006/relationships/hyperlink" Target="http://www.linkedin.com/in/robinzygelman" TargetMode="External"/><Relationship Id="rId105" Type="http://schemas.openxmlformats.org/officeDocument/2006/relationships/hyperlink" Target="http://ca.linkedin.com/in/markawoolley" TargetMode="External"/><Relationship Id="rId104" Type="http://schemas.openxmlformats.org/officeDocument/2006/relationships/hyperlink" Target="http://www.linkedin.com/in/jlender" TargetMode="External"/><Relationship Id="rId109" Type="http://schemas.openxmlformats.org/officeDocument/2006/relationships/hyperlink" Target="http://www.linkedin.com/in/tomturchioe" TargetMode="External"/><Relationship Id="rId4680" Type="http://schemas.openxmlformats.org/officeDocument/2006/relationships/hyperlink" Target="http://www.linkedin.com/pub/diego-sciarrotta/7/aa7/b17" TargetMode="External"/><Relationship Id="rId108" Type="http://schemas.openxmlformats.org/officeDocument/2006/relationships/hyperlink" Target="http://www.linkedin.com/in/robertscola" TargetMode="External"/><Relationship Id="rId3351" Type="http://schemas.openxmlformats.org/officeDocument/2006/relationships/hyperlink" Target="http://www.linkedin.com/in/travissavo" TargetMode="External"/><Relationship Id="rId4682" Type="http://schemas.openxmlformats.org/officeDocument/2006/relationships/hyperlink" Target="http://www.linkedin.com/pub/andr%C3%A9s-mikelj/0/306/440" TargetMode="External"/><Relationship Id="rId2020" Type="http://schemas.openxmlformats.org/officeDocument/2006/relationships/hyperlink" Target="http://www.linkedin.com/in/bondelev" TargetMode="External"/><Relationship Id="rId3350" Type="http://schemas.openxmlformats.org/officeDocument/2006/relationships/hyperlink" Target="http://www.linkedin.com/in/rajchauhan" TargetMode="External"/><Relationship Id="rId4681" Type="http://schemas.openxmlformats.org/officeDocument/2006/relationships/hyperlink" Target="http://ar.linkedin.com/in/jpyahyah" TargetMode="External"/><Relationship Id="rId2021" Type="http://schemas.openxmlformats.org/officeDocument/2006/relationships/hyperlink" Target="http://ca.linkedin.com/in/gillessmith" TargetMode="External"/><Relationship Id="rId3353" Type="http://schemas.openxmlformats.org/officeDocument/2006/relationships/hyperlink" Target="http://uk.linkedin.com/pub/mark-stapleton/0/837/9A3" TargetMode="External"/><Relationship Id="rId4684" Type="http://schemas.openxmlformats.org/officeDocument/2006/relationships/hyperlink" Target="http://ar.linkedin.com/in/andreagabilan" TargetMode="External"/><Relationship Id="rId2022" Type="http://schemas.openxmlformats.org/officeDocument/2006/relationships/hyperlink" Target="http://au.linkedin.com/pub/david-redpath/1/495/828" TargetMode="External"/><Relationship Id="rId3352" Type="http://schemas.openxmlformats.org/officeDocument/2006/relationships/hyperlink" Target="http://www.linkedin.com/in/zorstag" TargetMode="External"/><Relationship Id="rId4683" Type="http://schemas.openxmlformats.org/officeDocument/2006/relationships/hyperlink" Target="http://ar.linkedin.com/pub/alejandra-traverso/0/27B/823" TargetMode="External"/><Relationship Id="rId103" Type="http://schemas.openxmlformats.org/officeDocument/2006/relationships/hyperlink" Target="http://www.linkedin.com/pub/colin-johnson/1/43B/A37" TargetMode="External"/><Relationship Id="rId2023" Type="http://schemas.openxmlformats.org/officeDocument/2006/relationships/hyperlink" Target="http://www.linkedin.com/pub/shane-mullane/0/4A/952" TargetMode="External"/><Relationship Id="rId3355" Type="http://schemas.openxmlformats.org/officeDocument/2006/relationships/hyperlink" Target="http://www.linkedin.com/pub/claudio-kimura/4/4B6/B7A" TargetMode="External"/><Relationship Id="rId4686" Type="http://schemas.openxmlformats.org/officeDocument/2006/relationships/hyperlink" Target="http://www.linkedin.com/pub/emiliano-osores/4/48/851" TargetMode="External"/><Relationship Id="rId102" Type="http://schemas.openxmlformats.org/officeDocument/2006/relationships/hyperlink" Target="http://www.linkedin.com/in/socialmedios" TargetMode="External"/><Relationship Id="rId2024" Type="http://schemas.openxmlformats.org/officeDocument/2006/relationships/hyperlink" Target="http://www.linkedin.com/pub/darryl-dodson-edgars/0/52/151" TargetMode="External"/><Relationship Id="rId3354" Type="http://schemas.openxmlformats.org/officeDocument/2006/relationships/hyperlink" Target="http://www.linkedin.com/in/geneleshinsky" TargetMode="External"/><Relationship Id="rId4685" Type="http://schemas.openxmlformats.org/officeDocument/2006/relationships/hyperlink" Target="http://www.linkedin.com/pub/andres-mariano-bellero/a/8a3/b03" TargetMode="External"/><Relationship Id="rId101" Type="http://schemas.openxmlformats.org/officeDocument/2006/relationships/hyperlink" Target="http://www.linkedin.com/pub/key-factory-software/40/841/730" TargetMode="External"/><Relationship Id="rId2025" Type="http://schemas.openxmlformats.org/officeDocument/2006/relationships/hyperlink" Target="http://www.linkedin.com/pub/brian-jung/0/932/A07" TargetMode="External"/><Relationship Id="rId3357" Type="http://schemas.openxmlformats.org/officeDocument/2006/relationships/hyperlink" Target="http://uk.linkedin.com/pub/james-mooney/1/5B4/BA3" TargetMode="External"/><Relationship Id="rId4688" Type="http://schemas.openxmlformats.org/officeDocument/2006/relationships/hyperlink" Target="http://ar.linkedin.com/pub/gustavo-mauricio-morales/22/930/771" TargetMode="External"/><Relationship Id="rId100" Type="http://schemas.openxmlformats.org/officeDocument/2006/relationships/hyperlink" Target="http://www.linkedin.com/in/jesserickson" TargetMode="External"/><Relationship Id="rId2026" Type="http://schemas.openxmlformats.org/officeDocument/2006/relationships/hyperlink" Target="http://www.linkedin.com/in/bovargas" TargetMode="External"/><Relationship Id="rId3356" Type="http://schemas.openxmlformats.org/officeDocument/2006/relationships/hyperlink" Target="http://www.linkedin.com/pub/brian-coleman/0/35/459" TargetMode="External"/><Relationship Id="rId4687" Type="http://schemas.openxmlformats.org/officeDocument/2006/relationships/hyperlink" Target="http://ar.linkedin.com/in/nestorabalo" TargetMode="External"/><Relationship Id="rId2016" Type="http://schemas.openxmlformats.org/officeDocument/2006/relationships/hyperlink" Target="http://www.linkedin.com/in/richvestuto" TargetMode="External"/><Relationship Id="rId3348" Type="http://schemas.openxmlformats.org/officeDocument/2006/relationships/hyperlink" Target="http://uk.linkedin.com/pub/andy-favell/0/7BA/B13" TargetMode="External"/><Relationship Id="rId4679" Type="http://schemas.openxmlformats.org/officeDocument/2006/relationships/hyperlink" Target="http://www.linkedin.com/pub/graciela-heidenreich/b/914/269" TargetMode="External"/><Relationship Id="rId2017" Type="http://schemas.openxmlformats.org/officeDocument/2006/relationships/hyperlink" Target="http://fr.linkedin.com/in/olivierbrion" TargetMode="External"/><Relationship Id="rId3347" Type="http://schemas.openxmlformats.org/officeDocument/2006/relationships/hyperlink" Target="http://uk.linkedin.com/pub/anil-malhotra/1/134/798" TargetMode="External"/><Relationship Id="rId4678" Type="http://schemas.openxmlformats.org/officeDocument/2006/relationships/hyperlink" Target="http://www.linkedin.com/pub/stella-maris-beraldi/13/44b/6a9" TargetMode="External"/><Relationship Id="rId2018" Type="http://schemas.openxmlformats.org/officeDocument/2006/relationships/hyperlink" Target="http://www.linkedin.com/in/gabegomez" TargetMode="External"/><Relationship Id="rId2019" Type="http://schemas.openxmlformats.org/officeDocument/2006/relationships/hyperlink" Target="http://www.linkedin.com/pub/philip-wong/0/426/A8" TargetMode="External"/><Relationship Id="rId3349" Type="http://schemas.openxmlformats.org/officeDocument/2006/relationships/hyperlink" Target="http://uk.linkedin.com/pub/fernanda-romano/2/9A5/325" TargetMode="External"/><Relationship Id="rId3340" Type="http://schemas.openxmlformats.org/officeDocument/2006/relationships/hyperlink" Target="http://ar.linkedin.com/in/diegofabianlucas" TargetMode="External"/><Relationship Id="rId4671" Type="http://schemas.openxmlformats.org/officeDocument/2006/relationships/hyperlink" Target="http://ar.linkedin.com/pub/daniel-arzamendia/A/590/4AB" TargetMode="External"/><Relationship Id="rId4670" Type="http://schemas.openxmlformats.org/officeDocument/2006/relationships/hyperlink" Target="http://ar.linkedin.com/pub/mariela-gimenez/18/44B/AB7" TargetMode="External"/><Relationship Id="rId2010" Type="http://schemas.openxmlformats.org/officeDocument/2006/relationships/hyperlink" Target="http://www.linkedin.com/in/shauntilford" TargetMode="External"/><Relationship Id="rId3342" Type="http://schemas.openxmlformats.org/officeDocument/2006/relationships/hyperlink" Target="http://www.linkedin.com/pub/alejandra-stoppello/22/266/471" TargetMode="External"/><Relationship Id="rId4673" Type="http://schemas.openxmlformats.org/officeDocument/2006/relationships/hyperlink" Target="http://www.linkedin.com/pub/carlos-salvini/0/836/381" TargetMode="External"/><Relationship Id="rId2011" Type="http://schemas.openxmlformats.org/officeDocument/2006/relationships/hyperlink" Target="http://www.linkedin.com/in/jackcolemanlightingspecialist" TargetMode="External"/><Relationship Id="rId3341" Type="http://schemas.openxmlformats.org/officeDocument/2006/relationships/hyperlink" Target="http://ar.linkedin.com/pub/claudio-di/B/203/836" TargetMode="External"/><Relationship Id="rId4672" Type="http://schemas.openxmlformats.org/officeDocument/2006/relationships/hyperlink" Target="http://www.linkedin.com/in/danielamato" TargetMode="External"/><Relationship Id="rId2012" Type="http://schemas.openxmlformats.org/officeDocument/2006/relationships/hyperlink" Target="http://www.linkedin.com/pub/michael-albarano/8/645/183" TargetMode="External"/><Relationship Id="rId3344" Type="http://schemas.openxmlformats.org/officeDocument/2006/relationships/hyperlink" Target="http://ar.linkedin.com/in/leonardosarotto" TargetMode="External"/><Relationship Id="rId4675" Type="http://schemas.openxmlformats.org/officeDocument/2006/relationships/hyperlink" Target="http://www.linkedin.com/pub/anal%C3%ADa-canevelli/21/b69/a35" TargetMode="External"/><Relationship Id="rId2013" Type="http://schemas.openxmlformats.org/officeDocument/2006/relationships/hyperlink" Target="http://www.linkedin.com/in/rleader" TargetMode="External"/><Relationship Id="rId3343" Type="http://schemas.openxmlformats.org/officeDocument/2006/relationships/hyperlink" Target="http://www.linkedin.com/pub/m-carolina-sabat%C3%A9/25/68/b70" TargetMode="External"/><Relationship Id="rId4674" Type="http://schemas.openxmlformats.org/officeDocument/2006/relationships/hyperlink" Target="http://ar.linkedin.com/pub/armando-silvio-rojkin/27/4A0/BB0" TargetMode="External"/><Relationship Id="rId2014" Type="http://schemas.openxmlformats.org/officeDocument/2006/relationships/hyperlink" Target="http://www.linkedin.com/in/normansilverberg" TargetMode="External"/><Relationship Id="rId3346" Type="http://schemas.openxmlformats.org/officeDocument/2006/relationships/hyperlink" Target="http://uk.linkedin.com/pub/gemma-greaves/4/A1/997" TargetMode="External"/><Relationship Id="rId4677" Type="http://schemas.openxmlformats.org/officeDocument/2006/relationships/hyperlink" Target="http://www.linkedin.com/pub/mariano-mandelbaum/2b/3b7/906" TargetMode="External"/><Relationship Id="rId2015" Type="http://schemas.openxmlformats.org/officeDocument/2006/relationships/hyperlink" Target="http://www.linkedin.com/pub/h-ward-camp/0/434/B49" TargetMode="External"/><Relationship Id="rId3345" Type="http://schemas.openxmlformats.org/officeDocument/2006/relationships/hyperlink" Target="http://ar.linkedin.com/pub/miguel-pezzullo/1/647/122" TargetMode="External"/><Relationship Id="rId4676" Type="http://schemas.openxmlformats.org/officeDocument/2006/relationships/hyperlink" Target="http://ar.linkedin.com/in/guillerdv" TargetMode="External"/><Relationship Id="rId2049" Type="http://schemas.openxmlformats.org/officeDocument/2006/relationships/hyperlink" Target="http://it.linkedin.com/pub/giovanni-migotto/0/884/BB9" TargetMode="External"/><Relationship Id="rId129" Type="http://schemas.openxmlformats.org/officeDocument/2006/relationships/hyperlink" Target="http://br.linkedin.com/pub/jean-carlo-klaumann/0/165/941" TargetMode="External"/><Relationship Id="rId128" Type="http://schemas.openxmlformats.org/officeDocument/2006/relationships/hyperlink" Target="http://br.linkedin.com/pub/jairo-cardoso-de-oliveira/1/1B3/145" TargetMode="External"/><Relationship Id="rId127" Type="http://schemas.openxmlformats.org/officeDocument/2006/relationships/hyperlink" Target="http://www.linkedin.com/pub/carlos-eduardo-matheus/9/5a2/781" TargetMode="External"/><Relationship Id="rId126" Type="http://schemas.openxmlformats.org/officeDocument/2006/relationships/hyperlink" Target="http://mx.linkedin.com/pub/karen-vargas/23/348/938" TargetMode="External"/><Relationship Id="rId3371" Type="http://schemas.openxmlformats.org/officeDocument/2006/relationships/hyperlink" Target="http://ar.linkedin.com/in/bertuccio" TargetMode="External"/><Relationship Id="rId2040" Type="http://schemas.openxmlformats.org/officeDocument/2006/relationships/hyperlink" Target="http://www.linkedin.com/in/geertwarlop" TargetMode="External"/><Relationship Id="rId3370" Type="http://schemas.openxmlformats.org/officeDocument/2006/relationships/hyperlink" Target="http://ar.linkedin.com/in/sebastianmoroni" TargetMode="External"/><Relationship Id="rId121" Type="http://schemas.openxmlformats.org/officeDocument/2006/relationships/hyperlink" Target="http://www.linkedin.com/in/jmkllc" TargetMode="External"/><Relationship Id="rId2041" Type="http://schemas.openxmlformats.org/officeDocument/2006/relationships/hyperlink" Target="http://www.linkedin.com/in/stephenzarick" TargetMode="External"/><Relationship Id="rId3373" Type="http://schemas.openxmlformats.org/officeDocument/2006/relationships/hyperlink" Target="http://ar.linkedin.com/in/lorenaterzano" TargetMode="External"/><Relationship Id="rId120" Type="http://schemas.openxmlformats.org/officeDocument/2006/relationships/hyperlink" Target="http://www.linkedin.com/in/baseemahgaither" TargetMode="External"/><Relationship Id="rId2042" Type="http://schemas.openxmlformats.org/officeDocument/2006/relationships/hyperlink" Target="http://it.linkedin.com/in/nicomic" TargetMode="External"/><Relationship Id="rId3372" Type="http://schemas.openxmlformats.org/officeDocument/2006/relationships/hyperlink" Target="http://ar.linkedin.com/pub/matias-gomez-rios/4/513/545" TargetMode="External"/><Relationship Id="rId2043" Type="http://schemas.openxmlformats.org/officeDocument/2006/relationships/hyperlink" Target="http://www.linkedin.com/pub/bruce-ramsey/0/AB/952" TargetMode="External"/><Relationship Id="rId3375" Type="http://schemas.openxmlformats.org/officeDocument/2006/relationships/hyperlink" Target="http://ar.linkedin.com/pub/andr%C3%A9s-bernab%C3%A9-villafa%C3%B1e/29/216/B73" TargetMode="External"/><Relationship Id="rId2044" Type="http://schemas.openxmlformats.org/officeDocument/2006/relationships/hyperlink" Target="http://uk.linkedin.com/pub/prasanna-gundi/0/746/3BA" TargetMode="External"/><Relationship Id="rId3374" Type="http://schemas.openxmlformats.org/officeDocument/2006/relationships/hyperlink" Target="http://ar.linkedin.com/pub/georgina-manson/7/38/36B" TargetMode="External"/><Relationship Id="rId125" Type="http://schemas.openxmlformats.org/officeDocument/2006/relationships/hyperlink" Target="http://www.linkedin.com/in/rondacampbell" TargetMode="External"/><Relationship Id="rId2045" Type="http://schemas.openxmlformats.org/officeDocument/2006/relationships/hyperlink" Target="http://www.linkedin.com/pub/kenneth-borruso/4/57/542" TargetMode="External"/><Relationship Id="rId3377" Type="http://schemas.openxmlformats.org/officeDocument/2006/relationships/hyperlink" Target="http://ar.linkedin.com/pub/roberto-vidal/18/6BB/273" TargetMode="External"/><Relationship Id="rId124" Type="http://schemas.openxmlformats.org/officeDocument/2006/relationships/hyperlink" Target="http://www.linkedin.com/pub/dan-stecher/A/83B/677" TargetMode="External"/><Relationship Id="rId2046" Type="http://schemas.openxmlformats.org/officeDocument/2006/relationships/hyperlink" Target="http://www.linkedin.com/pub/josildo-melo/11/78B/787" TargetMode="External"/><Relationship Id="rId3376" Type="http://schemas.openxmlformats.org/officeDocument/2006/relationships/hyperlink" Target="http://ar.linkedin.com/in/yamilabuchwald" TargetMode="External"/><Relationship Id="rId123" Type="http://schemas.openxmlformats.org/officeDocument/2006/relationships/hyperlink" Target="http://br.linkedin.com/pub/nathalie-zanata/29/783/29" TargetMode="External"/><Relationship Id="rId2047" Type="http://schemas.openxmlformats.org/officeDocument/2006/relationships/hyperlink" Target="http://www.linkedin.com/pub/rachin-negi/4/182/587" TargetMode="External"/><Relationship Id="rId3379" Type="http://schemas.openxmlformats.org/officeDocument/2006/relationships/hyperlink" Target="http://ar.linkedin.com/in/luciolangtry" TargetMode="External"/><Relationship Id="rId122" Type="http://schemas.openxmlformats.org/officeDocument/2006/relationships/hyperlink" Target="http://pe.linkedin.com/in/manuelaarnedo" TargetMode="External"/><Relationship Id="rId2048" Type="http://schemas.openxmlformats.org/officeDocument/2006/relationships/hyperlink" Target="http://www.linkedin.com/pub/david-findley/1/10/1A4" TargetMode="External"/><Relationship Id="rId3378" Type="http://schemas.openxmlformats.org/officeDocument/2006/relationships/hyperlink" Target="http://www.linkedin.com/pub/archisevsky-silvana/22/b88/52" TargetMode="External"/><Relationship Id="rId2038" Type="http://schemas.openxmlformats.org/officeDocument/2006/relationships/hyperlink" Target="https://www.linkedin.com/in/brianpbauer" TargetMode="External"/><Relationship Id="rId2039" Type="http://schemas.openxmlformats.org/officeDocument/2006/relationships/hyperlink" Target="http://www.linkedin.com/pub/norman-stone/0/9B2/647" TargetMode="External"/><Relationship Id="rId3369" Type="http://schemas.openxmlformats.org/officeDocument/2006/relationships/hyperlink" Target="http://www.linkedin.com/pub/mar%C3%ADa-guadalupe-gomez/a/77a/933?trk=pub-pbmap" TargetMode="External"/><Relationship Id="rId118" Type="http://schemas.openxmlformats.org/officeDocument/2006/relationships/hyperlink" Target="http://www.linkedin.com/pub/moira-brown-kutz/3/108/B2B" TargetMode="External"/><Relationship Id="rId117" Type="http://schemas.openxmlformats.org/officeDocument/2006/relationships/hyperlink" Target="http://www.linkedin.com/in/markeschbacher" TargetMode="External"/><Relationship Id="rId116" Type="http://schemas.openxmlformats.org/officeDocument/2006/relationships/hyperlink" Target="http://br.linkedin.com/in/marcelosiffert" TargetMode="External"/><Relationship Id="rId115" Type="http://schemas.openxmlformats.org/officeDocument/2006/relationships/hyperlink" Target="http://br.linkedin.com/in/marcosresende1" TargetMode="External"/><Relationship Id="rId3360" Type="http://schemas.openxmlformats.org/officeDocument/2006/relationships/hyperlink" Target="http://www.linkedin.com/pub/juan-manuel-hauret/27/798/104" TargetMode="External"/><Relationship Id="rId4691" Type="http://schemas.openxmlformats.org/officeDocument/2006/relationships/hyperlink" Target="http://www.linkedin.com/pub/pedro-filipuzzi/a/7a0/200" TargetMode="External"/><Relationship Id="rId119" Type="http://schemas.openxmlformats.org/officeDocument/2006/relationships/hyperlink" Target="http://uk.linkedin.com/in/robertccopara" TargetMode="External"/><Relationship Id="rId4690" Type="http://schemas.openxmlformats.org/officeDocument/2006/relationships/hyperlink" Target="http://ar.linkedin.com/pub/santiago-beni/1/813/179" TargetMode="External"/><Relationship Id="rId110" Type="http://schemas.openxmlformats.org/officeDocument/2006/relationships/hyperlink" Target="http://ar.linkedin.com/pub/ivan-frutos/14/4B0/634" TargetMode="External"/><Relationship Id="rId2030" Type="http://schemas.openxmlformats.org/officeDocument/2006/relationships/hyperlink" Target="http://www.linkedin.com/in/rosenboim" TargetMode="External"/><Relationship Id="rId3362" Type="http://schemas.openxmlformats.org/officeDocument/2006/relationships/hyperlink" Target="http://ar.linkedin.com/in/jargibay" TargetMode="External"/><Relationship Id="rId4693" Type="http://schemas.openxmlformats.org/officeDocument/2006/relationships/hyperlink" Target="http://ar.linkedin.com/pub/mabel-lencina/5/656/303" TargetMode="External"/><Relationship Id="rId2031" Type="http://schemas.openxmlformats.org/officeDocument/2006/relationships/hyperlink" Target="http://www.linkedin.com/in/lindonhayes" TargetMode="External"/><Relationship Id="rId3361" Type="http://schemas.openxmlformats.org/officeDocument/2006/relationships/hyperlink" Target="http://ar.linkedin.com/pub/victoria-romero/2A/36A/412" TargetMode="External"/><Relationship Id="rId4692" Type="http://schemas.openxmlformats.org/officeDocument/2006/relationships/hyperlink" Target="http://ar.linkedin.com/pub/fernando-peralta/16/860/371" TargetMode="External"/><Relationship Id="rId2032" Type="http://schemas.openxmlformats.org/officeDocument/2006/relationships/hyperlink" Target="http://www.linkedin.com/in/wjimroglou" TargetMode="External"/><Relationship Id="rId3364" Type="http://schemas.openxmlformats.org/officeDocument/2006/relationships/hyperlink" Target="http://ar.linkedin.com/pub/romina-guzman/14/36A/B53" TargetMode="External"/><Relationship Id="rId4695" Type="http://schemas.openxmlformats.org/officeDocument/2006/relationships/hyperlink" Target="http://ar.linkedin.com/pub/sergio-moyano/1/19/B31" TargetMode="External"/><Relationship Id="rId2033" Type="http://schemas.openxmlformats.org/officeDocument/2006/relationships/hyperlink" Target="http://www.linkedin.com/in/jamescossler" TargetMode="External"/><Relationship Id="rId3363" Type="http://schemas.openxmlformats.org/officeDocument/2006/relationships/hyperlink" Target="http://www.linkedin.com/pub/diego-oitana/12/51/655" TargetMode="External"/><Relationship Id="rId4694" Type="http://schemas.openxmlformats.org/officeDocument/2006/relationships/hyperlink" Target="http://ar.linkedin.com/pub/manuel-garc%C3%ADa-prieto/13/A65/449" TargetMode="External"/><Relationship Id="rId114" Type="http://schemas.openxmlformats.org/officeDocument/2006/relationships/hyperlink" Target="http://www.linkedin.com/pub/andy-isaac/0/345/4B2" TargetMode="External"/><Relationship Id="rId2034" Type="http://schemas.openxmlformats.org/officeDocument/2006/relationships/hyperlink" Target="http://www.linkedin.com/in/aagha" TargetMode="External"/><Relationship Id="rId3366" Type="http://schemas.openxmlformats.org/officeDocument/2006/relationships/hyperlink" Target="http://ar.linkedin.com/pub/ariel-barrionuevo/12/86A/219" TargetMode="External"/><Relationship Id="rId4697" Type="http://schemas.openxmlformats.org/officeDocument/2006/relationships/hyperlink" Target="http://ar.linkedin.com/pub/nicolas-eliaschev/8/724/9A2" TargetMode="External"/><Relationship Id="rId113" Type="http://schemas.openxmlformats.org/officeDocument/2006/relationships/hyperlink" Target="http://br.linkedin.com/in/rodrigobyrro" TargetMode="External"/><Relationship Id="rId2035" Type="http://schemas.openxmlformats.org/officeDocument/2006/relationships/hyperlink" Target="http://www.linkedin.com/pub/larussia-london/2/673/19A" TargetMode="External"/><Relationship Id="rId3365" Type="http://schemas.openxmlformats.org/officeDocument/2006/relationships/hyperlink" Target="http://ar.linkedin.com/in/martinlandreau" TargetMode="External"/><Relationship Id="rId4696" Type="http://schemas.openxmlformats.org/officeDocument/2006/relationships/hyperlink" Target="http://www.linkedin.com/pub/rodriguez-pablo/0/47a/48?trk=pub-pbmap" TargetMode="External"/><Relationship Id="rId112" Type="http://schemas.openxmlformats.org/officeDocument/2006/relationships/hyperlink" Target="http://www.linkedin.com/pub/miguel-fonseca/1/2AA/7B" TargetMode="External"/><Relationship Id="rId2036" Type="http://schemas.openxmlformats.org/officeDocument/2006/relationships/hyperlink" Target="http://www.linkedin.com/pub/charles-mcneilly-ctp/0/610/B2A" TargetMode="External"/><Relationship Id="rId3368" Type="http://schemas.openxmlformats.org/officeDocument/2006/relationships/hyperlink" Target="http://www.linkedin.com/pub/pablo-fernando-arzeno/17/604/900" TargetMode="External"/><Relationship Id="rId4699" Type="http://schemas.openxmlformats.org/officeDocument/2006/relationships/hyperlink" Target="http://ar.linkedin.com/pub/pablo-vitale/9/358/1B7" TargetMode="External"/><Relationship Id="rId111" Type="http://schemas.openxmlformats.org/officeDocument/2006/relationships/hyperlink" Target="http://br.linkedin.com/in/carolinaatm" TargetMode="External"/><Relationship Id="rId2037" Type="http://schemas.openxmlformats.org/officeDocument/2006/relationships/hyperlink" Target="http://www.linkedin.com/in/diginomicworld" TargetMode="External"/><Relationship Id="rId3367" Type="http://schemas.openxmlformats.org/officeDocument/2006/relationships/hyperlink" Target="http://www.linkedin.com/pub/paola-maltas/11/49b/627" TargetMode="External"/><Relationship Id="rId4698" Type="http://schemas.openxmlformats.org/officeDocument/2006/relationships/hyperlink" Target="http://ar.linkedin.com/in/ignacioloizaga" TargetMode="External"/><Relationship Id="rId3315" Type="http://schemas.openxmlformats.org/officeDocument/2006/relationships/hyperlink" Target="http://ar.linkedin.com/in/sergioarrocha" TargetMode="External"/><Relationship Id="rId4646" Type="http://schemas.openxmlformats.org/officeDocument/2006/relationships/hyperlink" Target="http://uk.linkedin.com/pub/norman-areh/21/269/395" TargetMode="External"/><Relationship Id="rId5978" Type="http://schemas.openxmlformats.org/officeDocument/2006/relationships/hyperlink" Target="http://www.linkedin.com/in/tomashelou" TargetMode="External"/><Relationship Id="rId3314" Type="http://schemas.openxmlformats.org/officeDocument/2006/relationships/hyperlink" Target="http://www.linkedin.com/in/christiandelapena" TargetMode="External"/><Relationship Id="rId4645" Type="http://schemas.openxmlformats.org/officeDocument/2006/relationships/hyperlink" Target="http://www.linkedin.com/pub/walter-vinitzca/4/6b1/aa2" TargetMode="External"/><Relationship Id="rId5979" Type="http://schemas.openxmlformats.org/officeDocument/2006/relationships/hyperlink" Target="http://www.linkedin.com/pub/kent-dickson/5/1A6/8B7" TargetMode="External"/><Relationship Id="rId3317" Type="http://schemas.openxmlformats.org/officeDocument/2006/relationships/hyperlink" Target="http://www.linkedin.com/pub/santiago-masiriz/9/b4/ab0" TargetMode="External"/><Relationship Id="rId4648" Type="http://schemas.openxmlformats.org/officeDocument/2006/relationships/hyperlink" Target="http://ar.linkedin.com/in/lucianagodoy" TargetMode="External"/><Relationship Id="rId5976" Type="http://schemas.openxmlformats.org/officeDocument/2006/relationships/hyperlink" Target="http://ar.linkedin.com/in/horaciorosales" TargetMode="External"/><Relationship Id="rId3316" Type="http://schemas.openxmlformats.org/officeDocument/2006/relationships/hyperlink" Target="http://www.linkedin.com/in/mtrillo" TargetMode="External"/><Relationship Id="rId4647" Type="http://schemas.openxmlformats.org/officeDocument/2006/relationships/hyperlink" Target="http://www.linkedin.com/in/marksweeney1973" TargetMode="External"/><Relationship Id="rId5977" Type="http://schemas.openxmlformats.org/officeDocument/2006/relationships/hyperlink" Target="http://www.linkedin.com/pub/marco-colaluce/14/25/b83" TargetMode="External"/><Relationship Id="rId3319" Type="http://schemas.openxmlformats.org/officeDocument/2006/relationships/hyperlink" Target="http://www.linkedin.com/pub/pablo-oscar-vultaggio/15/470/722" TargetMode="External"/><Relationship Id="rId3318" Type="http://schemas.openxmlformats.org/officeDocument/2006/relationships/hyperlink" Target="http://ar.linkedin.com/in/estebancarril" TargetMode="External"/><Relationship Id="rId4649" Type="http://schemas.openxmlformats.org/officeDocument/2006/relationships/hyperlink" Target="http://ar.linkedin.com/pub/federico-salvetti/1A/999/837" TargetMode="External"/><Relationship Id="rId5970" Type="http://schemas.openxmlformats.org/officeDocument/2006/relationships/hyperlink" Target="http://www.linkedin.com/pub/mariana-paula-salinas-somoza/6/4a6/760" TargetMode="External"/><Relationship Id="rId5971" Type="http://schemas.openxmlformats.org/officeDocument/2006/relationships/hyperlink" Target="http://www.linkedin.com/pub/joe-musumano/0/7AB/4A7" TargetMode="External"/><Relationship Id="rId4640" Type="http://schemas.openxmlformats.org/officeDocument/2006/relationships/hyperlink" Target="http://www.linkedin.com/pub/jose-maria-garcia-casabal/4/394/8b0" TargetMode="External"/><Relationship Id="rId3311" Type="http://schemas.openxmlformats.org/officeDocument/2006/relationships/hyperlink" Target="http://ar.linkedin.com/in/arcusin" TargetMode="External"/><Relationship Id="rId4642" Type="http://schemas.openxmlformats.org/officeDocument/2006/relationships/hyperlink" Target="http://ar.linkedin.com/pub/pablo-beriachetto/15/10B/850" TargetMode="External"/><Relationship Id="rId5974" Type="http://schemas.openxmlformats.org/officeDocument/2006/relationships/hyperlink" Target="http://www.linkedin.com/pub/sandra-pensado/15/570/51a" TargetMode="External"/><Relationship Id="rId3310" Type="http://schemas.openxmlformats.org/officeDocument/2006/relationships/hyperlink" Target="http://www.linkedin.com/in/ezequielguffanti" TargetMode="External"/><Relationship Id="rId4641" Type="http://schemas.openxmlformats.org/officeDocument/2006/relationships/hyperlink" Target="http://ar.linkedin.com/pub/christian-pastor/A/5B/635" TargetMode="External"/><Relationship Id="rId5975" Type="http://schemas.openxmlformats.org/officeDocument/2006/relationships/hyperlink" Target="http://ar.linkedin.com/in/mirava" TargetMode="External"/><Relationship Id="rId3313" Type="http://schemas.openxmlformats.org/officeDocument/2006/relationships/hyperlink" Target="http://ar.linkedin.com/pub/cristian-morelli/9/B00/676" TargetMode="External"/><Relationship Id="rId4644" Type="http://schemas.openxmlformats.org/officeDocument/2006/relationships/hyperlink" Target="http://www.linkedin.com/in/martinponce" TargetMode="External"/><Relationship Id="rId5972" Type="http://schemas.openxmlformats.org/officeDocument/2006/relationships/hyperlink" Target="http://www.linkedin.com/pub/ra%C3%BAl-g-moreira/a/a97/256" TargetMode="External"/><Relationship Id="rId3312" Type="http://schemas.openxmlformats.org/officeDocument/2006/relationships/hyperlink" Target="http://ar.linkedin.com/in/marcospereyra" TargetMode="External"/><Relationship Id="rId4643" Type="http://schemas.openxmlformats.org/officeDocument/2006/relationships/hyperlink" Target="http://ar.linkedin.com/in/gmarincola" TargetMode="External"/><Relationship Id="rId5973" Type="http://schemas.openxmlformats.org/officeDocument/2006/relationships/hyperlink" Target="http://uk.linkedin.com/pub/dave-power/5/763/86" TargetMode="External"/><Relationship Id="rId3304" Type="http://schemas.openxmlformats.org/officeDocument/2006/relationships/hyperlink" Target="http://ar.linkedin.com/pub/alejandro-raffin/3/B39/125" TargetMode="External"/><Relationship Id="rId4635" Type="http://schemas.openxmlformats.org/officeDocument/2006/relationships/hyperlink" Target="http://ar.linkedin.com/in/fernandaravizzini" TargetMode="External"/><Relationship Id="rId5967" Type="http://schemas.openxmlformats.org/officeDocument/2006/relationships/hyperlink" Target="http://www.linkedin.com/pub/bruno-storniolo/a/165/69b" TargetMode="External"/><Relationship Id="rId3303" Type="http://schemas.openxmlformats.org/officeDocument/2006/relationships/hyperlink" Target="http://www.linkedin.com/pub/romina-de-giacomo/8/512/787" TargetMode="External"/><Relationship Id="rId4634" Type="http://schemas.openxmlformats.org/officeDocument/2006/relationships/hyperlink" Target="http://www.linkedin.com/pub/jos%C3%A9-mar%C3%ADa-falcioni/1/183/318" TargetMode="External"/><Relationship Id="rId5968" Type="http://schemas.openxmlformats.org/officeDocument/2006/relationships/hyperlink" Target="http://www.linkedin.com/pub/george-stark/0/BB4/649" TargetMode="External"/><Relationship Id="rId3306" Type="http://schemas.openxmlformats.org/officeDocument/2006/relationships/hyperlink" Target="http://ar.linkedin.com/pub/claudia-g-tortora/11/64/3BB" TargetMode="External"/><Relationship Id="rId4637" Type="http://schemas.openxmlformats.org/officeDocument/2006/relationships/hyperlink" Target="http://www.linkedin.com/pub/moogie-canazio/4/457/118" TargetMode="External"/><Relationship Id="rId5965" Type="http://schemas.openxmlformats.org/officeDocument/2006/relationships/hyperlink" Target="http://www.linkedin.com/in/rrstalzer" TargetMode="External"/><Relationship Id="rId3305" Type="http://schemas.openxmlformats.org/officeDocument/2006/relationships/hyperlink" Target="http://ar.linkedin.com/pub/ignacio-chavero/21/B18/922" TargetMode="External"/><Relationship Id="rId4636" Type="http://schemas.openxmlformats.org/officeDocument/2006/relationships/hyperlink" Target="http://ar.linkedin.com/pub/rafael-val/21/248/415" TargetMode="External"/><Relationship Id="rId5966" Type="http://schemas.openxmlformats.org/officeDocument/2006/relationships/hyperlink" Target="http://www.linkedin.com/in/chsutherland" TargetMode="External"/><Relationship Id="rId3308" Type="http://schemas.openxmlformats.org/officeDocument/2006/relationships/hyperlink" Target="http://ar.linkedin.com/pub/christian-manko/8/97/B83" TargetMode="External"/><Relationship Id="rId4639" Type="http://schemas.openxmlformats.org/officeDocument/2006/relationships/hyperlink" Target="http://ar.linkedin.com/in/manuelignaciolealmarchena" TargetMode="External"/><Relationship Id="rId3307" Type="http://schemas.openxmlformats.org/officeDocument/2006/relationships/hyperlink" Target="http://www.linkedin.com/pub/luciana-simonazzi/5/469/b66" TargetMode="External"/><Relationship Id="rId4638" Type="http://schemas.openxmlformats.org/officeDocument/2006/relationships/hyperlink" Target="http://ar.linkedin.com/in/ftoledo" TargetMode="External"/><Relationship Id="rId5969" Type="http://schemas.openxmlformats.org/officeDocument/2006/relationships/hyperlink" Target="http://www.linkedin.com/in/henryschneider" TargetMode="External"/><Relationship Id="rId3309" Type="http://schemas.openxmlformats.org/officeDocument/2006/relationships/hyperlink" Target="http://ar.linkedin.com/in/arielanzovino" TargetMode="External"/><Relationship Id="rId5960" Type="http://schemas.openxmlformats.org/officeDocument/2006/relationships/hyperlink" Target="http://ar.linkedin.com/in/gmblanco" TargetMode="External"/><Relationship Id="rId3300" Type="http://schemas.openxmlformats.org/officeDocument/2006/relationships/hyperlink" Target="http://ar.linkedin.com/in/alejandropapillo" TargetMode="External"/><Relationship Id="rId4631" Type="http://schemas.openxmlformats.org/officeDocument/2006/relationships/hyperlink" Target="http://ar.linkedin.com/in/ezequielracioppi" TargetMode="External"/><Relationship Id="rId5963" Type="http://schemas.openxmlformats.org/officeDocument/2006/relationships/hyperlink" Target="http://ar.linkedin.com/pub/marcelo-acevedo/B/363/522" TargetMode="External"/><Relationship Id="rId4630" Type="http://schemas.openxmlformats.org/officeDocument/2006/relationships/hyperlink" Target="http://ar.linkedin.com/in/andresvisillac" TargetMode="External"/><Relationship Id="rId5964" Type="http://schemas.openxmlformats.org/officeDocument/2006/relationships/hyperlink" Target="http://ar.linkedin.com/in/alejandromarcos" TargetMode="External"/><Relationship Id="rId3302" Type="http://schemas.openxmlformats.org/officeDocument/2006/relationships/hyperlink" Target="http://www.linkedin.com/pub/pathik-shah/9/129/364" TargetMode="External"/><Relationship Id="rId4633" Type="http://schemas.openxmlformats.org/officeDocument/2006/relationships/hyperlink" Target="http://ar.linkedin.com/pub/laura-nistal/A/837/AB4" TargetMode="External"/><Relationship Id="rId5961" Type="http://schemas.openxmlformats.org/officeDocument/2006/relationships/hyperlink" Target="http://www.linkedin.com/pub/karina-san-juan/1/3B0/B30" TargetMode="External"/><Relationship Id="rId3301" Type="http://schemas.openxmlformats.org/officeDocument/2006/relationships/hyperlink" Target="http://www.linkedin.com/pub/alejandro-janzen/10/a49/688" TargetMode="External"/><Relationship Id="rId4632" Type="http://schemas.openxmlformats.org/officeDocument/2006/relationships/hyperlink" Target="http://www.linkedin.com/pub/horacio-santcovsky/4/949/b28" TargetMode="External"/><Relationship Id="rId5962" Type="http://schemas.openxmlformats.org/officeDocument/2006/relationships/hyperlink" Target="http://ar.linkedin.com/in/seoanejavier" TargetMode="External"/><Relationship Id="rId2005" Type="http://schemas.openxmlformats.org/officeDocument/2006/relationships/hyperlink" Target="http://www.linkedin.com/pub/c-michael-depew/8/49A/B30" TargetMode="External"/><Relationship Id="rId3337" Type="http://schemas.openxmlformats.org/officeDocument/2006/relationships/hyperlink" Target="http://www.linkedin.com/in/sebastiandenardi" TargetMode="External"/><Relationship Id="rId4668" Type="http://schemas.openxmlformats.org/officeDocument/2006/relationships/hyperlink" Target="http://ar.linkedin.com/pub/juli%C3%A1n-filippini/7/343/46B" TargetMode="External"/><Relationship Id="rId2006" Type="http://schemas.openxmlformats.org/officeDocument/2006/relationships/hyperlink" Target="http://www.linkedin.com/in/andrewferenci" TargetMode="External"/><Relationship Id="rId3336" Type="http://schemas.openxmlformats.org/officeDocument/2006/relationships/hyperlink" Target="http://www.linkedin.com/in/marcelogranieri" TargetMode="External"/><Relationship Id="rId4667" Type="http://schemas.openxmlformats.org/officeDocument/2006/relationships/hyperlink" Target="http://www.linkedin.com/in/mantoniazzi" TargetMode="External"/><Relationship Id="rId2007" Type="http://schemas.openxmlformats.org/officeDocument/2006/relationships/hyperlink" Target="http://ca.linkedin.com/pub/biz-arrays/8/396/65B" TargetMode="External"/><Relationship Id="rId3339" Type="http://schemas.openxmlformats.org/officeDocument/2006/relationships/hyperlink" Target="http://ar.linkedin.com/pub/esteban-kuhl/B/543/490" TargetMode="External"/><Relationship Id="rId5998" Type="http://schemas.openxmlformats.org/officeDocument/2006/relationships/hyperlink" Target="http://www.linkedin.com/pub/soraia-berger/0/133/781" TargetMode="External"/><Relationship Id="rId2008" Type="http://schemas.openxmlformats.org/officeDocument/2006/relationships/hyperlink" Target="http://www.linkedin.com/in/gittelprice" TargetMode="External"/><Relationship Id="rId3338" Type="http://schemas.openxmlformats.org/officeDocument/2006/relationships/hyperlink" Target="http://www.linkedin.com/pub/julieta-berchio/1/733/9b5" TargetMode="External"/><Relationship Id="rId4669" Type="http://schemas.openxmlformats.org/officeDocument/2006/relationships/hyperlink" Target="http://ar.linkedin.com/in/marianoulanovsky" TargetMode="External"/><Relationship Id="rId5999" Type="http://schemas.openxmlformats.org/officeDocument/2006/relationships/hyperlink" Target="http://www.linkedin.com/pub/max-miyazono/0/234/114" TargetMode="External"/><Relationship Id="rId2009" Type="http://schemas.openxmlformats.org/officeDocument/2006/relationships/hyperlink" Target="http://www.linkedin.com/in/regevyativlinkedin" TargetMode="External"/><Relationship Id="rId4660" Type="http://schemas.openxmlformats.org/officeDocument/2006/relationships/hyperlink" Target="http://ar.linkedin.com/in/albertobelluschi" TargetMode="External"/><Relationship Id="rId5992" Type="http://schemas.openxmlformats.org/officeDocument/2006/relationships/hyperlink" Target="http://www.linkedin.com/pub/carlos-pittier/0/2A7/998" TargetMode="External"/><Relationship Id="rId5993" Type="http://schemas.openxmlformats.org/officeDocument/2006/relationships/hyperlink" Target="http://www.linkedin.com/in/juanlebrija" TargetMode="External"/><Relationship Id="rId3331" Type="http://schemas.openxmlformats.org/officeDocument/2006/relationships/hyperlink" Target="http://ar.linkedin.com/in/fernandoturnes" TargetMode="External"/><Relationship Id="rId4662" Type="http://schemas.openxmlformats.org/officeDocument/2006/relationships/hyperlink" Target="http://ar.linkedin.com/pub/mar%C3%ADa-vanina-cali/22/7A8/50" TargetMode="External"/><Relationship Id="rId5990" Type="http://schemas.openxmlformats.org/officeDocument/2006/relationships/hyperlink" Target="http://www.linkedin.com/in/dianebruno1313" TargetMode="External"/><Relationship Id="rId2000" Type="http://schemas.openxmlformats.org/officeDocument/2006/relationships/hyperlink" Target="http://www.linkedin.com/in/jodygouge" TargetMode="External"/><Relationship Id="rId3330" Type="http://schemas.openxmlformats.org/officeDocument/2006/relationships/hyperlink" Target="http://ar.linkedin.com/pub/javier-voos/1/A6A/540" TargetMode="External"/><Relationship Id="rId4661" Type="http://schemas.openxmlformats.org/officeDocument/2006/relationships/hyperlink" Target="http://ar.linkedin.com/in/jsigonzalez" TargetMode="External"/><Relationship Id="rId5991" Type="http://schemas.openxmlformats.org/officeDocument/2006/relationships/hyperlink" Target="http://www.linkedin.com/pub/jurgen-wassmann/5/506/410" TargetMode="External"/><Relationship Id="rId2001" Type="http://schemas.openxmlformats.org/officeDocument/2006/relationships/hyperlink" Target="http://uk.linkedin.com/pub/alan-berryman/1/885/25" TargetMode="External"/><Relationship Id="rId3333" Type="http://schemas.openxmlformats.org/officeDocument/2006/relationships/hyperlink" Target="http://www.linkedin.com/pub/fernando-canepari/26/53b/405" TargetMode="External"/><Relationship Id="rId4664" Type="http://schemas.openxmlformats.org/officeDocument/2006/relationships/hyperlink" Target="http://ar.linkedin.com/pub/diego-avila/16/106/824" TargetMode="External"/><Relationship Id="rId5996" Type="http://schemas.openxmlformats.org/officeDocument/2006/relationships/hyperlink" Target="http://www.linkedin.com/pub/ila-byrne/0/283/228" TargetMode="External"/><Relationship Id="rId2002" Type="http://schemas.openxmlformats.org/officeDocument/2006/relationships/hyperlink" Target="http://www.linkedin.com/pub/scott-c-williams/3/617/807" TargetMode="External"/><Relationship Id="rId3332" Type="http://schemas.openxmlformats.org/officeDocument/2006/relationships/hyperlink" Target="http://www.linkedin.com/pub/gaston-rumelfanger-mba-itil/8/873/705" TargetMode="External"/><Relationship Id="rId4663" Type="http://schemas.openxmlformats.org/officeDocument/2006/relationships/hyperlink" Target="http://ar.linkedin.com/in/rodolfozapata" TargetMode="External"/><Relationship Id="rId5997" Type="http://schemas.openxmlformats.org/officeDocument/2006/relationships/hyperlink" Target="http://www.linkedin.com/in/rpallares" TargetMode="External"/><Relationship Id="rId2003" Type="http://schemas.openxmlformats.org/officeDocument/2006/relationships/hyperlink" Target="http://www.linkedin.com/pub/mark-santillo/4/0/0" TargetMode="External"/><Relationship Id="rId3335" Type="http://schemas.openxmlformats.org/officeDocument/2006/relationships/hyperlink" Target="http://ar.linkedin.com/pub/luis-martin-lopez/20/638/7B3" TargetMode="External"/><Relationship Id="rId4666" Type="http://schemas.openxmlformats.org/officeDocument/2006/relationships/hyperlink" Target="http://ar.linkedin.com/pub/federico-d-onofrio/A/4BB/1A8" TargetMode="External"/><Relationship Id="rId5994" Type="http://schemas.openxmlformats.org/officeDocument/2006/relationships/hyperlink" Target="http://www.linkedin.com/in/babivelho" TargetMode="External"/><Relationship Id="rId2004" Type="http://schemas.openxmlformats.org/officeDocument/2006/relationships/hyperlink" Target="http://www.linkedin.com/in/mark01" TargetMode="External"/><Relationship Id="rId3334" Type="http://schemas.openxmlformats.org/officeDocument/2006/relationships/hyperlink" Target="http://www.linkedin.com/in/diegofortunato" TargetMode="External"/><Relationship Id="rId4665" Type="http://schemas.openxmlformats.org/officeDocument/2006/relationships/hyperlink" Target="http://ar.linkedin.com/pub/fernando-solanes/0/B16/6B8" TargetMode="External"/><Relationship Id="rId5995" Type="http://schemas.openxmlformats.org/officeDocument/2006/relationships/hyperlink" Target="http://ar.linkedin.com/in/dariowainer" TargetMode="External"/><Relationship Id="rId3326" Type="http://schemas.openxmlformats.org/officeDocument/2006/relationships/hyperlink" Target="http://www.linkedin.com/pub/laura-isanta/b/105/5ab" TargetMode="External"/><Relationship Id="rId4657" Type="http://schemas.openxmlformats.org/officeDocument/2006/relationships/hyperlink" Target="http://www.linkedin.com/pub/sergio-vekselman/0/845/3a4" TargetMode="External"/><Relationship Id="rId5989" Type="http://schemas.openxmlformats.org/officeDocument/2006/relationships/hyperlink" Target="http://www.linkedin.com/in/patsloanab123" TargetMode="External"/><Relationship Id="rId3325" Type="http://schemas.openxmlformats.org/officeDocument/2006/relationships/hyperlink" Target="http://ar.linkedin.com/in/sabrinacameli" TargetMode="External"/><Relationship Id="rId4656" Type="http://schemas.openxmlformats.org/officeDocument/2006/relationships/hyperlink" Target="http://ar.linkedin.com/in/arielcalvo" TargetMode="External"/><Relationship Id="rId3328" Type="http://schemas.openxmlformats.org/officeDocument/2006/relationships/hyperlink" Target="http://ar.linkedin.com/pub/fernando-somoza/5/777/883" TargetMode="External"/><Relationship Id="rId4659" Type="http://schemas.openxmlformats.org/officeDocument/2006/relationships/hyperlink" Target="http://ar.linkedin.com/pub/cristina-kroll/2/580/56" TargetMode="External"/><Relationship Id="rId5987" Type="http://schemas.openxmlformats.org/officeDocument/2006/relationships/hyperlink" Target="http://www.linkedin.com/pub/jon-kendzie/0/B9/898" TargetMode="External"/><Relationship Id="rId3327" Type="http://schemas.openxmlformats.org/officeDocument/2006/relationships/hyperlink" Target="http://ar.linkedin.com/pub/yvonne-corbett/5/480/556" TargetMode="External"/><Relationship Id="rId4658" Type="http://schemas.openxmlformats.org/officeDocument/2006/relationships/hyperlink" Target="http://ar.linkedin.com/pub/diana-carolina-calderon/1A/143/8A6" TargetMode="External"/><Relationship Id="rId5988" Type="http://schemas.openxmlformats.org/officeDocument/2006/relationships/hyperlink" Target="http://www.linkedin.com/in/masonpeter" TargetMode="External"/><Relationship Id="rId3329" Type="http://schemas.openxmlformats.org/officeDocument/2006/relationships/hyperlink" Target="http://www.linkedin.com/pub/romina-maruffo/13/441/968" TargetMode="External"/><Relationship Id="rId5981" Type="http://schemas.openxmlformats.org/officeDocument/2006/relationships/hyperlink" Target="http://ar.linkedin.com/in/soniadelossantos" TargetMode="External"/><Relationship Id="rId5982" Type="http://schemas.openxmlformats.org/officeDocument/2006/relationships/hyperlink" Target="http://www.linkedin.com/pub/sabrina-ornella-moretti-pmp/8/7b/991" TargetMode="External"/><Relationship Id="rId3320" Type="http://schemas.openxmlformats.org/officeDocument/2006/relationships/hyperlink" Target="http://www.linkedin.com/pub/emiliano-carena/9/574/375" TargetMode="External"/><Relationship Id="rId4651" Type="http://schemas.openxmlformats.org/officeDocument/2006/relationships/hyperlink" Target="http://ar.linkedin.com/in/federicoalonso" TargetMode="External"/><Relationship Id="rId4650" Type="http://schemas.openxmlformats.org/officeDocument/2006/relationships/hyperlink" Target="http://ar.linkedin.com/pub/celeste-seibel/19/8B9/752" TargetMode="External"/><Relationship Id="rId5980" Type="http://schemas.openxmlformats.org/officeDocument/2006/relationships/hyperlink" Target="http://www.linkedin.com/pub/federico-caldora/9/92/1a5" TargetMode="External"/><Relationship Id="rId3322" Type="http://schemas.openxmlformats.org/officeDocument/2006/relationships/hyperlink" Target="http://ar.linkedin.com/pub/pablo-javier-riesco/5/251/543" TargetMode="External"/><Relationship Id="rId4653" Type="http://schemas.openxmlformats.org/officeDocument/2006/relationships/hyperlink" Target="http://www.linkedin.com/pub/luis-fernando-zepponi/11/965/127" TargetMode="External"/><Relationship Id="rId5985" Type="http://schemas.openxmlformats.org/officeDocument/2006/relationships/hyperlink" Target="http://ar.linkedin.com/pub/martin-gabrielli/6/391/884" TargetMode="External"/><Relationship Id="rId3321" Type="http://schemas.openxmlformats.org/officeDocument/2006/relationships/hyperlink" Target="http://ar.linkedin.com/pub/gabriel-gonzalez/A/191/33B" TargetMode="External"/><Relationship Id="rId4652" Type="http://schemas.openxmlformats.org/officeDocument/2006/relationships/hyperlink" Target="http://ar.linkedin.com/in/vangelini" TargetMode="External"/><Relationship Id="rId5986" Type="http://schemas.openxmlformats.org/officeDocument/2006/relationships/hyperlink" Target="http://www.linkedin.com/pub/john-p-pironti-cgeit-cisa-cism-crisc-cissp/0/216/96A" TargetMode="External"/><Relationship Id="rId3324" Type="http://schemas.openxmlformats.org/officeDocument/2006/relationships/hyperlink" Target="http://ar.linkedin.com/pub/natalia-lambrechts/A/968/425" TargetMode="External"/><Relationship Id="rId4655" Type="http://schemas.openxmlformats.org/officeDocument/2006/relationships/hyperlink" Target="http://ar.linkedin.com/pub/licia-labate/7/ABA/838" TargetMode="External"/><Relationship Id="rId5983" Type="http://schemas.openxmlformats.org/officeDocument/2006/relationships/hyperlink" Target="http://ar.linkedin.com/pub/nahuel-pablo-poth/20/10A/46A" TargetMode="External"/><Relationship Id="rId3323" Type="http://schemas.openxmlformats.org/officeDocument/2006/relationships/hyperlink" Target="http://ar.linkedin.com/in/guillermobuscemi" TargetMode="External"/><Relationship Id="rId4654" Type="http://schemas.openxmlformats.org/officeDocument/2006/relationships/hyperlink" Target="http://www.linkedin.com/pub/pablo-bononi/20/899/567" TargetMode="External"/><Relationship Id="rId5984" Type="http://schemas.openxmlformats.org/officeDocument/2006/relationships/hyperlink" Target="http://www.linkedin.com/in/alfonsohernandez" TargetMode="External"/><Relationship Id="rId2090" Type="http://schemas.openxmlformats.org/officeDocument/2006/relationships/hyperlink" Target="http://www.linkedin.com/pub/jon-barton-toplinked-/7/768/4B1" TargetMode="External"/><Relationship Id="rId2091" Type="http://schemas.openxmlformats.org/officeDocument/2006/relationships/hyperlink" Target="http://www.linkedin.com/pub/craig-yarmchuk/2/709/734" TargetMode="External"/><Relationship Id="rId2092" Type="http://schemas.openxmlformats.org/officeDocument/2006/relationships/hyperlink" Target="http://www.linkedin.com/in/cookepm411" TargetMode="External"/><Relationship Id="rId2093" Type="http://schemas.openxmlformats.org/officeDocument/2006/relationships/hyperlink" Target="http://www.linkedin.com/pub/mark-ryerson/9/13A/534" TargetMode="External"/><Relationship Id="rId2094" Type="http://schemas.openxmlformats.org/officeDocument/2006/relationships/hyperlink" Target="http://www.linkedin.com/pub/david-o-niell/7/7B1/5B9" TargetMode="External"/><Relationship Id="rId2095" Type="http://schemas.openxmlformats.org/officeDocument/2006/relationships/hyperlink" Target="http://www.linkedin.com/pub/j-t-%22tom%22-johnson/1/112/A19" TargetMode="External"/><Relationship Id="rId2096" Type="http://schemas.openxmlformats.org/officeDocument/2006/relationships/hyperlink" Target="http://www.linkedin.com/in/brianreale" TargetMode="External"/><Relationship Id="rId2097" Type="http://schemas.openxmlformats.org/officeDocument/2006/relationships/hyperlink" Target="http://www.linkedin.com/pub/laurie-sigillito/1/159/715" TargetMode="External"/><Relationship Id="rId2098" Type="http://schemas.openxmlformats.org/officeDocument/2006/relationships/hyperlink" Target="http://www.linkedin.com/in/michaelanthonybufalino" TargetMode="External"/><Relationship Id="rId2099" Type="http://schemas.openxmlformats.org/officeDocument/2006/relationships/hyperlink" Target="http://www.linkedin.com/pub/michael-deering/7/B9B/B12" TargetMode="External"/><Relationship Id="rId9518" Type="http://schemas.openxmlformats.org/officeDocument/2006/relationships/hyperlink" Target="http://www.linkedin.com/pub/amy-guarino/0/996/939" TargetMode="External"/><Relationship Id="rId9519" Type="http://schemas.openxmlformats.org/officeDocument/2006/relationships/hyperlink" Target="http://www.linkedin.com/in/sjacobson" TargetMode="External"/><Relationship Id="rId9514" Type="http://schemas.openxmlformats.org/officeDocument/2006/relationships/hyperlink" Target="http://www.linkedin.com/pub/michael-margolis/16/9B6/226" TargetMode="External"/><Relationship Id="rId9515" Type="http://schemas.openxmlformats.org/officeDocument/2006/relationships/hyperlink" Target="http://www.linkedin.com/pub/robert-steele/0/8B5/62" TargetMode="External"/><Relationship Id="rId9516" Type="http://schemas.openxmlformats.org/officeDocument/2006/relationships/hyperlink" Target="http://www.linkedin.com/pub/gita-jagarnauth/4/B1A/945" TargetMode="External"/><Relationship Id="rId9517" Type="http://schemas.openxmlformats.org/officeDocument/2006/relationships/hyperlink" Target="http://www.linkedin.com/in/mikecheves" TargetMode="External"/><Relationship Id="rId9510" Type="http://schemas.openxmlformats.org/officeDocument/2006/relationships/hyperlink" Target="http://www.linkedin.com/in/marcmiller1" TargetMode="External"/><Relationship Id="rId9511" Type="http://schemas.openxmlformats.org/officeDocument/2006/relationships/hyperlink" Target="http://www.linkedin.com/pub/dipankar-choudhury/16/527/434" TargetMode="External"/><Relationship Id="rId9512" Type="http://schemas.openxmlformats.org/officeDocument/2006/relationships/hyperlink" Target="http://www.linkedin.com/pub/todd-foley/1/51/794" TargetMode="External"/><Relationship Id="rId9513" Type="http://schemas.openxmlformats.org/officeDocument/2006/relationships/hyperlink" Target="http://www.linkedin.com/in/derekcollison" TargetMode="External"/><Relationship Id="rId9507" Type="http://schemas.openxmlformats.org/officeDocument/2006/relationships/hyperlink" Target="http://www.linkedin.com/in/jefftreed" TargetMode="External"/><Relationship Id="rId9508" Type="http://schemas.openxmlformats.org/officeDocument/2006/relationships/hyperlink" Target="http://ar.linkedin.com/pub/junior-mackinlay/12/B7B/7A3" TargetMode="External"/><Relationship Id="rId9509" Type="http://schemas.openxmlformats.org/officeDocument/2006/relationships/hyperlink" Target="http://www.linkedin.com/in/jtbuckley" TargetMode="External"/><Relationship Id="rId9503" Type="http://schemas.openxmlformats.org/officeDocument/2006/relationships/hyperlink" Target="http://www.linkedin.com/in/billpredmore" TargetMode="External"/><Relationship Id="rId9504" Type="http://schemas.openxmlformats.org/officeDocument/2006/relationships/hyperlink" Target="http://www.linkedin.com/in/michaelcation" TargetMode="External"/><Relationship Id="rId9505" Type="http://schemas.openxmlformats.org/officeDocument/2006/relationships/hyperlink" Target="http://www.linkedin.com/pub/juan-camprubi/11/763/762" TargetMode="External"/><Relationship Id="rId9506" Type="http://schemas.openxmlformats.org/officeDocument/2006/relationships/hyperlink" Target="http://www.linkedin.com/in/dennismoxley" TargetMode="External"/><Relationship Id="rId9500" Type="http://schemas.openxmlformats.org/officeDocument/2006/relationships/hyperlink" Target="http://www.linkedin.com/pub/jamie-shepard/0/B28/A58" TargetMode="External"/><Relationship Id="rId9501" Type="http://schemas.openxmlformats.org/officeDocument/2006/relationships/hyperlink" Target="http://www.linkedin.com/in/marchafner" TargetMode="External"/><Relationship Id="rId9502" Type="http://schemas.openxmlformats.org/officeDocument/2006/relationships/hyperlink" Target="http://www.linkedin.com/in/dirkwyckoff" TargetMode="External"/><Relationship Id="rId3391" Type="http://schemas.openxmlformats.org/officeDocument/2006/relationships/hyperlink" Target="http://ar.linkedin.com/in/ngaluzzi" TargetMode="External"/><Relationship Id="rId2060" Type="http://schemas.openxmlformats.org/officeDocument/2006/relationships/hyperlink" Target="http://in.linkedin.com/in/garryabbs" TargetMode="External"/><Relationship Id="rId3390" Type="http://schemas.openxmlformats.org/officeDocument/2006/relationships/hyperlink" Target="http://ar.linkedin.com/pub/gustavo-asta/3/27/10" TargetMode="External"/><Relationship Id="rId2061" Type="http://schemas.openxmlformats.org/officeDocument/2006/relationships/hyperlink" Target="http://uk.linkedin.com/in/navalkumar" TargetMode="External"/><Relationship Id="rId3393" Type="http://schemas.openxmlformats.org/officeDocument/2006/relationships/hyperlink" Target="http://ar.linkedin.com/in/agerling" TargetMode="External"/><Relationship Id="rId2062" Type="http://schemas.openxmlformats.org/officeDocument/2006/relationships/hyperlink" Target="http://www.linkedin.com/pub/dan-haley/3/490/797" TargetMode="External"/><Relationship Id="rId3392" Type="http://schemas.openxmlformats.org/officeDocument/2006/relationships/hyperlink" Target="http://ar.linkedin.com/in/gblitzer" TargetMode="External"/><Relationship Id="rId2063" Type="http://schemas.openxmlformats.org/officeDocument/2006/relationships/hyperlink" Target="http://www.linkedin.com/pub/diane-economaki/0/34A/B78" TargetMode="External"/><Relationship Id="rId3395" Type="http://schemas.openxmlformats.org/officeDocument/2006/relationships/hyperlink" Target="http://www.linkedin.com/pub/luis-antonio-almada/9/215/18" TargetMode="External"/><Relationship Id="rId2064" Type="http://schemas.openxmlformats.org/officeDocument/2006/relationships/hyperlink" Target="http://www.linkedin.com/in/michaellejeune" TargetMode="External"/><Relationship Id="rId3394" Type="http://schemas.openxmlformats.org/officeDocument/2006/relationships/hyperlink" Target="http://www.linkedin.com/pub/walter-godachevich/9/888/438" TargetMode="External"/><Relationship Id="rId2065" Type="http://schemas.openxmlformats.org/officeDocument/2006/relationships/hyperlink" Target="http://uk.linkedin.com/pub/sandeep-thawani/1/460/A64" TargetMode="External"/><Relationship Id="rId3397" Type="http://schemas.openxmlformats.org/officeDocument/2006/relationships/hyperlink" Target="http://www.linkedin.com/pub/ana-laura-juvino/b/883/703" TargetMode="External"/><Relationship Id="rId2066" Type="http://schemas.openxmlformats.org/officeDocument/2006/relationships/hyperlink" Target="http://www.linkedin.com/in/cushing" TargetMode="External"/><Relationship Id="rId3396" Type="http://schemas.openxmlformats.org/officeDocument/2006/relationships/hyperlink" Target="http://ar.linkedin.com/pub/diego-diego/A/86/445" TargetMode="External"/><Relationship Id="rId2067" Type="http://schemas.openxmlformats.org/officeDocument/2006/relationships/hyperlink" Target="http://ca.linkedin.com/in/kpwinc" TargetMode="External"/><Relationship Id="rId3399" Type="http://schemas.openxmlformats.org/officeDocument/2006/relationships/hyperlink" Target="http://ar.linkedin.com/pub/ricardo-flores/1A/108/A65" TargetMode="External"/><Relationship Id="rId2068" Type="http://schemas.openxmlformats.org/officeDocument/2006/relationships/hyperlink" Target="http://www.linkedin.com/in/saxberg" TargetMode="External"/><Relationship Id="rId3398" Type="http://schemas.openxmlformats.org/officeDocument/2006/relationships/hyperlink" Target="http://ar.linkedin.com/pub/sebastian-rauch/22/470/868" TargetMode="External"/><Relationship Id="rId2069" Type="http://schemas.openxmlformats.org/officeDocument/2006/relationships/hyperlink" Target="http://www.linkedin.com/in/htower131" TargetMode="External"/><Relationship Id="rId3380" Type="http://schemas.openxmlformats.org/officeDocument/2006/relationships/hyperlink" Target="http://www.linkedin.com/pub/gonzalo-d-angelo/8/93b/421" TargetMode="External"/><Relationship Id="rId2050" Type="http://schemas.openxmlformats.org/officeDocument/2006/relationships/hyperlink" Target="http://www.linkedin.com/in/djdavidson" TargetMode="External"/><Relationship Id="rId3382" Type="http://schemas.openxmlformats.org/officeDocument/2006/relationships/hyperlink" Target="http://ar.linkedin.com/in/arieldorfman" TargetMode="External"/><Relationship Id="rId2051" Type="http://schemas.openxmlformats.org/officeDocument/2006/relationships/hyperlink" Target="http://www.linkedin.com/pub/stefano-seghetto/0/89b/406" TargetMode="External"/><Relationship Id="rId3381" Type="http://schemas.openxmlformats.org/officeDocument/2006/relationships/hyperlink" Target="http://ar.linkedin.com/pub/gustavo-monserrat/6/A54/435" TargetMode="External"/><Relationship Id="rId2052" Type="http://schemas.openxmlformats.org/officeDocument/2006/relationships/hyperlink" Target="http://www.linkedin.com/pub/nimpee-kaul/6/912/978" TargetMode="External"/><Relationship Id="rId3384" Type="http://schemas.openxmlformats.org/officeDocument/2006/relationships/hyperlink" Target="http://ar.linkedin.com/pub/mat%C3%ADas-giovannini/7/421/6" TargetMode="External"/><Relationship Id="rId2053" Type="http://schemas.openxmlformats.org/officeDocument/2006/relationships/hyperlink" Target="http://ca.linkedin.com/in/patrickchenel" TargetMode="External"/><Relationship Id="rId3383" Type="http://schemas.openxmlformats.org/officeDocument/2006/relationships/hyperlink" Target="http://ar.linkedin.com/pub/pablo-molinelli/3/397/595" TargetMode="External"/><Relationship Id="rId2054" Type="http://schemas.openxmlformats.org/officeDocument/2006/relationships/hyperlink" Target="http://www.linkedin.com/pub/albert-engelhardt/6/729/895" TargetMode="External"/><Relationship Id="rId3386" Type="http://schemas.openxmlformats.org/officeDocument/2006/relationships/hyperlink" Target="http://ar.linkedin.com/in/arronades" TargetMode="External"/><Relationship Id="rId2055" Type="http://schemas.openxmlformats.org/officeDocument/2006/relationships/hyperlink" Target="http://www.linkedin.com/in/jayeenglish" TargetMode="External"/><Relationship Id="rId3385" Type="http://schemas.openxmlformats.org/officeDocument/2006/relationships/hyperlink" Target="http://ar.linkedin.com/pub/laura-merino/22/B08/474" TargetMode="External"/><Relationship Id="rId2056" Type="http://schemas.openxmlformats.org/officeDocument/2006/relationships/hyperlink" Target="http://www.linkedin.com/in/craigdbrennan" TargetMode="External"/><Relationship Id="rId3388" Type="http://schemas.openxmlformats.org/officeDocument/2006/relationships/hyperlink" Target="http://ar.linkedin.com/pub/mariana-maldonado/8/B5A/11B" TargetMode="External"/><Relationship Id="rId2057" Type="http://schemas.openxmlformats.org/officeDocument/2006/relationships/hyperlink" Target="http://www.linkedin.com/pub/delma-quintanilha-vianna/14/79/a50" TargetMode="External"/><Relationship Id="rId3387" Type="http://schemas.openxmlformats.org/officeDocument/2006/relationships/hyperlink" Target="http://ar.linkedin.com/pub/fabiola-andrea-simonetti/4/AAA/A16" TargetMode="External"/><Relationship Id="rId2058" Type="http://schemas.openxmlformats.org/officeDocument/2006/relationships/hyperlink" Target="http://uk.linkedin.com/in/carlfawkes" TargetMode="External"/><Relationship Id="rId2059" Type="http://schemas.openxmlformats.org/officeDocument/2006/relationships/hyperlink" Target="http://uk.linkedin.com/in/leehutch" TargetMode="External"/><Relationship Id="rId3389" Type="http://schemas.openxmlformats.org/officeDocument/2006/relationships/hyperlink" Target="http://ar.linkedin.com/pub/jorge-clemente/8/B5A/907" TargetMode="External"/><Relationship Id="rId2080" Type="http://schemas.openxmlformats.org/officeDocument/2006/relationships/hyperlink" Target="http://www.linkedin.com/in/prafulkumar" TargetMode="External"/><Relationship Id="rId2081" Type="http://schemas.openxmlformats.org/officeDocument/2006/relationships/hyperlink" Target="http://uk.linkedin.com/in/seunmoses" TargetMode="External"/><Relationship Id="rId2082" Type="http://schemas.openxmlformats.org/officeDocument/2006/relationships/hyperlink" Target="http://www.linkedin.com/pub/stacia-parseghian/4/B48/14A" TargetMode="External"/><Relationship Id="rId2083" Type="http://schemas.openxmlformats.org/officeDocument/2006/relationships/hyperlink" Target="https://www.linkedin.com/pub/john-bennett/30/277/75" TargetMode="External"/><Relationship Id="rId2084" Type="http://schemas.openxmlformats.org/officeDocument/2006/relationships/hyperlink" Target="http://www.linkedin.com/pub/debra-sotland-stillman/2/401/167" TargetMode="External"/><Relationship Id="rId2085" Type="http://schemas.openxmlformats.org/officeDocument/2006/relationships/hyperlink" Target="http://uk.linkedin.com/in/urhammer" TargetMode="External"/><Relationship Id="rId2086" Type="http://schemas.openxmlformats.org/officeDocument/2006/relationships/hyperlink" Target="http://www.linkedin.com/in/bd2008" TargetMode="External"/><Relationship Id="rId2087" Type="http://schemas.openxmlformats.org/officeDocument/2006/relationships/hyperlink" Target="http://www.linkedin.com/pub/alina-koos/9/867/4B8" TargetMode="External"/><Relationship Id="rId2088" Type="http://schemas.openxmlformats.org/officeDocument/2006/relationships/hyperlink" Target="http://www.linkedin.com/pub/nancy-zwiener/1B/A9B/681" TargetMode="External"/><Relationship Id="rId2089" Type="http://schemas.openxmlformats.org/officeDocument/2006/relationships/hyperlink" Target="http://www.linkedin.com/in/gyanofcary" TargetMode="External"/><Relationship Id="rId2070" Type="http://schemas.openxmlformats.org/officeDocument/2006/relationships/hyperlink" Target="http://ca.linkedin.com/in/desireeleigh" TargetMode="External"/><Relationship Id="rId2071" Type="http://schemas.openxmlformats.org/officeDocument/2006/relationships/hyperlink" Target="http://www.linkedin.com/pub/dr-pratap-chillakanti/7/20b/79a" TargetMode="External"/><Relationship Id="rId2072" Type="http://schemas.openxmlformats.org/officeDocument/2006/relationships/hyperlink" Target="http://www.linkedin.com/pub/marc-pacino/8/79A/91A" TargetMode="External"/><Relationship Id="rId2073" Type="http://schemas.openxmlformats.org/officeDocument/2006/relationships/hyperlink" Target="http://www.linkedin.com/pub/hossein-kazemi/4/142/BA1" TargetMode="External"/><Relationship Id="rId2074" Type="http://schemas.openxmlformats.org/officeDocument/2006/relationships/hyperlink" Target="http://www.linkedin.com/in/colleenmeyer" TargetMode="External"/><Relationship Id="rId2075" Type="http://schemas.openxmlformats.org/officeDocument/2006/relationships/hyperlink" Target="http://ltkmerlinigmail.com" TargetMode="External"/><Relationship Id="rId2076" Type="http://schemas.openxmlformats.org/officeDocument/2006/relationships/hyperlink" Target="http://www.linkedin.com/pub/luca-merlini-ltkmerlini-gmail-com/9/677/a34" TargetMode="External"/><Relationship Id="rId2077" Type="http://schemas.openxmlformats.org/officeDocument/2006/relationships/hyperlink" Target="http://www.linkedin.com/in/vivianmetz" TargetMode="External"/><Relationship Id="rId2078" Type="http://schemas.openxmlformats.org/officeDocument/2006/relationships/hyperlink" Target="http://www.linkedin.com/in/fredpierce" TargetMode="External"/><Relationship Id="rId2079" Type="http://schemas.openxmlformats.org/officeDocument/2006/relationships/hyperlink" Target="http://www.linkedin.com/pub/fern-katronetsky/7/470/845" TargetMode="External"/><Relationship Id="rId8240" Type="http://schemas.openxmlformats.org/officeDocument/2006/relationships/hyperlink" Target="http://www.linkedin.com/pub/javier-fuentes/4/767/94" TargetMode="External"/><Relationship Id="rId9572" Type="http://schemas.openxmlformats.org/officeDocument/2006/relationships/hyperlink" Target="http://www.linkedin.com/in/michaelmoritz" TargetMode="External"/><Relationship Id="rId9573" Type="http://schemas.openxmlformats.org/officeDocument/2006/relationships/hyperlink" Target="http://www.linkedin.com/in/ryanworking" TargetMode="External"/><Relationship Id="rId9574" Type="http://schemas.openxmlformats.org/officeDocument/2006/relationships/hyperlink" Target="http://www.linkedin.com/in/fgustafson" TargetMode="External"/><Relationship Id="rId9575" Type="http://schemas.openxmlformats.org/officeDocument/2006/relationships/hyperlink" Target="http://www.linkedin.com/in/lynnewashburnkramer" TargetMode="External"/><Relationship Id="rId8244" Type="http://schemas.openxmlformats.org/officeDocument/2006/relationships/hyperlink" Target="http://www.linkedin.com/pub/douglas-smith/1/21/56A" TargetMode="External"/><Relationship Id="rId8243" Type="http://schemas.openxmlformats.org/officeDocument/2006/relationships/hyperlink" Target="http://www.linkedin.com/in/dgoodwin" TargetMode="External"/><Relationship Id="rId8242" Type="http://schemas.openxmlformats.org/officeDocument/2006/relationships/hyperlink" Target="http://www.linkedin.com/pub/billie-haggard/3/219/29" TargetMode="External"/><Relationship Id="rId9570" Type="http://schemas.openxmlformats.org/officeDocument/2006/relationships/hyperlink" Target="http://www.linkedin.com/in/paulhelmjr" TargetMode="External"/><Relationship Id="rId8241" Type="http://schemas.openxmlformats.org/officeDocument/2006/relationships/hyperlink" Target="http://www.linkedin.com/in/andrehaddad" TargetMode="External"/><Relationship Id="rId9571" Type="http://schemas.openxmlformats.org/officeDocument/2006/relationships/hyperlink" Target="http://www.linkedin.com/in/garryseaber" TargetMode="External"/><Relationship Id="rId8248" Type="http://schemas.openxmlformats.org/officeDocument/2006/relationships/hyperlink" Target="http://www.linkedin.com/pub/karoline-lariviere/3/6B0/A99" TargetMode="External"/><Relationship Id="rId8247" Type="http://schemas.openxmlformats.org/officeDocument/2006/relationships/hyperlink" Target="http://www.linkedin.com/in/bizdev2a" TargetMode="External"/><Relationship Id="rId8246" Type="http://schemas.openxmlformats.org/officeDocument/2006/relationships/hyperlink" Target="http://www.linkedin.com/pub/shannph-wong/0/11/983" TargetMode="External"/><Relationship Id="rId8245" Type="http://schemas.openxmlformats.org/officeDocument/2006/relationships/hyperlink" Target="http://www.linkedin.com/in/theethicsguy" TargetMode="External"/><Relationship Id="rId9576" Type="http://schemas.openxmlformats.org/officeDocument/2006/relationships/hyperlink" Target="http://www.linkedin.com/in/neilnylander" TargetMode="External"/><Relationship Id="rId9577" Type="http://schemas.openxmlformats.org/officeDocument/2006/relationships/hyperlink" Target="http://www.linkedin.com/in/ryaneberhard" TargetMode="External"/><Relationship Id="rId9578" Type="http://schemas.openxmlformats.org/officeDocument/2006/relationships/hyperlink" Target="http://www.linkedin.com/in/rajil" TargetMode="External"/><Relationship Id="rId8249" Type="http://schemas.openxmlformats.org/officeDocument/2006/relationships/hyperlink" Target="http://www.linkedin.com/in/tammymccormack" TargetMode="External"/><Relationship Id="rId9579" Type="http://schemas.openxmlformats.org/officeDocument/2006/relationships/hyperlink" Target="http://www.linkedin.com/in/drsfc" TargetMode="External"/><Relationship Id="rId9561" Type="http://schemas.openxmlformats.org/officeDocument/2006/relationships/hyperlink" Target="http://www.linkedin.com/in/elliottparker" TargetMode="External"/><Relationship Id="rId9562" Type="http://schemas.openxmlformats.org/officeDocument/2006/relationships/hyperlink" Target="http://www.linkedin.com/in/davidcli" TargetMode="External"/><Relationship Id="rId9563" Type="http://schemas.openxmlformats.org/officeDocument/2006/relationships/hyperlink" Target="http://www.linkedin.com/in/pedroalcosta" TargetMode="External"/><Relationship Id="rId9564" Type="http://schemas.openxmlformats.org/officeDocument/2006/relationships/hyperlink" Target="http://www.linkedin.com/in/carlosmartinezjr" TargetMode="External"/><Relationship Id="rId8233" Type="http://schemas.openxmlformats.org/officeDocument/2006/relationships/hyperlink" Target="http://www.linkedin.com/in/strevino" TargetMode="External"/><Relationship Id="rId8232" Type="http://schemas.openxmlformats.org/officeDocument/2006/relationships/hyperlink" Target="http://www.linkedin.com/in/thomaswalkercolorado" TargetMode="External"/><Relationship Id="rId8231" Type="http://schemas.openxmlformats.org/officeDocument/2006/relationships/hyperlink" Target="http://www.linkedin.com/pub/matt-wilkinson/0/631/6A0" TargetMode="External"/><Relationship Id="rId8230" Type="http://schemas.openxmlformats.org/officeDocument/2006/relationships/hyperlink" Target="http://www.linkedin.com/pub/gaston-berrio/B/797/688" TargetMode="External"/><Relationship Id="rId9560" Type="http://schemas.openxmlformats.org/officeDocument/2006/relationships/hyperlink" Target="http://www.linkedin.com/pub/gary-reardon/1/89B/3B4" TargetMode="External"/><Relationship Id="rId8237" Type="http://schemas.openxmlformats.org/officeDocument/2006/relationships/hyperlink" Target="http://www.linkedin.com/pub/jim-mccabe/4/38A/953" TargetMode="External"/><Relationship Id="rId9569" Type="http://schemas.openxmlformats.org/officeDocument/2006/relationships/hyperlink" Target="http://www.linkedin.com/pub/richard-vander-meer/0/472/788" TargetMode="External"/><Relationship Id="rId8236" Type="http://schemas.openxmlformats.org/officeDocument/2006/relationships/hyperlink" Target="http://www.linkedin.com/pub/marshall-nickleberry/29/691/B94" TargetMode="External"/><Relationship Id="rId8235" Type="http://schemas.openxmlformats.org/officeDocument/2006/relationships/hyperlink" Target="http://www.linkedin.com/pub/mario-moussa/8/321/354" TargetMode="External"/><Relationship Id="rId8234" Type="http://schemas.openxmlformats.org/officeDocument/2006/relationships/hyperlink" Target="http://www.linkedin.com/pub/travis-good/0/68/8BB" TargetMode="External"/><Relationship Id="rId9565" Type="http://schemas.openxmlformats.org/officeDocument/2006/relationships/hyperlink" Target="http://www.linkedin.com/in/thomashobika" TargetMode="External"/><Relationship Id="rId9566" Type="http://schemas.openxmlformats.org/officeDocument/2006/relationships/hyperlink" Target="http://www.linkedin.com/pub/shabana-siraj/0/661/597" TargetMode="External"/><Relationship Id="rId8239" Type="http://schemas.openxmlformats.org/officeDocument/2006/relationships/hyperlink" Target="http://www.linkedin.com/pub/tatiana-koike/5/5A8/73B" TargetMode="External"/><Relationship Id="rId9567" Type="http://schemas.openxmlformats.org/officeDocument/2006/relationships/hyperlink" Target="http://www.linkedin.com/pub/randy-seidl/1/B42/A72" TargetMode="External"/><Relationship Id="rId8238" Type="http://schemas.openxmlformats.org/officeDocument/2006/relationships/hyperlink" Target="http://www.linkedin.com/in/alaingroenendaal" TargetMode="External"/><Relationship Id="rId9568" Type="http://schemas.openxmlformats.org/officeDocument/2006/relationships/hyperlink" Target="https://www.linkedin.com/in/memespark" TargetMode="External"/><Relationship Id="rId8262" Type="http://schemas.openxmlformats.org/officeDocument/2006/relationships/hyperlink" Target="http://www.linkedin.com/pub/naaserden-chang/9/820/905" TargetMode="External"/><Relationship Id="rId9594" Type="http://schemas.openxmlformats.org/officeDocument/2006/relationships/hyperlink" Target="http://www.linkedin.com/in/toddbursey" TargetMode="External"/><Relationship Id="rId8261" Type="http://schemas.openxmlformats.org/officeDocument/2006/relationships/hyperlink" Target="http://ar.linkedin.com/in/araiczyk" TargetMode="External"/><Relationship Id="rId9595" Type="http://schemas.openxmlformats.org/officeDocument/2006/relationships/hyperlink" Target="http://www.linkedin.com/in/darrellkboyd" TargetMode="External"/><Relationship Id="rId8260" Type="http://schemas.openxmlformats.org/officeDocument/2006/relationships/hyperlink" Target="http://www.linkedin.com/pub/diana-einterz/2/B76/779" TargetMode="External"/><Relationship Id="rId9596" Type="http://schemas.openxmlformats.org/officeDocument/2006/relationships/hyperlink" Target="http://www.linkedin.com/pub/ravi-domingo/0/665/985" TargetMode="External"/><Relationship Id="rId9597" Type="http://schemas.openxmlformats.org/officeDocument/2006/relationships/hyperlink" Target="http://www.linkedin.com/pub/brian-kilinc-mba-pmp/0/513/790" TargetMode="External"/><Relationship Id="rId8266" Type="http://schemas.openxmlformats.org/officeDocument/2006/relationships/hyperlink" Target="http://www.linkedin.com/in/claudioboyks" TargetMode="External"/><Relationship Id="rId9590" Type="http://schemas.openxmlformats.org/officeDocument/2006/relationships/hyperlink" Target="http://www.linkedin.com/in/recruitingdiva" TargetMode="External"/><Relationship Id="rId8265" Type="http://schemas.openxmlformats.org/officeDocument/2006/relationships/hyperlink" Target="http://www.linkedin.com/pub/dave-senning/5/116/9A7" TargetMode="External"/><Relationship Id="rId9591" Type="http://schemas.openxmlformats.org/officeDocument/2006/relationships/hyperlink" Target="http://www.linkedin.com/pub/benjamin-massin/4/514/A11" TargetMode="External"/><Relationship Id="rId8264" Type="http://schemas.openxmlformats.org/officeDocument/2006/relationships/hyperlink" Target="http://www.linkedin.com/in/ronomukherjee" TargetMode="External"/><Relationship Id="rId9592" Type="http://schemas.openxmlformats.org/officeDocument/2006/relationships/hyperlink" Target="http://www.linkedin.com/pub/gary-s-stone/0/631/904" TargetMode="External"/><Relationship Id="rId8263" Type="http://schemas.openxmlformats.org/officeDocument/2006/relationships/hyperlink" Target="http://www.linkedin.com/in/sonnychohan" TargetMode="External"/><Relationship Id="rId9593" Type="http://schemas.openxmlformats.org/officeDocument/2006/relationships/hyperlink" Target="http://www.linkedin.com/pub/michael-bonamassa/0/122/678" TargetMode="External"/><Relationship Id="rId8269" Type="http://schemas.openxmlformats.org/officeDocument/2006/relationships/hyperlink" Target="http://www.linkedin.com/in/markdcameron" TargetMode="External"/><Relationship Id="rId8268" Type="http://schemas.openxmlformats.org/officeDocument/2006/relationships/hyperlink" Target="http://www.linkedin.com/in/juanjoduran" TargetMode="External"/><Relationship Id="rId8267" Type="http://schemas.openxmlformats.org/officeDocument/2006/relationships/hyperlink" Target="http://www.linkedin.com/in/danielcabrera" TargetMode="External"/><Relationship Id="rId9598" Type="http://schemas.openxmlformats.org/officeDocument/2006/relationships/hyperlink" Target="http://www.linkedin.com/pub/scott-keaney/2/529/B84" TargetMode="External"/><Relationship Id="rId9599" Type="http://schemas.openxmlformats.org/officeDocument/2006/relationships/hyperlink" Target="http://www.linkedin.com/in/ttrueblood" TargetMode="External"/><Relationship Id="rId8251" Type="http://schemas.openxmlformats.org/officeDocument/2006/relationships/hyperlink" Target="http://www.linkedin.com/pub/dave-ogden/1/367/910" TargetMode="External"/><Relationship Id="rId9583" Type="http://schemas.openxmlformats.org/officeDocument/2006/relationships/hyperlink" Target="https://www.linkedin.com/in/matthewhaver" TargetMode="External"/><Relationship Id="rId8250" Type="http://schemas.openxmlformats.org/officeDocument/2006/relationships/hyperlink" Target="http://www.linkedin.com/in/richmcl" TargetMode="External"/><Relationship Id="rId9584" Type="http://schemas.openxmlformats.org/officeDocument/2006/relationships/hyperlink" Target="http://www.linkedin.com/in/borisportman" TargetMode="External"/><Relationship Id="rId9585" Type="http://schemas.openxmlformats.org/officeDocument/2006/relationships/hyperlink" Target="http://www.linkedin.com/pub/curtis-cresta/0/377/577" TargetMode="External"/><Relationship Id="rId9586" Type="http://schemas.openxmlformats.org/officeDocument/2006/relationships/hyperlink" Target="http://www.linkedin.com/in/andrewchase" TargetMode="External"/><Relationship Id="rId8255" Type="http://schemas.openxmlformats.org/officeDocument/2006/relationships/hyperlink" Target="http://www.linkedin.com/in/leonardfinch" TargetMode="External"/><Relationship Id="rId8254" Type="http://schemas.openxmlformats.org/officeDocument/2006/relationships/hyperlink" Target="http://www.linkedin.com/in/jamescannon" TargetMode="External"/><Relationship Id="rId9580" Type="http://schemas.openxmlformats.org/officeDocument/2006/relationships/hyperlink" Target="http://uk.linkedin.com/pub/neil-morgan/0/35B/741" TargetMode="External"/><Relationship Id="rId8253" Type="http://schemas.openxmlformats.org/officeDocument/2006/relationships/hyperlink" Target="http://www.linkedin.com/in/fredpalacios" TargetMode="External"/><Relationship Id="rId9581" Type="http://schemas.openxmlformats.org/officeDocument/2006/relationships/hyperlink" Target="http://www.linkedin.com/in/aarora" TargetMode="External"/><Relationship Id="rId8252" Type="http://schemas.openxmlformats.org/officeDocument/2006/relationships/hyperlink" Target="http://www.linkedin.com/in/timjjohnson" TargetMode="External"/><Relationship Id="rId9582" Type="http://schemas.openxmlformats.org/officeDocument/2006/relationships/hyperlink" Target="http://www.linkedin.com/in/stevedellutri" TargetMode="External"/><Relationship Id="rId8259" Type="http://schemas.openxmlformats.org/officeDocument/2006/relationships/hyperlink" Target="http://www.linkedin.com/in/macktreeece01" TargetMode="External"/><Relationship Id="rId8258" Type="http://schemas.openxmlformats.org/officeDocument/2006/relationships/hyperlink" Target="http://www.linkedin.com/pub/steve-zipparro/15/634/243" TargetMode="External"/><Relationship Id="rId8257" Type="http://schemas.openxmlformats.org/officeDocument/2006/relationships/hyperlink" Target="https://www.linkedin.com/in/donaldteecarson" TargetMode="External"/><Relationship Id="rId8256" Type="http://schemas.openxmlformats.org/officeDocument/2006/relationships/hyperlink" Target="http://www.linkedin.com/in/andreaihara" TargetMode="External"/><Relationship Id="rId9587" Type="http://schemas.openxmlformats.org/officeDocument/2006/relationships/hyperlink" Target="http://www.linkedin.com/pub/james-fahey/21/958/B2B" TargetMode="External"/><Relationship Id="rId9588" Type="http://schemas.openxmlformats.org/officeDocument/2006/relationships/hyperlink" Target="http://www.linkedin.com/in/barryzack" TargetMode="External"/><Relationship Id="rId9589" Type="http://schemas.openxmlformats.org/officeDocument/2006/relationships/hyperlink" Target="http://www.linkedin.com/pub/evan-wheeler/1/382/A9A" TargetMode="External"/><Relationship Id="rId8209" Type="http://schemas.openxmlformats.org/officeDocument/2006/relationships/hyperlink" Target="http://www.linkedin.com/pub/jessica-neal/0/866/409" TargetMode="External"/><Relationship Id="rId9530" Type="http://schemas.openxmlformats.org/officeDocument/2006/relationships/hyperlink" Target="http://www.linkedin.com/in/solidexecutive" TargetMode="External"/><Relationship Id="rId9531" Type="http://schemas.openxmlformats.org/officeDocument/2006/relationships/hyperlink" Target="http://www.linkedin.com/in/boxaaron" TargetMode="External"/><Relationship Id="rId8200" Type="http://schemas.openxmlformats.org/officeDocument/2006/relationships/hyperlink" Target="http://www.linkedin.com/pub/michael-bergeron-mrbergeron-cox-net-/9/821/479" TargetMode="External"/><Relationship Id="rId8204" Type="http://schemas.openxmlformats.org/officeDocument/2006/relationships/hyperlink" Target="http://www.linkedin.com/pub/nick-schauder/6/2A6/9A6" TargetMode="External"/><Relationship Id="rId9536" Type="http://schemas.openxmlformats.org/officeDocument/2006/relationships/hyperlink" Target="http://www.linkedin.com/in/jeffbelanger" TargetMode="External"/><Relationship Id="rId8203" Type="http://schemas.openxmlformats.org/officeDocument/2006/relationships/hyperlink" Target="http://www.linkedin.com/pub/fernando-de-allende/1/23B/AA0" TargetMode="External"/><Relationship Id="rId9537" Type="http://schemas.openxmlformats.org/officeDocument/2006/relationships/hyperlink" Target="http://www.linkedin.com/in/scottclawson" TargetMode="External"/><Relationship Id="rId8202" Type="http://schemas.openxmlformats.org/officeDocument/2006/relationships/hyperlink" Target="https://www.linkedin.com/in/rohanbhargava" TargetMode="External"/><Relationship Id="rId9538" Type="http://schemas.openxmlformats.org/officeDocument/2006/relationships/hyperlink" Target="http://www.linkedin.com/in/jasonkeath" TargetMode="External"/><Relationship Id="rId8201" Type="http://schemas.openxmlformats.org/officeDocument/2006/relationships/hyperlink" Target="http://www.linkedin.com/in/barrypeters" TargetMode="External"/><Relationship Id="rId9539" Type="http://schemas.openxmlformats.org/officeDocument/2006/relationships/hyperlink" Target="http://www.linkedin.com/in/clairedarling" TargetMode="External"/><Relationship Id="rId8208" Type="http://schemas.openxmlformats.org/officeDocument/2006/relationships/hyperlink" Target="http://www.linkedin.com/in/reedhastings" TargetMode="External"/><Relationship Id="rId9532" Type="http://schemas.openxmlformats.org/officeDocument/2006/relationships/hyperlink" Target="http://www.linkedin.com/in/mikemcmurray" TargetMode="External"/><Relationship Id="rId8207" Type="http://schemas.openxmlformats.org/officeDocument/2006/relationships/hyperlink" Target="http://www.linkedin.com/pub/paul-j-williamson/9/2b6/222" TargetMode="External"/><Relationship Id="rId9533" Type="http://schemas.openxmlformats.org/officeDocument/2006/relationships/hyperlink" Target="http://www.linkedin.com/pub/ilya-asnis/0/59B/729" TargetMode="External"/><Relationship Id="rId8206" Type="http://schemas.openxmlformats.org/officeDocument/2006/relationships/hyperlink" Target="http://www.linkedin.com/in/kimbollinger" TargetMode="External"/><Relationship Id="rId9534" Type="http://schemas.openxmlformats.org/officeDocument/2006/relationships/hyperlink" Target="http://www.linkedin.com/pub/richard-stark/0/1BB/935" TargetMode="External"/><Relationship Id="rId8205" Type="http://schemas.openxmlformats.org/officeDocument/2006/relationships/hyperlink" Target="http://www.linkedin.com/in/bbodmer703" TargetMode="External"/><Relationship Id="rId9535" Type="http://schemas.openxmlformats.org/officeDocument/2006/relationships/hyperlink" Target="http://www.linkedin.com/pub/christopher-martin/5/30/714" TargetMode="External"/><Relationship Id="rId9529" Type="http://schemas.openxmlformats.org/officeDocument/2006/relationships/hyperlink" Target="http://www.linkedin.com/in/carlos75" TargetMode="External"/><Relationship Id="rId9520" Type="http://schemas.openxmlformats.org/officeDocument/2006/relationships/hyperlink" Target="http://www.linkedin.com/in/darrellwoelk" TargetMode="External"/><Relationship Id="rId9525" Type="http://schemas.openxmlformats.org/officeDocument/2006/relationships/hyperlink" Target="http://www.linkedin.com/pub/nataly-kelly/0/417/170?trk=pub-pbmap" TargetMode="External"/><Relationship Id="rId9526" Type="http://schemas.openxmlformats.org/officeDocument/2006/relationships/hyperlink" Target="http://www.linkedin.com/pub/enrique-quique-rodriguez/2/46B/5A6" TargetMode="External"/><Relationship Id="rId9527" Type="http://schemas.openxmlformats.org/officeDocument/2006/relationships/hyperlink" Target="http://www.linkedin.com/in/wmbarnett" TargetMode="External"/><Relationship Id="rId9528" Type="http://schemas.openxmlformats.org/officeDocument/2006/relationships/hyperlink" Target="http://www.linkedin.com/in/matthewloysduncan/" TargetMode="External"/><Relationship Id="rId9521" Type="http://schemas.openxmlformats.org/officeDocument/2006/relationships/hyperlink" Target="http://www.linkedin.com/in/budko" TargetMode="External"/><Relationship Id="rId9522" Type="http://schemas.openxmlformats.org/officeDocument/2006/relationships/hyperlink" Target="http://www.linkedin.com/in/stephenamiles" TargetMode="External"/><Relationship Id="rId9523" Type="http://schemas.openxmlformats.org/officeDocument/2006/relationships/hyperlink" Target="http://www.linkedin.com/in/deanmccall" TargetMode="External"/><Relationship Id="rId9524" Type="http://schemas.openxmlformats.org/officeDocument/2006/relationships/hyperlink" Target="http://www.linkedin.com/in/carolschwam" TargetMode="External"/><Relationship Id="rId9550" Type="http://schemas.openxmlformats.org/officeDocument/2006/relationships/hyperlink" Target="http://www.linkedin.com/pub/raphael-meyerowitz/1/70A/654" TargetMode="External"/><Relationship Id="rId9551" Type="http://schemas.openxmlformats.org/officeDocument/2006/relationships/hyperlink" Target="http://www.linkedin.com/pub/craig-harper/1/720/74A" TargetMode="External"/><Relationship Id="rId9552" Type="http://schemas.openxmlformats.org/officeDocument/2006/relationships/hyperlink" Target="http://uk.linkedin.com/pub/graham-curme/0/264/449" TargetMode="External"/><Relationship Id="rId9553" Type="http://schemas.openxmlformats.org/officeDocument/2006/relationships/hyperlink" Target="http://www.linkedin.com/in/bburdumy" TargetMode="External"/><Relationship Id="rId8222" Type="http://schemas.openxmlformats.org/officeDocument/2006/relationships/hyperlink" Target="http://www.linkedin.com/pub/jenny-burrington/2/147/600" TargetMode="External"/><Relationship Id="rId8221" Type="http://schemas.openxmlformats.org/officeDocument/2006/relationships/hyperlink" Target="http://www.linkedin.com/in/ogmios" TargetMode="External"/><Relationship Id="rId8220" Type="http://schemas.openxmlformats.org/officeDocument/2006/relationships/hyperlink" Target="http://www.linkedin.com/pub/saul-j-berman/3/68A/887" TargetMode="External"/><Relationship Id="rId8226" Type="http://schemas.openxmlformats.org/officeDocument/2006/relationships/hyperlink" Target="http://www.linkedin.com/pub/jose-mora/9/66A/17A" TargetMode="External"/><Relationship Id="rId9558" Type="http://schemas.openxmlformats.org/officeDocument/2006/relationships/hyperlink" Target="https://www.linkedin.com/in/aaronsweeney" TargetMode="External"/><Relationship Id="rId8225" Type="http://schemas.openxmlformats.org/officeDocument/2006/relationships/hyperlink" Target="http://www.linkedin.com/pub/colleen-beckett/16/B50/284" TargetMode="External"/><Relationship Id="rId9559" Type="http://schemas.openxmlformats.org/officeDocument/2006/relationships/hyperlink" Target="http://www.linkedin.com/in/mattmountain" TargetMode="External"/><Relationship Id="rId8224" Type="http://schemas.openxmlformats.org/officeDocument/2006/relationships/hyperlink" Target="http://www.linkedin.com/in/garyallison" TargetMode="External"/><Relationship Id="rId8223" Type="http://schemas.openxmlformats.org/officeDocument/2006/relationships/hyperlink" Target="http://www.linkedin.com/pub/carlos-mauricio-oyola/19/218/413" TargetMode="External"/><Relationship Id="rId9554" Type="http://schemas.openxmlformats.org/officeDocument/2006/relationships/hyperlink" Target="http://uk.linkedin.com/pub/mike-moore/0/AA/719" TargetMode="External"/><Relationship Id="rId8229" Type="http://schemas.openxmlformats.org/officeDocument/2006/relationships/hyperlink" Target="http://www.linkedin.com/in/sanjaypoonen" TargetMode="External"/><Relationship Id="rId9555" Type="http://schemas.openxmlformats.org/officeDocument/2006/relationships/hyperlink" Target="http://www.linkedin.com/in/davebrownny" TargetMode="External"/><Relationship Id="rId8228" Type="http://schemas.openxmlformats.org/officeDocument/2006/relationships/hyperlink" Target="http://www.linkedin.com/in/bantbreen" TargetMode="External"/><Relationship Id="rId9556" Type="http://schemas.openxmlformats.org/officeDocument/2006/relationships/hyperlink" Target="http://www.linkedin.com/in/shonharris" TargetMode="External"/><Relationship Id="rId8227" Type="http://schemas.openxmlformats.org/officeDocument/2006/relationships/hyperlink" Target="http://www.linkedin.com/in/arturoduran" TargetMode="External"/><Relationship Id="rId9557" Type="http://schemas.openxmlformats.org/officeDocument/2006/relationships/hyperlink" Target="http://www.linkedin.com/in/galcazar" TargetMode="External"/><Relationship Id="rId9540" Type="http://schemas.openxmlformats.org/officeDocument/2006/relationships/hyperlink" Target="http://www.linkedin.com/in/elliotteasterling" TargetMode="External"/><Relationship Id="rId9541" Type="http://schemas.openxmlformats.org/officeDocument/2006/relationships/hyperlink" Target="http://www.linkedin.com/pub/bill-geist/0/14B/288" TargetMode="External"/><Relationship Id="rId9542" Type="http://schemas.openxmlformats.org/officeDocument/2006/relationships/hyperlink" Target="http://www.linkedin.com/pub/jp-garcia/0/5A5/A4" TargetMode="External"/><Relationship Id="rId8211" Type="http://schemas.openxmlformats.org/officeDocument/2006/relationships/hyperlink" Target="http://www.linkedin.com/in/steveacarpenter" TargetMode="External"/><Relationship Id="rId8210" Type="http://schemas.openxmlformats.org/officeDocument/2006/relationships/hyperlink" Target="http://www.linkedin.com/in/gregsherry" TargetMode="External"/><Relationship Id="rId8215" Type="http://schemas.openxmlformats.org/officeDocument/2006/relationships/hyperlink" Target="http://www.linkedin.com/pub/javier-scavino/2a/2a4/300" TargetMode="External"/><Relationship Id="rId9547" Type="http://schemas.openxmlformats.org/officeDocument/2006/relationships/hyperlink" Target="http://www.linkedin.com/in/evansdave" TargetMode="External"/><Relationship Id="rId8214" Type="http://schemas.openxmlformats.org/officeDocument/2006/relationships/hyperlink" Target="http://www.linkedin.com/pub/nadia-sellers/14/A59/B" TargetMode="External"/><Relationship Id="rId9548" Type="http://schemas.openxmlformats.org/officeDocument/2006/relationships/hyperlink" Target="http://ca.linkedin.com/in/jeremyigoldberg" TargetMode="External"/><Relationship Id="rId8213" Type="http://schemas.openxmlformats.org/officeDocument/2006/relationships/hyperlink" Target="http://www.linkedin.com/in/newsblaze" TargetMode="External"/><Relationship Id="rId9549" Type="http://schemas.openxmlformats.org/officeDocument/2006/relationships/hyperlink" Target="http://www.linkedin.com/in/pearson125" TargetMode="External"/><Relationship Id="rId8212" Type="http://schemas.openxmlformats.org/officeDocument/2006/relationships/hyperlink" Target="http://www.linkedin.com/in/maxpadro" TargetMode="External"/><Relationship Id="rId8219" Type="http://schemas.openxmlformats.org/officeDocument/2006/relationships/hyperlink" Target="http://www.linkedin.com/pub/sal-visca/0/120/515?trk=pub-pbmap" TargetMode="External"/><Relationship Id="rId9543" Type="http://schemas.openxmlformats.org/officeDocument/2006/relationships/hyperlink" Target="http://www.linkedin.com/in/davegarrett" TargetMode="External"/><Relationship Id="rId8218" Type="http://schemas.openxmlformats.org/officeDocument/2006/relationships/hyperlink" Target="http://ca.linkedin.com/in/ryanhywong" TargetMode="External"/><Relationship Id="rId9544" Type="http://schemas.openxmlformats.org/officeDocument/2006/relationships/hyperlink" Target="http://www.linkedin.com/in/santanuroymoulik" TargetMode="External"/><Relationship Id="rId8217" Type="http://schemas.openxmlformats.org/officeDocument/2006/relationships/hyperlink" Target="http://www.linkedin.com/in/ericaizer" TargetMode="External"/><Relationship Id="rId9545" Type="http://schemas.openxmlformats.org/officeDocument/2006/relationships/hyperlink" Target="http://www.linkedin.com/pub/darren-sumter/0/17A/153" TargetMode="External"/><Relationship Id="rId8216" Type="http://schemas.openxmlformats.org/officeDocument/2006/relationships/hyperlink" Target="http://www.linkedin.com/in/jonigirardi" TargetMode="External"/><Relationship Id="rId9546" Type="http://schemas.openxmlformats.org/officeDocument/2006/relationships/hyperlink" Target="http://www.linkedin.com/in/sboyle" TargetMode="External"/><Relationship Id="rId4723" Type="http://schemas.openxmlformats.org/officeDocument/2006/relationships/hyperlink" Target="http://ar.linkedin.com/in/angelesz" TargetMode="External"/><Relationship Id="rId4722" Type="http://schemas.openxmlformats.org/officeDocument/2006/relationships/hyperlink" Target="http://ar.linkedin.com/pub/eduardo-gustavo-simes/B/1/45B" TargetMode="External"/><Relationship Id="rId4725" Type="http://schemas.openxmlformats.org/officeDocument/2006/relationships/hyperlink" Target="http://ar.linkedin.com/in/gabrielpuig" TargetMode="External"/><Relationship Id="rId4724" Type="http://schemas.openxmlformats.org/officeDocument/2006/relationships/hyperlink" Target="http://www.linkedin.com/pub/romina-savor%C3%A9/18/704/24a" TargetMode="External"/><Relationship Id="rId4727" Type="http://schemas.openxmlformats.org/officeDocument/2006/relationships/hyperlink" Target="http://ar.linkedin.com/in/marinapla" TargetMode="External"/><Relationship Id="rId4726" Type="http://schemas.openxmlformats.org/officeDocument/2006/relationships/hyperlink" Target="http://ar.linkedin.com/pub/sebastian-villamarin/15/565/5B6" TargetMode="External"/><Relationship Id="rId4729" Type="http://schemas.openxmlformats.org/officeDocument/2006/relationships/hyperlink" Target="http://ar.linkedin.com/pub/gabriela-cirigliano/9/818/222" TargetMode="External"/><Relationship Id="rId4728" Type="http://schemas.openxmlformats.org/officeDocument/2006/relationships/hyperlink" Target="http://ar.linkedin.com/pub/rosana-damasco/2A/A79/603" TargetMode="External"/><Relationship Id="rId4721" Type="http://schemas.openxmlformats.org/officeDocument/2006/relationships/hyperlink" Target="http://ar.linkedin.com/pub/juan-esteban-fernandez/2B/69/BB8" TargetMode="External"/><Relationship Id="rId4720" Type="http://schemas.openxmlformats.org/officeDocument/2006/relationships/hyperlink" Target="http://www.linkedin.com/pub/lucas-massicot/2a/843/b2" TargetMode="External"/><Relationship Id="rId4712" Type="http://schemas.openxmlformats.org/officeDocument/2006/relationships/hyperlink" Target="http://www.linkedin.com/pub/horacio-laurens/3/698/ab0" TargetMode="External"/><Relationship Id="rId4711" Type="http://schemas.openxmlformats.org/officeDocument/2006/relationships/hyperlink" Target="http://ar.linkedin.com/pub/maria-marta-porrone/2/888/2B2" TargetMode="External"/><Relationship Id="rId4714" Type="http://schemas.openxmlformats.org/officeDocument/2006/relationships/hyperlink" Target="http://ar.linkedin.com/in/gblejman" TargetMode="External"/><Relationship Id="rId4713" Type="http://schemas.openxmlformats.org/officeDocument/2006/relationships/hyperlink" Target="http://ar.linkedin.com/pub/claudio-marin/B/465/B69" TargetMode="External"/><Relationship Id="rId4716" Type="http://schemas.openxmlformats.org/officeDocument/2006/relationships/hyperlink" Target="http://www.linkedin.com/pub/rodrigo-nicol%C3%A1s-avila/27/a9b/491" TargetMode="External"/><Relationship Id="rId4715" Type="http://schemas.openxmlformats.org/officeDocument/2006/relationships/hyperlink" Target="http://www.linkedin.com/in/diegopazos" TargetMode="External"/><Relationship Id="rId4718" Type="http://schemas.openxmlformats.org/officeDocument/2006/relationships/hyperlink" Target="http://ar.linkedin.com/pub/jose-andina-silva/7/61/15" TargetMode="External"/><Relationship Id="rId4717" Type="http://schemas.openxmlformats.org/officeDocument/2006/relationships/hyperlink" Target="http://www.linkedin.com/pub/m-valeria-maffioly/21/9b1/688" TargetMode="External"/><Relationship Id="rId4719" Type="http://schemas.openxmlformats.org/officeDocument/2006/relationships/hyperlink" Target="http://ar.linkedin.com/pub/fabi%C3%A1n-benzoni/1/B50/683" TargetMode="External"/><Relationship Id="rId4710" Type="http://schemas.openxmlformats.org/officeDocument/2006/relationships/hyperlink" Target="http://ar.linkedin.com/pub/nestor-osorio/3/836/770" TargetMode="External"/><Relationship Id="rId3414" Type="http://schemas.openxmlformats.org/officeDocument/2006/relationships/hyperlink" Target="http://ar.linkedin.com/pub/emilse-gonzalez/18/679/353" TargetMode="External"/><Relationship Id="rId4745" Type="http://schemas.openxmlformats.org/officeDocument/2006/relationships/hyperlink" Target="http://www.linkedin.com/pub/marcos-beverina/2b/2b9/655" TargetMode="External"/><Relationship Id="rId3413" Type="http://schemas.openxmlformats.org/officeDocument/2006/relationships/hyperlink" Target="http://www.linkedin.com/pub/sergio-donzelli/0/80b/43b" TargetMode="External"/><Relationship Id="rId4744" Type="http://schemas.openxmlformats.org/officeDocument/2006/relationships/hyperlink" Target="http://ar.linkedin.com/pub/nurit-weitz/9/866/A07" TargetMode="External"/><Relationship Id="rId3416" Type="http://schemas.openxmlformats.org/officeDocument/2006/relationships/hyperlink" Target="http://ar.linkedin.com/in/federicogalban" TargetMode="External"/><Relationship Id="rId4747" Type="http://schemas.openxmlformats.org/officeDocument/2006/relationships/hyperlink" Target="http://ar.linkedin.com/in/jtouceda" TargetMode="External"/><Relationship Id="rId3415" Type="http://schemas.openxmlformats.org/officeDocument/2006/relationships/hyperlink" Target="http://ar.linkedin.com/in/marianagalmes" TargetMode="External"/><Relationship Id="rId4746" Type="http://schemas.openxmlformats.org/officeDocument/2006/relationships/hyperlink" Target="http://www.linkedin.com/pub/mariano-albertolli/0/424/1b3" TargetMode="External"/><Relationship Id="rId3418" Type="http://schemas.openxmlformats.org/officeDocument/2006/relationships/hyperlink" Target="http://ar.linkedin.com/in/lfkozak" TargetMode="External"/><Relationship Id="rId4749" Type="http://schemas.openxmlformats.org/officeDocument/2006/relationships/hyperlink" Target="http://ar.linkedin.com/in/mbazterrica" TargetMode="External"/><Relationship Id="rId3417" Type="http://schemas.openxmlformats.org/officeDocument/2006/relationships/hyperlink" Target="http://ar.linkedin.com/pub/florencia-dominguez/26/501/1A5" TargetMode="External"/><Relationship Id="rId4748" Type="http://schemas.openxmlformats.org/officeDocument/2006/relationships/hyperlink" Target="http://ar.linkedin.com/pub/eliana-teplisky/18/70B/132" TargetMode="External"/><Relationship Id="rId3419" Type="http://schemas.openxmlformats.org/officeDocument/2006/relationships/hyperlink" Target="http://ar.linkedin.com/in/arielzarember" TargetMode="External"/><Relationship Id="rId3410" Type="http://schemas.openxmlformats.org/officeDocument/2006/relationships/hyperlink" Target="http://www.linkedin.com/pub/sabrina-vassallo/2/329/14b" TargetMode="External"/><Relationship Id="rId4741" Type="http://schemas.openxmlformats.org/officeDocument/2006/relationships/hyperlink" Target="http://ar.linkedin.com/in/juanpabloparadelo" TargetMode="External"/><Relationship Id="rId4740" Type="http://schemas.openxmlformats.org/officeDocument/2006/relationships/hyperlink" Target="http://ar.linkedin.com/pub/paula-tomassini/26/BA8/92B" TargetMode="External"/><Relationship Id="rId3412" Type="http://schemas.openxmlformats.org/officeDocument/2006/relationships/hyperlink" Target="http://ar.linkedin.com/pub/juan-ignacio-paradiso/9/692/798" TargetMode="External"/><Relationship Id="rId4743" Type="http://schemas.openxmlformats.org/officeDocument/2006/relationships/hyperlink" Target="http://ar.linkedin.com/pub/maria-de-nevares/27/841/477" TargetMode="External"/><Relationship Id="rId3411" Type="http://schemas.openxmlformats.org/officeDocument/2006/relationships/hyperlink" Target="http://ar.linkedin.com/pub/paula-marra/7/666/287" TargetMode="External"/><Relationship Id="rId4742" Type="http://schemas.openxmlformats.org/officeDocument/2006/relationships/hyperlink" Target="http://ar.linkedin.com/pub/mayra-martinez/1/715/671" TargetMode="External"/><Relationship Id="rId3403" Type="http://schemas.openxmlformats.org/officeDocument/2006/relationships/hyperlink" Target="http://ar.linkedin.com/pub/gabriel-capmany/18/920/B35" TargetMode="External"/><Relationship Id="rId4734" Type="http://schemas.openxmlformats.org/officeDocument/2006/relationships/hyperlink" Target="http://ar.linkedin.com/pub/lucila-monfort/5/31/B92" TargetMode="External"/><Relationship Id="rId3402" Type="http://schemas.openxmlformats.org/officeDocument/2006/relationships/hyperlink" Target="http://ar.linkedin.com/in/maximilianotornese" TargetMode="External"/><Relationship Id="rId4733" Type="http://schemas.openxmlformats.org/officeDocument/2006/relationships/hyperlink" Target="http://ar.linkedin.com/pub/raquel-miara/7/A82/12" TargetMode="External"/><Relationship Id="rId3405" Type="http://schemas.openxmlformats.org/officeDocument/2006/relationships/hyperlink" Target="http://www.linkedin.com/in/pfurci" TargetMode="External"/><Relationship Id="rId4736" Type="http://schemas.openxmlformats.org/officeDocument/2006/relationships/hyperlink" Target="http://ar.linkedin.com/pub/ver%C3%B3nica-arga%C3%B1araz/1/39/A04" TargetMode="External"/><Relationship Id="rId3404" Type="http://schemas.openxmlformats.org/officeDocument/2006/relationships/hyperlink" Target="http://ar.linkedin.com/pub/veronica-spigardi/1B/64/6A" TargetMode="External"/><Relationship Id="rId4735" Type="http://schemas.openxmlformats.org/officeDocument/2006/relationships/hyperlink" Target="http://ar.linkedin.com/pub/miranda-urquiola-serrano/0/6B6/792" TargetMode="External"/><Relationship Id="rId3407" Type="http://schemas.openxmlformats.org/officeDocument/2006/relationships/hyperlink" Target="http://ar.linkedin.com/in/jcbasso" TargetMode="External"/><Relationship Id="rId4738" Type="http://schemas.openxmlformats.org/officeDocument/2006/relationships/hyperlink" Target="http://ar.linkedin.com/pub/in-s-bernardi/6/199/612" TargetMode="External"/><Relationship Id="rId3406" Type="http://schemas.openxmlformats.org/officeDocument/2006/relationships/hyperlink" Target="http://ar.linkedin.com/pub/gabriel-lysobycki/5/523/687" TargetMode="External"/><Relationship Id="rId4737" Type="http://schemas.openxmlformats.org/officeDocument/2006/relationships/hyperlink" Target="http://ar.linkedin.com/pub/clara-terren/14/19/902" TargetMode="External"/><Relationship Id="rId3409" Type="http://schemas.openxmlformats.org/officeDocument/2006/relationships/hyperlink" Target="http://ar.linkedin.com/in/pabloargento" TargetMode="External"/><Relationship Id="rId3408" Type="http://schemas.openxmlformats.org/officeDocument/2006/relationships/hyperlink" Target="http://ar.linkedin.com/in/edadalt" TargetMode="External"/><Relationship Id="rId4739" Type="http://schemas.openxmlformats.org/officeDocument/2006/relationships/hyperlink" Target="http://www.linkedin.com/in/annmariechantal" TargetMode="External"/><Relationship Id="rId4730" Type="http://schemas.openxmlformats.org/officeDocument/2006/relationships/hyperlink" Target="http://www.linkedin.com/pub/gabriel-venturino/0/244/a14" TargetMode="External"/><Relationship Id="rId3401" Type="http://schemas.openxmlformats.org/officeDocument/2006/relationships/hyperlink" Target="http://ar.linkedin.com/pub/carolina-farinazzo/9/BB9/67" TargetMode="External"/><Relationship Id="rId4732" Type="http://schemas.openxmlformats.org/officeDocument/2006/relationships/hyperlink" Target="http://www.linkedin.com/in/deandacosta" TargetMode="External"/><Relationship Id="rId3400" Type="http://schemas.openxmlformats.org/officeDocument/2006/relationships/hyperlink" Target="http://ar.linkedin.com/pub/paola-sofia-blanco/21/333/756" TargetMode="External"/><Relationship Id="rId4731" Type="http://schemas.openxmlformats.org/officeDocument/2006/relationships/hyperlink" Target="http://www.linkedin.com/pub/colin-wetherbee/0/785/A5" TargetMode="External"/><Relationship Id="rId8291" Type="http://schemas.openxmlformats.org/officeDocument/2006/relationships/hyperlink" Target="http://www.linkedin.com/in/santiagopalacio" TargetMode="External"/><Relationship Id="rId8290" Type="http://schemas.openxmlformats.org/officeDocument/2006/relationships/hyperlink" Target="http://www.linkedin.com/pub/gustavo-roberto-perez-seib/6/831/713" TargetMode="External"/><Relationship Id="rId8284" Type="http://schemas.openxmlformats.org/officeDocument/2006/relationships/hyperlink" Target="http://www.linkedin.com/in/adanjz" TargetMode="External"/><Relationship Id="rId8283" Type="http://schemas.openxmlformats.org/officeDocument/2006/relationships/hyperlink" Target="http://www.linkedin.com/in/dougwintz" TargetMode="External"/><Relationship Id="rId8282" Type="http://schemas.openxmlformats.org/officeDocument/2006/relationships/hyperlink" Target="http://www.linkedin.com/pub/fred-medina/2/400/202" TargetMode="External"/><Relationship Id="rId8281" Type="http://schemas.openxmlformats.org/officeDocument/2006/relationships/hyperlink" Target="http://www.linkedin.com/pub/carlos-weber/6/242/36" TargetMode="External"/><Relationship Id="rId8288" Type="http://schemas.openxmlformats.org/officeDocument/2006/relationships/hyperlink" Target="http://www.linkedin.com/in/mattperez" TargetMode="External"/><Relationship Id="rId8287" Type="http://schemas.openxmlformats.org/officeDocument/2006/relationships/hyperlink" Target="http://www.linkedin.com/in/dplumley" TargetMode="External"/><Relationship Id="rId8286" Type="http://schemas.openxmlformats.org/officeDocument/2006/relationships/hyperlink" Target="http://www.linkedin.com/pub/emilio-otermin/7/223/45A" TargetMode="External"/><Relationship Id="rId8285" Type="http://schemas.openxmlformats.org/officeDocument/2006/relationships/hyperlink" Target="http://www.linkedin.com/pub/daniela-chaparro-vegas/23/7A9/45B" TargetMode="External"/><Relationship Id="rId8289" Type="http://schemas.openxmlformats.org/officeDocument/2006/relationships/hyperlink" Target="http://www.linkedin.com/in/paulocarvao" TargetMode="External"/><Relationship Id="rId8280" Type="http://schemas.openxmlformats.org/officeDocument/2006/relationships/hyperlink" Target="http://www.linkedin.com/in/hedienghelberg" TargetMode="External"/><Relationship Id="rId8273" Type="http://schemas.openxmlformats.org/officeDocument/2006/relationships/hyperlink" Target="http://www.linkedin.com/pub/amy-shah/0/332/593?trk=pub-pbmap" TargetMode="External"/><Relationship Id="rId8272" Type="http://schemas.openxmlformats.org/officeDocument/2006/relationships/hyperlink" Target="http://www.linkedin.com/in/irvingfain" TargetMode="External"/><Relationship Id="rId8271" Type="http://schemas.openxmlformats.org/officeDocument/2006/relationships/hyperlink" Target="http://www.linkedin.com/in/guillermoabud" TargetMode="External"/><Relationship Id="rId8270" Type="http://schemas.openxmlformats.org/officeDocument/2006/relationships/hyperlink" Target="http://ar.linkedin.com/pub/juan-premet/16/17A/750" TargetMode="External"/><Relationship Id="rId8277" Type="http://schemas.openxmlformats.org/officeDocument/2006/relationships/hyperlink" Target="http://www.linkedin.com/pub/thania-segura/7/820/B3" TargetMode="External"/><Relationship Id="rId8276" Type="http://schemas.openxmlformats.org/officeDocument/2006/relationships/hyperlink" Target="http://www.linkedin.com/in/henrykwdabrowski" TargetMode="External"/><Relationship Id="rId8275" Type="http://schemas.openxmlformats.org/officeDocument/2006/relationships/hyperlink" Target="http://www.linkedin.com/pub/manoj-agarwala/0/4B8/885" TargetMode="External"/><Relationship Id="rId8274" Type="http://schemas.openxmlformats.org/officeDocument/2006/relationships/hyperlink" Target="http://www.linkedin.com/pub/alejandro-revich/7/B00/592" TargetMode="External"/><Relationship Id="rId8279" Type="http://schemas.openxmlformats.org/officeDocument/2006/relationships/hyperlink" Target="http://www.linkedin.com/in/robertotto" TargetMode="External"/><Relationship Id="rId8278" Type="http://schemas.openxmlformats.org/officeDocument/2006/relationships/hyperlink" Target="http://www.linkedin.com/pub/jose-miguel-calderon/8/124/124" TargetMode="External"/><Relationship Id="rId4701" Type="http://schemas.openxmlformats.org/officeDocument/2006/relationships/hyperlink" Target="http://ar.linkedin.com/pub/augusto-garc%C3%ADa-ju%C3%A1rez-matorras/1/119/94A" TargetMode="External"/><Relationship Id="rId4700" Type="http://schemas.openxmlformats.org/officeDocument/2006/relationships/hyperlink" Target="http://ar.linkedin.com/in/francoaceruti" TargetMode="External"/><Relationship Id="rId4703" Type="http://schemas.openxmlformats.org/officeDocument/2006/relationships/hyperlink" Target="http://ar.linkedin.com/pub/nicolas-sankovic/1/6BB/74B" TargetMode="External"/><Relationship Id="rId4702" Type="http://schemas.openxmlformats.org/officeDocument/2006/relationships/hyperlink" Target="http://ar.linkedin.com/pub/valeria-de-santis/3/559/271" TargetMode="External"/><Relationship Id="rId4705" Type="http://schemas.openxmlformats.org/officeDocument/2006/relationships/hyperlink" Target="http://ar.linkedin.com/in/alecompagni" TargetMode="External"/><Relationship Id="rId4704" Type="http://schemas.openxmlformats.org/officeDocument/2006/relationships/hyperlink" Target="http://ar.linkedin.com/pub/eduardo-cohen/2A/A96/248" TargetMode="External"/><Relationship Id="rId4707" Type="http://schemas.openxmlformats.org/officeDocument/2006/relationships/hyperlink" Target="http://ar.linkedin.com/pub/ricardo-angrisani/16/187/497" TargetMode="External"/><Relationship Id="rId4706" Type="http://schemas.openxmlformats.org/officeDocument/2006/relationships/hyperlink" Target="http://ar.linkedin.com/pub/guadalupe-terres-vidal/24/134/913" TargetMode="External"/><Relationship Id="rId4709" Type="http://schemas.openxmlformats.org/officeDocument/2006/relationships/hyperlink" Target="http://ar.linkedin.com/pub/nicolas-kilidjian/2/188/949" TargetMode="External"/><Relationship Id="rId4708" Type="http://schemas.openxmlformats.org/officeDocument/2006/relationships/hyperlink" Target="http://ar.linkedin.com/in/cesarorsi" TargetMode="External"/><Relationship Id="rId8295" Type="http://schemas.openxmlformats.org/officeDocument/2006/relationships/hyperlink" Target="http://www.linkedin.com/pub/mathieu-louis/1B/112/B04" TargetMode="External"/><Relationship Id="rId8294" Type="http://schemas.openxmlformats.org/officeDocument/2006/relationships/hyperlink" Target="http://www.linkedin.com/in/michaelphelps" TargetMode="External"/><Relationship Id="rId8293" Type="http://schemas.openxmlformats.org/officeDocument/2006/relationships/hyperlink" Target="http://www.linkedin.com/pub/nicolo-alaimo/0/31B/10A" TargetMode="External"/><Relationship Id="rId8292" Type="http://schemas.openxmlformats.org/officeDocument/2006/relationships/hyperlink" Target="http://www.linkedin.com/in/chitubhai" TargetMode="External"/><Relationship Id="rId8299" Type="http://schemas.openxmlformats.org/officeDocument/2006/relationships/hyperlink" Target="http://www.linkedin.com/pub/ron-louks/10/792/977" TargetMode="External"/><Relationship Id="rId8298" Type="http://schemas.openxmlformats.org/officeDocument/2006/relationships/hyperlink" Target="http://www.linkedin.com/pub/will-oliver/0/174/9B6" TargetMode="External"/><Relationship Id="rId8297" Type="http://schemas.openxmlformats.org/officeDocument/2006/relationships/hyperlink" Target="http://www.linkedin.com/pub/montserrat-morales/7/69B/274" TargetMode="External"/><Relationship Id="rId8296" Type="http://schemas.openxmlformats.org/officeDocument/2006/relationships/hyperlink" Target="http://www.linkedin.com/pub/steve-werner/11/878/856" TargetMode="External"/><Relationship Id="rId2148" Type="http://schemas.openxmlformats.org/officeDocument/2006/relationships/hyperlink" Target="http://www.linkedin.com/in/veerallakhani" TargetMode="External"/><Relationship Id="rId2149" Type="http://schemas.openxmlformats.org/officeDocument/2006/relationships/hyperlink" Target="http://www.linkedin.com/in/ramvedantham" TargetMode="External"/><Relationship Id="rId3479" Type="http://schemas.openxmlformats.org/officeDocument/2006/relationships/hyperlink" Target="http://ar.linkedin.com/in/maximodeambrosi" TargetMode="External"/><Relationship Id="rId3470" Type="http://schemas.openxmlformats.org/officeDocument/2006/relationships/hyperlink" Target="http://ar.linkedin.com/pub/claudio-juan-c-salazar/1B/733/B14" TargetMode="External"/><Relationship Id="rId2140" Type="http://schemas.openxmlformats.org/officeDocument/2006/relationships/hyperlink" Target="http://www.linkedin.com/in/laurenjwheeler" TargetMode="External"/><Relationship Id="rId3472" Type="http://schemas.openxmlformats.org/officeDocument/2006/relationships/hyperlink" Target="http://ar.linkedin.com/pub/luz-illescas/7/145/581" TargetMode="External"/><Relationship Id="rId2141" Type="http://schemas.openxmlformats.org/officeDocument/2006/relationships/hyperlink" Target="http://www.linkedin.com/pub/luciana-janoni/29/59B/11A" TargetMode="External"/><Relationship Id="rId3471" Type="http://schemas.openxmlformats.org/officeDocument/2006/relationships/hyperlink" Target="http://ar.linkedin.com/in/luiseduardolanziani" TargetMode="External"/><Relationship Id="rId2142" Type="http://schemas.openxmlformats.org/officeDocument/2006/relationships/hyperlink" Target="http://www.linkedin.com/in/emailmarketingstrategy" TargetMode="External"/><Relationship Id="rId3474" Type="http://schemas.openxmlformats.org/officeDocument/2006/relationships/hyperlink" Target="http://ar.linkedin.com/pub/teresita-berardi/8/3A4/B46" TargetMode="External"/><Relationship Id="rId2143" Type="http://schemas.openxmlformats.org/officeDocument/2006/relationships/hyperlink" Target="http://www.linkedin.com/pub/veronica-kimura/27/534/275" TargetMode="External"/><Relationship Id="rId3473" Type="http://schemas.openxmlformats.org/officeDocument/2006/relationships/hyperlink" Target="http://ar.linkedin.com/in/ezequielardigo" TargetMode="External"/><Relationship Id="rId2144" Type="http://schemas.openxmlformats.org/officeDocument/2006/relationships/hyperlink" Target="http://www.linkedin.com/in/brookschristopher" TargetMode="External"/><Relationship Id="rId3476" Type="http://schemas.openxmlformats.org/officeDocument/2006/relationships/hyperlink" Target="http://ar.linkedin.com/in/joeldq" TargetMode="External"/><Relationship Id="rId2145" Type="http://schemas.openxmlformats.org/officeDocument/2006/relationships/hyperlink" Target="http://br.linkedin.com/pub/domingos-alterio/29/75A/370" TargetMode="External"/><Relationship Id="rId3475" Type="http://schemas.openxmlformats.org/officeDocument/2006/relationships/hyperlink" Target="http://ar.linkedin.com/in/lmandia" TargetMode="External"/><Relationship Id="rId2146" Type="http://schemas.openxmlformats.org/officeDocument/2006/relationships/hyperlink" Target="http://br.linkedin.com/pub/marina-b-menezes-de-lima/29/79A/5" TargetMode="External"/><Relationship Id="rId3478" Type="http://schemas.openxmlformats.org/officeDocument/2006/relationships/hyperlink" Target="http://www.linkedin.com/in/warrenlavoie" TargetMode="External"/><Relationship Id="rId2147" Type="http://schemas.openxmlformats.org/officeDocument/2006/relationships/hyperlink" Target="http://br.linkedin.com/pub/rodolfo-marques-monegatto/29/801/A5A" TargetMode="External"/><Relationship Id="rId3477" Type="http://schemas.openxmlformats.org/officeDocument/2006/relationships/hyperlink" Target="http://ar.linkedin.com/pub/gabriel-langdon/5/22A/901" TargetMode="External"/><Relationship Id="rId2137" Type="http://schemas.openxmlformats.org/officeDocument/2006/relationships/hyperlink" Target="http://www.linkedin.com/pub/brandi-paik/14/8A0/2B3" TargetMode="External"/><Relationship Id="rId3469" Type="http://schemas.openxmlformats.org/officeDocument/2006/relationships/hyperlink" Target="http://www.linkedin.com/pub/gustavo-dawidiuk/5/675/179" TargetMode="External"/><Relationship Id="rId2138" Type="http://schemas.openxmlformats.org/officeDocument/2006/relationships/hyperlink" Target="http://ca.linkedin.com/in/russbuchanan" TargetMode="External"/><Relationship Id="rId3468" Type="http://schemas.openxmlformats.org/officeDocument/2006/relationships/hyperlink" Target="http://www.linkedin.com/pub/diego-waingortin/0/453/273" TargetMode="External"/><Relationship Id="rId4799" Type="http://schemas.openxmlformats.org/officeDocument/2006/relationships/hyperlink" Target="https://www.linkedin.com/in/lucasbarrientos" TargetMode="External"/><Relationship Id="rId2139" Type="http://schemas.openxmlformats.org/officeDocument/2006/relationships/hyperlink" Target="http://www.linkedin.com/in/hillstreetstudios" TargetMode="External"/><Relationship Id="rId4790" Type="http://schemas.openxmlformats.org/officeDocument/2006/relationships/hyperlink" Target="http://ar.linkedin.com/pub/martin-chanampa/A/5A6/41" TargetMode="External"/><Relationship Id="rId3461" Type="http://schemas.openxmlformats.org/officeDocument/2006/relationships/hyperlink" Target="http://ar.linkedin.com/pub/natalia-rinc%C3%B3n/A/AA8/BB6" TargetMode="External"/><Relationship Id="rId4792" Type="http://schemas.openxmlformats.org/officeDocument/2006/relationships/hyperlink" Target="http://www.linkedin.com/pub/pepo-bianciotto/11/a43/b32" TargetMode="External"/><Relationship Id="rId2130" Type="http://schemas.openxmlformats.org/officeDocument/2006/relationships/hyperlink" Target="http://www.linkedin.com/in/arnellmilhouse" TargetMode="External"/><Relationship Id="rId3460" Type="http://schemas.openxmlformats.org/officeDocument/2006/relationships/hyperlink" Target="http://ar.linkedin.com/pub/lucio-elvira/25/974/611" TargetMode="External"/><Relationship Id="rId4791" Type="http://schemas.openxmlformats.org/officeDocument/2006/relationships/hyperlink" Target="http://ar.linkedin.com/pub/elias-vicente/21/505/5A5" TargetMode="External"/><Relationship Id="rId2131" Type="http://schemas.openxmlformats.org/officeDocument/2006/relationships/hyperlink" Target="http://www.linkedin.com/pub/kim-donaldson/4/3AB/442" TargetMode="External"/><Relationship Id="rId3463" Type="http://schemas.openxmlformats.org/officeDocument/2006/relationships/hyperlink" Target="http://ar.linkedin.com/in/alejandraborgese" TargetMode="External"/><Relationship Id="rId4794" Type="http://schemas.openxmlformats.org/officeDocument/2006/relationships/hyperlink" Target="http://ar.linkedin.com/in/paolabraier" TargetMode="External"/><Relationship Id="rId2132" Type="http://schemas.openxmlformats.org/officeDocument/2006/relationships/hyperlink" Target="http://www.linkedin.com/pub/brian-quirion/1/810/237" TargetMode="External"/><Relationship Id="rId3462" Type="http://schemas.openxmlformats.org/officeDocument/2006/relationships/hyperlink" Target="http://ar.linkedin.com/in/arielurcola" TargetMode="External"/><Relationship Id="rId4793" Type="http://schemas.openxmlformats.org/officeDocument/2006/relationships/hyperlink" Target="http://ar.linkedin.com/in/marcosr" TargetMode="External"/><Relationship Id="rId2133" Type="http://schemas.openxmlformats.org/officeDocument/2006/relationships/hyperlink" Target="http://www.linkedin.com/in/elmereubanks" TargetMode="External"/><Relationship Id="rId3465" Type="http://schemas.openxmlformats.org/officeDocument/2006/relationships/hyperlink" Target="http://ar.linkedin.com/pub/jorge-lobos/13/85/729" TargetMode="External"/><Relationship Id="rId4796" Type="http://schemas.openxmlformats.org/officeDocument/2006/relationships/hyperlink" Target="http://ar.linkedin.com/pub/hern-n-franco/3/215/A73" TargetMode="External"/><Relationship Id="rId2134" Type="http://schemas.openxmlformats.org/officeDocument/2006/relationships/hyperlink" Target="http://www.linkedin.com/pub/joe-kulesa/4/A56/842" TargetMode="External"/><Relationship Id="rId3464" Type="http://schemas.openxmlformats.org/officeDocument/2006/relationships/hyperlink" Target="http://ar.linkedin.com/pub/federico-mackintosh/0/A53/54B" TargetMode="External"/><Relationship Id="rId4795" Type="http://schemas.openxmlformats.org/officeDocument/2006/relationships/hyperlink" Target="http://ar.linkedin.com/in/rafaelgiovagnoli" TargetMode="External"/><Relationship Id="rId2135" Type="http://schemas.openxmlformats.org/officeDocument/2006/relationships/hyperlink" Target="http://www.linkedin.com/pub/eddy-m-micich-emicich-at-gmail-com/5/326/26" TargetMode="External"/><Relationship Id="rId3467" Type="http://schemas.openxmlformats.org/officeDocument/2006/relationships/hyperlink" Target="http://www.linkedin.com/in/ezelopez" TargetMode="External"/><Relationship Id="rId4798" Type="http://schemas.openxmlformats.org/officeDocument/2006/relationships/hyperlink" Target="http://ar.linkedin.com/pub/guillermo-compumundo/1A/840/195" TargetMode="External"/><Relationship Id="rId2136" Type="http://schemas.openxmlformats.org/officeDocument/2006/relationships/hyperlink" Target="http://www.linkedin.com/in/jilllazar" TargetMode="External"/><Relationship Id="rId3466" Type="http://schemas.openxmlformats.org/officeDocument/2006/relationships/hyperlink" Target="http://ar.linkedin.com/in/hectorzunino" TargetMode="External"/><Relationship Id="rId4797" Type="http://schemas.openxmlformats.org/officeDocument/2006/relationships/hyperlink" Target="http://www.linkedin.com/pub/teresita-bellesi/23/619/969" TargetMode="External"/><Relationship Id="rId3490" Type="http://schemas.openxmlformats.org/officeDocument/2006/relationships/hyperlink" Target="http://ar.linkedin.com/pub/daniel-sacks/0/661/448" TargetMode="External"/><Relationship Id="rId2160" Type="http://schemas.openxmlformats.org/officeDocument/2006/relationships/hyperlink" Target="http://www.linkedin.com/in/rickcrass" TargetMode="External"/><Relationship Id="rId3492" Type="http://schemas.openxmlformats.org/officeDocument/2006/relationships/hyperlink" Target="http://www.linkedin.com/pub/rolando-genga/14/465/b1a" TargetMode="External"/><Relationship Id="rId2161" Type="http://schemas.openxmlformats.org/officeDocument/2006/relationships/hyperlink" Target="http://www.linkedin.com/pub/steve-baskowski-cpc/4/3a5/5a3" TargetMode="External"/><Relationship Id="rId3491" Type="http://schemas.openxmlformats.org/officeDocument/2006/relationships/hyperlink" Target="http://ar.linkedin.com/pub/diego-oyola/9/328/650" TargetMode="External"/><Relationship Id="rId2162" Type="http://schemas.openxmlformats.org/officeDocument/2006/relationships/hyperlink" Target="http://br.linkedin.com/pub/daniele-silva/2A/756/968" TargetMode="External"/><Relationship Id="rId3494" Type="http://schemas.openxmlformats.org/officeDocument/2006/relationships/hyperlink" Target="http://ar.linkedin.com/pub/cynthia-corn/7/B74/117" TargetMode="External"/><Relationship Id="rId2163" Type="http://schemas.openxmlformats.org/officeDocument/2006/relationships/hyperlink" Target="http://www.linkedin.com/in/halspice" TargetMode="External"/><Relationship Id="rId3493" Type="http://schemas.openxmlformats.org/officeDocument/2006/relationships/hyperlink" Target="http://ar.linkedin.com/pub/leonardo-gimeno/B/103/94B" TargetMode="External"/><Relationship Id="rId2164" Type="http://schemas.openxmlformats.org/officeDocument/2006/relationships/hyperlink" Target="http://uk.linkedin.com/in/jayladva" TargetMode="External"/><Relationship Id="rId3496" Type="http://schemas.openxmlformats.org/officeDocument/2006/relationships/hyperlink" Target="http://ar.linkedin.com/pub/fernando-mastrolembo/24/198/229" TargetMode="External"/><Relationship Id="rId2165" Type="http://schemas.openxmlformats.org/officeDocument/2006/relationships/hyperlink" Target="http://www.linkedin.com/in/joesaad" TargetMode="External"/><Relationship Id="rId3495" Type="http://schemas.openxmlformats.org/officeDocument/2006/relationships/hyperlink" Target="http://ar.linkedin.com/pub/gabriela-urrunaga/A/508/626" TargetMode="External"/><Relationship Id="rId2166" Type="http://schemas.openxmlformats.org/officeDocument/2006/relationships/hyperlink" Target="http://br.linkedin.com/pub/diego-aureliano/29/5B7/B88" TargetMode="External"/><Relationship Id="rId3498" Type="http://schemas.openxmlformats.org/officeDocument/2006/relationships/hyperlink" Target="http://ar.linkedin.com/in/hernanbatiluschi" TargetMode="External"/><Relationship Id="rId2167" Type="http://schemas.openxmlformats.org/officeDocument/2006/relationships/hyperlink" Target="http://www.linkedin.com/pub/thawyo-rosenthal/21/983/618" TargetMode="External"/><Relationship Id="rId3497" Type="http://schemas.openxmlformats.org/officeDocument/2006/relationships/hyperlink" Target="http://ar.linkedin.com/pub/daniel-espinosa/1A/86/965" TargetMode="External"/><Relationship Id="rId2168" Type="http://schemas.openxmlformats.org/officeDocument/2006/relationships/hyperlink" Target="http://www.linkedin.com/in/douglascsmith" TargetMode="External"/><Relationship Id="rId2169" Type="http://schemas.openxmlformats.org/officeDocument/2006/relationships/hyperlink" Target="http://www.linkedin.com/pub/daniel-dunn/19/934/A41" TargetMode="External"/><Relationship Id="rId3499" Type="http://schemas.openxmlformats.org/officeDocument/2006/relationships/hyperlink" Target="http://ar.linkedin.com/pub/fernando-herrera/1/691/207" TargetMode="External"/><Relationship Id="rId2159" Type="http://schemas.openxmlformats.org/officeDocument/2006/relationships/hyperlink" Target="http://www.linkedin.com/pub/alexander-lurie/2/40B/373" TargetMode="External"/><Relationship Id="rId3481" Type="http://schemas.openxmlformats.org/officeDocument/2006/relationships/hyperlink" Target="http://www.linkedin.com/pub/federico-luzzani/21/603/4" TargetMode="External"/><Relationship Id="rId2150" Type="http://schemas.openxmlformats.org/officeDocument/2006/relationships/hyperlink" Target="http://www.linkedin.com/pub/richard-ungar/0/145/90A" TargetMode="External"/><Relationship Id="rId3480" Type="http://schemas.openxmlformats.org/officeDocument/2006/relationships/hyperlink" Target="http://ar.linkedin.com/pub/enrique-raboy/22/89A/955" TargetMode="External"/><Relationship Id="rId2151" Type="http://schemas.openxmlformats.org/officeDocument/2006/relationships/hyperlink" Target="http://br.linkedin.com/pub/paulo-converso/29/A92/A1B" TargetMode="External"/><Relationship Id="rId3483" Type="http://schemas.openxmlformats.org/officeDocument/2006/relationships/hyperlink" Target="http://ar.linkedin.com/in/pedrolucianodiaz" TargetMode="External"/><Relationship Id="rId2152" Type="http://schemas.openxmlformats.org/officeDocument/2006/relationships/hyperlink" Target="http://www.linkedin.com/in/lindamerill" TargetMode="External"/><Relationship Id="rId3482" Type="http://schemas.openxmlformats.org/officeDocument/2006/relationships/hyperlink" Target="http://ar.linkedin.com/in/vfoyedo" TargetMode="External"/><Relationship Id="rId2153" Type="http://schemas.openxmlformats.org/officeDocument/2006/relationships/hyperlink" Target="http://br.linkedin.com/pub/patricia-torrente/29/B54/A0" TargetMode="External"/><Relationship Id="rId3485" Type="http://schemas.openxmlformats.org/officeDocument/2006/relationships/hyperlink" Target="http://ar.linkedin.com/pub/rodrigo-vazquez/15/445/4A1" TargetMode="External"/><Relationship Id="rId2154" Type="http://schemas.openxmlformats.org/officeDocument/2006/relationships/hyperlink" Target="http://br.linkedin.com/pub/ricardo-santana/2A/47/56A" TargetMode="External"/><Relationship Id="rId3484" Type="http://schemas.openxmlformats.org/officeDocument/2006/relationships/hyperlink" Target="http://ar.linkedin.com/in/javieranso" TargetMode="External"/><Relationship Id="rId2155" Type="http://schemas.openxmlformats.org/officeDocument/2006/relationships/hyperlink" Target="http://br.linkedin.com/pub/emerson-castro-pereira/2A/2A3/925" TargetMode="External"/><Relationship Id="rId3487" Type="http://schemas.openxmlformats.org/officeDocument/2006/relationships/hyperlink" Target="http://www.linkedin.com/pub/pablo-gustavo-zavalla/28/23a/504" TargetMode="External"/><Relationship Id="rId2156" Type="http://schemas.openxmlformats.org/officeDocument/2006/relationships/hyperlink" Target="http://br.linkedin.com/pub/agnaldo-moreira/2A/2BB/2B0" TargetMode="External"/><Relationship Id="rId3486" Type="http://schemas.openxmlformats.org/officeDocument/2006/relationships/hyperlink" Target="http://ar.linkedin.com/pub/nicolas-ursino/12/653/875" TargetMode="External"/><Relationship Id="rId2157" Type="http://schemas.openxmlformats.org/officeDocument/2006/relationships/hyperlink" Target="http://www.linkedin.com/pub/michael-santorini/11/380/901" TargetMode="External"/><Relationship Id="rId3489" Type="http://schemas.openxmlformats.org/officeDocument/2006/relationships/hyperlink" Target="http://www.linkedin.com/pub/sebasti%C3%A1n-montone/23/a21/94b" TargetMode="External"/><Relationship Id="rId2158" Type="http://schemas.openxmlformats.org/officeDocument/2006/relationships/hyperlink" Target="http://www.linkedin.com/in/sachinnimonkar" TargetMode="External"/><Relationship Id="rId3488" Type="http://schemas.openxmlformats.org/officeDocument/2006/relationships/hyperlink" Target="http://ar.linkedin.com/in/paolostancato" TargetMode="External"/><Relationship Id="rId2104" Type="http://schemas.openxmlformats.org/officeDocument/2006/relationships/hyperlink" Target="http://uk.linkedin.com/pub/sophie-rogers/3/9B/178" TargetMode="External"/><Relationship Id="rId3436" Type="http://schemas.openxmlformats.org/officeDocument/2006/relationships/hyperlink" Target="http://ar.linkedin.com/pub/daniel-miyagi/29/80A/9A8" TargetMode="External"/><Relationship Id="rId4767" Type="http://schemas.openxmlformats.org/officeDocument/2006/relationships/hyperlink" Target="http://ar.linkedin.com/in/agandara" TargetMode="External"/><Relationship Id="rId2105" Type="http://schemas.openxmlformats.org/officeDocument/2006/relationships/hyperlink" Target="http://www.linkedin.com/pub/ley-jackson/9/367/59A" TargetMode="External"/><Relationship Id="rId3435" Type="http://schemas.openxmlformats.org/officeDocument/2006/relationships/hyperlink" Target="http://ar.linkedin.com/in/gonzaloserangelo" TargetMode="External"/><Relationship Id="rId4766" Type="http://schemas.openxmlformats.org/officeDocument/2006/relationships/hyperlink" Target="http://www.linkedin.com/in/marielsalasbort" TargetMode="External"/><Relationship Id="rId2106" Type="http://schemas.openxmlformats.org/officeDocument/2006/relationships/hyperlink" Target="http://uk.linkedin.com/pub/gary-sharp/3/144/313" TargetMode="External"/><Relationship Id="rId3438" Type="http://schemas.openxmlformats.org/officeDocument/2006/relationships/hyperlink" Target="http://ar.linkedin.com/pub/daniel-papatino/A/992/25" TargetMode="External"/><Relationship Id="rId4769" Type="http://schemas.openxmlformats.org/officeDocument/2006/relationships/hyperlink" Target="http://www.linkedin.com/pub/luciano-paluci/14/b3b/aa0" TargetMode="External"/><Relationship Id="rId2107" Type="http://schemas.openxmlformats.org/officeDocument/2006/relationships/hyperlink" Target="http://www.linkedin.com/in/rickprobstein" TargetMode="External"/><Relationship Id="rId3437" Type="http://schemas.openxmlformats.org/officeDocument/2006/relationships/hyperlink" Target="http://www.linkedin.com/pub/guillermo-preda/1/a7b/b75" TargetMode="External"/><Relationship Id="rId4768" Type="http://schemas.openxmlformats.org/officeDocument/2006/relationships/hyperlink" Target="http://ar.linkedin.com/pub/mar%C3%ADa-paz-del-rio/A/12B/891" TargetMode="External"/><Relationship Id="rId2108" Type="http://schemas.openxmlformats.org/officeDocument/2006/relationships/hyperlink" Target="http://www.linkedin.com/pub/kevin-doyle/9/487/4B4" TargetMode="External"/><Relationship Id="rId2109" Type="http://schemas.openxmlformats.org/officeDocument/2006/relationships/hyperlink" Target="http://www.linkedin.com/pub/sander-pomper/1/279/9B3" TargetMode="External"/><Relationship Id="rId3439" Type="http://schemas.openxmlformats.org/officeDocument/2006/relationships/hyperlink" Target="http://ar.linkedin.com/in/davidarielmermelstein" TargetMode="External"/><Relationship Id="rId3430" Type="http://schemas.openxmlformats.org/officeDocument/2006/relationships/hyperlink" Target="http://www.linkedin.com/pub/eduardo-souza/0/2B3/634" TargetMode="External"/><Relationship Id="rId4761" Type="http://schemas.openxmlformats.org/officeDocument/2006/relationships/hyperlink" Target="http://ar.linkedin.com/pub/mariano-andres-llanos-tomasini/12/5A3/AA4" TargetMode="External"/><Relationship Id="rId4760" Type="http://schemas.openxmlformats.org/officeDocument/2006/relationships/hyperlink" Target="http://ar.linkedin.com/in/mariaines" TargetMode="External"/><Relationship Id="rId2100" Type="http://schemas.openxmlformats.org/officeDocument/2006/relationships/hyperlink" Target="http://www.linkedin.com/in/jasonmhall" TargetMode="External"/><Relationship Id="rId3432" Type="http://schemas.openxmlformats.org/officeDocument/2006/relationships/hyperlink" Target="http://www.linkedin.com/in/jeppedorff" TargetMode="External"/><Relationship Id="rId4763" Type="http://schemas.openxmlformats.org/officeDocument/2006/relationships/hyperlink" Target="http://www.linkedin.com/pub/ana-clara-fari%C3%B1a/25/3a6/a32" TargetMode="External"/><Relationship Id="rId2101" Type="http://schemas.openxmlformats.org/officeDocument/2006/relationships/hyperlink" Target="http://ca.linkedin.com/in/francisdion" TargetMode="External"/><Relationship Id="rId3431" Type="http://schemas.openxmlformats.org/officeDocument/2006/relationships/hyperlink" Target="http://www.linkedin.com/pub/albert-comas/0/6B4/507" TargetMode="External"/><Relationship Id="rId4762" Type="http://schemas.openxmlformats.org/officeDocument/2006/relationships/hyperlink" Target="http://www.linkedin.com/pub/limoncelli-barbara/14/429/882" TargetMode="External"/><Relationship Id="rId2102" Type="http://schemas.openxmlformats.org/officeDocument/2006/relationships/hyperlink" Target="http://www.linkedin.com/in/carolynsimi" TargetMode="External"/><Relationship Id="rId3434" Type="http://schemas.openxmlformats.org/officeDocument/2006/relationships/hyperlink" Target="http://ar.linkedin.com/pub/guillermo-eduardo-meresman/21/B19/739" TargetMode="External"/><Relationship Id="rId4765" Type="http://schemas.openxmlformats.org/officeDocument/2006/relationships/hyperlink" Target="http://ar.linkedin.com/pub/mercedes-miletti/26/473/86B" TargetMode="External"/><Relationship Id="rId2103" Type="http://schemas.openxmlformats.org/officeDocument/2006/relationships/hyperlink" Target="http://www.linkedin.com/in/rodneycummings" TargetMode="External"/><Relationship Id="rId3433" Type="http://schemas.openxmlformats.org/officeDocument/2006/relationships/hyperlink" Target="http://ar.linkedin.com/in/gerardonaidichpmp" TargetMode="External"/><Relationship Id="rId4764" Type="http://schemas.openxmlformats.org/officeDocument/2006/relationships/hyperlink" Target="http://ar.linkedin.com/in/marcelocapurro" TargetMode="External"/><Relationship Id="rId3425" Type="http://schemas.openxmlformats.org/officeDocument/2006/relationships/hyperlink" Target="http://ar.linkedin.com/pub/gerardo-andreucci/1/293/69" TargetMode="External"/><Relationship Id="rId4756" Type="http://schemas.openxmlformats.org/officeDocument/2006/relationships/hyperlink" Target="http://ar.linkedin.com/in/sandraromerovanguardia" TargetMode="External"/><Relationship Id="rId3424" Type="http://schemas.openxmlformats.org/officeDocument/2006/relationships/hyperlink" Target="http://ar.linkedin.com/pub/magal%C3%AD-liberjen/26/243/725" TargetMode="External"/><Relationship Id="rId4755" Type="http://schemas.openxmlformats.org/officeDocument/2006/relationships/hyperlink" Target="http://ar.linkedin.com/pub/ines-chemello/A/A40/968" TargetMode="External"/><Relationship Id="rId3427" Type="http://schemas.openxmlformats.org/officeDocument/2006/relationships/hyperlink" Target="http://www.linkedin.com/in/luiswongcampos" TargetMode="External"/><Relationship Id="rId4758" Type="http://schemas.openxmlformats.org/officeDocument/2006/relationships/hyperlink" Target="http://ar.linkedin.com/pub/lorena-nanni/15/792/656" TargetMode="External"/><Relationship Id="rId3426" Type="http://schemas.openxmlformats.org/officeDocument/2006/relationships/hyperlink" Target="http://ar.linkedin.com/in/shoshin" TargetMode="External"/><Relationship Id="rId4757" Type="http://schemas.openxmlformats.org/officeDocument/2006/relationships/hyperlink" Target="http://ar.linkedin.com/pub/fernando-forti/10/73B/757" TargetMode="External"/><Relationship Id="rId3429" Type="http://schemas.openxmlformats.org/officeDocument/2006/relationships/hyperlink" Target="http://uk.linkedin.com/pub/felipe-gamboa-alves-da-costa/B/BB2/117" TargetMode="External"/><Relationship Id="rId3428" Type="http://schemas.openxmlformats.org/officeDocument/2006/relationships/hyperlink" Target="http://www.linkedin.com/in/lucienc" TargetMode="External"/><Relationship Id="rId4759" Type="http://schemas.openxmlformats.org/officeDocument/2006/relationships/hyperlink" Target="http://ar.linkedin.com/pub/marcelo-abate/1/91A/8B8" TargetMode="External"/><Relationship Id="rId4750" Type="http://schemas.openxmlformats.org/officeDocument/2006/relationships/hyperlink" Target="http://www.linkedin.com/pub/luis-robbio/1/380/48a" TargetMode="External"/><Relationship Id="rId3421" Type="http://schemas.openxmlformats.org/officeDocument/2006/relationships/hyperlink" Target="http://ar.linkedin.com/pub/gabriela-carla-bot/9/B9/883" TargetMode="External"/><Relationship Id="rId4752" Type="http://schemas.openxmlformats.org/officeDocument/2006/relationships/hyperlink" Target="http://ar.linkedin.com/pub/fabian-costallat/0/256/918" TargetMode="External"/><Relationship Id="rId3420" Type="http://schemas.openxmlformats.org/officeDocument/2006/relationships/hyperlink" Target="http://www.linkedin.com/pub/silvina-mariel-molina/14/792/1b7" TargetMode="External"/><Relationship Id="rId4751" Type="http://schemas.openxmlformats.org/officeDocument/2006/relationships/hyperlink" Target="http://ar.linkedin.com/pub/elizabeth-albornoz/5/9B3/696" TargetMode="External"/><Relationship Id="rId3423" Type="http://schemas.openxmlformats.org/officeDocument/2006/relationships/hyperlink" Target="http://ar.linkedin.com/in/christianbmt" TargetMode="External"/><Relationship Id="rId4754" Type="http://schemas.openxmlformats.org/officeDocument/2006/relationships/hyperlink" Target="http://ar.linkedin.com/in/fernandododino" TargetMode="External"/><Relationship Id="rId3422" Type="http://schemas.openxmlformats.org/officeDocument/2006/relationships/hyperlink" Target="http://ar.linkedin.com/in/adrianemartinez" TargetMode="External"/><Relationship Id="rId4753" Type="http://schemas.openxmlformats.org/officeDocument/2006/relationships/hyperlink" Target="http://ar.linkedin.com/in/eduardogalindo" TargetMode="External"/><Relationship Id="rId2126" Type="http://schemas.openxmlformats.org/officeDocument/2006/relationships/hyperlink" Target="http://www.linkedin.com/in/amyjblack" TargetMode="External"/><Relationship Id="rId3458" Type="http://schemas.openxmlformats.org/officeDocument/2006/relationships/hyperlink" Target="http://ar.linkedin.com/pub/gustavo-wallace/2/248/7B2" TargetMode="External"/><Relationship Id="rId4789" Type="http://schemas.openxmlformats.org/officeDocument/2006/relationships/hyperlink" Target="http://www.linkedin.com/pub/gaston-bluvol/22/832/326" TargetMode="External"/><Relationship Id="rId2127" Type="http://schemas.openxmlformats.org/officeDocument/2006/relationships/hyperlink" Target="http://www.linkedin.com/pub/vicki-pollman/5/556/227" TargetMode="External"/><Relationship Id="rId3457" Type="http://schemas.openxmlformats.org/officeDocument/2006/relationships/hyperlink" Target="http://www.linkedin.com/in/davidpeces" TargetMode="External"/><Relationship Id="rId4788" Type="http://schemas.openxmlformats.org/officeDocument/2006/relationships/hyperlink" Target="http://ar.linkedin.com/pub/joaquin-mantoni/7/397/674" TargetMode="External"/><Relationship Id="rId2128" Type="http://schemas.openxmlformats.org/officeDocument/2006/relationships/hyperlink" Target="http://www.linkedin.com/in/robertzadotti" TargetMode="External"/><Relationship Id="rId2129" Type="http://schemas.openxmlformats.org/officeDocument/2006/relationships/hyperlink" Target="http://www.linkedin.com/pub/vadim-geshel/0/8/584" TargetMode="External"/><Relationship Id="rId3459" Type="http://schemas.openxmlformats.org/officeDocument/2006/relationships/hyperlink" Target="http://ar.linkedin.com/pub/federico-caminos/0/406/7A5" TargetMode="External"/><Relationship Id="rId3450" Type="http://schemas.openxmlformats.org/officeDocument/2006/relationships/hyperlink" Target="http://ar.linkedin.com/in/leonardoantoniocosta" TargetMode="External"/><Relationship Id="rId4781" Type="http://schemas.openxmlformats.org/officeDocument/2006/relationships/hyperlink" Target="http://ar.linkedin.com/pub/juan-pablo-arag%C3%B3n/25/18A/12" TargetMode="External"/><Relationship Id="rId4780" Type="http://schemas.openxmlformats.org/officeDocument/2006/relationships/hyperlink" Target="http://ar.linkedin.com/pub/valeria-rodr%C3%ADguez-pardal/3/958/233" TargetMode="External"/><Relationship Id="rId2120" Type="http://schemas.openxmlformats.org/officeDocument/2006/relationships/hyperlink" Target="http://uk.linkedin.com/in/juliengargowitsch" TargetMode="External"/><Relationship Id="rId3452" Type="http://schemas.openxmlformats.org/officeDocument/2006/relationships/hyperlink" Target="http://ar.linkedin.com/pub/c-sar-esteban-rossi/A/574/854" TargetMode="External"/><Relationship Id="rId4783" Type="http://schemas.openxmlformats.org/officeDocument/2006/relationships/hyperlink" Target="http://www.linkedin.com/pub/torcuato-mur/5/483/48a" TargetMode="External"/><Relationship Id="rId2121" Type="http://schemas.openxmlformats.org/officeDocument/2006/relationships/hyperlink" Target="http://www.linkedin.com/pub/john-byxbee/8/617/2B2" TargetMode="External"/><Relationship Id="rId3451" Type="http://schemas.openxmlformats.org/officeDocument/2006/relationships/hyperlink" Target="http://ar.linkedin.com/pub/gonzalo-p-rez/A/775/478" TargetMode="External"/><Relationship Id="rId4782" Type="http://schemas.openxmlformats.org/officeDocument/2006/relationships/hyperlink" Target="http://ar.linkedin.com/in/marcos7amoroso" TargetMode="External"/><Relationship Id="rId2122" Type="http://schemas.openxmlformats.org/officeDocument/2006/relationships/hyperlink" Target="http://www.linkedin.com/pub/ron-hoffman/8/642/11B" TargetMode="External"/><Relationship Id="rId3454" Type="http://schemas.openxmlformats.org/officeDocument/2006/relationships/hyperlink" Target="http://www.linkedin.com/pub/fernando-gustavo-iglesias/30/532/50b" TargetMode="External"/><Relationship Id="rId4785" Type="http://schemas.openxmlformats.org/officeDocument/2006/relationships/hyperlink" Target="http://ar.linkedin.com/pub/helio-carneiro/22/130/641" TargetMode="External"/><Relationship Id="rId2123" Type="http://schemas.openxmlformats.org/officeDocument/2006/relationships/hyperlink" Target="http://www.linkedin.com/in/jamescgreen" TargetMode="External"/><Relationship Id="rId3453" Type="http://schemas.openxmlformats.org/officeDocument/2006/relationships/hyperlink" Target="http://www.linkedin.com/pub/carlos-cagnani/6/b94/571" TargetMode="External"/><Relationship Id="rId4784" Type="http://schemas.openxmlformats.org/officeDocument/2006/relationships/hyperlink" Target="http://ar.linkedin.com/in/emiliomallia" TargetMode="External"/><Relationship Id="rId2124" Type="http://schemas.openxmlformats.org/officeDocument/2006/relationships/hyperlink" Target="http://www.linkedin.com/in/calebelston" TargetMode="External"/><Relationship Id="rId3456" Type="http://schemas.openxmlformats.org/officeDocument/2006/relationships/hyperlink" Target="http://ar.linkedin.com/in/mmammarelli" TargetMode="External"/><Relationship Id="rId4787" Type="http://schemas.openxmlformats.org/officeDocument/2006/relationships/hyperlink" Target="http://ar.linkedin.com/in/lucianajuarez" TargetMode="External"/><Relationship Id="rId2125" Type="http://schemas.openxmlformats.org/officeDocument/2006/relationships/hyperlink" Target="http://nl.linkedin.com/pub/andre-meer-van-der/3/122/2BA" TargetMode="External"/><Relationship Id="rId3455" Type="http://schemas.openxmlformats.org/officeDocument/2006/relationships/hyperlink" Target="http://ar.linkedin.com/in/maximoreffino" TargetMode="External"/><Relationship Id="rId4786" Type="http://schemas.openxmlformats.org/officeDocument/2006/relationships/hyperlink" Target="http://www.linkedin.com/pub/flavio-derito/1/24/92" TargetMode="External"/><Relationship Id="rId2115" Type="http://schemas.openxmlformats.org/officeDocument/2006/relationships/hyperlink" Target="http://www.linkedin.com/pub/richard-bodien/0/1A2/A57" TargetMode="External"/><Relationship Id="rId3447" Type="http://schemas.openxmlformats.org/officeDocument/2006/relationships/hyperlink" Target="http://www.linkedin.com/pub/gustavo-hernan-arzamendia/18/337/586" TargetMode="External"/><Relationship Id="rId4778" Type="http://schemas.openxmlformats.org/officeDocument/2006/relationships/hyperlink" Target="http://ar.linkedin.com/in/sebalorenzatti" TargetMode="External"/><Relationship Id="rId2116" Type="http://schemas.openxmlformats.org/officeDocument/2006/relationships/hyperlink" Target="http://www.linkedin.com/in/iwheaton" TargetMode="External"/><Relationship Id="rId3446" Type="http://schemas.openxmlformats.org/officeDocument/2006/relationships/hyperlink" Target="http://ar.linkedin.com/pub/pablo-lima/9/326/986" TargetMode="External"/><Relationship Id="rId4777" Type="http://schemas.openxmlformats.org/officeDocument/2006/relationships/hyperlink" Target="http://ar.linkedin.com/in/agustinvidal" TargetMode="External"/><Relationship Id="rId2117" Type="http://schemas.openxmlformats.org/officeDocument/2006/relationships/hyperlink" Target="http://www.linkedin.com/in/johncharrison" TargetMode="External"/><Relationship Id="rId3449" Type="http://schemas.openxmlformats.org/officeDocument/2006/relationships/hyperlink" Target="http://www.linkedin.com/pub/sabrina-labandeira/29/770/384" TargetMode="External"/><Relationship Id="rId2118" Type="http://schemas.openxmlformats.org/officeDocument/2006/relationships/hyperlink" Target="http://www.linkedin.com/pub/andrew-lam/0/50/894" TargetMode="External"/><Relationship Id="rId3448" Type="http://schemas.openxmlformats.org/officeDocument/2006/relationships/hyperlink" Target="http://ar.linkedin.com/pub/leonardo-la-porta/17/775/7A5" TargetMode="External"/><Relationship Id="rId4779" Type="http://schemas.openxmlformats.org/officeDocument/2006/relationships/hyperlink" Target="http://ar.linkedin.com/pub/marcela-salzberg/9/5A1/744" TargetMode="External"/><Relationship Id="rId2119" Type="http://schemas.openxmlformats.org/officeDocument/2006/relationships/hyperlink" Target="http://www.linkedin.com/in/mikeortner" TargetMode="External"/><Relationship Id="rId4770" Type="http://schemas.openxmlformats.org/officeDocument/2006/relationships/hyperlink" Target="http://www.linkedin.com/pub/anabel-spataro/13/9a0/a16" TargetMode="External"/><Relationship Id="rId3441" Type="http://schemas.openxmlformats.org/officeDocument/2006/relationships/hyperlink" Target="http://ar.linkedin.com/pub/lucia-prado/2A/643/837" TargetMode="External"/><Relationship Id="rId4772" Type="http://schemas.openxmlformats.org/officeDocument/2006/relationships/hyperlink" Target="http://www.linkedin.com/pub/rodrigo-jose-bonfante/30/30/a55" TargetMode="External"/><Relationship Id="rId2110" Type="http://schemas.openxmlformats.org/officeDocument/2006/relationships/hyperlink" Target="http://uk.linkedin.com/in/johnfirthacclimatise" TargetMode="External"/><Relationship Id="rId3440" Type="http://schemas.openxmlformats.org/officeDocument/2006/relationships/hyperlink" Target="http://ar.linkedin.com/in/parianis" TargetMode="External"/><Relationship Id="rId4771" Type="http://schemas.openxmlformats.org/officeDocument/2006/relationships/hyperlink" Target="http://ar.linkedin.com/pub/mauro-riso/5/724/574" TargetMode="External"/><Relationship Id="rId2111" Type="http://schemas.openxmlformats.org/officeDocument/2006/relationships/hyperlink" Target="http://ca.linkedin.com/pub/simon-l-vesque/4/270/254" TargetMode="External"/><Relationship Id="rId3443" Type="http://schemas.openxmlformats.org/officeDocument/2006/relationships/hyperlink" Target="http://ar.linkedin.com/pub/ignacio-di-bartolo/B/A12/11A" TargetMode="External"/><Relationship Id="rId4774" Type="http://schemas.openxmlformats.org/officeDocument/2006/relationships/hyperlink" Target="http://ar.linkedin.com/pub/jose-luis-palacio/14/59A/3B3" TargetMode="External"/><Relationship Id="rId2112" Type="http://schemas.openxmlformats.org/officeDocument/2006/relationships/hyperlink" Target="http://www.linkedin.com/in/ashishnainwal" TargetMode="External"/><Relationship Id="rId3442" Type="http://schemas.openxmlformats.org/officeDocument/2006/relationships/hyperlink" Target="http://ar.linkedin.com/in/fedecabrera" TargetMode="External"/><Relationship Id="rId4773" Type="http://schemas.openxmlformats.org/officeDocument/2006/relationships/hyperlink" Target="http://www.linkedin.com/pub/ignacio-varangot/17/62a/9b1" TargetMode="External"/><Relationship Id="rId2113" Type="http://schemas.openxmlformats.org/officeDocument/2006/relationships/hyperlink" Target="https://www.linkedin.com/in/germainemoody" TargetMode="External"/><Relationship Id="rId3445" Type="http://schemas.openxmlformats.org/officeDocument/2006/relationships/hyperlink" Target="http://ar.linkedin.com/in/marcecabrera" TargetMode="External"/><Relationship Id="rId4776" Type="http://schemas.openxmlformats.org/officeDocument/2006/relationships/hyperlink" Target="http://ar.linkedin.com/pub/federico-de-armas/16/78/637" TargetMode="External"/><Relationship Id="rId2114" Type="http://schemas.openxmlformats.org/officeDocument/2006/relationships/hyperlink" Target="http://www.linkedin.com/pub/jack-carter/8/BA7/105" TargetMode="External"/><Relationship Id="rId3444" Type="http://schemas.openxmlformats.org/officeDocument/2006/relationships/hyperlink" Target="http://ar.linkedin.com/pub/pablo-esses/0/928/231" TargetMode="External"/><Relationship Id="rId4775" Type="http://schemas.openxmlformats.org/officeDocument/2006/relationships/hyperlink" Target="http://ar.linkedin.com/in/marceloswitach" TargetMode="External"/><Relationship Id="rId5251" Type="http://schemas.openxmlformats.org/officeDocument/2006/relationships/hyperlink" Target="http://ar.linkedin.com/pub/natalia-bardedios/A/424/41A" TargetMode="External"/><Relationship Id="rId6582" Type="http://schemas.openxmlformats.org/officeDocument/2006/relationships/hyperlink" Target="http://www.linkedin.com/in/deanpasko" TargetMode="External"/><Relationship Id="rId5252" Type="http://schemas.openxmlformats.org/officeDocument/2006/relationships/hyperlink" Target="http://www.linkedin.com/in/mbrizuela" TargetMode="External"/><Relationship Id="rId6583" Type="http://schemas.openxmlformats.org/officeDocument/2006/relationships/hyperlink" Target="http://www.linkedin.com/in/anthonysergio" TargetMode="External"/><Relationship Id="rId6580" Type="http://schemas.openxmlformats.org/officeDocument/2006/relationships/hyperlink" Target="http://www.linkedin.com/in/ramiroyoung" TargetMode="External"/><Relationship Id="rId5250" Type="http://schemas.openxmlformats.org/officeDocument/2006/relationships/hyperlink" Target="http://ar.linkedin.com/in/ceciliabidarte" TargetMode="External"/><Relationship Id="rId6581" Type="http://schemas.openxmlformats.org/officeDocument/2006/relationships/hyperlink" Target="http://www.linkedin.com/pub/pablo-mayer/1/1aa/565" TargetMode="External"/><Relationship Id="rId5255" Type="http://schemas.openxmlformats.org/officeDocument/2006/relationships/hyperlink" Target="http://www.linkedin.com/in/robfoster" TargetMode="External"/><Relationship Id="rId6586" Type="http://schemas.openxmlformats.org/officeDocument/2006/relationships/hyperlink" Target="http://www.linkedin.com/in/arena" TargetMode="External"/><Relationship Id="rId5256" Type="http://schemas.openxmlformats.org/officeDocument/2006/relationships/hyperlink" Target="http://www.linkedin.com/in/bhaseleu" TargetMode="External"/><Relationship Id="rId6587" Type="http://schemas.openxmlformats.org/officeDocument/2006/relationships/hyperlink" Target="http://ar.linkedin.com/pub/nicolas-fernandez/2A/949/B62" TargetMode="External"/><Relationship Id="rId5253" Type="http://schemas.openxmlformats.org/officeDocument/2006/relationships/hyperlink" Target="http://www.linkedin.com/in/calvinschimmel" TargetMode="External"/><Relationship Id="rId6584" Type="http://schemas.openxmlformats.org/officeDocument/2006/relationships/hyperlink" Target="http://www.linkedin.com/pub/sudha-bhat/4/14/8B3" TargetMode="External"/><Relationship Id="rId5254" Type="http://schemas.openxmlformats.org/officeDocument/2006/relationships/hyperlink" Target="http://www.linkedin.com/in/gilgillis" TargetMode="External"/><Relationship Id="rId6585" Type="http://schemas.openxmlformats.org/officeDocument/2006/relationships/hyperlink" Target="http://www.linkedin.com/in/rajjayanthi" TargetMode="External"/><Relationship Id="rId5259" Type="http://schemas.openxmlformats.org/officeDocument/2006/relationships/hyperlink" Target="http://ar.linkedin.com/in/fgpalacios" TargetMode="External"/><Relationship Id="rId5257" Type="http://schemas.openxmlformats.org/officeDocument/2006/relationships/hyperlink" Target="http://www.linkedin.com/pub/sally-franklin/6/B2B/44" TargetMode="External"/><Relationship Id="rId6588" Type="http://schemas.openxmlformats.org/officeDocument/2006/relationships/hyperlink" Target="http://www.linkedin.com/pub/libby-norris/0/5A1/B02" TargetMode="External"/><Relationship Id="rId5258" Type="http://schemas.openxmlformats.org/officeDocument/2006/relationships/hyperlink" Target="http://www.linkedin.com/in/bryanwjones" TargetMode="External"/><Relationship Id="rId6589" Type="http://schemas.openxmlformats.org/officeDocument/2006/relationships/hyperlink" Target="http://www.linkedin.com/pub/jenny-massey/3/260/52B" TargetMode="External"/><Relationship Id="rId5240" Type="http://schemas.openxmlformats.org/officeDocument/2006/relationships/hyperlink" Target="http://www.linkedin.com/pub/will-villablanca/1/1b0/b23" TargetMode="External"/><Relationship Id="rId6571" Type="http://schemas.openxmlformats.org/officeDocument/2006/relationships/hyperlink" Target="http://ar.linkedin.com/pub/ezequiel-corigliano/28/900/1A8" TargetMode="External"/><Relationship Id="rId5241" Type="http://schemas.openxmlformats.org/officeDocument/2006/relationships/hyperlink" Target="http://ar.linkedin.com/in/ramiropersa" TargetMode="External"/><Relationship Id="rId6572" Type="http://schemas.openxmlformats.org/officeDocument/2006/relationships/hyperlink" Target="http://ar.linkedin.com/pub/diego-castanares/8/390/800" TargetMode="External"/><Relationship Id="rId6570" Type="http://schemas.openxmlformats.org/officeDocument/2006/relationships/hyperlink" Target="http://ar.linkedin.com/in/galessan" TargetMode="External"/><Relationship Id="rId5244" Type="http://schemas.openxmlformats.org/officeDocument/2006/relationships/hyperlink" Target="http://ar.linkedin.com/pub/diego-caplan/27/121/479" TargetMode="External"/><Relationship Id="rId6575" Type="http://schemas.openxmlformats.org/officeDocument/2006/relationships/hyperlink" Target="http://ar.linkedin.com/in/agustinvijoditz" TargetMode="External"/><Relationship Id="rId5245" Type="http://schemas.openxmlformats.org/officeDocument/2006/relationships/hyperlink" Target="http://www.linkedin.com/pub/miguel-collard-bovy/4/47a/b70" TargetMode="External"/><Relationship Id="rId6576" Type="http://schemas.openxmlformats.org/officeDocument/2006/relationships/hyperlink" Target="http://www.linkedin.com/pub/omar-pirrello/8/32/b46" TargetMode="External"/><Relationship Id="rId5242" Type="http://schemas.openxmlformats.org/officeDocument/2006/relationships/hyperlink" Target="http://www.linkedin.com/pub/julian-boylan/17/9B4/69B" TargetMode="External"/><Relationship Id="rId6573" Type="http://schemas.openxmlformats.org/officeDocument/2006/relationships/hyperlink" Target="http://ar.linkedin.com/pub/juan-manuel-g-mez-varela/10/405/352" TargetMode="External"/><Relationship Id="rId5243" Type="http://schemas.openxmlformats.org/officeDocument/2006/relationships/hyperlink" Target="http://ar.linkedin.com/pub/estela-blanchard/3/7B8/7B1" TargetMode="External"/><Relationship Id="rId6574" Type="http://schemas.openxmlformats.org/officeDocument/2006/relationships/hyperlink" Target="http://www.linkedin.com/pub/chad-womack/0/6A9/137" TargetMode="External"/><Relationship Id="rId5248" Type="http://schemas.openxmlformats.org/officeDocument/2006/relationships/hyperlink" Target="https://www.linkedin.com/in/lonnie" TargetMode="External"/><Relationship Id="rId6579" Type="http://schemas.openxmlformats.org/officeDocument/2006/relationships/hyperlink" Target="http://ar.linkedin.com/pub/emiliano-ezcurra/20/6B7/3A2" TargetMode="External"/><Relationship Id="rId5249" Type="http://schemas.openxmlformats.org/officeDocument/2006/relationships/hyperlink" Target="http://www.linkedin.com/in/scanepa" TargetMode="External"/><Relationship Id="rId5246" Type="http://schemas.openxmlformats.org/officeDocument/2006/relationships/hyperlink" Target="http://www.linkedin.com/in/sebasuchi" TargetMode="External"/><Relationship Id="rId6577" Type="http://schemas.openxmlformats.org/officeDocument/2006/relationships/hyperlink" Target="http://ar.linkedin.com/in/martinvivas" TargetMode="External"/><Relationship Id="rId5247" Type="http://schemas.openxmlformats.org/officeDocument/2006/relationships/hyperlink" Target="http://ar.linkedin.com/in/nicolasgore" TargetMode="External"/><Relationship Id="rId6578" Type="http://schemas.openxmlformats.org/officeDocument/2006/relationships/hyperlink" Target="http://ar.linkedin.com/pub/ron-walter-engelberg/5/89B/43A" TargetMode="External"/><Relationship Id="rId5270" Type="http://schemas.openxmlformats.org/officeDocument/2006/relationships/hyperlink" Target="http://ar.linkedin.com/in/chercules" TargetMode="External"/><Relationship Id="rId5273" Type="http://schemas.openxmlformats.org/officeDocument/2006/relationships/hyperlink" Target="http://www.linkedin.com/in/kriko" TargetMode="External"/><Relationship Id="rId5274" Type="http://schemas.openxmlformats.org/officeDocument/2006/relationships/hyperlink" Target="http://ar.linkedin.com/pub/pablo-mazzini/21/243/A33" TargetMode="External"/><Relationship Id="rId5271" Type="http://schemas.openxmlformats.org/officeDocument/2006/relationships/hyperlink" Target="http://www.linkedin.com/in/withersdavis" TargetMode="External"/><Relationship Id="rId5272" Type="http://schemas.openxmlformats.org/officeDocument/2006/relationships/hyperlink" Target="http://www.linkedin.com/in/robertomariobenitez" TargetMode="External"/><Relationship Id="rId5277" Type="http://schemas.openxmlformats.org/officeDocument/2006/relationships/hyperlink" Target="http://www.linkedin.com/in/ivaramme" TargetMode="External"/><Relationship Id="rId5278" Type="http://schemas.openxmlformats.org/officeDocument/2006/relationships/hyperlink" Target="http://www.linkedin.com/in/mauriciogentile" TargetMode="External"/><Relationship Id="rId5275" Type="http://schemas.openxmlformats.org/officeDocument/2006/relationships/hyperlink" Target="http://ar.linkedin.com/in/edytab" TargetMode="External"/><Relationship Id="rId5276" Type="http://schemas.openxmlformats.org/officeDocument/2006/relationships/hyperlink" Target="http://ar.linkedin.com/pub/diego-garber/27/287/2B8" TargetMode="External"/><Relationship Id="rId5279" Type="http://schemas.openxmlformats.org/officeDocument/2006/relationships/hyperlink" Target="https://www.linkedin.com/in/agustindl" TargetMode="External"/><Relationship Id="rId6590" Type="http://schemas.openxmlformats.org/officeDocument/2006/relationships/hyperlink" Target="http://www.linkedin.com/in/torys" TargetMode="External"/><Relationship Id="rId5262" Type="http://schemas.openxmlformats.org/officeDocument/2006/relationships/hyperlink" Target="http://www.linkedin.com/pub/gimena-olguin/A/431/5B4" TargetMode="External"/><Relationship Id="rId6593" Type="http://schemas.openxmlformats.org/officeDocument/2006/relationships/hyperlink" Target="http://www.linkedin.com/pub/jose-luis-scioscia/4/58a/a68" TargetMode="External"/><Relationship Id="rId5263" Type="http://schemas.openxmlformats.org/officeDocument/2006/relationships/hyperlink" Target="http://www.linkedin.com/in/kevinarthur22" TargetMode="External"/><Relationship Id="rId6594" Type="http://schemas.openxmlformats.org/officeDocument/2006/relationships/hyperlink" Target="http://www.linkedin.com/pub/patricia-moreland/8/411/684" TargetMode="External"/><Relationship Id="rId5260" Type="http://schemas.openxmlformats.org/officeDocument/2006/relationships/hyperlink" Target="http://ar.linkedin.com/in/elaborda" TargetMode="External"/><Relationship Id="rId6591" Type="http://schemas.openxmlformats.org/officeDocument/2006/relationships/hyperlink" Target="http://www.linkedin.com/in/tchrisdyer" TargetMode="External"/><Relationship Id="rId5261" Type="http://schemas.openxmlformats.org/officeDocument/2006/relationships/hyperlink" Target="http://www.linkedin.com/in/erikolsen" TargetMode="External"/><Relationship Id="rId6592" Type="http://schemas.openxmlformats.org/officeDocument/2006/relationships/hyperlink" Target="http://www.linkedin.com/in/goldmanalex" TargetMode="External"/><Relationship Id="rId5266" Type="http://schemas.openxmlformats.org/officeDocument/2006/relationships/hyperlink" Target="http://ar.linkedin.com/in/aurena" TargetMode="External"/><Relationship Id="rId6597" Type="http://schemas.openxmlformats.org/officeDocument/2006/relationships/hyperlink" Target="http://www.linkedin.com/pub/shane-ward/4/202/B5" TargetMode="External"/><Relationship Id="rId5267" Type="http://schemas.openxmlformats.org/officeDocument/2006/relationships/hyperlink" Target="http://www.linkedin.com/in/sebastianbarale" TargetMode="External"/><Relationship Id="rId6598" Type="http://schemas.openxmlformats.org/officeDocument/2006/relationships/hyperlink" Target="http://www.linkedin.com/in/leonkotovich" TargetMode="External"/><Relationship Id="rId5264" Type="http://schemas.openxmlformats.org/officeDocument/2006/relationships/hyperlink" Target="http://www.linkedin.com/in/zehfernando" TargetMode="External"/><Relationship Id="rId6595" Type="http://schemas.openxmlformats.org/officeDocument/2006/relationships/hyperlink" Target="http://www.linkedin.com/in/marianorchard" TargetMode="External"/><Relationship Id="rId5265" Type="http://schemas.openxmlformats.org/officeDocument/2006/relationships/hyperlink" Target="http://ar.linkedin.com/in/danielpriego" TargetMode="External"/><Relationship Id="rId6596" Type="http://schemas.openxmlformats.org/officeDocument/2006/relationships/hyperlink" Target="http://www.linkedin.com/in/juanisola" TargetMode="External"/><Relationship Id="rId5268" Type="http://schemas.openxmlformats.org/officeDocument/2006/relationships/hyperlink" Target="http://www.linkedin.com/in/johnpeich" TargetMode="External"/><Relationship Id="rId6599" Type="http://schemas.openxmlformats.org/officeDocument/2006/relationships/hyperlink" Target="http://www.linkedin.com/in/stacyzapar" TargetMode="External"/><Relationship Id="rId5269" Type="http://schemas.openxmlformats.org/officeDocument/2006/relationships/hyperlink" Target="http://ar.linkedin.com/in/josedaquila" TargetMode="External"/><Relationship Id="rId5219" Type="http://schemas.openxmlformats.org/officeDocument/2006/relationships/hyperlink" Target="http://ar.linkedin.com/pub/maria-laura-gonzalez/17/285/392" TargetMode="External"/><Relationship Id="rId5217" Type="http://schemas.openxmlformats.org/officeDocument/2006/relationships/hyperlink" Target="http://www.linkedin.com/in/jpatel" TargetMode="External"/><Relationship Id="rId6548" Type="http://schemas.openxmlformats.org/officeDocument/2006/relationships/hyperlink" Target="http://www.linkedin.com/in/mikemaser" TargetMode="External"/><Relationship Id="rId5218" Type="http://schemas.openxmlformats.org/officeDocument/2006/relationships/hyperlink" Target="http://www.linkedin.com/pub/francisco-di-bartolomeo/22/355/135" TargetMode="External"/><Relationship Id="rId6549" Type="http://schemas.openxmlformats.org/officeDocument/2006/relationships/hyperlink" Target="http://www.linkedin.com/in/mrjasonford" TargetMode="External"/><Relationship Id="rId7879" Type="http://schemas.openxmlformats.org/officeDocument/2006/relationships/hyperlink" Target="http://www.linkedin.com/in/michaelcprice" TargetMode="External"/><Relationship Id="rId392" Type="http://schemas.openxmlformats.org/officeDocument/2006/relationships/hyperlink" Target="http://www.linkedin.com/pub/babar-khan/0/B55/46" TargetMode="External"/><Relationship Id="rId391" Type="http://schemas.openxmlformats.org/officeDocument/2006/relationships/hyperlink" Target="http://www.linkedin.com/in/marctaverner" TargetMode="External"/><Relationship Id="rId390" Type="http://schemas.openxmlformats.org/officeDocument/2006/relationships/hyperlink" Target="http://nl.linkedin.com/in/samirelawadi" TargetMode="External"/><Relationship Id="rId7870" Type="http://schemas.openxmlformats.org/officeDocument/2006/relationships/hyperlink" Target="http://www.linkedin.com/pub/fabian-sperman/4/460/496" TargetMode="External"/><Relationship Id="rId385" Type="http://schemas.openxmlformats.org/officeDocument/2006/relationships/hyperlink" Target="http://fr.linkedin.com/in/philippecoupjambet" TargetMode="External"/><Relationship Id="rId5211" Type="http://schemas.openxmlformats.org/officeDocument/2006/relationships/hyperlink" Target="http://ar.linkedin.com/in/bauna" TargetMode="External"/><Relationship Id="rId6542" Type="http://schemas.openxmlformats.org/officeDocument/2006/relationships/hyperlink" Target="http://www.linkedin.com/pub/roy-masamba/0/807/429" TargetMode="External"/><Relationship Id="rId7874" Type="http://schemas.openxmlformats.org/officeDocument/2006/relationships/hyperlink" Target="http://www.linkedin.com/pub/clif-critchlow/13/370/AB3" TargetMode="External"/><Relationship Id="rId384" Type="http://schemas.openxmlformats.org/officeDocument/2006/relationships/hyperlink" Target="http://www.linkedin.com/in/nirmoskovitch" TargetMode="External"/><Relationship Id="rId5212" Type="http://schemas.openxmlformats.org/officeDocument/2006/relationships/hyperlink" Target="http://www.linkedin.com/in/loganmabe" TargetMode="External"/><Relationship Id="rId6543" Type="http://schemas.openxmlformats.org/officeDocument/2006/relationships/hyperlink" Target="http://uk.linkedin.com/in/sukybansal6" TargetMode="External"/><Relationship Id="rId7873" Type="http://schemas.openxmlformats.org/officeDocument/2006/relationships/hyperlink" Target="http://www.linkedin.com/in/bradhanks" TargetMode="External"/><Relationship Id="rId383" Type="http://schemas.openxmlformats.org/officeDocument/2006/relationships/hyperlink" Target="http://uk.linkedin.com/in/jasoncremins" TargetMode="External"/><Relationship Id="rId6540" Type="http://schemas.openxmlformats.org/officeDocument/2006/relationships/hyperlink" Target="http://www.linkedin.com/pub/alejandro-g-jack/6/35b/bb6" TargetMode="External"/><Relationship Id="rId7872" Type="http://schemas.openxmlformats.org/officeDocument/2006/relationships/hyperlink" Target="http://www.linkedin.com/in/transearch" TargetMode="External"/><Relationship Id="rId382" Type="http://schemas.openxmlformats.org/officeDocument/2006/relationships/hyperlink" Target="https://www.linkedin.com/in/hakandulge" TargetMode="External"/><Relationship Id="rId5210" Type="http://schemas.openxmlformats.org/officeDocument/2006/relationships/hyperlink" Target="http://www.linkedin.com/in/dariosalischiker" TargetMode="External"/><Relationship Id="rId6541" Type="http://schemas.openxmlformats.org/officeDocument/2006/relationships/hyperlink" Target="http://ar.linkedin.com/pub/cristian-cejas/25/864/405" TargetMode="External"/><Relationship Id="rId7871" Type="http://schemas.openxmlformats.org/officeDocument/2006/relationships/hyperlink" Target="http://www.linkedin.com/pub/monica-d-amore/9/A3A/AAB" TargetMode="External"/><Relationship Id="rId389" Type="http://schemas.openxmlformats.org/officeDocument/2006/relationships/hyperlink" Target="http://fr.linkedin.com/in/olibou" TargetMode="External"/><Relationship Id="rId5215" Type="http://schemas.openxmlformats.org/officeDocument/2006/relationships/hyperlink" Target="http://www.linkedin.com/pub/david-shoop/4/408/A7B" TargetMode="External"/><Relationship Id="rId6546" Type="http://schemas.openxmlformats.org/officeDocument/2006/relationships/hyperlink" Target="http://www.linkedin.com/in/ace33" TargetMode="External"/><Relationship Id="rId7878" Type="http://schemas.openxmlformats.org/officeDocument/2006/relationships/hyperlink" Target="https://www.linkedin.com/in/mikeperusse" TargetMode="External"/><Relationship Id="rId388" Type="http://schemas.openxmlformats.org/officeDocument/2006/relationships/hyperlink" Target="http://www.linkedin.com/pub/ramon-ray/0/56/298" TargetMode="External"/><Relationship Id="rId5216" Type="http://schemas.openxmlformats.org/officeDocument/2006/relationships/hyperlink" Target="http://www.linkedin.com/in/dominiquephilipp" TargetMode="External"/><Relationship Id="rId6547" Type="http://schemas.openxmlformats.org/officeDocument/2006/relationships/hyperlink" Target="http://www.linkedin.com/in/vanmiltenburg" TargetMode="External"/><Relationship Id="rId7877" Type="http://schemas.openxmlformats.org/officeDocument/2006/relationships/hyperlink" Target="http://www.linkedin.com/in/kylep" TargetMode="External"/><Relationship Id="rId387" Type="http://schemas.openxmlformats.org/officeDocument/2006/relationships/hyperlink" Target="http://www.linkedin.com/in/rogercollins" TargetMode="External"/><Relationship Id="rId5213" Type="http://schemas.openxmlformats.org/officeDocument/2006/relationships/hyperlink" Target="http://www.linkedin.com/pub/matt-patterson/2/B49/844" TargetMode="External"/><Relationship Id="rId6544" Type="http://schemas.openxmlformats.org/officeDocument/2006/relationships/hyperlink" Target="http://uk.linkedin.com/pub/dragana-ljubisavljevic/0/304/231" TargetMode="External"/><Relationship Id="rId7876" Type="http://schemas.openxmlformats.org/officeDocument/2006/relationships/hyperlink" Target="http://www.linkedin.com/in/charlesarizmendi" TargetMode="External"/><Relationship Id="rId386" Type="http://schemas.openxmlformats.org/officeDocument/2006/relationships/hyperlink" Target="http://www.linkedin.com/pub/alberto-prieto-alberto-bilingualresources-com/0/33/187" TargetMode="External"/><Relationship Id="rId5214" Type="http://schemas.openxmlformats.org/officeDocument/2006/relationships/hyperlink" Target="http://www.linkedin.com/pub/adam-cox/0/A83/528" TargetMode="External"/><Relationship Id="rId6545" Type="http://schemas.openxmlformats.org/officeDocument/2006/relationships/hyperlink" Target="http://www.linkedin.com/pub/kimi-canedo/1/531/5A5" TargetMode="External"/><Relationship Id="rId7875" Type="http://schemas.openxmlformats.org/officeDocument/2006/relationships/hyperlink" Target="http://www.linkedin.com/pub/david-cook/2/215/5B" TargetMode="External"/><Relationship Id="rId5208" Type="http://schemas.openxmlformats.org/officeDocument/2006/relationships/hyperlink" Target="http://ar.linkedin.com/in/rosanacervone" TargetMode="External"/><Relationship Id="rId6539" Type="http://schemas.openxmlformats.org/officeDocument/2006/relationships/hyperlink" Target="http://ar.linkedin.com/in/ezequielberterretche" TargetMode="External"/><Relationship Id="rId5209" Type="http://schemas.openxmlformats.org/officeDocument/2006/relationships/hyperlink" Target="http://ar.linkedin.com/pub/mariano-andres-gomez/27/537/72A" TargetMode="External"/><Relationship Id="rId5206" Type="http://schemas.openxmlformats.org/officeDocument/2006/relationships/hyperlink" Target="http://ar.linkedin.com/in/lardissone" TargetMode="External"/><Relationship Id="rId6537" Type="http://schemas.openxmlformats.org/officeDocument/2006/relationships/hyperlink" Target="http://www.linkedin.com/pub/daniel-nicolas-cajelli/21/8a0/501" TargetMode="External"/><Relationship Id="rId7869" Type="http://schemas.openxmlformats.org/officeDocument/2006/relationships/hyperlink" Target="http://www.linkedin.com/in/josegflores" TargetMode="External"/><Relationship Id="rId5207" Type="http://schemas.openxmlformats.org/officeDocument/2006/relationships/hyperlink" Target="http://ar.linkedin.com/in/fabriciotuosto" TargetMode="External"/><Relationship Id="rId6538" Type="http://schemas.openxmlformats.org/officeDocument/2006/relationships/hyperlink" Target="http://ar.linkedin.com/in/ingdanielblanco" TargetMode="External"/><Relationship Id="rId7868" Type="http://schemas.openxmlformats.org/officeDocument/2006/relationships/hyperlink" Target="http://www.linkedin.com/in/ilanbluvstein" TargetMode="External"/><Relationship Id="rId381" Type="http://schemas.openxmlformats.org/officeDocument/2006/relationships/hyperlink" Target="http://uk.linkedin.com/in/ianmurphy" TargetMode="External"/><Relationship Id="rId380" Type="http://schemas.openxmlformats.org/officeDocument/2006/relationships/hyperlink" Target="http://www.linkedin.com/in/sonali" TargetMode="External"/><Relationship Id="rId379" Type="http://schemas.openxmlformats.org/officeDocument/2006/relationships/hyperlink" Target="http://www.linkedin.com/pub/greg-senkiw/4/92/735" TargetMode="External"/><Relationship Id="rId374" Type="http://schemas.openxmlformats.org/officeDocument/2006/relationships/hyperlink" Target="http://www.linkedin.com/in/bharatrecruitingsales" TargetMode="External"/><Relationship Id="rId5200" Type="http://schemas.openxmlformats.org/officeDocument/2006/relationships/hyperlink" Target="http://www.linkedin.com/in/seantallen" TargetMode="External"/><Relationship Id="rId6531" Type="http://schemas.openxmlformats.org/officeDocument/2006/relationships/hyperlink" Target="http://www.linkedin.com/in/dougweinbrenner" TargetMode="External"/><Relationship Id="rId7863" Type="http://schemas.openxmlformats.org/officeDocument/2006/relationships/hyperlink" Target="http://www.linkedin.com/in/amainetto" TargetMode="External"/><Relationship Id="rId373" Type="http://schemas.openxmlformats.org/officeDocument/2006/relationships/hyperlink" Target="http://www.linkedin.com/in/christiansarabia" TargetMode="External"/><Relationship Id="rId5201" Type="http://schemas.openxmlformats.org/officeDocument/2006/relationships/hyperlink" Target="http://ar.linkedin.com/in/aialfonso" TargetMode="External"/><Relationship Id="rId6532" Type="http://schemas.openxmlformats.org/officeDocument/2006/relationships/hyperlink" Target="http://www.linkedin.com/in/douglascwilliams" TargetMode="External"/><Relationship Id="rId7862" Type="http://schemas.openxmlformats.org/officeDocument/2006/relationships/hyperlink" Target="http://www.linkedin.com/in/ambernaslund" TargetMode="External"/><Relationship Id="rId372" Type="http://schemas.openxmlformats.org/officeDocument/2006/relationships/hyperlink" Target="http://www.linkedin.com/in/deekumar" TargetMode="External"/><Relationship Id="rId7861" Type="http://schemas.openxmlformats.org/officeDocument/2006/relationships/hyperlink" Target="http://www.linkedin.com/in/noamlotan" TargetMode="External"/><Relationship Id="rId371" Type="http://schemas.openxmlformats.org/officeDocument/2006/relationships/hyperlink" Target="http://www.linkedin.com/pub/tania-peck/8/491/823" TargetMode="External"/><Relationship Id="rId6530" Type="http://schemas.openxmlformats.org/officeDocument/2006/relationships/hyperlink" Target="http://www.linkedin.com/in/lisamhurley" TargetMode="External"/><Relationship Id="rId7860" Type="http://schemas.openxmlformats.org/officeDocument/2006/relationships/hyperlink" Target="http://www.linkedin.com/in/scottcamarotti08" TargetMode="External"/><Relationship Id="rId378" Type="http://schemas.openxmlformats.org/officeDocument/2006/relationships/hyperlink" Target="http://www.linkedin.com/pub/paul-kurella/3/B03/569" TargetMode="External"/><Relationship Id="rId5204" Type="http://schemas.openxmlformats.org/officeDocument/2006/relationships/hyperlink" Target="http://ar.linkedin.com/in/gerardodiaz" TargetMode="External"/><Relationship Id="rId6535" Type="http://schemas.openxmlformats.org/officeDocument/2006/relationships/hyperlink" Target="http://www.linkedin.com/in/jimferrari" TargetMode="External"/><Relationship Id="rId7867" Type="http://schemas.openxmlformats.org/officeDocument/2006/relationships/hyperlink" Target="http://www.linkedin.com/pub/luis-derechin/0/6/31B" TargetMode="External"/><Relationship Id="rId377" Type="http://schemas.openxmlformats.org/officeDocument/2006/relationships/hyperlink" Target="http://de.linkedin.com/in/mheilijgers" TargetMode="External"/><Relationship Id="rId5205" Type="http://schemas.openxmlformats.org/officeDocument/2006/relationships/hyperlink" Target="http://www.linkedin.com/pub/pablo-gotthelf/18/203/940" TargetMode="External"/><Relationship Id="rId6536" Type="http://schemas.openxmlformats.org/officeDocument/2006/relationships/hyperlink" Target="http://www.linkedin.com/in/diegosabaris" TargetMode="External"/><Relationship Id="rId7866" Type="http://schemas.openxmlformats.org/officeDocument/2006/relationships/hyperlink" Target="http://www.linkedin.com/in/andresgonzalezhorovitz" TargetMode="External"/><Relationship Id="rId376" Type="http://schemas.openxmlformats.org/officeDocument/2006/relationships/hyperlink" Target="http://nl.linkedin.com/in/sjaakkoole" TargetMode="External"/><Relationship Id="rId5202" Type="http://schemas.openxmlformats.org/officeDocument/2006/relationships/hyperlink" Target="http://ar.linkedin.com/in/emiliogutter" TargetMode="External"/><Relationship Id="rId6533" Type="http://schemas.openxmlformats.org/officeDocument/2006/relationships/hyperlink" Target="http://www.linkedin.com/pub/mary-dehahn/6/237/AA1" TargetMode="External"/><Relationship Id="rId7865" Type="http://schemas.openxmlformats.org/officeDocument/2006/relationships/hyperlink" Target="http://www.linkedin.com/pub/francisco-gonz%C3%A1lez/13/29A/917" TargetMode="External"/><Relationship Id="rId375" Type="http://schemas.openxmlformats.org/officeDocument/2006/relationships/hyperlink" Target="http://www.linkedin.com/in/mvbreeuwer" TargetMode="External"/><Relationship Id="rId5203" Type="http://schemas.openxmlformats.org/officeDocument/2006/relationships/hyperlink" Target="http://ar.linkedin.com/pub/pablo-lin-lin/6/97/717" TargetMode="External"/><Relationship Id="rId6534" Type="http://schemas.openxmlformats.org/officeDocument/2006/relationships/hyperlink" Target="http://www.linkedin.com/in/rosannesimiele" TargetMode="External"/><Relationship Id="rId7864" Type="http://schemas.openxmlformats.org/officeDocument/2006/relationships/hyperlink" Target="http://www.linkedin.com/pub/carlos-blanco/1/6B2/780" TargetMode="External"/><Relationship Id="rId5239" Type="http://schemas.openxmlformats.org/officeDocument/2006/relationships/hyperlink" Target="http://www.linkedin.com/pub/diego-iv%C3%A1n-p%C3%A9rez-fr%C3%A9/21/368/108" TargetMode="External"/><Relationship Id="rId6560" Type="http://schemas.openxmlformats.org/officeDocument/2006/relationships/hyperlink" Target="http://www.linkedin.com/in/chipmunk" TargetMode="External"/><Relationship Id="rId7892" Type="http://schemas.openxmlformats.org/officeDocument/2006/relationships/hyperlink" Target="http://ar.linkedin.com/pub/pablo-cavallo/6/385/4B7" TargetMode="External"/><Relationship Id="rId5230" Type="http://schemas.openxmlformats.org/officeDocument/2006/relationships/hyperlink" Target="http://www.linkedin.com/pub/steven-prensky/1/450/226" TargetMode="External"/><Relationship Id="rId6561" Type="http://schemas.openxmlformats.org/officeDocument/2006/relationships/hyperlink" Target="http://www.linkedin.com/in/ryangolembiewski" TargetMode="External"/><Relationship Id="rId7891" Type="http://schemas.openxmlformats.org/officeDocument/2006/relationships/hyperlink" Target="http://www.linkedin.com/in/christopherjustice" TargetMode="External"/><Relationship Id="rId7890" Type="http://schemas.openxmlformats.org/officeDocument/2006/relationships/hyperlink" Target="http://www.linkedin.com/in/erickrivas" TargetMode="External"/><Relationship Id="rId5233" Type="http://schemas.openxmlformats.org/officeDocument/2006/relationships/hyperlink" Target="http://www.linkedin.com/pub/juan-pablo-s%C3%A1nchez-negrette/28/308/620" TargetMode="External"/><Relationship Id="rId6564" Type="http://schemas.openxmlformats.org/officeDocument/2006/relationships/hyperlink" Target="http://www.linkedin.com/pub/john-eisenberg/9/127/8BB" TargetMode="External"/><Relationship Id="rId7896" Type="http://schemas.openxmlformats.org/officeDocument/2006/relationships/hyperlink" Target="http://www.linkedin.com/in/davidschroeder" TargetMode="External"/><Relationship Id="rId5234" Type="http://schemas.openxmlformats.org/officeDocument/2006/relationships/hyperlink" Target="http://ar.linkedin.com/in/alejandrasobredo" TargetMode="External"/><Relationship Id="rId6565" Type="http://schemas.openxmlformats.org/officeDocument/2006/relationships/hyperlink" Target="http://www.linkedin.com/pub/gregg-sobel/7/357/5B3" TargetMode="External"/><Relationship Id="rId7895" Type="http://schemas.openxmlformats.org/officeDocument/2006/relationships/hyperlink" Target="http://www.linkedin.com/pub/keith-donald/0/A1A/151" TargetMode="External"/><Relationship Id="rId5231" Type="http://schemas.openxmlformats.org/officeDocument/2006/relationships/hyperlink" Target="http://ar.linkedin.com/in/marialauraestefania" TargetMode="External"/><Relationship Id="rId6562" Type="http://schemas.openxmlformats.org/officeDocument/2006/relationships/hyperlink" Target="http://www.linkedin.com/in/rondeangelo" TargetMode="External"/><Relationship Id="rId7894" Type="http://schemas.openxmlformats.org/officeDocument/2006/relationships/hyperlink" Target="http://www.linkedin.com/in/pbolgar" TargetMode="External"/><Relationship Id="rId5232" Type="http://schemas.openxmlformats.org/officeDocument/2006/relationships/hyperlink" Target="http://ar.linkedin.com/in/ceciliarocca" TargetMode="External"/><Relationship Id="rId6563" Type="http://schemas.openxmlformats.org/officeDocument/2006/relationships/hyperlink" Target="http://www.linkedin.com/in/davidshteif" TargetMode="External"/><Relationship Id="rId7893" Type="http://schemas.openxmlformats.org/officeDocument/2006/relationships/hyperlink" Target="http://www.linkedin.com/in/ramontoledo" TargetMode="External"/><Relationship Id="rId5237" Type="http://schemas.openxmlformats.org/officeDocument/2006/relationships/hyperlink" Target="http://ar.linkedin.com/in/jorgemudry" TargetMode="External"/><Relationship Id="rId6568" Type="http://schemas.openxmlformats.org/officeDocument/2006/relationships/hyperlink" Target="http://www.linkedin.com/pub/diego-fernando-de-figueiredo-rodr%C3%ADguez/14/6b9/b11" TargetMode="External"/><Relationship Id="rId5238" Type="http://schemas.openxmlformats.org/officeDocument/2006/relationships/hyperlink" Target="http://ar.linkedin.com/pub/baltazar-zaraik/B/138/288" TargetMode="External"/><Relationship Id="rId6569" Type="http://schemas.openxmlformats.org/officeDocument/2006/relationships/hyperlink" Target="http://ar.linkedin.com/pub/omar-moreno/10/696/71B" TargetMode="External"/><Relationship Id="rId7899" Type="http://schemas.openxmlformats.org/officeDocument/2006/relationships/hyperlink" Target="http://www.linkedin.com/pub/syed-ahmad/7/59A/287" TargetMode="External"/><Relationship Id="rId5235" Type="http://schemas.openxmlformats.org/officeDocument/2006/relationships/hyperlink" Target="http://ar.linkedin.com/in/fillol" TargetMode="External"/><Relationship Id="rId6566" Type="http://schemas.openxmlformats.org/officeDocument/2006/relationships/hyperlink" Target="http://www.linkedin.com/pub/crystal-chavez/23/758/205" TargetMode="External"/><Relationship Id="rId7898" Type="http://schemas.openxmlformats.org/officeDocument/2006/relationships/hyperlink" Target="http://www.linkedin.com/in/rwaguilera" TargetMode="External"/><Relationship Id="rId5236" Type="http://schemas.openxmlformats.org/officeDocument/2006/relationships/hyperlink" Target="http://www.linkedin.com/pub/edwin-mateo-lewitzki-dujmusic/16/933/905" TargetMode="External"/><Relationship Id="rId6567" Type="http://schemas.openxmlformats.org/officeDocument/2006/relationships/hyperlink" Target="http://www.linkedin.com/in/andresf" TargetMode="External"/><Relationship Id="rId7897" Type="http://schemas.openxmlformats.org/officeDocument/2006/relationships/hyperlink" Target="http://www.linkedin.com/in/montemurro" TargetMode="External"/><Relationship Id="rId5228" Type="http://schemas.openxmlformats.org/officeDocument/2006/relationships/hyperlink" Target="http://ar.linkedin.com/pub/ignacio-regueiro/14/275/232" TargetMode="External"/><Relationship Id="rId6559" Type="http://schemas.openxmlformats.org/officeDocument/2006/relationships/hyperlink" Target="http://www.linkedin.com/in/carolinemason" TargetMode="External"/><Relationship Id="rId5229" Type="http://schemas.openxmlformats.org/officeDocument/2006/relationships/hyperlink" Target="http://ar.linkedin.com/in/lauramacchi" TargetMode="External"/><Relationship Id="rId7881" Type="http://schemas.openxmlformats.org/officeDocument/2006/relationships/hyperlink" Target="http://www.linkedin.com/in/melzeledon" TargetMode="External"/><Relationship Id="rId6550" Type="http://schemas.openxmlformats.org/officeDocument/2006/relationships/hyperlink" Target="http://www.linkedin.com/in/vipulsharma3" TargetMode="External"/><Relationship Id="rId7880" Type="http://schemas.openxmlformats.org/officeDocument/2006/relationships/hyperlink" Target="http://www.linkedin.com/in/fabiotylim" TargetMode="External"/><Relationship Id="rId396" Type="http://schemas.openxmlformats.org/officeDocument/2006/relationships/hyperlink" Target="http://www.linkedin.com/in/robertdrummondvideo" TargetMode="External"/><Relationship Id="rId5222" Type="http://schemas.openxmlformats.org/officeDocument/2006/relationships/hyperlink" Target="http://www.linkedin.com/in/shawnbudd" TargetMode="External"/><Relationship Id="rId6553" Type="http://schemas.openxmlformats.org/officeDocument/2006/relationships/hyperlink" Target="http://www.linkedin.com/in/seemavora" TargetMode="External"/><Relationship Id="rId7885" Type="http://schemas.openxmlformats.org/officeDocument/2006/relationships/hyperlink" Target="http://www.linkedin.com/pub/peter-tan/4/640/746" TargetMode="External"/><Relationship Id="rId395" Type="http://schemas.openxmlformats.org/officeDocument/2006/relationships/hyperlink" Target="http://www.linkedin.com/pub/rick-lemieux/0/A01/5A0" TargetMode="External"/><Relationship Id="rId5223" Type="http://schemas.openxmlformats.org/officeDocument/2006/relationships/hyperlink" Target="http://www.linkedin.com/pub/dana-walter/1/153/910" TargetMode="External"/><Relationship Id="rId6554" Type="http://schemas.openxmlformats.org/officeDocument/2006/relationships/hyperlink" Target="http://www.linkedin.com/pub/jay-moore/0/1B0/733" TargetMode="External"/><Relationship Id="rId7884" Type="http://schemas.openxmlformats.org/officeDocument/2006/relationships/hyperlink" Target="http://www.linkedin.com/pub/laz-sanchez/3/546/913" TargetMode="External"/><Relationship Id="rId394" Type="http://schemas.openxmlformats.org/officeDocument/2006/relationships/hyperlink" Target="http://www.linkedin.com/pub/jeff-clement/0/41A/5A5" TargetMode="External"/><Relationship Id="rId5220" Type="http://schemas.openxmlformats.org/officeDocument/2006/relationships/hyperlink" Target="http://www.linkedin.com/pub/blanca-barros/5/A34/37" TargetMode="External"/><Relationship Id="rId6551" Type="http://schemas.openxmlformats.org/officeDocument/2006/relationships/hyperlink" Target="http://www.linkedin.com/in/vijay2win" TargetMode="External"/><Relationship Id="rId7883" Type="http://schemas.openxmlformats.org/officeDocument/2006/relationships/hyperlink" Target="http://www.linkedin.com/in/kramer" TargetMode="External"/><Relationship Id="rId393" Type="http://schemas.openxmlformats.org/officeDocument/2006/relationships/hyperlink" Target="http://pt.linkedin.com/pub/nuno-patr%C3%ADcio/0/408/49" TargetMode="External"/><Relationship Id="rId5221" Type="http://schemas.openxmlformats.org/officeDocument/2006/relationships/hyperlink" Target="http://www.linkedin.com/pub/javier-sosa/1/925/405" TargetMode="External"/><Relationship Id="rId6552" Type="http://schemas.openxmlformats.org/officeDocument/2006/relationships/hyperlink" Target="http://www.linkedin.com/pub/bill-wu/2/1A9/588" TargetMode="External"/><Relationship Id="rId7882" Type="http://schemas.openxmlformats.org/officeDocument/2006/relationships/hyperlink" Target="http://www.linkedin.com/in/ealbizu" TargetMode="External"/><Relationship Id="rId5226" Type="http://schemas.openxmlformats.org/officeDocument/2006/relationships/hyperlink" Target="http://www.linkedin.com/in/christaconner" TargetMode="External"/><Relationship Id="rId6557" Type="http://schemas.openxmlformats.org/officeDocument/2006/relationships/hyperlink" Target="http://www.linkedin.com/pub/dan-friske/3/179/5AA" TargetMode="External"/><Relationship Id="rId7889" Type="http://schemas.openxmlformats.org/officeDocument/2006/relationships/hyperlink" Target="http://www.linkedin.com/in/fetherolf" TargetMode="External"/><Relationship Id="rId399" Type="http://schemas.openxmlformats.org/officeDocument/2006/relationships/hyperlink" Target="http://www.linkedin.com/pub/joanne-stoner/0/4A0/BB0" TargetMode="External"/><Relationship Id="rId5227" Type="http://schemas.openxmlformats.org/officeDocument/2006/relationships/hyperlink" Target="http://www.linkedin.com/pub/rupert-stocker/1/71/56B" TargetMode="External"/><Relationship Id="rId6558" Type="http://schemas.openxmlformats.org/officeDocument/2006/relationships/hyperlink" Target="http://www.linkedin.com/in/evanlovett" TargetMode="External"/><Relationship Id="rId7888" Type="http://schemas.openxmlformats.org/officeDocument/2006/relationships/hyperlink" Target="http://www.linkedin.com/in/nickmbishop" TargetMode="External"/><Relationship Id="rId398" Type="http://schemas.openxmlformats.org/officeDocument/2006/relationships/hyperlink" Target="http://www.linkedin.com/pub/gary-langley/0/430/58" TargetMode="External"/><Relationship Id="rId5224" Type="http://schemas.openxmlformats.org/officeDocument/2006/relationships/hyperlink" Target="http://www.linkedin.com/in/doragalker" TargetMode="External"/><Relationship Id="rId6555" Type="http://schemas.openxmlformats.org/officeDocument/2006/relationships/hyperlink" Target="http://www.linkedin.com/pub/renato-iwersen/1/369/530" TargetMode="External"/><Relationship Id="rId7887" Type="http://schemas.openxmlformats.org/officeDocument/2006/relationships/hyperlink" Target="http://www.linkedin.com/pub/brian-yang/16/603/874" TargetMode="External"/><Relationship Id="rId397" Type="http://schemas.openxmlformats.org/officeDocument/2006/relationships/hyperlink" Target="http://www.linkedin.com/pub/darren-crocker/2/325/194" TargetMode="External"/><Relationship Id="rId5225" Type="http://schemas.openxmlformats.org/officeDocument/2006/relationships/hyperlink" Target="http://www.linkedin.com/pub/jon-panella/1/691/B61" TargetMode="External"/><Relationship Id="rId6556" Type="http://schemas.openxmlformats.org/officeDocument/2006/relationships/hyperlink" Target="http://www.linkedin.com/in/mrdwilliams" TargetMode="External"/><Relationship Id="rId7886" Type="http://schemas.openxmlformats.org/officeDocument/2006/relationships/hyperlink" Target="http://www.linkedin.com/in/jerrypelosi" TargetMode="External"/><Relationship Id="rId1730" Type="http://schemas.openxmlformats.org/officeDocument/2006/relationships/hyperlink" Target="http://www.linkedin.com/pub/william-collier/3/1B7/168" TargetMode="External"/><Relationship Id="rId1731" Type="http://schemas.openxmlformats.org/officeDocument/2006/relationships/hyperlink" Target="http://www.linkedin.com/pub/gabriel-reggio/15/999/359" TargetMode="External"/><Relationship Id="rId1732" Type="http://schemas.openxmlformats.org/officeDocument/2006/relationships/hyperlink" Target="http://www.linkedin.com/in/jbarragan" TargetMode="External"/><Relationship Id="rId1733" Type="http://schemas.openxmlformats.org/officeDocument/2006/relationships/hyperlink" Target="http://www.linkedin.com/pub/gregory-dillon/3/396/B6A" TargetMode="External"/><Relationship Id="rId1734" Type="http://schemas.openxmlformats.org/officeDocument/2006/relationships/hyperlink" Target="http://www.linkedin.com/in/nancymolloy" TargetMode="External"/><Relationship Id="rId1735" Type="http://schemas.openxmlformats.org/officeDocument/2006/relationships/hyperlink" Target="http://au.linkedin.com/in/johabib" TargetMode="External"/><Relationship Id="rId1736" Type="http://schemas.openxmlformats.org/officeDocument/2006/relationships/hyperlink" Target="http://www.linkedin.com/in/vijayanakkala" TargetMode="External"/><Relationship Id="rId1737" Type="http://schemas.openxmlformats.org/officeDocument/2006/relationships/hyperlink" Target="http://www.linkedin.com/pub/steve-bower/1/844/B14" TargetMode="External"/><Relationship Id="rId1738" Type="http://schemas.openxmlformats.org/officeDocument/2006/relationships/hyperlink" Target="http://www.linkedin.com/in/daniellucarini" TargetMode="External"/><Relationship Id="rId1739" Type="http://schemas.openxmlformats.org/officeDocument/2006/relationships/hyperlink" Target="http://www.linkedin.com/pub/terry-cantrell/0/830/362" TargetMode="External"/><Relationship Id="rId1720" Type="http://schemas.openxmlformats.org/officeDocument/2006/relationships/hyperlink" Target="http://www.linkedin.com/in/kennethlutz" TargetMode="External"/><Relationship Id="rId1721" Type="http://schemas.openxmlformats.org/officeDocument/2006/relationships/hyperlink" Target="http://www.linkedin.com/in/corirosoff" TargetMode="External"/><Relationship Id="rId1722" Type="http://schemas.openxmlformats.org/officeDocument/2006/relationships/hyperlink" Target="http://www.linkedin.com/pub/sonny-barber/0/287/B9" TargetMode="External"/><Relationship Id="rId1723" Type="http://schemas.openxmlformats.org/officeDocument/2006/relationships/hyperlink" Target="http://www.linkedin.com/pub/elizabeth-cesarano/1/A85/1A" TargetMode="External"/><Relationship Id="rId1724" Type="http://schemas.openxmlformats.org/officeDocument/2006/relationships/hyperlink" Target="http://www.linkedin.com/in/gregherbe" TargetMode="External"/><Relationship Id="rId1725" Type="http://schemas.openxmlformats.org/officeDocument/2006/relationships/hyperlink" Target="http://www.linkedin.com/pub/jeff-perlman/2/3B3/36" TargetMode="External"/><Relationship Id="rId1726" Type="http://schemas.openxmlformats.org/officeDocument/2006/relationships/hyperlink" Target="http://www.linkedin.com/in/gehringmark" TargetMode="External"/><Relationship Id="rId1727" Type="http://schemas.openxmlformats.org/officeDocument/2006/relationships/hyperlink" Target="http://www.linkedin.com/pub/hunaid-baliwala/7/308/5B7" TargetMode="External"/><Relationship Id="rId1728" Type="http://schemas.openxmlformats.org/officeDocument/2006/relationships/hyperlink" Target="http://www.linkedin.com/pub/lodovico-marenco/0/338/5b4" TargetMode="External"/><Relationship Id="rId1729" Type="http://schemas.openxmlformats.org/officeDocument/2006/relationships/hyperlink" Target="http://www.linkedin.com/in/danieldesha" TargetMode="External"/><Relationship Id="rId1752" Type="http://schemas.openxmlformats.org/officeDocument/2006/relationships/hyperlink" Target="http://www.linkedin.com/pub/curtis-kent/0/B55/459" TargetMode="External"/><Relationship Id="rId1753" Type="http://schemas.openxmlformats.org/officeDocument/2006/relationships/hyperlink" Target="http://ca.linkedin.com/in/thierrylucmartin" TargetMode="External"/><Relationship Id="rId1754" Type="http://schemas.openxmlformats.org/officeDocument/2006/relationships/hyperlink" Target="http://uk.linkedin.com/pub/colin-donnelly/3/40A/403" TargetMode="External"/><Relationship Id="rId1755" Type="http://schemas.openxmlformats.org/officeDocument/2006/relationships/hyperlink" Target="http://www.linkedin.com/pub/dany-doueiri/A/B76/B13" TargetMode="External"/><Relationship Id="rId1756" Type="http://schemas.openxmlformats.org/officeDocument/2006/relationships/hyperlink" Target="http://www.linkedin.com/in/jmatheny4" TargetMode="External"/><Relationship Id="rId1757" Type="http://schemas.openxmlformats.org/officeDocument/2006/relationships/hyperlink" Target="http://www.linkedin.com/in/charlyneschaub" TargetMode="External"/><Relationship Id="rId1758" Type="http://schemas.openxmlformats.org/officeDocument/2006/relationships/hyperlink" Target="http://www.linkedin.com/pub/david-parker-praneeth-kumar-/8/465/B19" TargetMode="External"/><Relationship Id="rId1759" Type="http://schemas.openxmlformats.org/officeDocument/2006/relationships/hyperlink" Target="http://uk.linkedin.com/in/cpnunn" TargetMode="External"/><Relationship Id="rId1750" Type="http://schemas.openxmlformats.org/officeDocument/2006/relationships/hyperlink" Target="http://www.linkedin.com/pub/josiah-o-neil/6/673/617" TargetMode="External"/><Relationship Id="rId1751" Type="http://schemas.openxmlformats.org/officeDocument/2006/relationships/hyperlink" Target="http://www.linkedin.com/in/jimberner" TargetMode="External"/><Relationship Id="rId1741" Type="http://schemas.openxmlformats.org/officeDocument/2006/relationships/hyperlink" Target="http://www.linkedin.com/pub/matthew-younkle/1/24B/2B7" TargetMode="External"/><Relationship Id="rId1742" Type="http://schemas.openxmlformats.org/officeDocument/2006/relationships/hyperlink" Target="http://www.linkedin.com/pub/christopher-caniff/1/277/2A" TargetMode="External"/><Relationship Id="rId1743" Type="http://schemas.openxmlformats.org/officeDocument/2006/relationships/hyperlink" Target="http://www.linkedin.com/in/muhammadansari" TargetMode="External"/><Relationship Id="rId1744" Type="http://schemas.openxmlformats.org/officeDocument/2006/relationships/hyperlink" Target="http://www.linkedin.com/pub/hilary-coman/0/916/912" TargetMode="External"/><Relationship Id="rId1745" Type="http://schemas.openxmlformats.org/officeDocument/2006/relationships/hyperlink" Target="http://www.linkedin.com/in/obrawls" TargetMode="External"/><Relationship Id="rId1746" Type="http://schemas.openxmlformats.org/officeDocument/2006/relationships/hyperlink" Target="http://www.linkedin.com/in/cathybalestriere" TargetMode="External"/><Relationship Id="rId1747" Type="http://schemas.openxmlformats.org/officeDocument/2006/relationships/hyperlink" Target="http://www.linkedin.com/pub/fernando-gonzalez/2/3B4/68" TargetMode="External"/><Relationship Id="rId1748" Type="http://schemas.openxmlformats.org/officeDocument/2006/relationships/hyperlink" Target="http://www.linkedin.com/pub/steve-parker/2/23B/757" TargetMode="External"/><Relationship Id="rId1749" Type="http://schemas.openxmlformats.org/officeDocument/2006/relationships/hyperlink" Target="http://www.linkedin.com/pub/nelson-hsu/2/436/B2" TargetMode="External"/><Relationship Id="rId1740" Type="http://schemas.openxmlformats.org/officeDocument/2006/relationships/hyperlink" Target="http://www.linkedin.com/pub/jose-de-jesus-gutierrez/26/530/244" TargetMode="External"/><Relationship Id="rId5291" Type="http://schemas.openxmlformats.org/officeDocument/2006/relationships/hyperlink" Target="http://www.linkedin.com/pub/marcelo-costa/0/104/19" TargetMode="External"/><Relationship Id="rId5292" Type="http://schemas.openxmlformats.org/officeDocument/2006/relationships/hyperlink" Target="http://www.linkedin.com/in/larrylandau" TargetMode="External"/><Relationship Id="rId5290" Type="http://schemas.openxmlformats.org/officeDocument/2006/relationships/hyperlink" Target="http://ar.linkedin.com/pub/juan-grinberg/4/7B5/530" TargetMode="External"/><Relationship Id="rId5295" Type="http://schemas.openxmlformats.org/officeDocument/2006/relationships/hyperlink" Target="http://ar.linkedin.com/in/javiermonzon" TargetMode="External"/><Relationship Id="rId5296" Type="http://schemas.openxmlformats.org/officeDocument/2006/relationships/hyperlink" Target="http://ar.linkedin.com/pub/silvana-garrido/2A/5A8/817" TargetMode="External"/><Relationship Id="rId5293" Type="http://schemas.openxmlformats.org/officeDocument/2006/relationships/hyperlink" Target="http://ar.linkedin.com/pub/leandro-reox/1A/864/817" TargetMode="External"/><Relationship Id="rId5294" Type="http://schemas.openxmlformats.org/officeDocument/2006/relationships/hyperlink" Target="http://www.linkedin.com/in/ccanevit" TargetMode="External"/><Relationship Id="rId5299" Type="http://schemas.openxmlformats.org/officeDocument/2006/relationships/hyperlink" Target="http://ar.linkedin.com/pub/mariano-bianco/21/608/214" TargetMode="External"/><Relationship Id="rId5297" Type="http://schemas.openxmlformats.org/officeDocument/2006/relationships/hyperlink" Target="http://ar.linkedin.com/pub/isabel-acevedo/4/75/86" TargetMode="External"/><Relationship Id="rId5298" Type="http://schemas.openxmlformats.org/officeDocument/2006/relationships/hyperlink" Target="http://ar.linkedin.com/in/adriankogutek" TargetMode="External"/><Relationship Id="rId5280" Type="http://schemas.openxmlformats.org/officeDocument/2006/relationships/hyperlink" Target="http://ar.linkedin.com/in/juanambrosini" TargetMode="External"/><Relationship Id="rId5281" Type="http://schemas.openxmlformats.org/officeDocument/2006/relationships/hyperlink" Target="http://ar.linkedin.com/in/leonardosanvitale" TargetMode="External"/><Relationship Id="rId5284" Type="http://schemas.openxmlformats.org/officeDocument/2006/relationships/hyperlink" Target="http://www.linkedin.com/pub/arun-hariharan/4/997/9B3" TargetMode="External"/><Relationship Id="rId5285" Type="http://schemas.openxmlformats.org/officeDocument/2006/relationships/hyperlink" Target="http://www.linkedin.com/pub/adarsh-gosu/4/802/A13" TargetMode="External"/><Relationship Id="rId5282" Type="http://schemas.openxmlformats.org/officeDocument/2006/relationships/hyperlink" Target="http://www.linkedin.com/in/blackard" TargetMode="External"/><Relationship Id="rId5283" Type="http://schemas.openxmlformats.org/officeDocument/2006/relationships/hyperlink" Target="http://www.linkedin.com/in/stuartc" TargetMode="External"/><Relationship Id="rId5288" Type="http://schemas.openxmlformats.org/officeDocument/2006/relationships/hyperlink" Target="http://www.linkedin.com/pub/jessica-troller/4/A72/7A7" TargetMode="External"/><Relationship Id="rId5289" Type="http://schemas.openxmlformats.org/officeDocument/2006/relationships/hyperlink" Target="http://ar.linkedin.com/in/gabrielaherbszteinrrhh" TargetMode="External"/><Relationship Id="rId5286" Type="http://schemas.openxmlformats.org/officeDocument/2006/relationships/hyperlink" Target="http://ar.linkedin.com/pub/daniel-pabon/22/783/5B4" TargetMode="External"/><Relationship Id="rId5287" Type="http://schemas.openxmlformats.org/officeDocument/2006/relationships/hyperlink" Target="http://ar.linkedin.com/in/agustinaparra" TargetMode="External"/><Relationship Id="rId1710" Type="http://schemas.openxmlformats.org/officeDocument/2006/relationships/hyperlink" Target="http://www.linkedin.com/pub/stephen-rogers/0/2/246" TargetMode="External"/><Relationship Id="rId1711" Type="http://schemas.openxmlformats.org/officeDocument/2006/relationships/hyperlink" Target="http://www.linkedin.com/pub/mindy-littman-holland/0/313/846" TargetMode="External"/><Relationship Id="rId1712" Type="http://schemas.openxmlformats.org/officeDocument/2006/relationships/hyperlink" Target="http://www.linkedin.com/pub/melinda-sousa/0/409/90" TargetMode="External"/><Relationship Id="rId1713" Type="http://schemas.openxmlformats.org/officeDocument/2006/relationships/hyperlink" Target="http://www.linkedin.com/in/coreysommers" TargetMode="External"/><Relationship Id="rId1714" Type="http://schemas.openxmlformats.org/officeDocument/2006/relationships/hyperlink" Target="http://www.linkedin.com/in/markkofman" TargetMode="External"/><Relationship Id="rId1715" Type="http://schemas.openxmlformats.org/officeDocument/2006/relationships/hyperlink" Target="http://www.linkedin.com/pub/win-moore/1/452/555" TargetMode="External"/><Relationship Id="rId1716" Type="http://schemas.openxmlformats.org/officeDocument/2006/relationships/hyperlink" Target="http://www.linkedin.com/in/jasonlammers" TargetMode="External"/><Relationship Id="rId1717" Type="http://schemas.openxmlformats.org/officeDocument/2006/relationships/hyperlink" Target="http://www.linkedin.com/in/stevegersten" TargetMode="External"/><Relationship Id="rId1718" Type="http://schemas.openxmlformats.org/officeDocument/2006/relationships/hyperlink" Target="http://www.linkedin.com/pub/ray-weber/7/600/18B" TargetMode="External"/><Relationship Id="rId1719" Type="http://schemas.openxmlformats.org/officeDocument/2006/relationships/hyperlink" Target="http://www.linkedin.com/in/beaufour" TargetMode="External"/><Relationship Id="rId1700" Type="http://schemas.openxmlformats.org/officeDocument/2006/relationships/hyperlink" Target="http://www.linkedin.com/in/davidmchaney" TargetMode="External"/><Relationship Id="rId1701" Type="http://schemas.openxmlformats.org/officeDocument/2006/relationships/hyperlink" Target="http://www.linkedin.com/in/mstorms" TargetMode="External"/><Relationship Id="rId1702" Type="http://schemas.openxmlformats.org/officeDocument/2006/relationships/hyperlink" Target="http://www.linkedin.com/pub/venkat-konda/0/77/1AA" TargetMode="External"/><Relationship Id="rId1703" Type="http://schemas.openxmlformats.org/officeDocument/2006/relationships/hyperlink" Target="http://www.linkedin.com/in/halknowlton" TargetMode="External"/><Relationship Id="rId1704" Type="http://schemas.openxmlformats.org/officeDocument/2006/relationships/hyperlink" Target="http://www.linkedin.com/in/kenoberry" TargetMode="External"/><Relationship Id="rId1705" Type="http://schemas.openxmlformats.org/officeDocument/2006/relationships/hyperlink" Target="http://www.linkedin.com/pub/john-lee/0/484/997" TargetMode="External"/><Relationship Id="rId1706" Type="http://schemas.openxmlformats.org/officeDocument/2006/relationships/hyperlink" Target="http://br.linkedin.com/in/ericorabanea" TargetMode="External"/><Relationship Id="rId1707" Type="http://schemas.openxmlformats.org/officeDocument/2006/relationships/hyperlink" Target="http://www.linkedin.com/in/marysieck" TargetMode="External"/><Relationship Id="rId1708" Type="http://schemas.openxmlformats.org/officeDocument/2006/relationships/hyperlink" Target="http://www.linkedin.com/pub/sanjay-jalona/0/545/1A9" TargetMode="External"/><Relationship Id="rId1709" Type="http://schemas.openxmlformats.org/officeDocument/2006/relationships/hyperlink" Target="http://www.linkedin.com/in/markeisner" TargetMode="External"/><Relationship Id="rId40" Type="http://schemas.openxmlformats.org/officeDocument/2006/relationships/hyperlink" Target="http://br.linkedin.com/pub/arthur-asnis/0/24A/AA1" TargetMode="External"/><Relationship Id="rId42" Type="http://schemas.openxmlformats.org/officeDocument/2006/relationships/hyperlink" Target="http://www.linkedin.com/pub/celso-cenot%C3%A9cnico/27/B6A/6A1" TargetMode="External"/><Relationship Id="rId41" Type="http://schemas.openxmlformats.org/officeDocument/2006/relationships/hyperlink" Target="http://www.linkedin.com/in/joerosenbaum" TargetMode="External"/><Relationship Id="rId44" Type="http://schemas.openxmlformats.org/officeDocument/2006/relationships/hyperlink" Target="http://www.linkedin.com/pub/guillermo-pizzolo/5/45/baa" TargetMode="External"/><Relationship Id="rId43" Type="http://schemas.openxmlformats.org/officeDocument/2006/relationships/hyperlink" Target="http://www.linkedin.com/pub/dean-welch-gphr-sphr/0/B00/604" TargetMode="External"/><Relationship Id="rId46" Type="http://schemas.openxmlformats.org/officeDocument/2006/relationships/hyperlink" Target="http://ar.linkedin.com/in/nataliagonzalezamato" TargetMode="External"/><Relationship Id="rId45" Type="http://schemas.openxmlformats.org/officeDocument/2006/relationships/hyperlink" Target="http://www.linkedin.com/pub/hector-bajac/1/24a/59" TargetMode="External"/><Relationship Id="rId48" Type="http://schemas.openxmlformats.org/officeDocument/2006/relationships/hyperlink" Target="http://br.linkedin.com/in/raulparada" TargetMode="External"/><Relationship Id="rId47" Type="http://schemas.openxmlformats.org/officeDocument/2006/relationships/hyperlink" Target="http://www.linkedin.com/in/fagarcia" TargetMode="External"/><Relationship Id="rId49" Type="http://schemas.openxmlformats.org/officeDocument/2006/relationships/hyperlink" Target="http://www.linkedin.com/in/sppencer18" TargetMode="External"/><Relationship Id="rId31" Type="http://schemas.openxmlformats.org/officeDocument/2006/relationships/hyperlink" Target="http://www.linkedin.com/in/dargie" TargetMode="External"/><Relationship Id="rId30" Type="http://schemas.openxmlformats.org/officeDocument/2006/relationships/hyperlink" Target="http://www.linkedin.com/pub/michael-frick/0/131/421" TargetMode="External"/><Relationship Id="rId33" Type="http://schemas.openxmlformats.org/officeDocument/2006/relationships/hyperlink" Target="http://br.linkedin.com/pub/eldes-mattiuzzo/0/125/82A" TargetMode="External"/><Relationship Id="rId32" Type="http://schemas.openxmlformats.org/officeDocument/2006/relationships/hyperlink" Target="http://cl.linkedin.com/pub/enrique-novomisky/1/369/4A" TargetMode="External"/><Relationship Id="rId35" Type="http://schemas.openxmlformats.org/officeDocument/2006/relationships/hyperlink" Target="http://www.linkedin.com/pub/jonathan-coupal-cissp-mcse/5/59B/530" TargetMode="External"/><Relationship Id="rId34" Type="http://schemas.openxmlformats.org/officeDocument/2006/relationships/hyperlink" Target="http://www.linkedin.com/in/eduardofrias" TargetMode="External"/><Relationship Id="rId37" Type="http://schemas.openxmlformats.org/officeDocument/2006/relationships/hyperlink" Target="http://www.linkedin.com/in/jeffhodgkinson" TargetMode="External"/><Relationship Id="rId36" Type="http://schemas.openxmlformats.org/officeDocument/2006/relationships/hyperlink" Target="http://www.linkedin.com/pub/damian-alejandro-eiff/14/127/8b" TargetMode="External"/><Relationship Id="rId39" Type="http://schemas.openxmlformats.org/officeDocument/2006/relationships/hyperlink" Target="http://www.linkedin.com/pub/carlos-roberto-katayama/0/252/7a8" TargetMode="External"/><Relationship Id="rId38" Type="http://schemas.openxmlformats.org/officeDocument/2006/relationships/hyperlink" Target="http://br.linkedin.com/in/tsacchetta" TargetMode="External"/><Relationship Id="rId20" Type="http://schemas.openxmlformats.org/officeDocument/2006/relationships/hyperlink" Target="http://www.linkedin.com/pub/annetta-coleman/5/835/7B8" TargetMode="External"/><Relationship Id="rId22" Type="http://schemas.openxmlformats.org/officeDocument/2006/relationships/hyperlink" Target="http://www.linkedin.com/pub/eyal-avner/19/A86/369" TargetMode="External"/><Relationship Id="rId21" Type="http://schemas.openxmlformats.org/officeDocument/2006/relationships/hyperlink" Target="http://www.linkedin.com/in/marinamendez" TargetMode="External"/><Relationship Id="rId24" Type="http://schemas.openxmlformats.org/officeDocument/2006/relationships/hyperlink" Target="http://www.linkedin.com/pub/kopelipa-vieira-dias/22/589/95B" TargetMode="External"/><Relationship Id="rId23" Type="http://schemas.openxmlformats.org/officeDocument/2006/relationships/hyperlink" Target="http://www.linkedin.com/pub/eyal-avner/4/A45/4B0" TargetMode="External"/><Relationship Id="rId26" Type="http://schemas.openxmlformats.org/officeDocument/2006/relationships/hyperlink" Target="http://uk.linkedin.com/in/volodymyrnedashkivskyi" TargetMode="External"/><Relationship Id="rId25" Type="http://schemas.openxmlformats.org/officeDocument/2006/relationships/hyperlink" Target="http://br.linkedin.com/pub/alex-szapiro/0/A/355" TargetMode="External"/><Relationship Id="rId28" Type="http://schemas.openxmlformats.org/officeDocument/2006/relationships/hyperlink" Target="http://br.linkedin.com/pub/newton-homem/0/252/164" TargetMode="External"/><Relationship Id="rId27" Type="http://schemas.openxmlformats.org/officeDocument/2006/relationships/hyperlink" Target="http://br.linkedin.com/pub/m-rcia-primo-costa/0/447/63B" TargetMode="External"/><Relationship Id="rId29" Type="http://schemas.openxmlformats.org/officeDocument/2006/relationships/hyperlink" Target="http://br.linkedin.com/in/germanoramlow" TargetMode="External"/><Relationship Id="rId11" Type="http://schemas.openxmlformats.org/officeDocument/2006/relationships/hyperlink" Target="http://fr.linkedin.com/pub/abdallah-hitti/0/49/549" TargetMode="External"/><Relationship Id="rId10" Type="http://schemas.openxmlformats.org/officeDocument/2006/relationships/hyperlink" Target="http://www.linkedin.com/pub/martin-kryss/0/b92/7bb" TargetMode="External"/><Relationship Id="rId13" Type="http://schemas.openxmlformats.org/officeDocument/2006/relationships/hyperlink" Target="http://www.linkedin.com/pub/gustavo-caetano/0/524/b96?trk=pub-pbmap" TargetMode="External"/><Relationship Id="rId12" Type="http://schemas.openxmlformats.org/officeDocument/2006/relationships/hyperlink" Target="http://br.linkedin.com/pub/jacques-varaschim/0/1A8/B00" TargetMode="External"/><Relationship Id="rId15" Type="http://schemas.openxmlformats.org/officeDocument/2006/relationships/hyperlink" Target="http://br.linkedin.com/in/tomasduarte" TargetMode="External"/><Relationship Id="rId14" Type="http://schemas.openxmlformats.org/officeDocument/2006/relationships/hyperlink" Target="http://br.linkedin.com/pub/nivaldo-santana-pmp/9/239/88A" TargetMode="External"/><Relationship Id="rId17" Type="http://schemas.openxmlformats.org/officeDocument/2006/relationships/hyperlink" Target="http://in.linkedin.com/pub/deepak-chandnani/10/11B/308" TargetMode="External"/><Relationship Id="rId16" Type="http://schemas.openxmlformats.org/officeDocument/2006/relationships/hyperlink" Target="http://br.linkedin.com/pub/sonia-nigri/0/534/B87" TargetMode="External"/><Relationship Id="rId19" Type="http://schemas.openxmlformats.org/officeDocument/2006/relationships/hyperlink" Target="http://br.linkedin.com/pub/carlos-augusto-oliveira/29/1B8/8B0" TargetMode="External"/><Relationship Id="rId18" Type="http://schemas.openxmlformats.org/officeDocument/2006/relationships/hyperlink" Target="http://br.linkedin.com/pub/luis-filipe-cavalcanti/1/22A/A9B" TargetMode="External"/><Relationship Id="rId84" Type="http://schemas.openxmlformats.org/officeDocument/2006/relationships/hyperlink" Target="http://au.linkedin.com/pub/dominic-dufaur/4/11/1" TargetMode="External"/><Relationship Id="rId1774" Type="http://schemas.openxmlformats.org/officeDocument/2006/relationships/hyperlink" Target="http://www.linkedin.com/in/heathermichelechapman" TargetMode="External"/><Relationship Id="rId83" Type="http://schemas.openxmlformats.org/officeDocument/2006/relationships/hyperlink" Target="http://www.linkedin.com/pub/juan-pablo-romero-lopez/0/398/99a" TargetMode="External"/><Relationship Id="rId1775" Type="http://schemas.openxmlformats.org/officeDocument/2006/relationships/hyperlink" Target="http://www.linkedin.com/pub/randy-johnson/7/922/587" TargetMode="External"/><Relationship Id="rId86" Type="http://schemas.openxmlformats.org/officeDocument/2006/relationships/hyperlink" Target="http://ca.linkedin.com/in/kjenkins70" TargetMode="External"/><Relationship Id="rId1776" Type="http://schemas.openxmlformats.org/officeDocument/2006/relationships/hyperlink" Target="http://www.linkedin.com/pub/steve-langerock/2/9AB/689" TargetMode="External"/><Relationship Id="rId85" Type="http://schemas.openxmlformats.org/officeDocument/2006/relationships/hyperlink" Target="http://www.linkedin.com/in/leenajacob" TargetMode="External"/><Relationship Id="rId1777" Type="http://schemas.openxmlformats.org/officeDocument/2006/relationships/hyperlink" Target="http://in.linkedin.com/in/vikramnerurkar" TargetMode="External"/><Relationship Id="rId88" Type="http://schemas.openxmlformats.org/officeDocument/2006/relationships/hyperlink" Target="http://dk.linkedin.com/in/jokerconsulting" TargetMode="External"/><Relationship Id="rId1778" Type="http://schemas.openxmlformats.org/officeDocument/2006/relationships/hyperlink" Target="http://www.linkedin.com/in/jeffgeheb" TargetMode="External"/><Relationship Id="rId87" Type="http://schemas.openxmlformats.org/officeDocument/2006/relationships/hyperlink" Target="http://mx.linkedin.com/pub/cynthya-m%C3%A9ndez-torres/26/52B/386" TargetMode="External"/><Relationship Id="rId1779" Type="http://schemas.openxmlformats.org/officeDocument/2006/relationships/hyperlink" Target="http://br.linkedin.com/pub/mario-mathias/29/60B/463" TargetMode="External"/><Relationship Id="rId89" Type="http://schemas.openxmlformats.org/officeDocument/2006/relationships/hyperlink" Target="http://www.linkedin.com/pub/alejandro-p%C3%BAlito/0/915/643" TargetMode="External"/><Relationship Id="rId80" Type="http://schemas.openxmlformats.org/officeDocument/2006/relationships/hyperlink" Target="http://www.linkedin.com/in/mvalera" TargetMode="External"/><Relationship Id="rId82" Type="http://schemas.openxmlformats.org/officeDocument/2006/relationships/hyperlink" Target="http://www.linkedin.com/pub/q2-it-quadro-mart%C3%ADn/3/a06/444" TargetMode="External"/><Relationship Id="rId81" Type="http://schemas.openxmlformats.org/officeDocument/2006/relationships/hyperlink" Target="http://www.linkedin.com/in/margorose" TargetMode="External"/><Relationship Id="rId1770" Type="http://schemas.openxmlformats.org/officeDocument/2006/relationships/hyperlink" Target="http://www.linkedin.com/pub/douglas-eby/19/210/417" TargetMode="External"/><Relationship Id="rId1771" Type="http://schemas.openxmlformats.org/officeDocument/2006/relationships/hyperlink" Target="http://www.linkedin.com/in/williamindy" TargetMode="External"/><Relationship Id="rId1772" Type="http://schemas.openxmlformats.org/officeDocument/2006/relationships/hyperlink" Target="http://www.linkedin.com/pub/cristiane-pina/26/152/29A" TargetMode="External"/><Relationship Id="rId1773" Type="http://schemas.openxmlformats.org/officeDocument/2006/relationships/hyperlink" Target="http://www.linkedin.com/in/sherrasewell" TargetMode="External"/><Relationship Id="rId73" Type="http://schemas.openxmlformats.org/officeDocument/2006/relationships/hyperlink" Target="http://www.linkedin.com/pub/krishna-dereddy/26/39B/349" TargetMode="External"/><Relationship Id="rId1763" Type="http://schemas.openxmlformats.org/officeDocument/2006/relationships/hyperlink" Target="http://mx.linkedin.com/pub/melba-gonz%C3%A1lez/25/1A/1B3" TargetMode="External"/><Relationship Id="rId72" Type="http://schemas.openxmlformats.org/officeDocument/2006/relationships/hyperlink" Target="http://www.linkedin.com/in/seandelaney" TargetMode="External"/><Relationship Id="rId1764" Type="http://schemas.openxmlformats.org/officeDocument/2006/relationships/hyperlink" Target="http://www.linkedin.com/pub/simon-bollin/1B/68B/8B5" TargetMode="External"/><Relationship Id="rId75" Type="http://schemas.openxmlformats.org/officeDocument/2006/relationships/hyperlink" Target="http://www.linkedin.com/pub/reena-gupta/1/817/275" TargetMode="External"/><Relationship Id="rId1765" Type="http://schemas.openxmlformats.org/officeDocument/2006/relationships/hyperlink" Target="http://www.linkedin.com/pub/mike-wilson/4/6B4/405" TargetMode="External"/><Relationship Id="rId74" Type="http://schemas.openxmlformats.org/officeDocument/2006/relationships/hyperlink" Target="http://www.linkedin.com/in/branstetter" TargetMode="External"/><Relationship Id="rId1766" Type="http://schemas.openxmlformats.org/officeDocument/2006/relationships/hyperlink" Target="http://www.linkedin.com/pub/daniel-ritter/12/323/B92" TargetMode="External"/><Relationship Id="rId77" Type="http://schemas.openxmlformats.org/officeDocument/2006/relationships/hyperlink" Target="http://www.linkedin.com/in/harrisondlee" TargetMode="External"/><Relationship Id="rId1767" Type="http://schemas.openxmlformats.org/officeDocument/2006/relationships/hyperlink" Target="http://www.linkedin.com/in/adelelmaghraby" TargetMode="External"/><Relationship Id="rId76" Type="http://schemas.openxmlformats.org/officeDocument/2006/relationships/hyperlink" Target="http://br.linkedin.com/in/eduardorubiano" TargetMode="External"/><Relationship Id="rId1768" Type="http://schemas.openxmlformats.org/officeDocument/2006/relationships/hyperlink" Target="http://www.linkedin.com/pub/paul-brinkerhoff/4/8AA/6" TargetMode="External"/><Relationship Id="rId79" Type="http://schemas.openxmlformats.org/officeDocument/2006/relationships/hyperlink" Target="http://www.linkedin.com/in/alexhirschmusic" TargetMode="External"/><Relationship Id="rId1769" Type="http://schemas.openxmlformats.org/officeDocument/2006/relationships/hyperlink" Target="http://www.linkedin.com/pub/sohel-kazi/2/22B/A22" TargetMode="External"/><Relationship Id="rId78" Type="http://schemas.openxmlformats.org/officeDocument/2006/relationships/hyperlink" Target="http://www.linkedin.com/pub/marcos-garcia-calvi%C3%B1o/10/234/474" TargetMode="External"/><Relationship Id="rId71" Type="http://schemas.openxmlformats.org/officeDocument/2006/relationships/hyperlink" Target="http://www.linkedin.com/in/optechs" TargetMode="External"/><Relationship Id="rId70" Type="http://schemas.openxmlformats.org/officeDocument/2006/relationships/hyperlink" Target="http://uk.linkedin.com/pub/paul-davis/0/446/21A" TargetMode="External"/><Relationship Id="rId1760" Type="http://schemas.openxmlformats.org/officeDocument/2006/relationships/hyperlink" Target="http://www.linkedin.com/in/jimbartek" TargetMode="External"/><Relationship Id="rId1761" Type="http://schemas.openxmlformats.org/officeDocument/2006/relationships/hyperlink" Target="http://br.linkedin.com/pub/edimara-luciano/2A/911/AAB" TargetMode="External"/><Relationship Id="rId1762" Type="http://schemas.openxmlformats.org/officeDocument/2006/relationships/hyperlink" Target="http://www.linkedin.com/in/adamwlawrence" TargetMode="External"/><Relationship Id="rId62" Type="http://schemas.openxmlformats.org/officeDocument/2006/relationships/hyperlink" Target="http://albertmoreiragmail.com" TargetMode="External"/><Relationship Id="rId1796" Type="http://schemas.openxmlformats.org/officeDocument/2006/relationships/hyperlink" Target="http://www.linkedin.com/pub/keri-disch/2/bb2/745" TargetMode="External"/><Relationship Id="rId61" Type="http://schemas.openxmlformats.org/officeDocument/2006/relationships/hyperlink" Target="http://www.linkedin.com/in/thubten" TargetMode="External"/><Relationship Id="rId1797" Type="http://schemas.openxmlformats.org/officeDocument/2006/relationships/hyperlink" Target="http://www.linkedin.com/in/peterschiller" TargetMode="External"/><Relationship Id="rId64" Type="http://schemas.openxmlformats.org/officeDocument/2006/relationships/hyperlink" Target="https://www.linkedin.com/in/tomdebourcy" TargetMode="External"/><Relationship Id="rId1798" Type="http://schemas.openxmlformats.org/officeDocument/2006/relationships/hyperlink" Target="http://www.linkedin.com/in/lisacclark" TargetMode="External"/><Relationship Id="rId63" Type="http://schemas.openxmlformats.org/officeDocument/2006/relationships/hyperlink" Target="https://www.linkedin.com/in/albertmoreira" TargetMode="External"/><Relationship Id="rId1799" Type="http://schemas.openxmlformats.org/officeDocument/2006/relationships/hyperlink" Target="http://www.linkedin.com/in/1venturecatalyst" TargetMode="External"/><Relationship Id="rId66" Type="http://schemas.openxmlformats.org/officeDocument/2006/relationships/hyperlink" Target="http://www.linkedin.com/in/vikjit" TargetMode="External"/><Relationship Id="rId65" Type="http://schemas.openxmlformats.org/officeDocument/2006/relationships/hyperlink" Target="http://ar.linkedin.com/pub/andres-ruiz/14/49A/649" TargetMode="External"/><Relationship Id="rId68" Type="http://schemas.openxmlformats.org/officeDocument/2006/relationships/hyperlink" Target="http://www.linkedin.com/in/ratitandon" TargetMode="External"/><Relationship Id="rId67" Type="http://schemas.openxmlformats.org/officeDocument/2006/relationships/hyperlink" Target="http://www.linkedin.com/in/mcoutts" TargetMode="External"/><Relationship Id="rId60" Type="http://schemas.openxmlformats.org/officeDocument/2006/relationships/hyperlink" Target="http://www.linkedin.com/in/fgverdejo" TargetMode="External"/><Relationship Id="rId69" Type="http://schemas.openxmlformats.org/officeDocument/2006/relationships/hyperlink" Target="http://www.linkedin.com/in/marcbenioff" TargetMode="External"/><Relationship Id="rId1790" Type="http://schemas.openxmlformats.org/officeDocument/2006/relationships/hyperlink" Target="http://www.linkedin.com/in/elainedesouza" TargetMode="External"/><Relationship Id="rId1791" Type="http://schemas.openxmlformats.org/officeDocument/2006/relationships/hyperlink" Target="http://it.linkedin.com/in/masci" TargetMode="External"/><Relationship Id="rId1792" Type="http://schemas.openxmlformats.org/officeDocument/2006/relationships/hyperlink" Target="http://www.linkedin.com/pub/ted-abernathy/3/691/784" TargetMode="External"/><Relationship Id="rId1793" Type="http://schemas.openxmlformats.org/officeDocument/2006/relationships/hyperlink" Target="http://uk.linkedin.com/pub/andrew-sleigh/0/4/7B8" TargetMode="External"/><Relationship Id="rId1794" Type="http://schemas.openxmlformats.org/officeDocument/2006/relationships/hyperlink" Target="http://www.linkedin.com/pub/yaobin-chen/3/9A3/75" TargetMode="External"/><Relationship Id="rId1795" Type="http://schemas.openxmlformats.org/officeDocument/2006/relationships/hyperlink" Target="http://www.linkedin.com/pub/bruce-kuppersmith/2/BA9/248" TargetMode="External"/><Relationship Id="rId51" Type="http://schemas.openxmlformats.org/officeDocument/2006/relationships/hyperlink" Target="http://www.linkedin.com/pub/josep-m%C2%AA-cos-i-riera/2/241/418" TargetMode="External"/><Relationship Id="rId1785" Type="http://schemas.openxmlformats.org/officeDocument/2006/relationships/hyperlink" Target="http://www.linkedin.com/in/jimfolger" TargetMode="External"/><Relationship Id="rId50" Type="http://schemas.openxmlformats.org/officeDocument/2006/relationships/hyperlink" Target="http://www.linkedin.com/pub/anabella-billece/8/bb2/31a" TargetMode="External"/><Relationship Id="rId1786" Type="http://schemas.openxmlformats.org/officeDocument/2006/relationships/hyperlink" Target="http://www.linkedin.com/pub/eric-holterman/3/552/35B" TargetMode="External"/><Relationship Id="rId53" Type="http://schemas.openxmlformats.org/officeDocument/2006/relationships/hyperlink" Target="http://mx.linkedin.com/pub/jorge-facio/27/BB3/43" TargetMode="External"/><Relationship Id="rId1787" Type="http://schemas.openxmlformats.org/officeDocument/2006/relationships/hyperlink" Target="http://uk.linkedin.com/in/chemicalexecutivesearch" TargetMode="External"/><Relationship Id="rId52" Type="http://schemas.openxmlformats.org/officeDocument/2006/relationships/hyperlink" Target="http://uk.linkedin.com/pub/miguel-herschberg/B/2A/905" TargetMode="External"/><Relationship Id="rId1788" Type="http://schemas.openxmlformats.org/officeDocument/2006/relationships/hyperlink" Target="http://www.linkedin.com/in/stanleywang" TargetMode="External"/><Relationship Id="rId55" Type="http://schemas.openxmlformats.org/officeDocument/2006/relationships/hyperlink" Target="http://ca.linkedin.com/pub/delto-ribeiro/0/359/4B9" TargetMode="External"/><Relationship Id="rId1789" Type="http://schemas.openxmlformats.org/officeDocument/2006/relationships/hyperlink" Target="http://www.linkedin.com/in/pollyfriendrn" TargetMode="External"/><Relationship Id="rId54" Type="http://schemas.openxmlformats.org/officeDocument/2006/relationships/hyperlink" Target="http://www.linkedin.com/in/garthknudson" TargetMode="External"/><Relationship Id="rId57" Type="http://schemas.openxmlformats.org/officeDocument/2006/relationships/hyperlink" Target="http://www.linkedin.com/in/annanschlegel" TargetMode="External"/><Relationship Id="rId56" Type="http://schemas.openxmlformats.org/officeDocument/2006/relationships/hyperlink" Target="http://www.linkedin.com/pub/juan-pedro-hecht/16/525/a6b" TargetMode="External"/><Relationship Id="rId59" Type="http://schemas.openxmlformats.org/officeDocument/2006/relationships/hyperlink" Target="http://kw.linkedin.com/pub/melinda-gonzalez-sandlin/9/58A/876" TargetMode="External"/><Relationship Id="rId58" Type="http://schemas.openxmlformats.org/officeDocument/2006/relationships/hyperlink" Target="http://ca.linkedin.com/in/talentxfactor" TargetMode="External"/><Relationship Id="rId1780" Type="http://schemas.openxmlformats.org/officeDocument/2006/relationships/hyperlink" Target="http://www.linkedin.com/in/liznutting" TargetMode="External"/><Relationship Id="rId1781" Type="http://schemas.openxmlformats.org/officeDocument/2006/relationships/hyperlink" Target="http://www.linkedin.com/pub/peter-mcnally/2/AB8/91B" TargetMode="External"/><Relationship Id="rId1782" Type="http://schemas.openxmlformats.org/officeDocument/2006/relationships/hyperlink" Target="http://www.linkedin.com/pub/emerson-leandro/27/1A0/200" TargetMode="External"/><Relationship Id="rId1783" Type="http://schemas.openxmlformats.org/officeDocument/2006/relationships/hyperlink" Target="http://www.linkedin.com/in/jedlevinson" TargetMode="External"/><Relationship Id="rId1784" Type="http://schemas.openxmlformats.org/officeDocument/2006/relationships/hyperlink" Target="http://www.linkedin.com/pub/tiffany-johnson-pmp-cspo/2/924/B33" TargetMode="External"/><Relationship Id="rId6627" Type="http://schemas.openxmlformats.org/officeDocument/2006/relationships/hyperlink" Target="http://www.linkedin.com/pub/scott-quigley/1/398/8B1" TargetMode="External"/><Relationship Id="rId7959" Type="http://schemas.openxmlformats.org/officeDocument/2006/relationships/hyperlink" Target="http://www.linkedin.com/pub/shawn-morris/0/157/199" TargetMode="External"/><Relationship Id="rId6628" Type="http://schemas.openxmlformats.org/officeDocument/2006/relationships/hyperlink" Target="http://www.linkedin.com/pub/steve-clampett/7/902/889" TargetMode="External"/><Relationship Id="rId7958" Type="http://schemas.openxmlformats.org/officeDocument/2006/relationships/hyperlink" Target="http://www.linkedin.com/in/chrishanburger" TargetMode="External"/><Relationship Id="rId6625" Type="http://schemas.openxmlformats.org/officeDocument/2006/relationships/hyperlink" Target="http://www.linkedin.com/in/fayyazshah" TargetMode="External"/><Relationship Id="rId7957" Type="http://schemas.openxmlformats.org/officeDocument/2006/relationships/hyperlink" Target="http://www.linkedin.com/pub/miljan-milan/A/862/880" TargetMode="External"/><Relationship Id="rId6626" Type="http://schemas.openxmlformats.org/officeDocument/2006/relationships/hyperlink" Target="http://www.linkedin.com/in/neufangsuz" TargetMode="External"/><Relationship Id="rId7956" Type="http://schemas.openxmlformats.org/officeDocument/2006/relationships/hyperlink" Target="http://www.linkedin.com/in/marcrochman" TargetMode="External"/><Relationship Id="rId6629" Type="http://schemas.openxmlformats.org/officeDocument/2006/relationships/hyperlink" Target="http://www.linkedin.com/pub/rakesh-pandey/12/7/505" TargetMode="External"/><Relationship Id="rId349" Type="http://schemas.openxmlformats.org/officeDocument/2006/relationships/hyperlink" Target="http://www.linkedin.com/pub/mark-jennings/5/966/9" TargetMode="External"/><Relationship Id="rId348" Type="http://schemas.openxmlformats.org/officeDocument/2006/relationships/hyperlink" Target="http://de.linkedin.com/pub/benedikt-zacher/1/180/715" TargetMode="External"/><Relationship Id="rId347" Type="http://schemas.openxmlformats.org/officeDocument/2006/relationships/hyperlink" Target="http://br.linkedin.com/in/rodrigoy" TargetMode="External"/><Relationship Id="rId346" Type="http://schemas.openxmlformats.org/officeDocument/2006/relationships/hyperlink" Target="http://br.linkedin.com/pub/am%C3%A9rico-pereira-filho/1/A9/940" TargetMode="External"/><Relationship Id="rId341" Type="http://schemas.openxmlformats.org/officeDocument/2006/relationships/hyperlink" Target="http://www.linkedin.com/in/benekatz" TargetMode="External"/><Relationship Id="rId7951" Type="http://schemas.openxmlformats.org/officeDocument/2006/relationships/hyperlink" Target="http://www.linkedin.com/in/mayawalker" TargetMode="External"/><Relationship Id="rId340" Type="http://schemas.openxmlformats.org/officeDocument/2006/relationships/hyperlink" Target="http://www.linkedin.com/pub/sam-tyk-samtyk-oakbrookus-com/0/241/66A" TargetMode="External"/><Relationship Id="rId6620" Type="http://schemas.openxmlformats.org/officeDocument/2006/relationships/hyperlink" Target="http://www.linkedin.com/in/shankarmishra" TargetMode="External"/><Relationship Id="rId7950" Type="http://schemas.openxmlformats.org/officeDocument/2006/relationships/hyperlink" Target="http://www.linkedin.com/in/philvella" TargetMode="External"/><Relationship Id="rId345" Type="http://schemas.openxmlformats.org/officeDocument/2006/relationships/hyperlink" Target="http://ca.linkedin.com/in/ericriz" TargetMode="External"/><Relationship Id="rId6623" Type="http://schemas.openxmlformats.org/officeDocument/2006/relationships/hyperlink" Target="http://www.linkedin.com/pub/linda-stupakiewicz/5/272/B22" TargetMode="External"/><Relationship Id="rId7955" Type="http://schemas.openxmlformats.org/officeDocument/2006/relationships/hyperlink" Target="http://ar.linkedin.com/in/alejandrobaldo" TargetMode="External"/><Relationship Id="rId344" Type="http://schemas.openxmlformats.org/officeDocument/2006/relationships/hyperlink" Target="http://www.linkedin.com/in/demontdaniel" TargetMode="External"/><Relationship Id="rId6624" Type="http://schemas.openxmlformats.org/officeDocument/2006/relationships/hyperlink" Target="http://www.linkedin.com/pub/jeff-glueck/1/521/63A" TargetMode="External"/><Relationship Id="rId7954" Type="http://schemas.openxmlformats.org/officeDocument/2006/relationships/hyperlink" Target="http://www.linkedin.com/in/timcummingspe" TargetMode="External"/><Relationship Id="rId343" Type="http://schemas.openxmlformats.org/officeDocument/2006/relationships/hyperlink" Target="http://br.linkedin.com/in/caioperes" TargetMode="External"/><Relationship Id="rId6621" Type="http://schemas.openxmlformats.org/officeDocument/2006/relationships/hyperlink" Target="http://www.linkedin.com/pub/ginny-mahl/0/244/B77" TargetMode="External"/><Relationship Id="rId7953" Type="http://schemas.openxmlformats.org/officeDocument/2006/relationships/hyperlink" Target="http://www.linkedin.com/pub/steven-croft/B/BA2/B74" TargetMode="External"/><Relationship Id="rId342" Type="http://schemas.openxmlformats.org/officeDocument/2006/relationships/hyperlink" Target="http://www.linkedin.com/pub/mark-dirose/1/112/6B0" TargetMode="External"/><Relationship Id="rId6622" Type="http://schemas.openxmlformats.org/officeDocument/2006/relationships/hyperlink" Target="http://www.linkedin.com/pub/erin-riley/9/B54/822" TargetMode="External"/><Relationship Id="rId7952" Type="http://schemas.openxmlformats.org/officeDocument/2006/relationships/hyperlink" Target="http://www.linkedin.com/in/louiscarter" TargetMode="External"/><Relationship Id="rId6616" Type="http://schemas.openxmlformats.org/officeDocument/2006/relationships/hyperlink" Target="http://www.linkedin.com/pub/sushil-shukla/0/124/A87" TargetMode="External"/><Relationship Id="rId7948" Type="http://schemas.openxmlformats.org/officeDocument/2006/relationships/hyperlink" Target="http://www.linkedin.com/pub/george-burroughs-open-networker%5D/28/130/29" TargetMode="External"/><Relationship Id="rId6617" Type="http://schemas.openxmlformats.org/officeDocument/2006/relationships/hyperlink" Target="http://www.linkedin.com/in/rajam" TargetMode="External"/><Relationship Id="rId7947" Type="http://schemas.openxmlformats.org/officeDocument/2006/relationships/hyperlink" Target="http://www.linkedin.com/pub/tom-love/11/956/AB4" TargetMode="External"/><Relationship Id="rId6614" Type="http://schemas.openxmlformats.org/officeDocument/2006/relationships/hyperlink" Target="http://www.linkedin.com/in/simonshelston" TargetMode="External"/><Relationship Id="rId7946" Type="http://schemas.openxmlformats.org/officeDocument/2006/relationships/hyperlink" Target="http://www.linkedin.com/in/kendiamond" TargetMode="External"/><Relationship Id="rId6615" Type="http://schemas.openxmlformats.org/officeDocument/2006/relationships/hyperlink" Target="http://www.linkedin.com/pub/sam-lakkundi/0/706/30" TargetMode="External"/><Relationship Id="rId7945" Type="http://schemas.openxmlformats.org/officeDocument/2006/relationships/hyperlink" Target="http://www.linkedin.com/in/msbrandonbrown" TargetMode="External"/><Relationship Id="rId6618" Type="http://schemas.openxmlformats.org/officeDocument/2006/relationships/hyperlink" Target="http://www.linkedin.com/pub/ana-ammann/1/502/7B8" TargetMode="External"/><Relationship Id="rId6619" Type="http://schemas.openxmlformats.org/officeDocument/2006/relationships/hyperlink" Target="http://www.linkedin.com/in/sreebodapati" TargetMode="External"/><Relationship Id="rId7949" Type="http://schemas.openxmlformats.org/officeDocument/2006/relationships/hyperlink" Target="http://www.linkedin.com/in/securityrecruiter" TargetMode="External"/><Relationship Id="rId338" Type="http://schemas.openxmlformats.org/officeDocument/2006/relationships/hyperlink" Target="http://www.linkedin.com/in/jshears" TargetMode="External"/><Relationship Id="rId337" Type="http://schemas.openxmlformats.org/officeDocument/2006/relationships/hyperlink" Target="http://www.linkedin.com/in/riverwalk" TargetMode="External"/><Relationship Id="rId336" Type="http://schemas.openxmlformats.org/officeDocument/2006/relationships/hyperlink" Target="http://www.linkedin.com/in/ramsrinivasan1" TargetMode="External"/><Relationship Id="rId335" Type="http://schemas.openxmlformats.org/officeDocument/2006/relationships/hyperlink" Target="http://www.linkedin.com/pub/tony-detato/9/701/1BB" TargetMode="External"/><Relationship Id="rId339" Type="http://schemas.openxmlformats.org/officeDocument/2006/relationships/hyperlink" Target="http://tr.linkedin.com/in/salihoztop" TargetMode="External"/><Relationship Id="rId330" Type="http://schemas.openxmlformats.org/officeDocument/2006/relationships/hyperlink" Target="http://uk.linkedin.com/in/andrewbarratt" TargetMode="External"/><Relationship Id="rId7940" Type="http://schemas.openxmlformats.org/officeDocument/2006/relationships/hyperlink" Target="http://www.linkedin.com/in/bradlucas" TargetMode="External"/><Relationship Id="rId334" Type="http://schemas.openxmlformats.org/officeDocument/2006/relationships/hyperlink" Target="http://www.linkedin.com/pub/ana-victoria-vicky-ricaurte/2/16B/6A0" TargetMode="External"/><Relationship Id="rId6612" Type="http://schemas.openxmlformats.org/officeDocument/2006/relationships/hyperlink" Target="http://www.linkedin.com/pub/ted-ohr/0/493/446" TargetMode="External"/><Relationship Id="rId7944" Type="http://schemas.openxmlformats.org/officeDocument/2006/relationships/hyperlink" Target="http://www.linkedin.com/in/laurenadelson" TargetMode="External"/><Relationship Id="rId333" Type="http://schemas.openxmlformats.org/officeDocument/2006/relationships/hyperlink" Target="http://uk.linkedin.com/in/jamesrobertsprogressive" TargetMode="External"/><Relationship Id="rId6613" Type="http://schemas.openxmlformats.org/officeDocument/2006/relationships/hyperlink" Target="http://www.linkedin.com/in/ajaygandhi" TargetMode="External"/><Relationship Id="rId7943" Type="http://schemas.openxmlformats.org/officeDocument/2006/relationships/hyperlink" Target="http://www.linkedin.com/in/stevehillman" TargetMode="External"/><Relationship Id="rId332" Type="http://schemas.openxmlformats.org/officeDocument/2006/relationships/hyperlink" Target="http://br.linkedin.com/pub/marcelo-carpes/0/132/24A" TargetMode="External"/><Relationship Id="rId6610" Type="http://schemas.openxmlformats.org/officeDocument/2006/relationships/hyperlink" Target="http://www.linkedin.com/pub/gabriel-sala/2/126/91B" TargetMode="External"/><Relationship Id="rId7942" Type="http://schemas.openxmlformats.org/officeDocument/2006/relationships/hyperlink" Target="http://www.linkedin.com/in/toddabowman" TargetMode="External"/><Relationship Id="rId331" Type="http://schemas.openxmlformats.org/officeDocument/2006/relationships/hyperlink" Target="http://www.linkedin.com/in/jurczyk" TargetMode="External"/><Relationship Id="rId6611" Type="http://schemas.openxmlformats.org/officeDocument/2006/relationships/hyperlink" Target="http://www.linkedin.com/in/jsposetti" TargetMode="External"/><Relationship Id="rId7941" Type="http://schemas.openxmlformats.org/officeDocument/2006/relationships/hyperlink" Target="http://www.linkedin.com/in/mchadha" TargetMode="External"/><Relationship Id="rId5318" Type="http://schemas.openxmlformats.org/officeDocument/2006/relationships/hyperlink" Target="http://www.linkedin.com/in/seanimler" TargetMode="External"/><Relationship Id="rId6649" Type="http://schemas.openxmlformats.org/officeDocument/2006/relationships/hyperlink" Target="http://www.linkedin.com/pub/adam-polansky/0/9B9/130" TargetMode="External"/><Relationship Id="rId5319" Type="http://schemas.openxmlformats.org/officeDocument/2006/relationships/hyperlink" Target="http://ar.linkedin.com/in/matiasgavino" TargetMode="External"/><Relationship Id="rId5316" Type="http://schemas.openxmlformats.org/officeDocument/2006/relationships/hyperlink" Target="http://ar.linkedin.com/pub/rafael-garcia-gonzalez/A/77A/931" TargetMode="External"/><Relationship Id="rId6647" Type="http://schemas.openxmlformats.org/officeDocument/2006/relationships/hyperlink" Target="http://www.linkedin.com/in/miriamcy" TargetMode="External"/><Relationship Id="rId7979" Type="http://schemas.openxmlformats.org/officeDocument/2006/relationships/hyperlink" Target="http://www.linkedin.com/in/chrisjmacdonald" TargetMode="External"/><Relationship Id="rId5317" Type="http://schemas.openxmlformats.org/officeDocument/2006/relationships/hyperlink" Target="http://www.linkedin.com/pub/larry-schott/1/7A0/142" TargetMode="External"/><Relationship Id="rId6648" Type="http://schemas.openxmlformats.org/officeDocument/2006/relationships/hyperlink" Target="http://www.linkedin.com/pub/jeff-barrett/3/A26/652" TargetMode="External"/><Relationship Id="rId7978" Type="http://schemas.openxmlformats.org/officeDocument/2006/relationships/hyperlink" Target="http://www.linkedin.com/in/nstevenlucas" TargetMode="External"/><Relationship Id="rId370" Type="http://schemas.openxmlformats.org/officeDocument/2006/relationships/hyperlink" Target="http://www.linkedin.com/in/xavierbaars" TargetMode="External"/><Relationship Id="rId369" Type="http://schemas.openxmlformats.org/officeDocument/2006/relationships/hyperlink" Target="http://www.linkedin.com/in/ankit81" TargetMode="External"/><Relationship Id="rId368" Type="http://schemas.openxmlformats.org/officeDocument/2006/relationships/hyperlink" Target="http://www.linkedin.com/pub/shaun-coleman/0/697/12A" TargetMode="External"/><Relationship Id="rId363" Type="http://schemas.openxmlformats.org/officeDocument/2006/relationships/hyperlink" Target="http://es.linkedin.com/pub/maria-gomez-del-pozuelo/7/8AB/4A9" TargetMode="External"/><Relationship Id="rId5310" Type="http://schemas.openxmlformats.org/officeDocument/2006/relationships/hyperlink" Target="http://www.linkedin.com/in/chanezon" TargetMode="External"/><Relationship Id="rId6641" Type="http://schemas.openxmlformats.org/officeDocument/2006/relationships/hyperlink" Target="http://www.linkedin.com/pub/jason-chloupek/3/A90/84" TargetMode="External"/><Relationship Id="rId7973" Type="http://schemas.openxmlformats.org/officeDocument/2006/relationships/hyperlink" Target="http://www.linkedin.com/in/jeredhaddad" TargetMode="External"/><Relationship Id="rId362" Type="http://schemas.openxmlformats.org/officeDocument/2006/relationships/hyperlink" Target="http://www.linkedin.com/in/alexandrasaunders" TargetMode="External"/><Relationship Id="rId5311" Type="http://schemas.openxmlformats.org/officeDocument/2006/relationships/hyperlink" Target="http://www.linkedin.com/pub/miguel-ravina/2/17/146" TargetMode="External"/><Relationship Id="rId6642" Type="http://schemas.openxmlformats.org/officeDocument/2006/relationships/hyperlink" Target="http://www.linkedin.com/in/haroldsinnott" TargetMode="External"/><Relationship Id="rId7972" Type="http://schemas.openxmlformats.org/officeDocument/2006/relationships/hyperlink" Target="http://www.linkedin.com/in/judyreynoldsrecruiterdfw" TargetMode="External"/><Relationship Id="rId361" Type="http://schemas.openxmlformats.org/officeDocument/2006/relationships/hyperlink" Target="http://www.linkedin.com/in/davidmeredithny" TargetMode="External"/><Relationship Id="rId7971" Type="http://schemas.openxmlformats.org/officeDocument/2006/relationships/hyperlink" Target="http://www.linkedin.com/pub/john-mckay/8/93A/AA9" TargetMode="External"/><Relationship Id="rId360" Type="http://schemas.openxmlformats.org/officeDocument/2006/relationships/hyperlink" Target="http://www.linkedin.com/in/howardsiow" TargetMode="External"/><Relationship Id="rId6640" Type="http://schemas.openxmlformats.org/officeDocument/2006/relationships/hyperlink" Target="http://www.linkedin.com/in/eschaffler" TargetMode="External"/><Relationship Id="rId7970" Type="http://schemas.openxmlformats.org/officeDocument/2006/relationships/hyperlink" Target="http://www.linkedin.com/in/cynthiakincaid" TargetMode="External"/><Relationship Id="rId367" Type="http://schemas.openxmlformats.org/officeDocument/2006/relationships/hyperlink" Target="http://www.linkedin.com/pub/steve-skaggs/8/40/A81" TargetMode="External"/><Relationship Id="rId5314" Type="http://schemas.openxmlformats.org/officeDocument/2006/relationships/hyperlink" Target="http://www.linkedin.com/in/klarreich" TargetMode="External"/><Relationship Id="rId6645" Type="http://schemas.openxmlformats.org/officeDocument/2006/relationships/hyperlink" Target="http://www.linkedin.com/pub/tatiana-m-sphr-shrm-scp/a/410/113" TargetMode="External"/><Relationship Id="rId7977" Type="http://schemas.openxmlformats.org/officeDocument/2006/relationships/hyperlink" Target="http://www.linkedin.com/in/ronsas" TargetMode="External"/><Relationship Id="rId366" Type="http://schemas.openxmlformats.org/officeDocument/2006/relationships/hyperlink" Target="http://www.linkedin.com/pub/adele-hope-urwin/7/b29/87a" TargetMode="External"/><Relationship Id="rId5315" Type="http://schemas.openxmlformats.org/officeDocument/2006/relationships/hyperlink" Target="http://www.linkedin.com/pub/nicolas-severino/0/315/31B" TargetMode="External"/><Relationship Id="rId6646" Type="http://schemas.openxmlformats.org/officeDocument/2006/relationships/hyperlink" Target="http://www.linkedin.com/in/benjudy" TargetMode="External"/><Relationship Id="rId7976" Type="http://schemas.openxmlformats.org/officeDocument/2006/relationships/hyperlink" Target="http://ar.linkedin.com/pub/rodrigo-arce/21/170/841" TargetMode="External"/><Relationship Id="rId365" Type="http://schemas.openxmlformats.org/officeDocument/2006/relationships/hyperlink" Target="https://www.linkedin.com/in/filsoof" TargetMode="External"/><Relationship Id="rId5312" Type="http://schemas.openxmlformats.org/officeDocument/2006/relationships/hyperlink" Target="http://www.linkedin.com/in/erikdillon" TargetMode="External"/><Relationship Id="rId6643" Type="http://schemas.openxmlformats.org/officeDocument/2006/relationships/hyperlink" Target="http://www.linkedin.com/pub/lisette-lama/11/158/4B7" TargetMode="External"/><Relationship Id="rId7975" Type="http://schemas.openxmlformats.org/officeDocument/2006/relationships/hyperlink" Target="http://www.linkedin.com/in/stevenhughes" TargetMode="External"/><Relationship Id="rId364" Type="http://schemas.openxmlformats.org/officeDocument/2006/relationships/hyperlink" Target="http://www.linkedin.com/pub/arch-crawford/0/464/496" TargetMode="External"/><Relationship Id="rId5313" Type="http://schemas.openxmlformats.org/officeDocument/2006/relationships/hyperlink" Target="http://ar.linkedin.com/pub/marcelo-grisafi/4/A2/6A6" TargetMode="External"/><Relationship Id="rId6644" Type="http://schemas.openxmlformats.org/officeDocument/2006/relationships/hyperlink" Target="http://www.linkedin.com/in/inko9nito" TargetMode="External"/><Relationship Id="rId7974" Type="http://schemas.openxmlformats.org/officeDocument/2006/relationships/hyperlink" Target="http://www.linkedin.com/in/nicokicillof" TargetMode="External"/><Relationship Id="rId95" Type="http://schemas.openxmlformats.org/officeDocument/2006/relationships/hyperlink" Target="http://uk.linkedin.com/in/salahnasri" TargetMode="External"/><Relationship Id="rId5307" Type="http://schemas.openxmlformats.org/officeDocument/2006/relationships/hyperlink" Target="http://www.linkedin.com/pub/daniel-bianchin/7/93a/bb0" TargetMode="External"/><Relationship Id="rId6638" Type="http://schemas.openxmlformats.org/officeDocument/2006/relationships/hyperlink" Target="http://www.linkedin.com/pub/teresa-alderink/0/1B8/571" TargetMode="External"/><Relationship Id="rId94" Type="http://schemas.openxmlformats.org/officeDocument/2006/relationships/hyperlink" Target="http://mx.linkedin.com/pub/cristina-torres-raimond-kedilhac/2A/B8A/3B5" TargetMode="External"/><Relationship Id="rId5308" Type="http://schemas.openxmlformats.org/officeDocument/2006/relationships/hyperlink" Target="http://www.linkedin.com/pub/mariana-rodr%C3%ADguez-iglesias/14/369/348" TargetMode="External"/><Relationship Id="rId6639" Type="http://schemas.openxmlformats.org/officeDocument/2006/relationships/hyperlink" Target="http://www.linkedin.com/pub/monisha-vasanthkumar/2/25/83B" TargetMode="External"/><Relationship Id="rId7969" Type="http://schemas.openxmlformats.org/officeDocument/2006/relationships/hyperlink" Target="http://www.linkedin.com/pub/mike-kasick/18/138/527" TargetMode="External"/><Relationship Id="rId97" Type="http://schemas.openxmlformats.org/officeDocument/2006/relationships/hyperlink" Target="http://uk.linkedin.com/in/marcusdavage" TargetMode="External"/><Relationship Id="rId5305" Type="http://schemas.openxmlformats.org/officeDocument/2006/relationships/hyperlink" Target="http://ar.linkedin.com/pub/leonardo-flores/B/483/85" TargetMode="External"/><Relationship Id="rId6636" Type="http://schemas.openxmlformats.org/officeDocument/2006/relationships/hyperlink" Target="http://www.linkedin.com/pub/christopher-symons/0/680/644" TargetMode="External"/><Relationship Id="rId7968" Type="http://schemas.openxmlformats.org/officeDocument/2006/relationships/hyperlink" Target="http://www.linkedin.com/in/bjhoward7" TargetMode="External"/><Relationship Id="rId96" Type="http://schemas.openxmlformats.org/officeDocument/2006/relationships/hyperlink" Target="http://www.linkedin.com/in/jrroman" TargetMode="External"/><Relationship Id="rId5306" Type="http://schemas.openxmlformats.org/officeDocument/2006/relationships/hyperlink" Target="http://www.linkedin.com/pub/anoush-farhangi/5/647/A9B" TargetMode="External"/><Relationship Id="rId6637" Type="http://schemas.openxmlformats.org/officeDocument/2006/relationships/hyperlink" Target="http://www.linkedin.com/in/thomasdwalls" TargetMode="External"/><Relationship Id="rId7967" Type="http://schemas.openxmlformats.org/officeDocument/2006/relationships/hyperlink" Target="http://www.linkedin.com/in/geraldhaman" TargetMode="External"/><Relationship Id="rId99" Type="http://schemas.openxmlformats.org/officeDocument/2006/relationships/hyperlink" Target="http://br.linkedin.com/in/jzorzi" TargetMode="External"/><Relationship Id="rId98" Type="http://schemas.openxmlformats.org/officeDocument/2006/relationships/hyperlink" Target="http://www.linkedin.com/pub/maria-iracema-alambert/0/40b/979" TargetMode="External"/><Relationship Id="rId5309" Type="http://schemas.openxmlformats.org/officeDocument/2006/relationships/hyperlink" Target="http://www.linkedin.com/in/florenciapettigrewprada" TargetMode="External"/><Relationship Id="rId91" Type="http://schemas.openxmlformats.org/officeDocument/2006/relationships/hyperlink" Target="http://br.linkedin.com/pub/orli-machado/0/107/6B5" TargetMode="External"/><Relationship Id="rId90" Type="http://schemas.openxmlformats.org/officeDocument/2006/relationships/hyperlink" Target="http://www.linkedin.com/pub/marcelo-ja%C3%B1ez/b/813/a17" TargetMode="External"/><Relationship Id="rId93" Type="http://schemas.openxmlformats.org/officeDocument/2006/relationships/hyperlink" Target="http://www.linkedin.com/in/ankurdsharma" TargetMode="External"/><Relationship Id="rId92" Type="http://schemas.openxmlformats.org/officeDocument/2006/relationships/hyperlink" Target="http://ar.linkedin.com/pub/javier-michelli/22/8AB/575" TargetMode="External"/><Relationship Id="rId359" Type="http://schemas.openxmlformats.org/officeDocument/2006/relationships/hyperlink" Target="http://www.linkedin.com/pub/david-koretz/0/952/2A8" TargetMode="External"/><Relationship Id="rId358" Type="http://schemas.openxmlformats.org/officeDocument/2006/relationships/hyperlink" Target="http://www.linkedin.com/in/ericbrown" TargetMode="External"/><Relationship Id="rId357" Type="http://schemas.openxmlformats.org/officeDocument/2006/relationships/hyperlink" Target="http://www.linkedin.com/pub/mike-barretto/0/33B/489" TargetMode="External"/><Relationship Id="rId352" Type="http://schemas.openxmlformats.org/officeDocument/2006/relationships/hyperlink" Target="http://fr.linkedin.com/in/pascalbaudier" TargetMode="External"/><Relationship Id="rId6630" Type="http://schemas.openxmlformats.org/officeDocument/2006/relationships/hyperlink" Target="http://www.linkedin.com/pub/diego-cora/0/401/A69" TargetMode="External"/><Relationship Id="rId7962" Type="http://schemas.openxmlformats.org/officeDocument/2006/relationships/hyperlink" Target="http://www.linkedin.com/pub/len-fechter/1A/B96/54B" TargetMode="External"/><Relationship Id="rId351" Type="http://schemas.openxmlformats.org/officeDocument/2006/relationships/hyperlink" Target="http://www.linkedin.com/in/davidhamiltonga" TargetMode="External"/><Relationship Id="rId5300" Type="http://schemas.openxmlformats.org/officeDocument/2006/relationships/hyperlink" Target="http://www.linkedin.com/pub/mauricio-lorenzetti/3/828/254" TargetMode="External"/><Relationship Id="rId6631" Type="http://schemas.openxmlformats.org/officeDocument/2006/relationships/hyperlink" Target="http://ar.linkedin.com/pub/ignacio-juan-mart%C3%ADn-benedetti/14/B4/8A8" TargetMode="External"/><Relationship Id="rId7961" Type="http://schemas.openxmlformats.org/officeDocument/2006/relationships/hyperlink" Target="http://www.linkedin.com/pub/drew-fassett/8/97/613" TargetMode="External"/><Relationship Id="rId350" Type="http://schemas.openxmlformats.org/officeDocument/2006/relationships/hyperlink" Target="http://www.linkedin.com/in/genetorres" TargetMode="External"/><Relationship Id="rId7960" Type="http://schemas.openxmlformats.org/officeDocument/2006/relationships/hyperlink" Target="http://www.linkedin.com/in/renegomez" TargetMode="External"/><Relationship Id="rId356" Type="http://schemas.openxmlformats.org/officeDocument/2006/relationships/hyperlink" Target="http://www.linkedin.com/pub/mance-harmon/0/159/631" TargetMode="External"/><Relationship Id="rId5303" Type="http://schemas.openxmlformats.org/officeDocument/2006/relationships/hyperlink" Target="http://www.linkedin.com/pub/leandro-lozada/0/2B6/383" TargetMode="External"/><Relationship Id="rId6634" Type="http://schemas.openxmlformats.org/officeDocument/2006/relationships/hyperlink" Target="http://www.linkedin.com/in/jeanwroblewski" TargetMode="External"/><Relationship Id="rId7966" Type="http://schemas.openxmlformats.org/officeDocument/2006/relationships/hyperlink" Target="http://www.linkedin.com/in/brozman" TargetMode="External"/><Relationship Id="rId355" Type="http://schemas.openxmlformats.org/officeDocument/2006/relationships/hyperlink" Target="http://www.linkedin.com/in/chrisgenske" TargetMode="External"/><Relationship Id="rId5304" Type="http://schemas.openxmlformats.org/officeDocument/2006/relationships/hyperlink" Target="http://ar.linkedin.com/in/alejandropapuzynski" TargetMode="External"/><Relationship Id="rId6635" Type="http://schemas.openxmlformats.org/officeDocument/2006/relationships/hyperlink" Target="http://www.linkedin.com/in/harrissuzanne" TargetMode="External"/><Relationship Id="rId7965" Type="http://schemas.openxmlformats.org/officeDocument/2006/relationships/hyperlink" Target="http://www.linkedin.com/pub/jim-genet/12/566/A19" TargetMode="External"/><Relationship Id="rId354" Type="http://schemas.openxmlformats.org/officeDocument/2006/relationships/hyperlink" Target="http://www.linkedin.com/in/wadeallen" TargetMode="External"/><Relationship Id="rId5301" Type="http://schemas.openxmlformats.org/officeDocument/2006/relationships/hyperlink" Target="http://ar.linkedin.com/pub/marcelo-alejandro-portela/24/491/313" TargetMode="External"/><Relationship Id="rId6632" Type="http://schemas.openxmlformats.org/officeDocument/2006/relationships/hyperlink" Target="http://www.linkedin.com/in/zancaman" TargetMode="External"/><Relationship Id="rId7964" Type="http://schemas.openxmlformats.org/officeDocument/2006/relationships/hyperlink" Target="http://www.linkedin.com/in/chadfrank" TargetMode="External"/><Relationship Id="rId353" Type="http://schemas.openxmlformats.org/officeDocument/2006/relationships/hyperlink" Target="http://www.linkedin.com/in/hervechavagnon" TargetMode="External"/><Relationship Id="rId5302" Type="http://schemas.openxmlformats.org/officeDocument/2006/relationships/hyperlink" Target="http://www.linkedin.com/in/pablonalvarez" TargetMode="External"/><Relationship Id="rId6633" Type="http://schemas.openxmlformats.org/officeDocument/2006/relationships/hyperlink" Target="http://www.linkedin.com/in/lisamkenny" TargetMode="External"/><Relationship Id="rId7963" Type="http://schemas.openxmlformats.org/officeDocument/2006/relationships/hyperlink" Target="http://www.linkedin.com/in/nextcomm" TargetMode="External"/><Relationship Id="rId7915" Type="http://schemas.openxmlformats.org/officeDocument/2006/relationships/hyperlink" Target="http://www.linkedin.com/in/carlcalabria" TargetMode="External"/><Relationship Id="rId7914" Type="http://schemas.openxmlformats.org/officeDocument/2006/relationships/hyperlink" Target="http://www.linkedin.com/pub/tania-adar/2/117/16" TargetMode="External"/><Relationship Id="rId7913" Type="http://schemas.openxmlformats.org/officeDocument/2006/relationships/hyperlink" Target="http://www.linkedin.com/in/sharonbrindley" TargetMode="External"/><Relationship Id="rId7912" Type="http://schemas.openxmlformats.org/officeDocument/2006/relationships/hyperlink" Target="http://www.linkedin.com/in/williamalanturner" TargetMode="External"/><Relationship Id="rId7919" Type="http://schemas.openxmlformats.org/officeDocument/2006/relationships/hyperlink" Target="http://www.linkedin.com/in/khirman" TargetMode="External"/><Relationship Id="rId7918" Type="http://schemas.openxmlformats.org/officeDocument/2006/relationships/hyperlink" Target="http://www.linkedin.com/in/dalecollie" TargetMode="External"/><Relationship Id="rId7917" Type="http://schemas.openxmlformats.org/officeDocument/2006/relationships/hyperlink" Target="http://www.linkedin.com/in/markchiappetta" TargetMode="External"/><Relationship Id="rId7916" Type="http://schemas.openxmlformats.org/officeDocument/2006/relationships/hyperlink" Target="http://www.linkedin.com/in/dancheadle" TargetMode="External"/><Relationship Id="rId305" Type="http://schemas.openxmlformats.org/officeDocument/2006/relationships/hyperlink" Target="http://www.linkedin.com/pub/raymond-kudukis/5/A73/A9A" TargetMode="External"/><Relationship Id="rId304" Type="http://schemas.openxmlformats.org/officeDocument/2006/relationships/hyperlink" Target="http://www.linkedin.com/pub/karin-gorman/0/834/3B1" TargetMode="External"/><Relationship Id="rId303" Type="http://schemas.openxmlformats.org/officeDocument/2006/relationships/hyperlink" Target="http://www.linkedin.com/in/scottconnell" TargetMode="External"/><Relationship Id="rId302" Type="http://schemas.openxmlformats.org/officeDocument/2006/relationships/hyperlink" Target="http://uk.linkedin.com/in/josephboardman" TargetMode="External"/><Relationship Id="rId309" Type="http://schemas.openxmlformats.org/officeDocument/2006/relationships/hyperlink" Target="http://www.linkedin.com/in/camwolff" TargetMode="External"/><Relationship Id="rId308" Type="http://schemas.openxmlformats.org/officeDocument/2006/relationships/hyperlink" Target="http://ca.linkedin.com/in/mattmackenzie" TargetMode="External"/><Relationship Id="rId307" Type="http://schemas.openxmlformats.org/officeDocument/2006/relationships/hyperlink" Target="http://www.linkedin.com/in/brianekidder" TargetMode="External"/><Relationship Id="rId306" Type="http://schemas.openxmlformats.org/officeDocument/2006/relationships/hyperlink" Target="http://www.linkedin.com/in/billings" TargetMode="External"/><Relationship Id="rId301" Type="http://schemas.openxmlformats.org/officeDocument/2006/relationships/hyperlink" Target="http://www.linkedin.com/in/shelisrael" TargetMode="External"/><Relationship Id="rId7911" Type="http://schemas.openxmlformats.org/officeDocument/2006/relationships/hyperlink" Target="http://www.linkedin.com/pub/pedro-moreno-albarracin/1/234/580" TargetMode="External"/><Relationship Id="rId300" Type="http://schemas.openxmlformats.org/officeDocument/2006/relationships/hyperlink" Target="http://www.linkedin.com/in/samirmajumdar" TargetMode="External"/><Relationship Id="rId7910" Type="http://schemas.openxmlformats.org/officeDocument/2006/relationships/hyperlink" Target="http://www.linkedin.com/in/everettbracken" TargetMode="External"/><Relationship Id="rId7904" Type="http://schemas.openxmlformats.org/officeDocument/2006/relationships/hyperlink" Target="http://www.linkedin.com/in/balbin" TargetMode="External"/><Relationship Id="rId7903" Type="http://schemas.openxmlformats.org/officeDocument/2006/relationships/hyperlink" Target="http://www.linkedin.com/in/jaimearroyofl" TargetMode="External"/><Relationship Id="rId7902" Type="http://schemas.openxmlformats.org/officeDocument/2006/relationships/hyperlink" Target="http://www.linkedin.com/in/britanyallen" TargetMode="External"/><Relationship Id="rId7901" Type="http://schemas.openxmlformats.org/officeDocument/2006/relationships/hyperlink" Target="http://britany.allengmail.com" TargetMode="External"/><Relationship Id="rId7908" Type="http://schemas.openxmlformats.org/officeDocument/2006/relationships/hyperlink" Target="http://www.linkedin.com/in/hectorboirie" TargetMode="External"/><Relationship Id="rId7907" Type="http://schemas.openxmlformats.org/officeDocument/2006/relationships/hyperlink" Target="http://www.linkedin.com/pub/carlos-blanco/13/331/58" TargetMode="External"/><Relationship Id="rId7906" Type="http://schemas.openxmlformats.org/officeDocument/2006/relationships/hyperlink" Target="http://ar.linkedin.com/in/braianbressan" TargetMode="External"/><Relationship Id="rId7905" Type="http://schemas.openxmlformats.org/officeDocument/2006/relationships/hyperlink" Target="http://www.linkedin.com/in/copywritingforcoaches" TargetMode="External"/><Relationship Id="rId7909" Type="http://schemas.openxmlformats.org/officeDocument/2006/relationships/hyperlink" Target="http://www.linkedin.com/in/leticiaborges" TargetMode="External"/><Relationship Id="rId7900" Type="http://schemas.openxmlformats.org/officeDocument/2006/relationships/hyperlink" Target="http://www.linkedin.com/in/mikeallenmn" TargetMode="External"/><Relationship Id="rId6605" Type="http://schemas.openxmlformats.org/officeDocument/2006/relationships/hyperlink" Target="http://www.linkedin.com/pub/shah-sidi/1/451/B45" TargetMode="External"/><Relationship Id="rId7937" Type="http://schemas.openxmlformats.org/officeDocument/2006/relationships/hyperlink" Target="http://www.linkedin.com/pub/paul-cairns/0/A01/338" TargetMode="External"/><Relationship Id="rId6606" Type="http://schemas.openxmlformats.org/officeDocument/2006/relationships/hyperlink" Target="http://www.linkedin.com/in/aarondolan" TargetMode="External"/><Relationship Id="rId7936" Type="http://schemas.openxmlformats.org/officeDocument/2006/relationships/hyperlink" Target="http://www.linkedin.com/in/thomasfcahill" TargetMode="External"/><Relationship Id="rId6603" Type="http://schemas.openxmlformats.org/officeDocument/2006/relationships/hyperlink" Target="http://www.linkedin.com/pub/jade-chuenkamon/2/535/253" TargetMode="External"/><Relationship Id="rId7935" Type="http://schemas.openxmlformats.org/officeDocument/2006/relationships/hyperlink" Target="http://www.linkedin.com/pub/ezequiel-olivero/6/A14/7BB" TargetMode="External"/><Relationship Id="rId6604" Type="http://schemas.openxmlformats.org/officeDocument/2006/relationships/hyperlink" Target="http://www.linkedin.com/in/ddayley" TargetMode="External"/><Relationship Id="rId7934" Type="http://schemas.openxmlformats.org/officeDocument/2006/relationships/hyperlink" Target="http://www.linkedin.com/in/fraziermiller" TargetMode="External"/><Relationship Id="rId6609" Type="http://schemas.openxmlformats.org/officeDocument/2006/relationships/hyperlink" Target="http://www.linkedin.com/pub/steve-carlson/0/243/90A" TargetMode="External"/><Relationship Id="rId6607" Type="http://schemas.openxmlformats.org/officeDocument/2006/relationships/hyperlink" Target="http://www.linkedin.com/pub/dan-atwood/0/75/68" TargetMode="External"/><Relationship Id="rId7939" Type="http://schemas.openxmlformats.org/officeDocument/2006/relationships/hyperlink" Target="http://ar.linkedin.com/in/qapedrogonzalez" TargetMode="External"/><Relationship Id="rId6608" Type="http://schemas.openxmlformats.org/officeDocument/2006/relationships/hyperlink" Target="http://www.linkedin.com/pub/rob-lau/0/810/116" TargetMode="External"/><Relationship Id="rId7938" Type="http://schemas.openxmlformats.org/officeDocument/2006/relationships/hyperlink" Target="http://www.linkedin.com/pub/santiago-herrera/5/816/B58" TargetMode="External"/><Relationship Id="rId327" Type="http://schemas.openxmlformats.org/officeDocument/2006/relationships/hyperlink" Target="http://www.linkedin.com/pub/scott-sjoberg/26/475/838" TargetMode="External"/><Relationship Id="rId326" Type="http://schemas.openxmlformats.org/officeDocument/2006/relationships/hyperlink" Target="http://www.linkedin.com/in/ericagrelius" TargetMode="External"/><Relationship Id="rId325" Type="http://schemas.openxmlformats.org/officeDocument/2006/relationships/hyperlink" Target="http://www.linkedin.com/pub/richard-mainz/1/5A3/888" TargetMode="External"/><Relationship Id="rId324" Type="http://schemas.openxmlformats.org/officeDocument/2006/relationships/hyperlink" Target="http://www.linkedin.com/pub/jerry-herrick/3/69A/915" TargetMode="External"/><Relationship Id="rId329" Type="http://schemas.openxmlformats.org/officeDocument/2006/relationships/hyperlink" Target="http://fr.linkedin.com/in/thibaultcolcombetrecrutement" TargetMode="External"/><Relationship Id="rId328" Type="http://schemas.openxmlformats.org/officeDocument/2006/relationships/hyperlink" Target="http://www.linkedin.com/pub/jennifer-manning/29/370/404" TargetMode="External"/><Relationship Id="rId323" Type="http://schemas.openxmlformats.org/officeDocument/2006/relationships/hyperlink" Target="http://www.linkedin.com/in/gelie" TargetMode="External"/><Relationship Id="rId6601" Type="http://schemas.openxmlformats.org/officeDocument/2006/relationships/hyperlink" Target="http://www.linkedin.com/in/jamesgosling" TargetMode="External"/><Relationship Id="rId7933" Type="http://schemas.openxmlformats.org/officeDocument/2006/relationships/hyperlink" Target="http://www.linkedin.com/in/alexdeve" TargetMode="External"/><Relationship Id="rId322" Type="http://schemas.openxmlformats.org/officeDocument/2006/relationships/hyperlink" Target="http://www.linkedin.com/in/astridamaya" TargetMode="External"/><Relationship Id="rId6602" Type="http://schemas.openxmlformats.org/officeDocument/2006/relationships/hyperlink" Target="http://www.linkedin.com/pub/joshua-bloch/0/38/370" TargetMode="External"/><Relationship Id="rId7932" Type="http://schemas.openxmlformats.org/officeDocument/2006/relationships/hyperlink" Target="http://www.linkedin.com/in/brownb" TargetMode="External"/><Relationship Id="rId321" Type="http://schemas.openxmlformats.org/officeDocument/2006/relationships/hyperlink" Target="http://www.linkedin.com/in/pradeepanand" TargetMode="External"/><Relationship Id="rId7931" Type="http://schemas.openxmlformats.org/officeDocument/2006/relationships/hyperlink" Target="http://www.linkedin.com/pub/tony-balistrieri/2/1B7/899" TargetMode="External"/><Relationship Id="rId320" Type="http://schemas.openxmlformats.org/officeDocument/2006/relationships/hyperlink" Target="http://www.linkedin.com/in/michaellofton" TargetMode="External"/><Relationship Id="rId6600" Type="http://schemas.openxmlformats.org/officeDocument/2006/relationships/hyperlink" Target="http://www.linkedin.com/in/ronbatesprofile" TargetMode="External"/><Relationship Id="rId7930" Type="http://schemas.openxmlformats.org/officeDocument/2006/relationships/hyperlink" Target="http://www.linkedin.com/in/mosheweiss" TargetMode="External"/><Relationship Id="rId7926" Type="http://schemas.openxmlformats.org/officeDocument/2006/relationships/hyperlink" Target="http://ar.linkedin.com/pub/daniel-seva/0/350/310" TargetMode="External"/><Relationship Id="rId7925" Type="http://schemas.openxmlformats.org/officeDocument/2006/relationships/hyperlink" Target="http://www.linkedin.com/in/alexeialankin" TargetMode="External"/><Relationship Id="rId7924" Type="http://schemas.openxmlformats.org/officeDocument/2006/relationships/hyperlink" Target="http://www.linkedin.com/in/igoework" TargetMode="External"/><Relationship Id="rId7923" Type="http://schemas.openxmlformats.org/officeDocument/2006/relationships/hyperlink" Target="http://www.linkedin.com/in/dmessinger" TargetMode="External"/><Relationship Id="rId7929" Type="http://schemas.openxmlformats.org/officeDocument/2006/relationships/hyperlink" Target="http://www.linkedin.com/pub/michael-mike-bailey/A/6AB/187" TargetMode="External"/><Relationship Id="rId7928" Type="http://schemas.openxmlformats.org/officeDocument/2006/relationships/hyperlink" Target="http://www.linkedin.com/in/analuisapatino" TargetMode="External"/><Relationship Id="rId7927" Type="http://schemas.openxmlformats.org/officeDocument/2006/relationships/hyperlink" Target="http://www.linkedin.com/pub/perez-soto-alfonso-javier/3/766/668" TargetMode="External"/><Relationship Id="rId316" Type="http://schemas.openxmlformats.org/officeDocument/2006/relationships/hyperlink" Target="http://www.linkedin.com/pub/marina-tognetti/0/1b7/972?trk=pub-pbmap" TargetMode="External"/><Relationship Id="rId315" Type="http://schemas.openxmlformats.org/officeDocument/2006/relationships/hyperlink" Target="http://www.linkedin.com/in/nicolesloanfaby" TargetMode="External"/><Relationship Id="rId314" Type="http://schemas.openxmlformats.org/officeDocument/2006/relationships/hyperlink" Target="http://www.linkedin.com/in/andrewdchen" TargetMode="External"/><Relationship Id="rId313" Type="http://schemas.openxmlformats.org/officeDocument/2006/relationships/hyperlink" Target="http://www.linkedin.com/pub/randal-bouverat/0/355/816" TargetMode="External"/><Relationship Id="rId319" Type="http://schemas.openxmlformats.org/officeDocument/2006/relationships/hyperlink" Target="http://www.linkedin.com/in/vramaswamy" TargetMode="External"/><Relationship Id="rId318" Type="http://schemas.openxmlformats.org/officeDocument/2006/relationships/hyperlink" Target="http://www.linkedin.com/in/annbergquist" TargetMode="External"/><Relationship Id="rId317" Type="http://schemas.openxmlformats.org/officeDocument/2006/relationships/hyperlink" Target="http://www.linkedin.com/in/michaelcavaliere" TargetMode="External"/><Relationship Id="rId312" Type="http://schemas.openxmlformats.org/officeDocument/2006/relationships/hyperlink" Target="http://www.linkedin.com/in/ravivenkatasubbaiah" TargetMode="External"/><Relationship Id="rId7922" Type="http://schemas.openxmlformats.org/officeDocument/2006/relationships/hyperlink" Target="http://www.linkedin.com/pub/dario-a-cruz/2/58A/847" TargetMode="External"/><Relationship Id="rId311" Type="http://schemas.openxmlformats.org/officeDocument/2006/relationships/hyperlink" Target="http://www.linkedin.com/pub/logan-coker/0/18A/B75" TargetMode="External"/><Relationship Id="rId7921" Type="http://schemas.openxmlformats.org/officeDocument/2006/relationships/hyperlink" Target="http://www.linkedin.com/pub/monica-gadsby/7/39/525" TargetMode="External"/><Relationship Id="rId310" Type="http://schemas.openxmlformats.org/officeDocument/2006/relationships/hyperlink" Target="http://www.linkedin.com/in/georgeatlas" TargetMode="External"/><Relationship Id="rId7920" Type="http://schemas.openxmlformats.org/officeDocument/2006/relationships/hyperlink" Target="http://www.linkedin.com/in/aexeconsulting" TargetMode="External"/><Relationship Id="rId4040" Type="http://schemas.openxmlformats.org/officeDocument/2006/relationships/hyperlink" Target="http://ar.linkedin.com/in/renatap" TargetMode="External"/><Relationship Id="rId5372" Type="http://schemas.openxmlformats.org/officeDocument/2006/relationships/hyperlink" Target="http://www.linkedin.com/in/leonardobosi" TargetMode="External"/><Relationship Id="rId5373" Type="http://schemas.openxmlformats.org/officeDocument/2006/relationships/hyperlink" Target="http://ar.linkedin.com/pub/pablo-villar/5/1BB/570" TargetMode="External"/><Relationship Id="rId4042" Type="http://schemas.openxmlformats.org/officeDocument/2006/relationships/hyperlink" Target="http://www.linkedin.com/in/mriley" TargetMode="External"/><Relationship Id="rId5370" Type="http://schemas.openxmlformats.org/officeDocument/2006/relationships/hyperlink" Target="http://ar.linkedin.com/pub/gabriel-stock/1/922/A43" TargetMode="External"/><Relationship Id="rId4041" Type="http://schemas.openxmlformats.org/officeDocument/2006/relationships/hyperlink" Target="http://ar.linkedin.com/in/nahuellapenna" TargetMode="External"/><Relationship Id="rId5371" Type="http://schemas.openxmlformats.org/officeDocument/2006/relationships/hyperlink" Target="http://ar.linkedin.com/in/ritarestaino" TargetMode="External"/><Relationship Id="rId4044" Type="http://schemas.openxmlformats.org/officeDocument/2006/relationships/hyperlink" Target="http://www.linkedin.com/in/sanguiano007" TargetMode="External"/><Relationship Id="rId5376" Type="http://schemas.openxmlformats.org/officeDocument/2006/relationships/hyperlink" Target="http://ar.linkedin.com/in/carinancastro" TargetMode="External"/><Relationship Id="rId4043" Type="http://schemas.openxmlformats.org/officeDocument/2006/relationships/hyperlink" Target="http://ar.linkedin.com/pub/hernan-matallana/8/233/257" TargetMode="External"/><Relationship Id="rId5377" Type="http://schemas.openxmlformats.org/officeDocument/2006/relationships/hyperlink" Target="http://ar.linkedin.com/pub/jose-maria-polo/21/414/533" TargetMode="External"/><Relationship Id="rId4046" Type="http://schemas.openxmlformats.org/officeDocument/2006/relationships/hyperlink" Target="http://uk.linkedin.com/pub/biju-mukund/0/441/A6" TargetMode="External"/><Relationship Id="rId5374" Type="http://schemas.openxmlformats.org/officeDocument/2006/relationships/hyperlink" Target="http://www.linkedin.com/in/marianaveronicagonzalez" TargetMode="External"/><Relationship Id="rId4045" Type="http://schemas.openxmlformats.org/officeDocument/2006/relationships/hyperlink" Target="http://ar.linkedin.com/in/maximarolda" TargetMode="External"/><Relationship Id="rId5375" Type="http://schemas.openxmlformats.org/officeDocument/2006/relationships/hyperlink" Target="http://ar.linkedin.com/in/lucianotolfo" TargetMode="External"/><Relationship Id="rId4048" Type="http://schemas.openxmlformats.org/officeDocument/2006/relationships/hyperlink" Target="http://ar.linkedin.com/pub/federico-juan/4/757/650" TargetMode="External"/><Relationship Id="rId4047" Type="http://schemas.openxmlformats.org/officeDocument/2006/relationships/hyperlink" Target="http://ar.linkedin.com/pub/ana-bel-n-romani-monti/13/478/90" TargetMode="External"/><Relationship Id="rId5378" Type="http://schemas.openxmlformats.org/officeDocument/2006/relationships/hyperlink" Target="http://www.linkedin.com/pub/svetlana-west/3/560/B94" TargetMode="External"/><Relationship Id="rId4049" Type="http://schemas.openxmlformats.org/officeDocument/2006/relationships/hyperlink" Target="http://ar.linkedin.com/pub/mariano-tolosa/0/118/A2" TargetMode="External"/><Relationship Id="rId5379" Type="http://schemas.openxmlformats.org/officeDocument/2006/relationships/hyperlink" Target="http://www.linkedin.com/pub/rita-nassuna/1A/3A6/3A6" TargetMode="External"/><Relationship Id="rId5361" Type="http://schemas.openxmlformats.org/officeDocument/2006/relationships/hyperlink" Target="http://www.linkedin.com/in/artweeast" TargetMode="External"/><Relationship Id="rId6692" Type="http://schemas.openxmlformats.org/officeDocument/2006/relationships/hyperlink" Target="http://ar.linkedin.com/in/leandroamato" TargetMode="External"/><Relationship Id="rId5362" Type="http://schemas.openxmlformats.org/officeDocument/2006/relationships/hyperlink" Target="http://www.linkedin.com/in/kerbybarrett" TargetMode="External"/><Relationship Id="rId6693" Type="http://schemas.openxmlformats.org/officeDocument/2006/relationships/hyperlink" Target="http://www.linkedin.com/in/azamone" TargetMode="External"/><Relationship Id="rId4031" Type="http://schemas.openxmlformats.org/officeDocument/2006/relationships/hyperlink" Target="http://ar.linkedin.com/pub/gabriela-sacco/14/692/513" TargetMode="External"/><Relationship Id="rId6690" Type="http://schemas.openxmlformats.org/officeDocument/2006/relationships/hyperlink" Target="http://ar.linkedin.com/in/leonardoayala" TargetMode="External"/><Relationship Id="rId4030" Type="http://schemas.openxmlformats.org/officeDocument/2006/relationships/hyperlink" Target="http://www.linkedin.com/in/paglim" TargetMode="External"/><Relationship Id="rId5360" Type="http://schemas.openxmlformats.org/officeDocument/2006/relationships/hyperlink" Target="http://www.linkedin.com/pub/steve-fling/0/93A/136" TargetMode="External"/><Relationship Id="rId6691" Type="http://schemas.openxmlformats.org/officeDocument/2006/relationships/hyperlink" Target="http://www.linkedin.com/pub/david-lachance/1/137/A98" TargetMode="External"/><Relationship Id="rId297" Type="http://schemas.openxmlformats.org/officeDocument/2006/relationships/hyperlink" Target="http://www.linkedin.com/pub/gig-graham/0/70/7" TargetMode="External"/><Relationship Id="rId4033" Type="http://schemas.openxmlformats.org/officeDocument/2006/relationships/hyperlink" Target="http://ar.linkedin.com/pub/alberto-carmona/5/370/206" TargetMode="External"/><Relationship Id="rId5365" Type="http://schemas.openxmlformats.org/officeDocument/2006/relationships/hyperlink" Target="http://www.linkedin.com/pub/marsha-bogart/5/123/A75" TargetMode="External"/><Relationship Id="rId6696" Type="http://schemas.openxmlformats.org/officeDocument/2006/relationships/hyperlink" Target="http://ar.linkedin.com/in/nicolasmarjovsky" TargetMode="External"/><Relationship Id="rId296" Type="http://schemas.openxmlformats.org/officeDocument/2006/relationships/hyperlink" Target="http://www.linkedin.com/pub/kevin-c-cummins/0/2A4/4BA" TargetMode="External"/><Relationship Id="rId4032" Type="http://schemas.openxmlformats.org/officeDocument/2006/relationships/hyperlink" Target="http://ar.linkedin.com/in/juanbodenheimer" TargetMode="External"/><Relationship Id="rId5366" Type="http://schemas.openxmlformats.org/officeDocument/2006/relationships/hyperlink" Target="http://www.linkedin.com/in/gnarcisi" TargetMode="External"/><Relationship Id="rId6697" Type="http://schemas.openxmlformats.org/officeDocument/2006/relationships/hyperlink" Target="http://www.linkedin.com/pub/mona-lee-tseng/5/707/124" TargetMode="External"/><Relationship Id="rId295" Type="http://schemas.openxmlformats.org/officeDocument/2006/relationships/hyperlink" Target="http://www.linkedin.com/pub/paul-pluschkell/0/287/153" TargetMode="External"/><Relationship Id="rId4035" Type="http://schemas.openxmlformats.org/officeDocument/2006/relationships/hyperlink" Target="http://www.linkedin.com/pub/laura-serebrinsky/16/443/394" TargetMode="External"/><Relationship Id="rId5363" Type="http://schemas.openxmlformats.org/officeDocument/2006/relationships/hyperlink" Target="http://www.linkedin.com/pub/chris-poppe/4/5A4/7AB" TargetMode="External"/><Relationship Id="rId6694" Type="http://schemas.openxmlformats.org/officeDocument/2006/relationships/hyperlink" Target="http://www.linkedin.com/pub/laura-viscardis/5/931/284" TargetMode="External"/><Relationship Id="rId294" Type="http://schemas.openxmlformats.org/officeDocument/2006/relationships/hyperlink" Target="http://uk.linkedin.com/in/terrycave" TargetMode="External"/><Relationship Id="rId4034" Type="http://schemas.openxmlformats.org/officeDocument/2006/relationships/hyperlink" Target="http://ar.linkedin.com/pub/hernan-briuoli/5/8A9/750" TargetMode="External"/><Relationship Id="rId5364" Type="http://schemas.openxmlformats.org/officeDocument/2006/relationships/hyperlink" Target="http://www.linkedin.com/pub/steve-mullenix/4/319/A43" TargetMode="External"/><Relationship Id="rId6695" Type="http://schemas.openxmlformats.org/officeDocument/2006/relationships/hyperlink" Target="http://www.linkedin.com/in/joaquintrelleira" TargetMode="External"/><Relationship Id="rId4037" Type="http://schemas.openxmlformats.org/officeDocument/2006/relationships/hyperlink" Target="http://www.linkedin.com/in/gayetuzemenberk" TargetMode="External"/><Relationship Id="rId5369" Type="http://schemas.openxmlformats.org/officeDocument/2006/relationships/hyperlink" Target="https://www.linkedin.com/in/fabianschonholz" TargetMode="External"/><Relationship Id="rId4036" Type="http://schemas.openxmlformats.org/officeDocument/2006/relationships/hyperlink" Target="http://www.linkedin.com/pub/romina-e-suarez-pontillo/17/2b/9b" TargetMode="External"/><Relationship Id="rId299" Type="http://schemas.openxmlformats.org/officeDocument/2006/relationships/hyperlink" Target="https://www.linkedin.com/in/patrickgmurray" TargetMode="External"/><Relationship Id="rId4039" Type="http://schemas.openxmlformats.org/officeDocument/2006/relationships/hyperlink" Target="http://ar.linkedin.com/in/marxnicolas" TargetMode="External"/><Relationship Id="rId5367" Type="http://schemas.openxmlformats.org/officeDocument/2006/relationships/hyperlink" Target="http://ar.linkedin.com/in/agustinortueta" TargetMode="External"/><Relationship Id="rId6698" Type="http://schemas.openxmlformats.org/officeDocument/2006/relationships/hyperlink" Target="http://www.linkedin.com/in/andrewmclaughlin" TargetMode="External"/><Relationship Id="rId298" Type="http://schemas.openxmlformats.org/officeDocument/2006/relationships/hyperlink" Target="http://www.linkedin.com/in/jonlloyd" TargetMode="External"/><Relationship Id="rId4038" Type="http://schemas.openxmlformats.org/officeDocument/2006/relationships/hyperlink" Target="http://www.linkedin.com/in/craigscollins" TargetMode="External"/><Relationship Id="rId5368" Type="http://schemas.openxmlformats.org/officeDocument/2006/relationships/hyperlink" Target="http://www.linkedin.com/in/vivekmsen" TargetMode="External"/><Relationship Id="rId6699" Type="http://schemas.openxmlformats.org/officeDocument/2006/relationships/hyperlink" Target="http://www.linkedin.com/in/gemmaq" TargetMode="External"/><Relationship Id="rId5390" Type="http://schemas.openxmlformats.org/officeDocument/2006/relationships/hyperlink" Target="http://www.linkedin.com/in/luntsevichs" TargetMode="External"/><Relationship Id="rId5391" Type="http://schemas.openxmlformats.org/officeDocument/2006/relationships/hyperlink" Target="http://www.linkedin.com/in/jamesbierlein" TargetMode="External"/><Relationship Id="rId4060" Type="http://schemas.openxmlformats.org/officeDocument/2006/relationships/hyperlink" Target="http://www.linkedin.com/in/dsaulnier" TargetMode="External"/><Relationship Id="rId4062" Type="http://schemas.openxmlformats.org/officeDocument/2006/relationships/hyperlink" Target="http://www.linkedin.com/in/frabinovich" TargetMode="External"/><Relationship Id="rId5394" Type="http://schemas.openxmlformats.org/officeDocument/2006/relationships/hyperlink" Target="http://www.linkedin.com/in/gonzalezmariano" TargetMode="External"/><Relationship Id="rId4061" Type="http://schemas.openxmlformats.org/officeDocument/2006/relationships/hyperlink" Target="http://www.linkedin.com/pub/kerry-johnson/0/443/137" TargetMode="External"/><Relationship Id="rId5395" Type="http://schemas.openxmlformats.org/officeDocument/2006/relationships/hyperlink" Target="http://ar.linkedin.com/in/gonzaloa" TargetMode="External"/><Relationship Id="rId4064" Type="http://schemas.openxmlformats.org/officeDocument/2006/relationships/hyperlink" Target="http://www.linkedin.com/in/daleshad" TargetMode="External"/><Relationship Id="rId5392" Type="http://schemas.openxmlformats.org/officeDocument/2006/relationships/hyperlink" Target="http://www.linkedin.com/in/romanshulman" TargetMode="External"/><Relationship Id="rId4063" Type="http://schemas.openxmlformats.org/officeDocument/2006/relationships/hyperlink" Target="http://www.linkedin.com/pub/guillermo-winnicki/0/4bb/432" TargetMode="External"/><Relationship Id="rId5393" Type="http://schemas.openxmlformats.org/officeDocument/2006/relationships/hyperlink" Target="http://www.linkedin.com/pub/chetna-gupta/1/768/8A6" TargetMode="External"/><Relationship Id="rId4066" Type="http://schemas.openxmlformats.org/officeDocument/2006/relationships/hyperlink" Target="http://ar.linkedin.com/in/pablolorenzi" TargetMode="External"/><Relationship Id="rId5398" Type="http://schemas.openxmlformats.org/officeDocument/2006/relationships/hyperlink" Target="http://www.linkedin.com/pub/grigory-grosman/4/857/23A" TargetMode="External"/><Relationship Id="rId4065" Type="http://schemas.openxmlformats.org/officeDocument/2006/relationships/hyperlink" Target="https://www.linkedin.com/pub/gabriel-sanchez-catena/2/b99/716" TargetMode="External"/><Relationship Id="rId5399" Type="http://schemas.openxmlformats.org/officeDocument/2006/relationships/hyperlink" Target="http://www.linkedin.com/in/josephvu" TargetMode="External"/><Relationship Id="rId4068" Type="http://schemas.openxmlformats.org/officeDocument/2006/relationships/hyperlink" Target="http://ar.linkedin.com/in/melinaperlongher" TargetMode="External"/><Relationship Id="rId5396" Type="http://schemas.openxmlformats.org/officeDocument/2006/relationships/hyperlink" Target="http://www.linkedin.com/pub/parimala-rao/5/813/A97" TargetMode="External"/><Relationship Id="rId4067" Type="http://schemas.openxmlformats.org/officeDocument/2006/relationships/hyperlink" Target="http://www.linkedin.com/in/gborau" TargetMode="External"/><Relationship Id="rId5397" Type="http://schemas.openxmlformats.org/officeDocument/2006/relationships/hyperlink" Target="https://www.linkedin.com/in/annavergeles" TargetMode="External"/><Relationship Id="rId4069" Type="http://schemas.openxmlformats.org/officeDocument/2006/relationships/hyperlink" Target="http://ar.linkedin.com/in/carlosdanielcabral" TargetMode="External"/><Relationship Id="rId5380" Type="http://schemas.openxmlformats.org/officeDocument/2006/relationships/hyperlink" Target="http://www.linkedin.com/pub/kandipan-sivanandhan/12/A46/85B" TargetMode="External"/><Relationship Id="rId4051" Type="http://schemas.openxmlformats.org/officeDocument/2006/relationships/hyperlink" Target="http://ar.linkedin.com/pub/aldo-leporati/0/7B0/59A" TargetMode="External"/><Relationship Id="rId5383" Type="http://schemas.openxmlformats.org/officeDocument/2006/relationships/hyperlink" Target="http://www.linkedin.com/in/alfredoramosv" TargetMode="External"/><Relationship Id="rId4050" Type="http://schemas.openxmlformats.org/officeDocument/2006/relationships/hyperlink" Target="http://www.linkedin.com/in/silvavanessa" TargetMode="External"/><Relationship Id="rId5384" Type="http://schemas.openxmlformats.org/officeDocument/2006/relationships/hyperlink" Target="http://www.linkedin.com/pub/bhavani-koneru/12/17/538" TargetMode="External"/><Relationship Id="rId4053" Type="http://schemas.openxmlformats.org/officeDocument/2006/relationships/hyperlink" Target="http://www.linkedin.com/in/shahp" TargetMode="External"/><Relationship Id="rId5381" Type="http://schemas.openxmlformats.org/officeDocument/2006/relationships/hyperlink" Target="http://www.linkedin.com/pub/danny-gottovi/2/327/B90" TargetMode="External"/><Relationship Id="rId4052" Type="http://schemas.openxmlformats.org/officeDocument/2006/relationships/hyperlink" Target="http://ar.linkedin.com/pub/leonardo-pulice/4/7B5/82B" TargetMode="External"/><Relationship Id="rId5382" Type="http://schemas.openxmlformats.org/officeDocument/2006/relationships/hyperlink" Target="http://www.linkedin.com/pub/chandy-varghese/6/5A7/A38" TargetMode="External"/><Relationship Id="rId4055" Type="http://schemas.openxmlformats.org/officeDocument/2006/relationships/hyperlink" Target="http://www.linkedin.com/in/angelapcronin" TargetMode="External"/><Relationship Id="rId5387" Type="http://schemas.openxmlformats.org/officeDocument/2006/relationships/hyperlink" Target="http://www.linkedin.com/in/ramaraparthi" TargetMode="External"/><Relationship Id="rId4054" Type="http://schemas.openxmlformats.org/officeDocument/2006/relationships/hyperlink" Target="http://ar.linkedin.com/in/vdirienzo" TargetMode="External"/><Relationship Id="rId5388" Type="http://schemas.openxmlformats.org/officeDocument/2006/relationships/hyperlink" Target="http://ar.linkedin.com/in/alejandrodinucci" TargetMode="External"/><Relationship Id="rId4057" Type="http://schemas.openxmlformats.org/officeDocument/2006/relationships/hyperlink" Target="http://www.linkedin.com/pub/judith-meles/4/91b/b0a" TargetMode="External"/><Relationship Id="rId5385" Type="http://schemas.openxmlformats.org/officeDocument/2006/relationships/hyperlink" Target="http://www.linkedin.com/pub/annie-mitchual/2/985/6A2" TargetMode="External"/><Relationship Id="rId4056" Type="http://schemas.openxmlformats.org/officeDocument/2006/relationships/hyperlink" Target="http://www.linkedin.com/in/stephenrdean" TargetMode="External"/><Relationship Id="rId5386" Type="http://schemas.openxmlformats.org/officeDocument/2006/relationships/hyperlink" Target="http://www.linkedin.com/pub/frank-da-silva/4/7B/B55" TargetMode="External"/><Relationship Id="rId4059" Type="http://schemas.openxmlformats.org/officeDocument/2006/relationships/hyperlink" Target="http://ar.linkedin.com/pub/analia-senn/19/B88/7A9" TargetMode="External"/><Relationship Id="rId4058" Type="http://schemas.openxmlformats.org/officeDocument/2006/relationships/hyperlink" Target="http://www.linkedin.com/pub/felipe-steffolani/6/17b/711" TargetMode="External"/><Relationship Id="rId5389" Type="http://schemas.openxmlformats.org/officeDocument/2006/relationships/hyperlink" Target="http://www.linkedin.com/pub/olga-godlevska/1/894/B1B" TargetMode="External"/><Relationship Id="rId4008" Type="http://schemas.openxmlformats.org/officeDocument/2006/relationships/hyperlink" Target="http://ar.linkedin.com/pub/mario-manuel-blanco/12/171/5A1" TargetMode="External"/><Relationship Id="rId4007" Type="http://schemas.openxmlformats.org/officeDocument/2006/relationships/hyperlink" Target="http://www.linkedin.com/pub/nejib-ben-khedher/4/349/824" TargetMode="External"/><Relationship Id="rId5338" Type="http://schemas.openxmlformats.org/officeDocument/2006/relationships/hyperlink" Target="http://www.linkedin.com/in/olegrubin" TargetMode="External"/><Relationship Id="rId6669" Type="http://schemas.openxmlformats.org/officeDocument/2006/relationships/hyperlink" Target="http://www.linkedin.com/pub/silvia-s%C3%A1nchez/7/310/508" TargetMode="External"/><Relationship Id="rId4009" Type="http://schemas.openxmlformats.org/officeDocument/2006/relationships/hyperlink" Target="http://www.linkedin.com/in/msaintive" TargetMode="External"/><Relationship Id="rId5339" Type="http://schemas.openxmlformats.org/officeDocument/2006/relationships/hyperlink" Target="http://www.linkedin.com/pub/jeff-wallace/0/36A/48B" TargetMode="External"/><Relationship Id="rId271" Type="http://schemas.openxmlformats.org/officeDocument/2006/relationships/hyperlink" Target="http://fr.linkedin.com/in/fabriceprugnaud" TargetMode="External"/><Relationship Id="rId270" Type="http://schemas.openxmlformats.org/officeDocument/2006/relationships/hyperlink" Target="http://kr.linkedin.com/in/clemensen" TargetMode="External"/><Relationship Id="rId269" Type="http://schemas.openxmlformats.org/officeDocument/2006/relationships/hyperlink" Target="http://www.linkedin.com/pub/dr-cindy-gordon/0/10/464" TargetMode="External"/><Relationship Id="rId7991" Type="http://schemas.openxmlformats.org/officeDocument/2006/relationships/hyperlink" Target="http://www.linkedin.com/in/andrewfilipowski" TargetMode="External"/><Relationship Id="rId6660" Type="http://schemas.openxmlformats.org/officeDocument/2006/relationships/hyperlink" Target="http://www.linkedin.com/pub/kristi-jurecka/2/597/139" TargetMode="External"/><Relationship Id="rId7990" Type="http://schemas.openxmlformats.org/officeDocument/2006/relationships/hyperlink" Target="http://www.linkedin.com/in/ronstyers" TargetMode="External"/><Relationship Id="rId264" Type="http://schemas.openxmlformats.org/officeDocument/2006/relationships/hyperlink" Target="http://br.linkedin.com/pub/lygia-fritsch/29/311/409" TargetMode="External"/><Relationship Id="rId4000" Type="http://schemas.openxmlformats.org/officeDocument/2006/relationships/hyperlink" Target="http://www.linkedin.com/pub/armando-del-bosque-alan-s/3/208/281" TargetMode="External"/><Relationship Id="rId5332" Type="http://schemas.openxmlformats.org/officeDocument/2006/relationships/hyperlink" Target="http://www.linkedin.com/in/eactisgrosso" TargetMode="External"/><Relationship Id="rId6663" Type="http://schemas.openxmlformats.org/officeDocument/2006/relationships/hyperlink" Target="http://www.linkedin.com/in/bolora" TargetMode="External"/><Relationship Id="rId7995" Type="http://schemas.openxmlformats.org/officeDocument/2006/relationships/hyperlink" Target="http://www.linkedin.com/in/courtneygartin" TargetMode="External"/><Relationship Id="rId263" Type="http://schemas.openxmlformats.org/officeDocument/2006/relationships/hyperlink" Target="http://www.linkedin.com/pub/jamie-haskins/6/AA1/781" TargetMode="External"/><Relationship Id="rId5333" Type="http://schemas.openxmlformats.org/officeDocument/2006/relationships/hyperlink" Target="http://ar.linkedin.com/in/stefanigustavo" TargetMode="External"/><Relationship Id="rId6664" Type="http://schemas.openxmlformats.org/officeDocument/2006/relationships/hyperlink" Target="http://ar.linkedin.com/in/gutierrezgerman" TargetMode="External"/><Relationship Id="rId7994" Type="http://schemas.openxmlformats.org/officeDocument/2006/relationships/hyperlink" Target="http://www.linkedin.com/in/rafantauzzi" TargetMode="External"/><Relationship Id="rId262" Type="http://schemas.openxmlformats.org/officeDocument/2006/relationships/hyperlink" Target="http://uk.linkedin.com/in/lisettesens" TargetMode="External"/><Relationship Id="rId4002" Type="http://schemas.openxmlformats.org/officeDocument/2006/relationships/hyperlink" Target="http://ar.linkedin.com/in/martinmorales" TargetMode="External"/><Relationship Id="rId5330" Type="http://schemas.openxmlformats.org/officeDocument/2006/relationships/hyperlink" Target="http://www.linkedin.com/pub/brian-mccloskey/1/A36/682" TargetMode="External"/><Relationship Id="rId6661" Type="http://schemas.openxmlformats.org/officeDocument/2006/relationships/hyperlink" Target="http://www.linkedin.com/pub/randy-phelan/1/740/32" TargetMode="External"/><Relationship Id="rId7993" Type="http://schemas.openxmlformats.org/officeDocument/2006/relationships/hyperlink" Target="http://www.linkedin.com/in/jfahlsing" TargetMode="External"/><Relationship Id="rId261" Type="http://schemas.openxmlformats.org/officeDocument/2006/relationships/hyperlink" Target="http://www.linkedin.com/pub/gigi-alexandra-neuenfeldt/37/44/915" TargetMode="External"/><Relationship Id="rId4001" Type="http://schemas.openxmlformats.org/officeDocument/2006/relationships/hyperlink" Target="http://ar.linkedin.com/in/leandrosmal" TargetMode="External"/><Relationship Id="rId5331" Type="http://schemas.openxmlformats.org/officeDocument/2006/relationships/hyperlink" Target="http://www.linkedin.com/in/ananthkamath" TargetMode="External"/><Relationship Id="rId6662" Type="http://schemas.openxmlformats.org/officeDocument/2006/relationships/hyperlink" Target="http://www.linkedin.com/pub/jeff-stone/18/575/AB5" TargetMode="External"/><Relationship Id="rId7992" Type="http://schemas.openxmlformats.org/officeDocument/2006/relationships/hyperlink" Target="http://www.linkedin.com/pub/rui-da-costa/0/125/869" TargetMode="External"/><Relationship Id="rId268" Type="http://schemas.openxmlformats.org/officeDocument/2006/relationships/hyperlink" Target="http://www.linkedin.com/in/ricardoorcero" TargetMode="External"/><Relationship Id="rId4004" Type="http://schemas.openxmlformats.org/officeDocument/2006/relationships/hyperlink" Target="http://www.linkedin.com/pub/liz-friscino/6/62/B05" TargetMode="External"/><Relationship Id="rId5336" Type="http://schemas.openxmlformats.org/officeDocument/2006/relationships/hyperlink" Target="http://ar.linkedin.com/in/augustomar" TargetMode="External"/><Relationship Id="rId6667" Type="http://schemas.openxmlformats.org/officeDocument/2006/relationships/hyperlink" Target="http://www.linkedin.com/in/psabbatella" TargetMode="External"/><Relationship Id="rId7999" Type="http://schemas.openxmlformats.org/officeDocument/2006/relationships/hyperlink" Target="http://www.linkedin.com/in/nealfrick" TargetMode="External"/><Relationship Id="rId267" Type="http://schemas.openxmlformats.org/officeDocument/2006/relationships/hyperlink" Target="http://www.linkedin.com/pub/rusel-demaria/0/141/790" TargetMode="External"/><Relationship Id="rId4003" Type="http://schemas.openxmlformats.org/officeDocument/2006/relationships/hyperlink" Target="http://www.linkedin.com/in/jcroot" TargetMode="External"/><Relationship Id="rId5337" Type="http://schemas.openxmlformats.org/officeDocument/2006/relationships/hyperlink" Target="http://www.linkedin.com/pub/jill-henry/4/261/622" TargetMode="External"/><Relationship Id="rId6668" Type="http://schemas.openxmlformats.org/officeDocument/2006/relationships/hyperlink" Target="http://www.linkedin.com/pub/analia-veronica-fatta/27/41a/7a8" TargetMode="External"/><Relationship Id="rId7998" Type="http://schemas.openxmlformats.org/officeDocument/2006/relationships/hyperlink" Target="http://www.linkedin.com/in/danfreitas" TargetMode="External"/><Relationship Id="rId266" Type="http://schemas.openxmlformats.org/officeDocument/2006/relationships/hyperlink" Target="http://www.linkedin.com/pub/lori-pleva/2/688/7B4" TargetMode="External"/><Relationship Id="rId4006" Type="http://schemas.openxmlformats.org/officeDocument/2006/relationships/hyperlink" Target="http://www.linkedin.com/in/suzimyers7" TargetMode="External"/><Relationship Id="rId5334" Type="http://schemas.openxmlformats.org/officeDocument/2006/relationships/hyperlink" Target="http://ar.linkedin.com/pub/dario-ignacio-rodriguez/22/956/933" TargetMode="External"/><Relationship Id="rId6665" Type="http://schemas.openxmlformats.org/officeDocument/2006/relationships/hyperlink" Target="http://www.linkedin.com/pub/terrance-blackwell-mba/9/76/790" TargetMode="External"/><Relationship Id="rId7997" Type="http://schemas.openxmlformats.org/officeDocument/2006/relationships/hyperlink" Target="http://www.linkedin.com/pub/ryan-vinett/14/A65/B16" TargetMode="External"/><Relationship Id="rId265" Type="http://schemas.openxmlformats.org/officeDocument/2006/relationships/hyperlink" Target="http://www.linkedin.com/in/oriyacobi" TargetMode="External"/><Relationship Id="rId4005" Type="http://schemas.openxmlformats.org/officeDocument/2006/relationships/hyperlink" Target="http://www.linkedin.com/pub/rebecca-dooley/7/163/3B2" TargetMode="External"/><Relationship Id="rId5335" Type="http://schemas.openxmlformats.org/officeDocument/2006/relationships/hyperlink" Target="http://www.linkedin.com/pub/jim-gifford/8/455/6A7" TargetMode="External"/><Relationship Id="rId6666" Type="http://schemas.openxmlformats.org/officeDocument/2006/relationships/hyperlink" Target="http://www.linkedin.com/pub/ben-pullen/3/BA9/716" TargetMode="External"/><Relationship Id="rId7996" Type="http://schemas.openxmlformats.org/officeDocument/2006/relationships/hyperlink" Target="http://www.linkedin.com/pub/brian-roberts/0/93/4A6" TargetMode="External"/><Relationship Id="rId5329" Type="http://schemas.openxmlformats.org/officeDocument/2006/relationships/hyperlink" Target="http://www.linkedin.com/pub/ravi-kolli/4/560/3B1" TargetMode="External"/><Relationship Id="rId5327" Type="http://schemas.openxmlformats.org/officeDocument/2006/relationships/hyperlink" Target="http://www.linkedin.com/in/rsivan" TargetMode="External"/><Relationship Id="rId6658" Type="http://schemas.openxmlformats.org/officeDocument/2006/relationships/hyperlink" Target="http://www.linkedin.com/in/davidrespass" TargetMode="External"/><Relationship Id="rId5328" Type="http://schemas.openxmlformats.org/officeDocument/2006/relationships/hyperlink" Target="http://ar.linkedin.com/in/nathaliaheim" TargetMode="External"/><Relationship Id="rId6659" Type="http://schemas.openxmlformats.org/officeDocument/2006/relationships/hyperlink" Target="http://www.linkedin.com/in/ravimetta" TargetMode="External"/><Relationship Id="rId7989" Type="http://schemas.openxmlformats.org/officeDocument/2006/relationships/hyperlink" Target="http://www.linkedin.com/in/jlhunter" TargetMode="External"/><Relationship Id="rId260" Type="http://schemas.openxmlformats.org/officeDocument/2006/relationships/hyperlink" Target="http://it.linkedin.com/in/riccardodiblasio" TargetMode="External"/><Relationship Id="rId259" Type="http://schemas.openxmlformats.org/officeDocument/2006/relationships/hyperlink" Target="http://www.linkedin.com/pub/chris-bartfai/B/576/862" TargetMode="External"/><Relationship Id="rId258" Type="http://schemas.openxmlformats.org/officeDocument/2006/relationships/hyperlink" Target="http://www.linkedin.com/in/robertdiedrick" TargetMode="External"/><Relationship Id="rId7980" Type="http://schemas.openxmlformats.org/officeDocument/2006/relationships/hyperlink" Target="http://ar.linkedin.com/in/pfsanchez" TargetMode="External"/><Relationship Id="rId253" Type="http://schemas.openxmlformats.org/officeDocument/2006/relationships/hyperlink" Target="http://consultingmymobilegeek.com" TargetMode="External"/><Relationship Id="rId5321" Type="http://schemas.openxmlformats.org/officeDocument/2006/relationships/hyperlink" Target="http://ar.linkedin.com/in/melinamarich" TargetMode="External"/><Relationship Id="rId6652" Type="http://schemas.openxmlformats.org/officeDocument/2006/relationships/hyperlink" Target="http://www.linkedin.com/pub/mike-gould/2/107/169" TargetMode="External"/><Relationship Id="rId7984" Type="http://schemas.openxmlformats.org/officeDocument/2006/relationships/hyperlink" Target="http://www.linkedin.com/in/timrsmith" TargetMode="External"/><Relationship Id="rId252" Type="http://schemas.openxmlformats.org/officeDocument/2006/relationships/hyperlink" Target="http://www.linkedin.com/in/davidaschwartz86" TargetMode="External"/><Relationship Id="rId5322" Type="http://schemas.openxmlformats.org/officeDocument/2006/relationships/hyperlink" Target="http://www.linkedin.com/in/saraohearn" TargetMode="External"/><Relationship Id="rId6653" Type="http://schemas.openxmlformats.org/officeDocument/2006/relationships/hyperlink" Target="https://www.linkedin.com/in/jasoncypret" TargetMode="External"/><Relationship Id="rId7983" Type="http://schemas.openxmlformats.org/officeDocument/2006/relationships/hyperlink" Target="http://www.linkedin.com/in/kevinduerr" TargetMode="External"/><Relationship Id="rId251" Type="http://schemas.openxmlformats.org/officeDocument/2006/relationships/hyperlink" Target="http://www.linkedin.com/pub/nicole-donnelly/4/2B9/73B" TargetMode="External"/><Relationship Id="rId6650" Type="http://schemas.openxmlformats.org/officeDocument/2006/relationships/hyperlink" Target="http://www.linkedin.com/pub/nastasha-wells/4/426/713" TargetMode="External"/><Relationship Id="rId7982" Type="http://schemas.openxmlformats.org/officeDocument/2006/relationships/hyperlink" Target="http://www.linkedin.com/in/billstankiewicz2006" TargetMode="External"/><Relationship Id="rId250" Type="http://schemas.openxmlformats.org/officeDocument/2006/relationships/hyperlink" Target="http://www.linkedin.com/pub/gabriel-vleisides/3/984/69b" TargetMode="External"/><Relationship Id="rId5320" Type="http://schemas.openxmlformats.org/officeDocument/2006/relationships/hyperlink" Target="http://ar.linkedin.com/in/guillermobeviacqua" TargetMode="External"/><Relationship Id="rId6651" Type="http://schemas.openxmlformats.org/officeDocument/2006/relationships/hyperlink" Target="http://www.linkedin.com/in/heatherford" TargetMode="External"/><Relationship Id="rId7981" Type="http://schemas.openxmlformats.org/officeDocument/2006/relationships/hyperlink" Target="http://www.linkedin.com/in/jesushoyos" TargetMode="External"/><Relationship Id="rId257" Type="http://schemas.openxmlformats.org/officeDocument/2006/relationships/hyperlink" Target="http://www.linkedin.com/pub/richard-navarro/0/425/683" TargetMode="External"/><Relationship Id="rId5325" Type="http://schemas.openxmlformats.org/officeDocument/2006/relationships/hyperlink" Target="http://www.linkedin.com/pub/vladimir-bronstein/0/13/570" TargetMode="External"/><Relationship Id="rId6656" Type="http://schemas.openxmlformats.org/officeDocument/2006/relationships/hyperlink" Target="http://www.linkedin.com/pub/greg-zoller/0/993/325" TargetMode="External"/><Relationship Id="rId7988" Type="http://schemas.openxmlformats.org/officeDocument/2006/relationships/hyperlink" Target="http://www.linkedin.com/pub/tony-farne-cpm-cpmm/1/10B/899" TargetMode="External"/><Relationship Id="rId256" Type="http://schemas.openxmlformats.org/officeDocument/2006/relationships/hyperlink" Target="http://www.linkedin.com/pub/mike-hepner/14/9A7/64B" TargetMode="External"/><Relationship Id="rId5326" Type="http://schemas.openxmlformats.org/officeDocument/2006/relationships/hyperlink" Target="http://www.linkedin.com/pub/gershon-schatzberg/0/41/145" TargetMode="External"/><Relationship Id="rId6657" Type="http://schemas.openxmlformats.org/officeDocument/2006/relationships/hyperlink" Target="http://ar.linkedin.com/in/adrianabiancheri" TargetMode="External"/><Relationship Id="rId7987" Type="http://schemas.openxmlformats.org/officeDocument/2006/relationships/hyperlink" Target="http://www.linkedin.com/in/estringfellow" TargetMode="External"/><Relationship Id="rId255" Type="http://schemas.openxmlformats.org/officeDocument/2006/relationships/hyperlink" Target="http://www.linkedin.com/pub/timothy-daut/19/1B3/8A1" TargetMode="External"/><Relationship Id="rId5323" Type="http://schemas.openxmlformats.org/officeDocument/2006/relationships/hyperlink" Target="http://www.linkedin.com/pub/nicole-shaw/3/4B8/435" TargetMode="External"/><Relationship Id="rId6654" Type="http://schemas.openxmlformats.org/officeDocument/2006/relationships/hyperlink" Target="http://www.linkedin.com/in/ashleyschroeder" TargetMode="External"/><Relationship Id="rId7986" Type="http://schemas.openxmlformats.org/officeDocument/2006/relationships/hyperlink" Target="http://www.linkedin.com/in/patrickconsorti" TargetMode="External"/><Relationship Id="rId254" Type="http://schemas.openxmlformats.org/officeDocument/2006/relationships/hyperlink" Target="http://www.linkedin.com/in/mymobilegeek" TargetMode="External"/><Relationship Id="rId5324" Type="http://schemas.openxmlformats.org/officeDocument/2006/relationships/hyperlink" Target="http://www.linkedin.com/in/roniburd" TargetMode="External"/><Relationship Id="rId6655" Type="http://schemas.openxmlformats.org/officeDocument/2006/relationships/hyperlink" Target="http://www.linkedin.com/in/martigold" TargetMode="External"/><Relationship Id="rId7985" Type="http://schemas.openxmlformats.org/officeDocument/2006/relationships/hyperlink" Target="http://www.linkedin.com/pub/gary-soloway/8/31/741" TargetMode="External"/><Relationship Id="rId4029" Type="http://schemas.openxmlformats.org/officeDocument/2006/relationships/hyperlink" Target="http://ar.linkedin.com/in/lewdaniel" TargetMode="External"/><Relationship Id="rId293" Type="http://schemas.openxmlformats.org/officeDocument/2006/relationships/hyperlink" Target="http://www.linkedin.com/pub/greg-hopton/2/BA5/AA0" TargetMode="External"/><Relationship Id="rId292" Type="http://schemas.openxmlformats.org/officeDocument/2006/relationships/hyperlink" Target="http://www.linkedin.com/in/melaniesquandt" TargetMode="External"/><Relationship Id="rId291" Type="http://schemas.openxmlformats.org/officeDocument/2006/relationships/hyperlink" Target="http://www.linkedin.com/pub/paul-thurman/0/33/804" TargetMode="External"/><Relationship Id="rId290" Type="http://schemas.openxmlformats.org/officeDocument/2006/relationships/hyperlink" Target="http://www.linkedin.com/in/anowar" TargetMode="External"/><Relationship Id="rId5350" Type="http://schemas.openxmlformats.org/officeDocument/2006/relationships/hyperlink" Target="http://www.linkedin.com/in/richardlhagan" TargetMode="External"/><Relationship Id="rId6681" Type="http://schemas.openxmlformats.org/officeDocument/2006/relationships/hyperlink" Target="http://ar.linkedin.com/in/juancarloslucas" TargetMode="External"/><Relationship Id="rId5351" Type="http://schemas.openxmlformats.org/officeDocument/2006/relationships/hyperlink" Target="http://www.linkedin.com/pub/steve-clark/0/329/875" TargetMode="External"/><Relationship Id="rId6682" Type="http://schemas.openxmlformats.org/officeDocument/2006/relationships/hyperlink" Target="http://www.linkedin.com/pub/karen-russo-pmp/0/647/127" TargetMode="External"/><Relationship Id="rId4020" Type="http://schemas.openxmlformats.org/officeDocument/2006/relationships/hyperlink" Target="http://ar.linkedin.com/in/aptitudsf" TargetMode="External"/><Relationship Id="rId6680" Type="http://schemas.openxmlformats.org/officeDocument/2006/relationships/hyperlink" Target="http://ar.linkedin.com/pub/carina-fernandez-grenno/7/497/B33" TargetMode="External"/><Relationship Id="rId286" Type="http://schemas.openxmlformats.org/officeDocument/2006/relationships/hyperlink" Target="http://uk.linkedin.com/in/petergolder" TargetMode="External"/><Relationship Id="rId4022" Type="http://schemas.openxmlformats.org/officeDocument/2006/relationships/hyperlink" Target="http://ar.linkedin.com/in/christianseijo" TargetMode="External"/><Relationship Id="rId5354" Type="http://schemas.openxmlformats.org/officeDocument/2006/relationships/hyperlink" Target="http://ar.linkedin.com/pub/nicolas-rossotti/22/153/325" TargetMode="External"/><Relationship Id="rId6685" Type="http://schemas.openxmlformats.org/officeDocument/2006/relationships/hyperlink" Target="http://www.linkedin.com/pub/peggy-gardner/0/797/10" TargetMode="External"/><Relationship Id="rId285" Type="http://schemas.openxmlformats.org/officeDocument/2006/relationships/hyperlink" Target="http://www.linkedin.com/in/mtrachtenberg" TargetMode="External"/><Relationship Id="rId4021" Type="http://schemas.openxmlformats.org/officeDocument/2006/relationships/hyperlink" Target="http://www.linkedin.com/pub/sebastian-leoni/1/407/5B1" TargetMode="External"/><Relationship Id="rId5355" Type="http://schemas.openxmlformats.org/officeDocument/2006/relationships/hyperlink" Target="http://ar.linkedin.com/pub/guillermo-carreras/9/AB5/7B" TargetMode="External"/><Relationship Id="rId6686" Type="http://schemas.openxmlformats.org/officeDocument/2006/relationships/hyperlink" Target="http://www.linkedin.com/pub/david-ostermann/0/93/609" TargetMode="External"/><Relationship Id="rId284" Type="http://schemas.openxmlformats.org/officeDocument/2006/relationships/hyperlink" Target="http://www.linkedin.com/in/billreichert" TargetMode="External"/><Relationship Id="rId4024" Type="http://schemas.openxmlformats.org/officeDocument/2006/relationships/hyperlink" Target="http://ar.linkedin.com/pub/marcelo-meneses/0/238/5A9" TargetMode="External"/><Relationship Id="rId5352" Type="http://schemas.openxmlformats.org/officeDocument/2006/relationships/hyperlink" Target="http://www.linkedin.com/pub/jenny-ford/5/801/219" TargetMode="External"/><Relationship Id="rId6683" Type="http://schemas.openxmlformats.org/officeDocument/2006/relationships/hyperlink" Target="http://www.linkedin.com/pub/santiago-pinto-escalier/0/154/512?trk=pub-pbmap" TargetMode="External"/><Relationship Id="rId283" Type="http://schemas.openxmlformats.org/officeDocument/2006/relationships/hyperlink" Target="http://ca.linkedin.com/pub/heidi-popov/23/150/499" TargetMode="External"/><Relationship Id="rId4023" Type="http://schemas.openxmlformats.org/officeDocument/2006/relationships/hyperlink" Target="http://ar.linkedin.com/pub/neri-martinez/19/29B/18" TargetMode="External"/><Relationship Id="rId5353" Type="http://schemas.openxmlformats.org/officeDocument/2006/relationships/hyperlink" Target="http://www.linkedin.com/pub/rob-moore/1/2AB/622" TargetMode="External"/><Relationship Id="rId6684" Type="http://schemas.openxmlformats.org/officeDocument/2006/relationships/hyperlink" Target="http://www.linkedin.com/pub/blake-goodwin/4/6AB/7B0" TargetMode="External"/><Relationship Id="rId4026" Type="http://schemas.openxmlformats.org/officeDocument/2006/relationships/hyperlink" Target="http://ar.linkedin.com/in/federicoast" TargetMode="External"/><Relationship Id="rId5358" Type="http://schemas.openxmlformats.org/officeDocument/2006/relationships/hyperlink" Target="http://www.linkedin.com/pub/carolyn-koehnen-pmp-csm/0/66a/890" TargetMode="External"/><Relationship Id="rId6689" Type="http://schemas.openxmlformats.org/officeDocument/2006/relationships/hyperlink" Target="http://www.linkedin.com/pub/mohi-murugesu/2/3A1/181" TargetMode="External"/><Relationship Id="rId289" Type="http://schemas.openxmlformats.org/officeDocument/2006/relationships/hyperlink" Target="https://www.linkedin.com/in/drmarkbregman" TargetMode="External"/><Relationship Id="rId4025" Type="http://schemas.openxmlformats.org/officeDocument/2006/relationships/hyperlink" Target="http://ar.linkedin.com/in/jorgegazzo" TargetMode="External"/><Relationship Id="rId5359" Type="http://schemas.openxmlformats.org/officeDocument/2006/relationships/hyperlink" Target="http://www.linkedin.com/pub/neil-thomas-mba-pmp/3/A62/116" TargetMode="External"/><Relationship Id="rId288" Type="http://schemas.openxmlformats.org/officeDocument/2006/relationships/hyperlink" Target="http://www.linkedin.com/in/markjordan" TargetMode="External"/><Relationship Id="rId4028" Type="http://schemas.openxmlformats.org/officeDocument/2006/relationships/hyperlink" Target="http://ar.linkedin.com/in/sebasp" TargetMode="External"/><Relationship Id="rId5356" Type="http://schemas.openxmlformats.org/officeDocument/2006/relationships/hyperlink" Target="http://ar.linkedin.com/pub/jorgelina-sanabria/5/400/32" TargetMode="External"/><Relationship Id="rId6687" Type="http://schemas.openxmlformats.org/officeDocument/2006/relationships/hyperlink" Target="http://www.linkedin.com/in/kairocerere" TargetMode="External"/><Relationship Id="rId287" Type="http://schemas.openxmlformats.org/officeDocument/2006/relationships/hyperlink" Target="http://www.linkedin.com/in/smithj" TargetMode="External"/><Relationship Id="rId4027" Type="http://schemas.openxmlformats.org/officeDocument/2006/relationships/hyperlink" Target="http://ar.linkedin.com/pub/gloria-cassano/0/695/282" TargetMode="External"/><Relationship Id="rId5357" Type="http://schemas.openxmlformats.org/officeDocument/2006/relationships/hyperlink" Target="http://ar.linkedin.com/in/dojerez" TargetMode="External"/><Relationship Id="rId6688" Type="http://schemas.openxmlformats.org/officeDocument/2006/relationships/hyperlink" Target="http://www.linkedin.com/in/diegomontesano" TargetMode="External"/><Relationship Id="rId4019" Type="http://schemas.openxmlformats.org/officeDocument/2006/relationships/hyperlink" Target="http://ar.linkedin.com/pub/francisco-scroffa/0/32B/A27" TargetMode="External"/><Relationship Id="rId4018" Type="http://schemas.openxmlformats.org/officeDocument/2006/relationships/hyperlink" Target="http://ar.linkedin.com/in/yugueli" TargetMode="External"/><Relationship Id="rId5349" Type="http://schemas.openxmlformats.org/officeDocument/2006/relationships/hyperlink" Target="http://www.linkedin.com/in/frederickwinter" TargetMode="External"/><Relationship Id="rId282" Type="http://schemas.openxmlformats.org/officeDocument/2006/relationships/hyperlink" Target="http://www.linkedin.com/in/richardriva" TargetMode="External"/><Relationship Id="rId281" Type="http://schemas.openxmlformats.org/officeDocument/2006/relationships/hyperlink" Target="http://www.linkedin.com/pub/glenn-weinstein/0/A9/460" TargetMode="External"/><Relationship Id="rId280" Type="http://schemas.openxmlformats.org/officeDocument/2006/relationships/hyperlink" Target="http://www.linkedin.com/pub/greg-lazar/0/8B/289" TargetMode="External"/><Relationship Id="rId6670" Type="http://schemas.openxmlformats.org/officeDocument/2006/relationships/hyperlink" Target="http://www.linkedin.com/in/linotorres" TargetMode="External"/><Relationship Id="rId5340" Type="http://schemas.openxmlformats.org/officeDocument/2006/relationships/hyperlink" Target="http://www.linkedin.com/pub/ik-kim/8/548/B34" TargetMode="External"/><Relationship Id="rId6671" Type="http://schemas.openxmlformats.org/officeDocument/2006/relationships/hyperlink" Target="http://ar.linkedin.com/pub/guido-guasqui/20/194/4A7" TargetMode="External"/><Relationship Id="rId275" Type="http://schemas.openxmlformats.org/officeDocument/2006/relationships/hyperlink" Target="http://uk.linkedin.com/in/garryveale" TargetMode="External"/><Relationship Id="rId4011" Type="http://schemas.openxmlformats.org/officeDocument/2006/relationships/hyperlink" Target="http://ar.linkedin.com/pub/jorge-daniel-modugno/29/B66/679" TargetMode="External"/><Relationship Id="rId5343" Type="http://schemas.openxmlformats.org/officeDocument/2006/relationships/hyperlink" Target="http://www.linkedin.com/pub/cg-simmons/10/8BB/354" TargetMode="External"/><Relationship Id="rId6674" Type="http://schemas.openxmlformats.org/officeDocument/2006/relationships/hyperlink" Target="http://ar.linkedin.com/in/willyfink" TargetMode="External"/><Relationship Id="rId274" Type="http://schemas.openxmlformats.org/officeDocument/2006/relationships/hyperlink" Target="http://uk.linkedin.com/in/jensbackes" TargetMode="External"/><Relationship Id="rId4010" Type="http://schemas.openxmlformats.org/officeDocument/2006/relationships/hyperlink" Target="http://www.linkedin.com/pub/sergio-arosemena-siburu/1/766/953" TargetMode="External"/><Relationship Id="rId5344" Type="http://schemas.openxmlformats.org/officeDocument/2006/relationships/hyperlink" Target="http://www.linkedin.com/in/briancnewman" TargetMode="External"/><Relationship Id="rId6675" Type="http://schemas.openxmlformats.org/officeDocument/2006/relationships/hyperlink" Target="http://www.linkedin.com/pub/douglas-roberts/0/429/481" TargetMode="External"/><Relationship Id="rId273" Type="http://schemas.openxmlformats.org/officeDocument/2006/relationships/hyperlink" Target="http://br.linkedin.com/pub/claudio-avila/0/623/445" TargetMode="External"/><Relationship Id="rId4013" Type="http://schemas.openxmlformats.org/officeDocument/2006/relationships/hyperlink" Target="http://ar.linkedin.com/pub/juan-manuel-gonzalez/9/57A/27B" TargetMode="External"/><Relationship Id="rId5341" Type="http://schemas.openxmlformats.org/officeDocument/2006/relationships/hyperlink" Target="http://ar.linkedin.com/in/fsotoconti" TargetMode="External"/><Relationship Id="rId6672" Type="http://schemas.openxmlformats.org/officeDocument/2006/relationships/hyperlink" Target="http://ar.linkedin.com/in/gustavopowersa" TargetMode="External"/><Relationship Id="rId272" Type="http://schemas.openxmlformats.org/officeDocument/2006/relationships/hyperlink" Target="http://de.linkedin.com/in/tsoppa" TargetMode="External"/><Relationship Id="rId4012" Type="http://schemas.openxmlformats.org/officeDocument/2006/relationships/hyperlink" Target="http://ar.linkedin.com/in/florenciapoggio" TargetMode="External"/><Relationship Id="rId5342" Type="http://schemas.openxmlformats.org/officeDocument/2006/relationships/hyperlink" Target="http://www.linkedin.com/pub/mark-a-alexander/0/556/687" TargetMode="External"/><Relationship Id="rId6673" Type="http://schemas.openxmlformats.org/officeDocument/2006/relationships/hyperlink" Target="http://www.linkedin.com/pub/linlin-zhang/17/908/149" TargetMode="External"/><Relationship Id="rId279" Type="http://schemas.openxmlformats.org/officeDocument/2006/relationships/hyperlink" Target="http://www.linkedin.com/in/dperry" TargetMode="External"/><Relationship Id="rId4015" Type="http://schemas.openxmlformats.org/officeDocument/2006/relationships/hyperlink" Target="http://www.linkedin.com/pub/sergio-szklanny/4/a9b/8a2" TargetMode="External"/><Relationship Id="rId5347" Type="http://schemas.openxmlformats.org/officeDocument/2006/relationships/hyperlink" Target="http://www.linkedin.com/pub/stacy-gapper/5/812/A35" TargetMode="External"/><Relationship Id="rId6678" Type="http://schemas.openxmlformats.org/officeDocument/2006/relationships/hyperlink" Target="http://www.linkedin.com/pub/fernando-daniel-rodriguez-amor/b/233/915" TargetMode="External"/><Relationship Id="rId278" Type="http://schemas.openxmlformats.org/officeDocument/2006/relationships/hyperlink" Target="http://www.linkedin.com/pub/bob-levitt/0/255/945" TargetMode="External"/><Relationship Id="rId4014" Type="http://schemas.openxmlformats.org/officeDocument/2006/relationships/hyperlink" Target="http://ar.linkedin.com/in/joseluisfarias" TargetMode="External"/><Relationship Id="rId5348" Type="http://schemas.openxmlformats.org/officeDocument/2006/relationships/hyperlink" Target="http://www.linkedin.com/pub/janis-lawrence/4/798/364" TargetMode="External"/><Relationship Id="rId6679" Type="http://schemas.openxmlformats.org/officeDocument/2006/relationships/hyperlink" Target="http://ar.linkedin.com/in/funeselida" TargetMode="External"/><Relationship Id="rId277" Type="http://schemas.openxmlformats.org/officeDocument/2006/relationships/hyperlink" Target="http://www.linkedin.com/in/daniellekieschnick" TargetMode="External"/><Relationship Id="rId4017" Type="http://schemas.openxmlformats.org/officeDocument/2006/relationships/hyperlink" Target="http://ar.linkedin.com/in/mariajosecoppari" TargetMode="External"/><Relationship Id="rId5345" Type="http://schemas.openxmlformats.org/officeDocument/2006/relationships/hyperlink" Target="http://www.linkedin.com/in/scottballenger" TargetMode="External"/><Relationship Id="rId6676" Type="http://schemas.openxmlformats.org/officeDocument/2006/relationships/hyperlink" Target="http://www.linkedin.com/in/joseburgos" TargetMode="External"/><Relationship Id="rId276" Type="http://schemas.openxmlformats.org/officeDocument/2006/relationships/hyperlink" Target="http://www.linkedin.com/pub/tim-belcher/0/3A5/617" TargetMode="External"/><Relationship Id="rId4016" Type="http://schemas.openxmlformats.org/officeDocument/2006/relationships/hyperlink" Target="http://www.linkedin.com/pub/jorge-cavedo/0/39a/538" TargetMode="External"/><Relationship Id="rId5346" Type="http://schemas.openxmlformats.org/officeDocument/2006/relationships/hyperlink" Target="http://www.linkedin.com/pub/arun-iyer-venkiteswara-/2/5B6/489" TargetMode="External"/><Relationship Id="rId6677" Type="http://schemas.openxmlformats.org/officeDocument/2006/relationships/hyperlink" Target="http://ar.linkedin.com/pub/matias-burak/8/243/475" TargetMode="External"/><Relationship Id="rId1851" Type="http://schemas.openxmlformats.org/officeDocument/2006/relationships/hyperlink" Target="http://www.linkedin.com/pub/joseph-trevisani/2/904/8A9" TargetMode="External"/><Relationship Id="rId1852" Type="http://schemas.openxmlformats.org/officeDocument/2006/relationships/hyperlink" Target="http://www.linkedin.com/in/rickcaraballo" TargetMode="External"/><Relationship Id="rId1853" Type="http://schemas.openxmlformats.org/officeDocument/2006/relationships/hyperlink" Target="http://www.linkedin.com/pub/mark-drew/6/3B2/92B" TargetMode="External"/><Relationship Id="rId1854" Type="http://schemas.openxmlformats.org/officeDocument/2006/relationships/hyperlink" Target="http://www.linkedin.com/pub/jacques-p-derouen/3/148/3B2" TargetMode="External"/><Relationship Id="rId1855" Type="http://schemas.openxmlformats.org/officeDocument/2006/relationships/hyperlink" Target="http://www.linkedin.com/pub/robert-grano/1/10B/69A" TargetMode="External"/><Relationship Id="rId1856" Type="http://schemas.openxmlformats.org/officeDocument/2006/relationships/hyperlink" Target="http://uk.linkedin.com/pub/susan-taylor/5/324/7BB" TargetMode="External"/><Relationship Id="rId1857" Type="http://schemas.openxmlformats.org/officeDocument/2006/relationships/hyperlink" Target="http://www.linkedin.com/pub/george-pariza/1/19B/79" TargetMode="External"/><Relationship Id="rId1858" Type="http://schemas.openxmlformats.org/officeDocument/2006/relationships/hyperlink" Target="http://www.linkedin.com/pub/%22peter%22-weiping-shi/6/416/737" TargetMode="External"/><Relationship Id="rId1859" Type="http://schemas.openxmlformats.org/officeDocument/2006/relationships/hyperlink" Target="http://br.linkedin.com/pub/edgar-souza/29/754/761" TargetMode="External"/><Relationship Id="rId1850" Type="http://schemas.openxmlformats.org/officeDocument/2006/relationships/hyperlink" Target="http://www.linkedin.com/pub/ashok-kapoor/0/1A4/995" TargetMode="External"/><Relationship Id="rId1840" Type="http://schemas.openxmlformats.org/officeDocument/2006/relationships/hyperlink" Target="http://www.linkedin.com/pub/peter-cohen/1/34/6BA" TargetMode="External"/><Relationship Id="rId1841" Type="http://schemas.openxmlformats.org/officeDocument/2006/relationships/hyperlink" Target="http://www.linkedin.com/in/erikvennestrom" TargetMode="External"/><Relationship Id="rId1842" Type="http://schemas.openxmlformats.org/officeDocument/2006/relationships/hyperlink" Target="http://www.linkedin.com/pub/ron-schick/0/A37/94A" TargetMode="External"/><Relationship Id="rId1843" Type="http://schemas.openxmlformats.org/officeDocument/2006/relationships/hyperlink" Target="http://www.linkedin.com/pub/daniel-ittmann/3/1a8/850" TargetMode="External"/><Relationship Id="rId1844" Type="http://schemas.openxmlformats.org/officeDocument/2006/relationships/hyperlink" Target="http://www.linkedin.com/pub/aubri-balk/4/929/314" TargetMode="External"/><Relationship Id="rId1845" Type="http://schemas.openxmlformats.org/officeDocument/2006/relationships/hyperlink" Target="http://au.linkedin.com/in/tommcgruther" TargetMode="External"/><Relationship Id="rId1846" Type="http://schemas.openxmlformats.org/officeDocument/2006/relationships/hyperlink" Target="http://www.linkedin.com/in/scottquick" TargetMode="External"/><Relationship Id="rId1847" Type="http://schemas.openxmlformats.org/officeDocument/2006/relationships/hyperlink" Target="http://www.linkedin.com/in/sharasokol" TargetMode="External"/><Relationship Id="rId1848" Type="http://schemas.openxmlformats.org/officeDocument/2006/relationships/hyperlink" Target="http://www.linkedin.com/pub/dayton-johnson/1/521/378" TargetMode="External"/><Relationship Id="rId1849" Type="http://schemas.openxmlformats.org/officeDocument/2006/relationships/hyperlink" Target="http://www.linkedin.com/pub/ayten-jamal/A/B01/363" TargetMode="External"/><Relationship Id="rId1873" Type="http://schemas.openxmlformats.org/officeDocument/2006/relationships/hyperlink" Target="http://br.linkedin.com/pub/gustavo-lira/2A/5B7/B37" TargetMode="External"/><Relationship Id="rId1874" Type="http://schemas.openxmlformats.org/officeDocument/2006/relationships/hyperlink" Target="http://www.linkedin.com/pub/christopher-k-merker-cfa/1/298/B12" TargetMode="External"/><Relationship Id="rId1875" Type="http://schemas.openxmlformats.org/officeDocument/2006/relationships/hyperlink" Target="http://www.linkedin.com/in/demetrikaragas" TargetMode="External"/><Relationship Id="rId1876" Type="http://schemas.openxmlformats.org/officeDocument/2006/relationships/hyperlink" Target="http://www.linkedin.com/in/pnsinha" TargetMode="External"/><Relationship Id="rId1877" Type="http://schemas.openxmlformats.org/officeDocument/2006/relationships/hyperlink" Target="http://www.linkedin.com/pub/fernanda-brienza/2A/696/901" TargetMode="External"/><Relationship Id="rId1878" Type="http://schemas.openxmlformats.org/officeDocument/2006/relationships/hyperlink" Target="http://www.linkedin.com/in/tddonahue" TargetMode="External"/><Relationship Id="rId1879" Type="http://schemas.openxmlformats.org/officeDocument/2006/relationships/hyperlink" Target="http://ca.linkedin.com/in/miguelcaronceo" TargetMode="External"/><Relationship Id="rId1870" Type="http://schemas.openxmlformats.org/officeDocument/2006/relationships/hyperlink" Target="http://www.linkedin.com/pub/heather-harwood/7/93/860" TargetMode="External"/><Relationship Id="rId1871" Type="http://schemas.openxmlformats.org/officeDocument/2006/relationships/hyperlink" Target="http://br.linkedin.com/pub/bruna-ventura/2A/1BB/9B3" TargetMode="External"/><Relationship Id="rId1872" Type="http://schemas.openxmlformats.org/officeDocument/2006/relationships/hyperlink" Target="http://www.linkedin.com/in/ccaraccioloculhane" TargetMode="External"/><Relationship Id="rId1862" Type="http://schemas.openxmlformats.org/officeDocument/2006/relationships/hyperlink" Target="http://ca.linkedin.com/in/stephenjamesjoyce" TargetMode="External"/><Relationship Id="rId1863" Type="http://schemas.openxmlformats.org/officeDocument/2006/relationships/hyperlink" Target="http://br.linkedin.com/pub/gilson-mar%C3%A7al-mar%C3%A7al/29/859/B30" TargetMode="External"/><Relationship Id="rId1864" Type="http://schemas.openxmlformats.org/officeDocument/2006/relationships/hyperlink" Target="http://www.linkedin.com/in/fredpieretti" TargetMode="External"/><Relationship Id="rId1865" Type="http://schemas.openxmlformats.org/officeDocument/2006/relationships/hyperlink" Target="http://www.linkedin.com/pub/nitin-thakor/1/373/520" TargetMode="External"/><Relationship Id="rId1866" Type="http://schemas.openxmlformats.org/officeDocument/2006/relationships/hyperlink" Target="http://br.linkedin.com/pub/juliete-villar/29/A82/BA2" TargetMode="External"/><Relationship Id="rId1867" Type="http://schemas.openxmlformats.org/officeDocument/2006/relationships/hyperlink" Target="http://br.linkedin.com/pub/armando-ferreira-santos-filho/29/A88/42A" TargetMode="External"/><Relationship Id="rId1868" Type="http://schemas.openxmlformats.org/officeDocument/2006/relationships/hyperlink" Target="http://www.linkedin.com/in/beatrizfernandez" TargetMode="External"/><Relationship Id="rId1869" Type="http://schemas.openxmlformats.org/officeDocument/2006/relationships/hyperlink" Target="https://www.linkedin.com/in/indymike" TargetMode="External"/><Relationship Id="rId1860" Type="http://schemas.openxmlformats.org/officeDocument/2006/relationships/hyperlink" Target="http://br.linkedin.com/pub/marcia-cristina-motta/29/769/AA" TargetMode="External"/><Relationship Id="rId1861" Type="http://schemas.openxmlformats.org/officeDocument/2006/relationships/hyperlink" Target="http://www.linkedin.com/in/stevenkerstein" TargetMode="External"/><Relationship Id="rId1810" Type="http://schemas.openxmlformats.org/officeDocument/2006/relationships/hyperlink" Target="http://www.linkedin.com/in/bobbyaclay" TargetMode="External"/><Relationship Id="rId1811" Type="http://schemas.openxmlformats.org/officeDocument/2006/relationships/hyperlink" Target="http://www.linkedin.com/in/marthas" TargetMode="External"/><Relationship Id="rId1812" Type="http://schemas.openxmlformats.org/officeDocument/2006/relationships/hyperlink" Target="http://www.linkedin.com/pub/bruce-mitchell/0/108/B69" TargetMode="External"/><Relationship Id="rId1813" Type="http://schemas.openxmlformats.org/officeDocument/2006/relationships/hyperlink" Target="http://www.linkedin.com/in/marthaifinney" TargetMode="External"/><Relationship Id="rId1814" Type="http://schemas.openxmlformats.org/officeDocument/2006/relationships/hyperlink" Target="http://www.linkedin.com/pub/derek-wu-b-eng/2/b37/36" TargetMode="External"/><Relationship Id="rId1815" Type="http://schemas.openxmlformats.org/officeDocument/2006/relationships/hyperlink" Target="http://www.linkedin.com/pub/scott-rockwell/0/95/700" TargetMode="External"/><Relationship Id="rId1816" Type="http://schemas.openxmlformats.org/officeDocument/2006/relationships/hyperlink" Target="http://www.linkedin.com/in/versity" TargetMode="External"/><Relationship Id="rId1817" Type="http://schemas.openxmlformats.org/officeDocument/2006/relationships/hyperlink" Target="http://www.linkedin.com/in/barneysene" TargetMode="External"/><Relationship Id="rId1818" Type="http://schemas.openxmlformats.org/officeDocument/2006/relationships/hyperlink" Target="http://ca.linkedin.com/in/quebecseo" TargetMode="External"/><Relationship Id="rId1819" Type="http://schemas.openxmlformats.org/officeDocument/2006/relationships/hyperlink" Target="http://www.linkedin.com/in/davidgearhart" TargetMode="External"/><Relationship Id="rId4080" Type="http://schemas.openxmlformats.org/officeDocument/2006/relationships/hyperlink" Target="http://ar.linkedin.com/pub/facundo-linares/24/725/945" TargetMode="External"/><Relationship Id="rId4082" Type="http://schemas.openxmlformats.org/officeDocument/2006/relationships/hyperlink" Target="http://ar.linkedin.com/in/raularias" TargetMode="External"/><Relationship Id="rId4081" Type="http://schemas.openxmlformats.org/officeDocument/2006/relationships/hyperlink" Target="http://ar.linkedin.com/in/belengaleppi" TargetMode="External"/><Relationship Id="rId4084" Type="http://schemas.openxmlformats.org/officeDocument/2006/relationships/hyperlink" Target="http://ar.linkedin.com/pub/juan-pablo-brina/0/168/A19" TargetMode="External"/><Relationship Id="rId4083" Type="http://schemas.openxmlformats.org/officeDocument/2006/relationships/hyperlink" Target="http://www.linkedin.com/pub/eyal-marantenboim/3/1BA/8" TargetMode="External"/><Relationship Id="rId4086" Type="http://schemas.openxmlformats.org/officeDocument/2006/relationships/hyperlink" Target="http://ar.linkedin.com/in/fabianwojtowicz" TargetMode="External"/><Relationship Id="rId4085" Type="http://schemas.openxmlformats.org/officeDocument/2006/relationships/hyperlink" Target="http://ar.linkedin.com/in/paulaalmecija" TargetMode="External"/><Relationship Id="rId4088" Type="http://schemas.openxmlformats.org/officeDocument/2006/relationships/hyperlink" Target="http://ar.linkedin.com/in/emanuelgimenez" TargetMode="External"/><Relationship Id="rId4087" Type="http://schemas.openxmlformats.org/officeDocument/2006/relationships/hyperlink" Target="http://ar.linkedin.com/in/andrespeluffo" TargetMode="External"/><Relationship Id="rId4089" Type="http://schemas.openxmlformats.org/officeDocument/2006/relationships/hyperlink" Target="http://ar.linkedin.com/in/arielcanossa" TargetMode="External"/><Relationship Id="rId1800" Type="http://schemas.openxmlformats.org/officeDocument/2006/relationships/hyperlink" Target="http://uk.linkedin.com/in/timbaxteruk" TargetMode="External"/><Relationship Id="rId1801" Type="http://schemas.openxmlformats.org/officeDocument/2006/relationships/hyperlink" Target="http://www.linkedin.com/in/chinman" TargetMode="External"/><Relationship Id="rId1802" Type="http://schemas.openxmlformats.org/officeDocument/2006/relationships/hyperlink" Target="http://www.linkedin.com/pub/barry-j-falcon/4/3A9/898" TargetMode="External"/><Relationship Id="rId1803" Type="http://schemas.openxmlformats.org/officeDocument/2006/relationships/hyperlink" Target="http://br.linkedin.com/pub/daniel-malenga/29/726/A26" TargetMode="External"/><Relationship Id="rId1804" Type="http://schemas.openxmlformats.org/officeDocument/2006/relationships/hyperlink" Target="http://www.linkedin.com/pub/erfan-ibrahim/4/537/99A" TargetMode="External"/><Relationship Id="rId1805" Type="http://schemas.openxmlformats.org/officeDocument/2006/relationships/hyperlink" Target="http://www.linkedin.com/in/prenier" TargetMode="External"/><Relationship Id="rId1806" Type="http://schemas.openxmlformats.org/officeDocument/2006/relationships/hyperlink" Target="http://www.linkedin.com/pub/noel-lafayette/3/586/2A6" TargetMode="External"/><Relationship Id="rId1807" Type="http://schemas.openxmlformats.org/officeDocument/2006/relationships/hyperlink" Target="http://uk.linkedin.com/in/catherinem" TargetMode="External"/><Relationship Id="rId1808" Type="http://schemas.openxmlformats.org/officeDocument/2006/relationships/hyperlink" Target="http://www.linkedin.com/pub/brad-freitag/3/7BB/674" TargetMode="External"/><Relationship Id="rId1809" Type="http://schemas.openxmlformats.org/officeDocument/2006/relationships/hyperlink" Target="http://www.linkedin.com/in/claytonthomas/" TargetMode="External"/><Relationship Id="rId4071" Type="http://schemas.openxmlformats.org/officeDocument/2006/relationships/hyperlink" Target="http://ar.linkedin.com/in/federicobeluardo" TargetMode="External"/><Relationship Id="rId4070" Type="http://schemas.openxmlformats.org/officeDocument/2006/relationships/hyperlink" Target="http://ar.linkedin.com/in/rodolfoguardia" TargetMode="External"/><Relationship Id="rId4073" Type="http://schemas.openxmlformats.org/officeDocument/2006/relationships/hyperlink" Target="http://ar.linkedin.com/in/diegueta" TargetMode="External"/><Relationship Id="rId4072" Type="http://schemas.openxmlformats.org/officeDocument/2006/relationships/hyperlink" Target="http://uk.linkedin.com/pub/natalio-cosoy/0/468/703" TargetMode="External"/><Relationship Id="rId4075" Type="http://schemas.openxmlformats.org/officeDocument/2006/relationships/hyperlink" Target="http://ar.linkedin.com/pub/pablo-garrido/3/629/7A3" TargetMode="External"/><Relationship Id="rId4074" Type="http://schemas.openxmlformats.org/officeDocument/2006/relationships/hyperlink" Target="http://www.linkedin.com/pub/fernando-miguel-giovanini/b/533/821" TargetMode="External"/><Relationship Id="rId4077" Type="http://schemas.openxmlformats.org/officeDocument/2006/relationships/hyperlink" Target="http://ar.linkedin.com/in/pgrippo" TargetMode="External"/><Relationship Id="rId4076" Type="http://schemas.openxmlformats.org/officeDocument/2006/relationships/hyperlink" Target="http://ar.linkedin.com/pub/mar-a-laura-diaz/A/9B0/3A3" TargetMode="External"/><Relationship Id="rId4079" Type="http://schemas.openxmlformats.org/officeDocument/2006/relationships/hyperlink" Target="http://ar.linkedin.com/pub/leo-scarone/9/50B/858" TargetMode="External"/><Relationship Id="rId4078" Type="http://schemas.openxmlformats.org/officeDocument/2006/relationships/hyperlink" Target="http://ar.linkedin.com/pub/cecilia-esteves/3/678/AB" TargetMode="External"/><Relationship Id="rId1830" Type="http://schemas.openxmlformats.org/officeDocument/2006/relationships/hyperlink" Target="http://www.linkedin.com/in/thomasjungsap" TargetMode="External"/><Relationship Id="rId1831" Type="http://schemas.openxmlformats.org/officeDocument/2006/relationships/hyperlink" Target="http://it.linkedin.com/in/giorgionatili" TargetMode="External"/><Relationship Id="rId1832" Type="http://schemas.openxmlformats.org/officeDocument/2006/relationships/hyperlink" Target="http://www.linkedin.com/in/brockmann" TargetMode="External"/><Relationship Id="rId1833" Type="http://schemas.openxmlformats.org/officeDocument/2006/relationships/hyperlink" Target="http://www.linkedin.com/pub/robert-fenstermacher/1/363/A" TargetMode="External"/><Relationship Id="rId1834" Type="http://schemas.openxmlformats.org/officeDocument/2006/relationships/hyperlink" Target="http://www.linkedin.com/in/chatterboxenterprises" TargetMode="External"/><Relationship Id="rId1835" Type="http://schemas.openxmlformats.org/officeDocument/2006/relationships/hyperlink" Target="http://www.linkedin.com/pub/brian-fink/0/110/3A4" TargetMode="External"/><Relationship Id="rId1836" Type="http://schemas.openxmlformats.org/officeDocument/2006/relationships/hyperlink" Target="http://www.linkedin.com/pub/kari-honkaniemi/0/A57/B70" TargetMode="External"/><Relationship Id="rId1837" Type="http://schemas.openxmlformats.org/officeDocument/2006/relationships/hyperlink" Target="http://www.linkedin.com/in/dalmera" TargetMode="External"/><Relationship Id="rId1838" Type="http://schemas.openxmlformats.org/officeDocument/2006/relationships/hyperlink" Target="http://www.linkedin.com/in/jagsingh" TargetMode="External"/><Relationship Id="rId1839" Type="http://schemas.openxmlformats.org/officeDocument/2006/relationships/hyperlink" Target="http://www.linkedin.com/in/jagsvazirani" TargetMode="External"/><Relationship Id="rId1820" Type="http://schemas.openxmlformats.org/officeDocument/2006/relationships/hyperlink" Target="http://www.linkedin.com/pub/jennifer-relich-pmp/0/A84/B08" TargetMode="External"/><Relationship Id="rId1821" Type="http://schemas.openxmlformats.org/officeDocument/2006/relationships/hyperlink" Target="http://www.linkedin.com/in/guiomarvergara" TargetMode="External"/><Relationship Id="rId1822" Type="http://schemas.openxmlformats.org/officeDocument/2006/relationships/hyperlink" Target="http://in.linkedin.com/in/sameershelke" TargetMode="External"/><Relationship Id="rId1823" Type="http://schemas.openxmlformats.org/officeDocument/2006/relationships/hyperlink" Target="http://www.linkedin.com/pub/jean-francois-jezequel/0/8b6/193" TargetMode="External"/><Relationship Id="rId1824" Type="http://schemas.openxmlformats.org/officeDocument/2006/relationships/hyperlink" Target="http://www.linkedin.com/pub/jay-dorfman/0/262/633" TargetMode="External"/><Relationship Id="rId1825" Type="http://schemas.openxmlformats.org/officeDocument/2006/relationships/hyperlink" Target="http://www.linkedin.com/pub/jake-villarreal/0/359/B69" TargetMode="External"/><Relationship Id="rId1826" Type="http://schemas.openxmlformats.org/officeDocument/2006/relationships/hyperlink" Target="http://uk.linkedin.com/pub/michael-gianni/0/729/815" TargetMode="External"/><Relationship Id="rId1827" Type="http://schemas.openxmlformats.org/officeDocument/2006/relationships/hyperlink" Target="http://www.linkedin.com/pub/tim-turner/2/56/6B" TargetMode="External"/><Relationship Id="rId1828" Type="http://schemas.openxmlformats.org/officeDocument/2006/relationships/hyperlink" Target="http://www.linkedin.com/pub/yariv-lerner/2/A04/409" TargetMode="External"/><Relationship Id="rId1829" Type="http://schemas.openxmlformats.org/officeDocument/2006/relationships/hyperlink" Target="http://www.linkedin.com/in/avikwitel" TargetMode="External"/><Relationship Id="rId4091" Type="http://schemas.openxmlformats.org/officeDocument/2006/relationships/hyperlink" Target="http://www.linkedin.com/pub/gabriel-wloch/8/5a3/466" TargetMode="External"/><Relationship Id="rId4090" Type="http://schemas.openxmlformats.org/officeDocument/2006/relationships/hyperlink" Target="http://ar.linkedin.com/in/fernandoamuro" TargetMode="External"/><Relationship Id="rId4093" Type="http://schemas.openxmlformats.org/officeDocument/2006/relationships/hyperlink" Target="http://www.linkedin.com/pub/roberto-cherashny/3/661/386" TargetMode="External"/><Relationship Id="rId4092" Type="http://schemas.openxmlformats.org/officeDocument/2006/relationships/hyperlink" Target="http://ar.linkedin.com/in/nicolascegna" TargetMode="External"/><Relationship Id="rId4095" Type="http://schemas.openxmlformats.org/officeDocument/2006/relationships/hyperlink" Target="http://ar.linkedin.com/in/juandellatorre" TargetMode="External"/><Relationship Id="rId4094" Type="http://schemas.openxmlformats.org/officeDocument/2006/relationships/hyperlink" Target="http://ar.linkedin.com/pub/daniel-iriarte/8/315/BB5" TargetMode="External"/><Relationship Id="rId4097" Type="http://schemas.openxmlformats.org/officeDocument/2006/relationships/hyperlink" Target="http://ar.linkedin.com/pub/jorge-joaquin-garcia/12/80/217" TargetMode="External"/><Relationship Id="rId4096" Type="http://schemas.openxmlformats.org/officeDocument/2006/relationships/hyperlink" Target="http://www.linkedin.com/pub/andrea-casey-torres/8/113/ba7" TargetMode="External"/><Relationship Id="rId4099" Type="http://schemas.openxmlformats.org/officeDocument/2006/relationships/hyperlink" Target="http://ar.linkedin.com/pub/in-s-puente/6/319/772" TargetMode="External"/><Relationship Id="rId4098" Type="http://schemas.openxmlformats.org/officeDocument/2006/relationships/hyperlink" Target="http://www.linkedin.com/pub/pedro-crisafulli/27/6b0/26b" TargetMode="External"/><Relationship Id="rId1895" Type="http://schemas.openxmlformats.org/officeDocument/2006/relationships/hyperlink" Target="http://in.linkedin.com/pub/durgesh-agrawal/5/19/2B0" TargetMode="External"/><Relationship Id="rId1896" Type="http://schemas.openxmlformats.org/officeDocument/2006/relationships/hyperlink" Target="http://mx.linkedin.com/pub/noe-vivar/24/433/4B1" TargetMode="External"/><Relationship Id="rId1897" Type="http://schemas.openxmlformats.org/officeDocument/2006/relationships/hyperlink" Target="http://br.linkedin.com/pub/marcio-trevisan/29/8BA/544" TargetMode="External"/><Relationship Id="rId1898" Type="http://schemas.openxmlformats.org/officeDocument/2006/relationships/hyperlink" Target="http://uk.linkedin.com/in/billyfranksmusic" TargetMode="External"/><Relationship Id="rId1899" Type="http://schemas.openxmlformats.org/officeDocument/2006/relationships/hyperlink" Target="http://www.linkedin.com/pub/kaitlin-gibson/5/178/212" TargetMode="External"/><Relationship Id="rId1890" Type="http://schemas.openxmlformats.org/officeDocument/2006/relationships/hyperlink" Target="https://www.linkedin.com/in/toddlabeau" TargetMode="External"/><Relationship Id="rId1891" Type="http://schemas.openxmlformats.org/officeDocument/2006/relationships/hyperlink" Target="http://www.linkedin.com/in/mauricedawson" TargetMode="External"/><Relationship Id="rId1892" Type="http://schemas.openxmlformats.org/officeDocument/2006/relationships/hyperlink" Target="http://www.linkedin.com/pub/sherol-zuniga-cts/1/42/999" TargetMode="External"/><Relationship Id="rId1893" Type="http://schemas.openxmlformats.org/officeDocument/2006/relationships/hyperlink" Target="http://www.linkedin.com/pub/robyn-phelan/9/276/859" TargetMode="External"/><Relationship Id="rId1894" Type="http://schemas.openxmlformats.org/officeDocument/2006/relationships/hyperlink" Target="http://www.linkedin.com/in/alisonashcraft" TargetMode="External"/><Relationship Id="rId1884" Type="http://schemas.openxmlformats.org/officeDocument/2006/relationships/hyperlink" Target="http://br.linkedin.com/pub/tatyana-lima/7/72/928" TargetMode="External"/><Relationship Id="rId1885" Type="http://schemas.openxmlformats.org/officeDocument/2006/relationships/hyperlink" Target="http://www.linkedin.com/in/ditlev" TargetMode="External"/><Relationship Id="rId1886" Type="http://schemas.openxmlformats.org/officeDocument/2006/relationships/hyperlink" Target="http://www.linkedin.com/in/danzagursky" TargetMode="External"/><Relationship Id="rId1887" Type="http://schemas.openxmlformats.org/officeDocument/2006/relationships/hyperlink" Target="https://www.linkedin.com/in/bmarie" TargetMode="External"/><Relationship Id="rId1888" Type="http://schemas.openxmlformats.org/officeDocument/2006/relationships/hyperlink" Target="http://uk.linkedin.com/in/kevincorti" TargetMode="External"/><Relationship Id="rId1889" Type="http://schemas.openxmlformats.org/officeDocument/2006/relationships/hyperlink" Target="http://www.linkedin.com/in/toddzetter" TargetMode="External"/><Relationship Id="rId1880" Type="http://schemas.openxmlformats.org/officeDocument/2006/relationships/hyperlink" Target="http://www.linkedin.com/in/jonflahive" TargetMode="External"/><Relationship Id="rId1881" Type="http://schemas.openxmlformats.org/officeDocument/2006/relationships/hyperlink" Target="http://www.linkedin.com/pub/peter-koldgaard-eriksen/0/641/992" TargetMode="External"/><Relationship Id="rId1882" Type="http://schemas.openxmlformats.org/officeDocument/2006/relationships/hyperlink" Target="http://www.linkedin.com/in/hitchenswrandolph" TargetMode="External"/><Relationship Id="rId1883" Type="http://schemas.openxmlformats.org/officeDocument/2006/relationships/hyperlink" Target="http://www.linkedin.com/pub/mario-pelella/8/141/B05" TargetMode="External"/><Relationship Id="rId5417" Type="http://schemas.openxmlformats.org/officeDocument/2006/relationships/hyperlink" Target="http://www.linkedin.com/in/eihabshadeed" TargetMode="External"/><Relationship Id="rId6748" Type="http://schemas.openxmlformats.org/officeDocument/2006/relationships/hyperlink" Target="http://www.linkedin.com/in/mikeagron" TargetMode="External"/><Relationship Id="rId5418" Type="http://schemas.openxmlformats.org/officeDocument/2006/relationships/hyperlink" Target="http://www.linkedin.com/pub/neeraj-tolmare/0/866/608" TargetMode="External"/><Relationship Id="rId6749" Type="http://schemas.openxmlformats.org/officeDocument/2006/relationships/hyperlink" Target="http://www.linkedin.com/pub/glenn-braunstein/0/694/ABA" TargetMode="External"/><Relationship Id="rId5415" Type="http://schemas.openxmlformats.org/officeDocument/2006/relationships/hyperlink" Target="http://ar.linkedin.com/in/nicolasrusconi" TargetMode="External"/><Relationship Id="rId6746" Type="http://schemas.openxmlformats.org/officeDocument/2006/relationships/hyperlink" Target="http://ar.linkedin.com/in/christiandente" TargetMode="External"/><Relationship Id="rId5416" Type="http://schemas.openxmlformats.org/officeDocument/2006/relationships/hyperlink" Target="http://www.linkedin.com/pub/stan-vierhaus/24/944/25" TargetMode="External"/><Relationship Id="rId6747" Type="http://schemas.openxmlformats.org/officeDocument/2006/relationships/hyperlink" Target="http://ar.linkedin.com/pub/mauro-rojas/8/82A/803" TargetMode="External"/><Relationship Id="rId5419" Type="http://schemas.openxmlformats.org/officeDocument/2006/relationships/hyperlink" Target="http://www.linkedin.com/in/rickwootten" TargetMode="External"/><Relationship Id="rId228" Type="http://schemas.openxmlformats.org/officeDocument/2006/relationships/hyperlink" Target="http://fr.linkedin.com/in/pascalhouillon" TargetMode="External"/><Relationship Id="rId227" Type="http://schemas.openxmlformats.org/officeDocument/2006/relationships/hyperlink" Target="http://www.linkedin.com/pub/martin-roesch/0/64/576" TargetMode="External"/><Relationship Id="rId226" Type="http://schemas.openxmlformats.org/officeDocument/2006/relationships/hyperlink" Target="http://www.linkedin.com/in/jorgeverges" TargetMode="External"/><Relationship Id="rId225" Type="http://schemas.openxmlformats.org/officeDocument/2006/relationships/hyperlink" Target="http://uk.linkedin.com/in/simontaylor94" TargetMode="External"/><Relationship Id="rId229" Type="http://schemas.openxmlformats.org/officeDocument/2006/relationships/hyperlink" Target="http://www.linkedin.com/in/uspatentattorney" TargetMode="External"/><Relationship Id="rId220" Type="http://schemas.openxmlformats.org/officeDocument/2006/relationships/hyperlink" Target="http://www.linkedin.com/in/shyamnadig" TargetMode="External"/><Relationship Id="rId6740" Type="http://schemas.openxmlformats.org/officeDocument/2006/relationships/hyperlink" Target="http://www.linkedin.com/pub/mike-schilling/1/4BA/B27" TargetMode="External"/><Relationship Id="rId5410" Type="http://schemas.openxmlformats.org/officeDocument/2006/relationships/hyperlink" Target="http://ar.linkedin.com/pub/pablo-folonier/7/274/858" TargetMode="External"/><Relationship Id="rId6741" Type="http://schemas.openxmlformats.org/officeDocument/2006/relationships/hyperlink" Target="http://www.linkedin.com/pub/mercedes-hesselgesser/0/74/8B1" TargetMode="External"/><Relationship Id="rId224" Type="http://schemas.openxmlformats.org/officeDocument/2006/relationships/hyperlink" Target="http://www.linkedin.com/in/raybeauchamp" TargetMode="External"/><Relationship Id="rId5413" Type="http://schemas.openxmlformats.org/officeDocument/2006/relationships/hyperlink" Target="http://www.linkedin.com/in/amllano" TargetMode="External"/><Relationship Id="rId6744" Type="http://schemas.openxmlformats.org/officeDocument/2006/relationships/hyperlink" Target="http://ar.linkedin.com/in/matopablo" TargetMode="External"/><Relationship Id="rId223" Type="http://schemas.openxmlformats.org/officeDocument/2006/relationships/hyperlink" Target="http://www.linkedin.com/in/samyaple" TargetMode="External"/><Relationship Id="rId5414" Type="http://schemas.openxmlformats.org/officeDocument/2006/relationships/hyperlink" Target="http://ar.linkedin.com/in/gonzaloaune" TargetMode="External"/><Relationship Id="rId6745" Type="http://schemas.openxmlformats.org/officeDocument/2006/relationships/hyperlink" Target="http://www.linkedin.com/pub/raj-de-datta/0/8/A99" TargetMode="External"/><Relationship Id="rId222" Type="http://schemas.openxmlformats.org/officeDocument/2006/relationships/hyperlink" Target="http://www.linkedin.com/in/smichaelmartin" TargetMode="External"/><Relationship Id="rId5411" Type="http://schemas.openxmlformats.org/officeDocument/2006/relationships/hyperlink" Target="http://ar.linkedin.com/in/federicca" TargetMode="External"/><Relationship Id="rId6742" Type="http://schemas.openxmlformats.org/officeDocument/2006/relationships/hyperlink" Target="http://www.linkedin.com/in/gocool" TargetMode="External"/><Relationship Id="rId221" Type="http://schemas.openxmlformats.org/officeDocument/2006/relationships/hyperlink" Target="http://www.linkedin.com/in/jefferypoole" TargetMode="External"/><Relationship Id="rId5412" Type="http://schemas.openxmlformats.org/officeDocument/2006/relationships/hyperlink" Target="http://www.linkedin.com/in/jessicacheung" TargetMode="External"/><Relationship Id="rId6743" Type="http://schemas.openxmlformats.org/officeDocument/2006/relationships/hyperlink" Target="http://www.linkedin.com/pub/lisa-dean/0/651/25B" TargetMode="External"/><Relationship Id="rId5406" Type="http://schemas.openxmlformats.org/officeDocument/2006/relationships/hyperlink" Target="http://www.linkedin.com/pub/margie-allen/4/735/73" TargetMode="External"/><Relationship Id="rId6737" Type="http://schemas.openxmlformats.org/officeDocument/2006/relationships/hyperlink" Target="http://www.linkedin.com/pub/gisela-velazco/5/878/5A7" TargetMode="External"/><Relationship Id="rId5407" Type="http://schemas.openxmlformats.org/officeDocument/2006/relationships/hyperlink" Target="http://www.linkedin.com/pub/deepak-williams/6/850/787" TargetMode="External"/><Relationship Id="rId6738" Type="http://schemas.openxmlformats.org/officeDocument/2006/relationships/hyperlink" Target="http://www.linkedin.com/pub/jeff-kirkley/1/257/AA5" TargetMode="External"/><Relationship Id="rId5404" Type="http://schemas.openxmlformats.org/officeDocument/2006/relationships/hyperlink" Target="http://www.linkedin.com/pub/damie-green/9/45B/7B5" TargetMode="External"/><Relationship Id="rId6735" Type="http://schemas.openxmlformats.org/officeDocument/2006/relationships/hyperlink" Target="http://www.linkedin.com/pub/sheetal-doshi/0/5A9/61A" TargetMode="External"/><Relationship Id="rId5405" Type="http://schemas.openxmlformats.org/officeDocument/2006/relationships/hyperlink" Target="http://www.linkedin.com/pub/chris-knappick/0/B17/92" TargetMode="External"/><Relationship Id="rId6736" Type="http://schemas.openxmlformats.org/officeDocument/2006/relationships/hyperlink" Target="http://www.linkedin.com/pub/jerry-mcbrayer/0/530/B66" TargetMode="External"/><Relationship Id="rId5408" Type="http://schemas.openxmlformats.org/officeDocument/2006/relationships/hyperlink" Target="http://ar.linkedin.com/pub/jose-gonzalez-alonso/4/BB2/179" TargetMode="External"/><Relationship Id="rId6739" Type="http://schemas.openxmlformats.org/officeDocument/2006/relationships/hyperlink" Target="http://www.linkedin.com/in/petepark" TargetMode="External"/><Relationship Id="rId5409" Type="http://schemas.openxmlformats.org/officeDocument/2006/relationships/hyperlink" Target="http://ar.linkedin.com/in/adrianbinda" TargetMode="External"/><Relationship Id="rId217" Type="http://schemas.openxmlformats.org/officeDocument/2006/relationships/hyperlink" Target="http://dk.linkedin.com/in/jorgenlarsen" TargetMode="External"/><Relationship Id="rId216" Type="http://schemas.openxmlformats.org/officeDocument/2006/relationships/hyperlink" Target="http://au.linkedin.com/in/phaedonstough" TargetMode="External"/><Relationship Id="rId215" Type="http://schemas.openxmlformats.org/officeDocument/2006/relationships/hyperlink" Target="http://br.linkedin.com/in/alexoliveira" TargetMode="External"/><Relationship Id="rId214" Type="http://schemas.openxmlformats.org/officeDocument/2006/relationships/hyperlink" Target="http://www.linkedin.com/in/begreaterthan" TargetMode="External"/><Relationship Id="rId219" Type="http://schemas.openxmlformats.org/officeDocument/2006/relationships/hyperlink" Target="http://in.linkedin.com/in/anadisinha" TargetMode="External"/><Relationship Id="rId218" Type="http://schemas.openxmlformats.org/officeDocument/2006/relationships/hyperlink" Target="http://www.linkedin.com/in/brucehatz" TargetMode="External"/><Relationship Id="rId6730" Type="http://schemas.openxmlformats.org/officeDocument/2006/relationships/hyperlink" Target="http://ar.linkedin.com/pub/clara-dietrich/6/16/760" TargetMode="External"/><Relationship Id="rId213" Type="http://schemas.openxmlformats.org/officeDocument/2006/relationships/hyperlink" Target="http://www.linkedin.com/in/barbaraholden" TargetMode="External"/><Relationship Id="rId5402" Type="http://schemas.openxmlformats.org/officeDocument/2006/relationships/hyperlink" Target="http://www.linkedin.com/pub/patrick-daly/3/901/811" TargetMode="External"/><Relationship Id="rId6733" Type="http://schemas.openxmlformats.org/officeDocument/2006/relationships/hyperlink" Target="http://www.linkedin.com/pub/kim-grounds-%22-i-m-hiring-%22/0/535/b6" TargetMode="External"/><Relationship Id="rId212" Type="http://schemas.openxmlformats.org/officeDocument/2006/relationships/hyperlink" Target="http://www.linkedin.com/in/blearning" TargetMode="External"/><Relationship Id="rId5403" Type="http://schemas.openxmlformats.org/officeDocument/2006/relationships/hyperlink" Target="http://www.linkedin.com/in/srtarbet" TargetMode="External"/><Relationship Id="rId6734" Type="http://schemas.openxmlformats.org/officeDocument/2006/relationships/hyperlink" Target="http://ar.linkedin.com/in/bejaranocasarino" TargetMode="External"/><Relationship Id="rId211" Type="http://schemas.openxmlformats.org/officeDocument/2006/relationships/hyperlink" Target="http://www.linkedin.com/pub/greg-walsh/0/84/667" TargetMode="External"/><Relationship Id="rId5400" Type="http://schemas.openxmlformats.org/officeDocument/2006/relationships/hyperlink" Target="http://www.linkedin.com/in/psalas" TargetMode="External"/><Relationship Id="rId6731" Type="http://schemas.openxmlformats.org/officeDocument/2006/relationships/hyperlink" Target="http://www.linkedin.com/pub/colleen-avey/0/302/450" TargetMode="External"/><Relationship Id="rId210" Type="http://schemas.openxmlformats.org/officeDocument/2006/relationships/hyperlink" Target="http://www.linkedin.com/in/jchadbourneexecutivesolutions" TargetMode="External"/><Relationship Id="rId5401" Type="http://schemas.openxmlformats.org/officeDocument/2006/relationships/hyperlink" Target="http://www.linkedin.com/in/stevelandes" TargetMode="External"/><Relationship Id="rId6732" Type="http://schemas.openxmlformats.org/officeDocument/2006/relationships/hyperlink" Target="http://www.linkedin.com/in/kconstantino" TargetMode="External"/><Relationship Id="rId4107" Type="http://schemas.openxmlformats.org/officeDocument/2006/relationships/hyperlink" Target="http://ar.linkedin.com/in/carolakhek" TargetMode="External"/><Relationship Id="rId5439" Type="http://schemas.openxmlformats.org/officeDocument/2006/relationships/hyperlink" Target="http://ar.linkedin.com/pub/matias-olivera/4/671/A75" TargetMode="External"/><Relationship Id="rId4106" Type="http://schemas.openxmlformats.org/officeDocument/2006/relationships/hyperlink" Target="http://ar.linkedin.com/pub/javier-alvarez/14/261/382" TargetMode="External"/><Relationship Id="rId4109" Type="http://schemas.openxmlformats.org/officeDocument/2006/relationships/hyperlink" Target="http://ar.linkedin.com/pub/patricia-volpe/2/A25/600" TargetMode="External"/><Relationship Id="rId5437" Type="http://schemas.openxmlformats.org/officeDocument/2006/relationships/hyperlink" Target="http://ar.linkedin.com/pub/andres-leal/7/365/517" TargetMode="External"/><Relationship Id="rId6768" Type="http://schemas.openxmlformats.org/officeDocument/2006/relationships/hyperlink" Target="http://www.linkedin.com/pub/mitchell-kertzman/4/264/404" TargetMode="External"/><Relationship Id="rId4108" Type="http://schemas.openxmlformats.org/officeDocument/2006/relationships/hyperlink" Target="http://ar.linkedin.com/pub/cecilia-jauregui/26/203/516" TargetMode="External"/><Relationship Id="rId5438" Type="http://schemas.openxmlformats.org/officeDocument/2006/relationships/hyperlink" Target="http://www.linkedin.com/pub/martin-tardio-velasco-pmp/0/583/611" TargetMode="External"/><Relationship Id="rId6769" Type="http://schemas.openxmlformats.org/officeDocument/2006/relationships/hyperlink" Target="http://ar.linkedin.com/in/gabrielciaburri" TargetMode="External"/><Relationship Id="rId249" Type="http://schemas.openxmlformats.org/officeDocument/2006/relationships/hyperlink" Target="http://www.linkedin.com/in/billjohnson" TargetMode="External"/><Relationship Id="rId248" Type="http://schemas.openxmlformats.org/officeDocument/2006/relationships/hyperlink" Target="http://www.linkedin.com/pub/izabel-feij-/0/328/890" TargetMode="External"/><Relationship Id="rId247" Type="http://schemas.openxmlformats.org/officeDocument/2006/relationships/hyperlink" Target="http://www.linkedin.com/pub/st%C3%A9phan-viel/0/363/977" TargetMode="External"/><Relationship Id="rId242" Type="http://schemas.openxmlformats.org/officeDocument/2006/relationships/hyperlink" Target="http://uk.linkedin.com/in/davebanko" TargetMode="External"/><Relationship Id="rId5431" Type="http://schemas.openxmlformats.org/officeDocument/2006/relationships/hyperlink" Target="http://www.linkedin.com/in/awerner" TargetMode="External"/><Relationship Id="rId6762" Type="http://schemas.openxmlformats.org/officeDocument/2006/relationships/hyperlink" Target="http://www.linkedin.com/in/anilrupnarain" TargetMode="External"/><Relationship Id="rId241" Type="http://schemas.openxmlformats.org/officeDocument/2006/relationships/hyperlink" Target="http://uk.linkedin.com/in/prwordsmith" TargetMode="External"/><Relationship Id="rId5432" Type="http://schemas.openxmlformats.org/officeDocument/2006/relationships/hyperlink" Target="http://www.linkedin.com/in/acamposcarles" TargetMode="External"/><Relationship Id="rId6763" Type="http://schemas.openxmlformats.org/officeDocument/2006/relationships/hyperlink" Target="http://www.linkedin.com/pub/lisa-ferrier/0/78B/332" TargetMode="External"/><Relationship Id="rId240" Type="http://schemas.openxmlformats.org/officeDocument/2006/relationships/hyperlink" Target="http://www.linkedin.com/in/dzinman" TargetMode="External"/><Relationship Id="rId4101" Type="http://schemas.openxmlformats.org/officeDocument/2006/relationships/hyperlink" Target="http://ar.linkedin.com/pub/nicolas-agnese/0/4B5/82A" TargetMode="External"/><Relationship Id="rId6760" Type="http://schemas.openxmlformats.org/officeDocument/2006/relationships/hyperlink" Target="https://www.linkedin.com/in/walteralini" TargetMode="External"/><Relationship Id="rId4100" Type="http://schemas.openxmlformats.org/officeDocument/2006/relationships/hyperlink" Target="http://www.linkedin.com/pub/mar%C3%ADa-eugenia-buj%C3%A1n/a/373/926" TargetMode="External"/><Relationship Id="rId5430" Type="http://schemas.openxmlformats.org/officeDocument/2006/relationships/hyperlink" Target="http://www.linkedin.com/pub/dar%C3%ADo-ariel-cariboni/1/a69/38" TargetMode="External"/><Relationship Id="rId6761" Type="http://schemas.openxmlformats.org/officeDocument/2006/relationships/hyperlink" Target="http://ar.linkedin.com/in/anthonylenton" TargetMode="External"/><Relationship Id="rId246" Type="http://schemas.openxmlformats.org/officeDocument/2006/relationships/hyperlink" Target="http://www.linkedin.com/pub/cal-lai/0/820/504" TargetMode="External"/><Relationship Id="rId4103" Type="http://schemas.openxmlformats.org/officeDocument/2006/relationships/hyperlink" Target="http://ar.linkedin.com/in/ignacioareal" TargetMode="External"/><Relationship Id="rId5435" Type="http://schemas.openxmlformats.org/officeDocument/2006/relationships/hyperlink" Target="http://ar.linkedin.com/pub/natalia-gil/B/921/572" TargetMode="External"/><Relationship Id="rId6766" Type="http://schemas.openxmlformats.org/officeDocument/2006/relationships/hyperlink" Target="http://www.linkedin.com/pub/doug-merritt/0/69/331" TargetMode="External"/><Relationship Id="rId245" Type="http://schemas.openxmlformats.org/officeDocument/2006/relationships/hyperlink" Target="http://www.linkedin.com/pub/francisco-tony-brixi-souza/0/212/65" TargetMode="External"/><Relationship Id="rId4102" Type="http://schemas.openxmlformats.org/officeDocument/2006/relationships/hyperlink" Target="http://ar.linkedin.com/in/mercedesdoval" TargetMode="External"/><Relationship Id="rId5436" Type="http://schemas.openxmlformats.org/officeDocument/2006/relationships/hyperlink" Target="http://ar.linkedin.com/in/celsoarabetti" TargetMode="External"/><Relationship Id="rId6767" Type="http://schemas.openxmlformats.org/officeDocument/2006/relationships/hyperlink" Target="http://www.linkedin.com/pub/heidi-roizen/0/11/b39" TargetMode="External"/><Relationship Id="rId244" Type="http://schemas.openxmlformats.org/officeDocument/2006/relationships/hyperlink" Target="http://uk.linkedin.com/in/louisealexander" TargetMode="External"/><Relationship Id="rId4105" Type="http://schemas.openxmlformats.org/officeDocument/2006/relationships/hyperlink" Target="http://www.linkedin.com/pub/federico-mux%C3%AD/0/236/155" TargetMode="External"/><Relationship Id="rId5433" Type="http://schemas.openxmlformats.org/officeDocument/2006/relationships/hyperlink" Target="http://ar.linkedin.com/pub/luciano-campanelli/25/402/828" TargetMode="External"/><Relationship Id="rId6764" Type="http://schemas.openxmlformats.org/officeDocument/2006/relationships/hyperlink" Target="http://www.linkedin.com/pub/mark-thompson/11/469/B71" TargetMode="External"/><Relationship Id="rId243" Type="http://schemas.openxmlformats.org/officeDocument/2006/relationships/hyperlink" Target="http://br.linkedin.com/pub/daves-souza/0/234/284" TargetMode="External"/><Relationship Id="rId4104" Type="http://schemas.openxmlformats.org/officeDocument/2006/relationships/hyperlink" Target="http://ar.linkedin.com/in/lucianoamoroso" TargetMode="External"/><Relationship Id="rId5434" Type="http://schemas.openxmlformats.org/officeDocument/2006/relationships/hyperlink" Target="http://www.linkedin.com/pub/maria-teresa-di-rico/a/614/a97" TargetMode="External"/><Relationship Id="rId6765" Type="http://schemas.openxmlformats.org/officeDocument/2006/relationships/hyperlink" Target="http://www.linkedin.com/in/slarsen" TargetMode="External"/><Relationship Id="rId5428" Type="http://schemas.openxmlformats.org/officeDocument/2006/relationships/hyperlink" Target="http://ar.linkedin.com/pub/nicolas-martinez/20/B55/1B4" TargetMode="External"/><Relationship Id="rId6759" Type="http://schemas.openxmlformats.org/officeDocument/2006/relationships/hyperlink" Target="http://www.linkedin.com/in/nancylevin" TargetMode="External"/><Relationship Id="rId5429" Type="http://schemas.openxmlformats.org/officeDocument/2006/relationships/hyperlink" Target="http://ar.linkedin.com/in/edgardovazquez" TargetMode="External"/><Relationship Id="rId5426" Type="http://schemas.openxmlformats.org/officeDocument/2006/relationships/hyperlink" Target="http://uk.linkedin.com/pub/claire-delaney/19/41B/9B8" TargetMode="External"/><Relationship Id="rId6757" Type="http://schemas.openxmlformats.org/officeDocument/2006/relationships/hyperlink" Target="http://www.linkedin.com/pub/mark-dittmer/0/4A7/817" TargetMode="External"/><Relationship Id="rId5427" Type="http://schemas.openxmlformats.org/officeDocument/2006/relationships/hyperlink" Target="http://uk.linkedin.com/pub/john-gibson/24/B7B/381" TargetMode="External"/><Relationship Id="rId6758" Type="http://schemas.openxmlformats.org/officeDocument/2006/relationships/hyperlink" Target="http://www.linkedin.com/in/barinder" TargetMode="External"/><Relationship Id="rId239" Type="http://schemas.openxmlformats.org/officeDocument/2006/relationships/hyperlink" Target="http://www.linkedin.com/in/christurzo" TargetMode="External"/><Relationship Id="rId238" Type="http://schemas.openxmlformats.org/officeDocument/2006/relationships/hyperlink" Target="http://nl.linkedin.com/in/sanderspit" TargetMode="External"/><Relationship Id="rId237" Type="http://schemas.openxmlformats.org/officeDocument/2006/relationships/hyperlink" Target="http://www.linkedin.com/in/itsmart" TargetMode="External"/><Relationship Id="rId236" Type="http://schemas.openxmlformats.org/officeDocument/2006/relationships/hyperlink" Target="http://br.linkedin.com/pub/milton-maester/0/16B/103" TargetMode="External"/><Relationship Id="rId231" Type="http://schemas.openxmlformats.org/officeDocument/2006/relationships/hyperlink" Target="http://www.linkedin.com/in/organizeitup" TargetMode="External"/><Relationship Id="rId5420" Type="http://schemas.openxmlformats.org/officeDocument/2006/relationships/hyperlink" Target="http://www.linkedin.com/pub/laxmi-penukula/1/619/984" TargetMode="External"/><Relationship Id="rId6751" Type="http://schemas.openxmlformats.org/officeDocument/2006/relationships/hyperlink" Target="http://ar.linkedin.com/in/omarrobles" TargetMode="External"/><Relationship Id="rId230" Type="http://schemas.openxmlformats.org/officeDocument/2006/relationships/hyperlink" Target="http://www.linkedin.com/in/vaninadelobelle" TargetMode="External"/><Relationship Id="rId5421" Type="http://schemas.openxmlformats.org/officeDocument/2006/relationships/hyperlink" Target="http://www.linkedin.com/pub/stan-strocher/0/AA2/670" TargetMode="External"/><Relationship Id="rId6752" Type="http://schemas.openxmlformats.org/officeDocument/2006/relationships/hyperlink" Target="http://www.linkedin.com/pub/dan-moore/0/135/575" TargetMode="External"/><Relationship Id="rId6750" Type="http://schemas.openxmlformats.org/officeDocument/2006/relationships/hyperlink" Target="http://www.linkedin.com/in/ericsu13" TargetMode="External"/><Relationship Id="rId235" Type="http://schemas.openxmlformats.org/officeDocument/2006/relationships/hyperlink" Target="http://www.linkedin.com/in/jaraluce" TargetMode="External"/><Relationship Id="rId5424" Type="http://schemas.openxmlformats.org/officeDocument/2006/relationships/hyperlink" Target="https://www.linkedin.com/in/judyhoffmann" TargetMode="External"/><Relationship Id="rId6755" Type="http://schemas.openxmlformats.org/officeDocument/2006/relationships/hyperlink" Target="http://www.linkedin.com/in/danengland1" TargetMode="External"/><Relationship Id="rId234" Type="http://schemas.openxmlformats.org/officeDocument/2006/relationships/hyperlink" Target="http://www.linkedin.com/in/nancychou" TargetMode="External"/><Relationship Id="rId5425" Type="http://schemas.openxmlformats.org/officeDocument/2006/relationships/hyperlink" Target="http://www.linkedin.com/pub/dawn-dagucon/1/256/384" TargetMode="External"/><Relationship Id="rId6756" Type="http://schemas.openxmlformats.org/officeDocument/2006/relationships/hyperlink" Target="http://www.linkedin.com/pub/adel-zahabi/1/122/A32" TargetMode="External"/><Relationship Id="rId233" Type="http://schemas.openxmlformats.org/officeDocument/2006/relationships/hyperlink" Target="http://www.linkedin.com/pub/gary-watjen/1/63A/1AA" TargetMode="External"/><Relationship Id="rId5422" Type="http://schemas.openxmlformats.org/officeDocument/2006/relationships/hyperlink" Target="http://www.linkedin.com/in/elrafa" TargetMode="External"/><Relationship Id="rId6753" Type="http://schemas.openxmlformats.org/officeDocument/2006/relationships/hyperlink" Target="http://www.linkedin.com/in/tomfisher11264" TargetMode="External"/><Relationship Id="rId232" Type="http://schemas.openxmlformats.org/officeDocument/2006/relationships/hyperlink" Target="http://uk.linkedin.com/pub/hywel-moore/0/385/789" TargetMode="External"/><Relationship Id="rId5423" Type="http://schemas.openxmlformats.org/officeDocument/2006/relationships/hyperlink" Target="http://www.linkedin.com/in/escorocks" TargetMode="External"/><Relationship Id="rId6754" Type="http://schemas.openxmlformats.org/officeDocument/2006/relationships/hyperlink" Target="http://ar.linkedin.com/in/horaciojavierrubio" TargetMode="External"/><Relationship Id="rId6704" Type="http://schemas.openxmlformats.org/officeDocument/2006/relationships/hyperlink" Target="http://www.linkedin.com/pub/karin-magnuson/0/1B/9AA" TargetMode="External"/><Relationship Id="rId6705" Type="http://schemas.openxmlformats.org/officeDocument/2006/relationships/hyperlink" Target="http://www.linkedin.com/pub/george-perera/7/429/40B" TargetMode="External"/><Relationship Id="rId6702" Type="http://schemas.openxmlformats.org/officeDocument/2006/relationships/hyperlink" Target="http://www.linkedin.com/pub/prasad-setty/0/4B5/67A" TargetMode="External"/><Relationship Id="rId6703" Type="http://schemas.openxmlformats.org/officeDocument/2006/relationships/hyperlink" Target="http://www.linkedin.com/pub/judy-gilbert/0/282/60B" TargetMode="External"/><Relationship Id="rId6708" Type="http://schemas.openxmlformats.org/officeDocument/2006/relationships/hyperlink" Target="http://ar.linkedin.com/pub/eduardo-cormons/2/293/94A" TargetMode="External"/><Relationship Id="rId6709" Type="http://schemas.openxmlformats.org/officeDocument/2006/relationships/hyperlink" Target="https://www.linkedin.com/in/matiaswilliams" TargetMode="External"/><Relationship Id="rId6706" Type="http://schemas.openxmlformats.org/officeDocument/2006/relationships/hyperlink" Target="http://www.linkedin.com/pub/carlos-jos%C3%A9-f-padilla/1a/455/268" TargetMode="External"/><Relationship Id="rId6707" Type="http://schemas.openxmlformats.org/officeDocument/2006/relationships/hyperlink" Target="http://www.linkedin.com/pub/wendy-kaczmar/1/52B/1A4" TargetMode="External"/><Relationship Id="rId6700" Type="http://schemas.openxmlformats.org/officeDocument/2006/relationships/hyperlink" Target="http://www.linkedin.com/pub/andre-adriaan-oberholzer/1/ABB/B31" TargetMode="External"/><Relationship Id="rId6701" Type="http://schemas.openxmlformats.org/officeDocument/2006/relationships/hyperlink" Target="http://www.linkedin.com/pub/stacy-savides-sullivan/0/528/408" TargetMode="External"/><Relationship Id="rId6726" Type="http://schemas.openxmlformats.org/officeDocument/2006/relationships/hyperlink" Target="http://www.linkedin.com/in/sunitasarin" TargetMode="External"/><Relationship Id="rId6727" Type="http://schemas.openxmlformats.org/officeDocument/2006/relationships/hyperlink" Target="http://www.linkedin.com/pub/jean-philippe-bagel/0/848/6B6" TargetMode="External"/><Relationship Id="rId6724" Type="http://schemas.openxmlformats.org/officeDocument/2006/relationships/hyperlink" Target="http://www.linkedin.com/in/ravipindiproli" TargetMode="External"/><Relationship Id="rId6725" Type="http://schemas.openxmlformats.org/officeDocument/2006/relationships/hyperlink" Target="http://www.linkedin.com/pub/derek-st-onge/2/954/770" TargetMode="External"/><Relationship Id="rId6728" Type="http://schemas.openxmlformats.org/officeDocument/2006/relationships/hyperlink" Target="http://www.linkedin.com/pub/andrew-moore/1/B75/16" TargetMode="External"/><Relationship Id="rId6729" Type="http://schemas.openxmlformats.org/officeDocument/2006/relationships/hyperlink" Target="http://www.linkedin.com/in/caitlinkdonovan" TargetMode="External"/><Relationship Id="rId206" Type="http://schemas.openxmlformats.org/officeDocument/2006/relationships/hyperlink" Target="http://br.linkedin.com/pub/joao-henrique-silva/2A/116/447" TargetMode="External"/><Relationship Id="rId205" Type="http://schemas.openxmlformats.org/officeDocument/2006/relationships/hyperlink" Target="http://mx.linkedin.com/pub/mariana-chapa-del-bosque/23/411/664" TargetMode="External"/><Relationship Id="rId204" Type="http://schemas.openxmlformats.org/officeDocument/2006/relationships/hyperlink" Target="http://ar.linkedin.com/pub/ivan-gottberg/11/12/3B8" TargetMode="External"/><Relationship Id="rId203" Type="http://schemas.openxmlformats.org/officeDocument/2006/relationships/hyperlink" Target="http://br.linkedin.com/in/jcvossen" TargetMode="External"/><Relationship Id="rId209" Type="http://schemas.openxmlformats.org/officeDocument/2006/relationships/hyperlink" Target="http://www.linkedin.com/in/glebbudman" TargetMode="External"/><Relationship Id="rId208" Type="http://schemas.openxmlformats.org/officeDocument/2006/relationships/hyperlink" Target="http://www.linkedin.com/pub/harlan-flint/0/2A/266" TargetMode="External"/><Relationship Id="rId207" Type="http://schemas.openxmlformats.org/officeDocument/2006/relationships/hyperlink" Target="http://www.linkedin.com/in/johnxdwyerjr" TargetMode="External"/><Relationship Id="rId202" Type="http://schemas.openxmlformats.org/officeDocument/2006/relationships/hyperlink" Target="http://www.linkedin.com/in/ldejean" TargetMode="External"/><Relationship Id="rId6722" Type="http://schemas.openxmlformats.org/officeDocument/2006/relationships/hyperlink" Target="http://www.linkedin.com/in/gabrielmeza" TargetMode="External"/><Relationship Id="rId201" Type="http://schemas.openxmlformats.org/officeDocument/2006/relationships/hyperlink" Target="http://uk.linkedin.com/in/andrewbrummer" TargetMode="External"/><Relationship Id="rId6723" Type="http://schemas.openxmlformats.org/officeDocument/2006/relationships/hyperlink" Target="http://www.linkedin.com/pub/nirada-vijay/1/357/411" TargetMode="External"/><Relationship Id="rId200" Type="http://schemas.openxmlformats.org/officeDocument/2006/relationships/hyperlink" Target="http://www.linkedin.com/pub/felix-dicamillo/4/7A0/A86" TargetMode="External"/><Relationship Id="rId6720" Type="http://schemas.openxmlformats.org/officeDocument/2006/relationships/hyperlink" Target="http://www.linkedin.com/pub/dan-miller-dan-mindsource-com-/0/659/2B1" TargetMode="External"/><Relationship Id="rId6721" Type="http://schemas.openxmlformats.org/officeDocument/2006/relationships/hyperlink" Target="http://www.linkedin.com/in/mmanoske" TargetMode="External"/><Relationship Id="rId6715" Type="http://schemas.openxmlformats.org/officeDocument/2006/relationships/hyperlink" Target="http://www.linkedin.com/pub/britta-richards/3/B63/913" TargetMode="External"/><Relationship Id="rId6716" Type="http://schemas.openxmlformats.org/officeDocument/2006/relationships/hyperlink" Target="http://www.linkedin.com/pub/jennifer-yu/1/A6/831" TargetMode="External"/><Relationship Id="rId6713" Type="http://schemas.openxmlformats.org/officeDocument/2006/relationships/hyperlink" Target="http://ar.linkedin.com/in/gustavosmidt" TargetMode="External"/><Relationship Id="rId6714" Type="http://schemas.openxmlformats.org/officeDocument/2006/relationships/hyperlink" Target="http://www.linkedin.com/pub/ben-nagrani-saama-is-hiring/0/a/628" TargetMode="External"/><Relationship Id="rId6719" Type="http://schemas.openxmlformats.org/officeDocument/2006/relationships/hyperlink" Target="http://ar.linkedin.com/in/asoliverez" TargetMode="External"/><Relationship Id="rId6717" Type="http://schemas.openxmlformats.org/officeDocument/2006/relationships/hyperlink" Target="http://www.linkedin.com/pub/doug-mccasland/2/8B7/A99" TargetMode="External"/><Relationship Id="rId6718" Type="http://schemas.openxmlformats.org/officeDocument/2006/relationships/hyperlink" Target="http://www.linkedin.com/in/lisagreenawalt" TargetMode="External"/><Relationship Id="rId6711" Type="http://schemas.openxmlformats.org/officeDocument/2006/relationships/hyperlink" Target="http://www.linkedin.com/in/carlosfsalguero" TargetMode="External"/><Relationship Id="rId6712" Type="http://schemas.openxmlformats.org/officeDocument/2006/relationships/hyperlink" Target="http://www.linkedin.com/pub/joan-rieke/1A/946/3B1" TargetMode="External"/><Relationship Id="rId6710" Type="http://schemas.openxmlformats.org/officeDocument/2006/relationships/hyperlink" Target="http://ar.linkedin.com/pub/ana-hidalgo/5/205/167" TargetMode="External"/><Relationship Id="rId5490" Type="http://schemas.openxmlformats.org/officeDocument/2006/relationships/hyperlink" Target="http://www.linkedin.com/pub/carl-chandler/2/134/79B" TargetMode="External"/><Relationship Id="rId4161" Type="http://schemas.openxmlformats.org/officeDocument/2006/relationships/hyperlink" Target="http://www.linkedin.com/in/erickyoung" TargetMode="External"/><Relationship Id="rId5493" Type="http://schemas.openxmlformats.org/officeDocument/2006/relationships/hyperlink" Target="http://www.linkedin.com/pub/anthony-markovich/1/475/126" TargetMode="External"/><Relationship Id="rId4160" Type="http://schemas.openxmlformats.org/officeDocument/2006/relationships/hyperlink" Target="http://ar.linkedin.com/in/marianomorresi" TargetMode="External"/><Relationship Id="rId5494" Type="http://schemas.openxmlformats.org/officeDocument/2006/relationships/hyperlink" Target="http://www.linkedin.com/pub/john-walsh/0/394/B22" TargetMode="External"/><Relationship Id="rId4163" Type="http://schemas.openxmlformats.org/officeDocument/2006/relationships/hyperlink" Target="http://ar.linkedin.com/pub/gabriel-fuoco/A/171/873" TargetMode="External"/><Relationship Id="rId5491" Type="http://schemas.openxmlformats.org/officeDocument/2006/relationships/hyperlink" Target="http://www.linkedin.com/in/rolandjonesphd" TargetMode="External"/><Relationship Id="rId4162" Type="http://schemas.openxmlformats.org/officeDocument/2006/relationships/hyperlink" Target="http://ar.linkedin.com/pub/marcelo-alvarez/24/254/274" TargetMode="External"/><Relationship Id="rId5492" Type="http://schemas.openxmlformats.org/officeDocument/2006/relationships/hyperlink" Target="http://ar.linkedin.com/in/raffanacho" TargetMode="External"/><Relationship Id="rId4165" Type="http://schemas.openxmlformats.org/officeDocument/2006/relationships/hyperlink" Target="http://ar.linkedin.com/in/slamorgia" TargetMode="External"/><Relationship Id="rId5497" Type="http://schemas.openxmlformats.org/officeDocument/2006/relationships/hyperlink" Target="http://www.linkedin.com/in/ataivanov" TargetMode="External"/><Relationship Id="rId4164" Type="http://schemas.openxmlformats.org/officeDocument/2006/relationships/hyperlink" Target="http://ar.linkedin.com/pub/dario-suarez/9/527/838" TargetMode="External"/><Relationship Id="rId5498" Type="http://schemas.openxmlformats.org/officeDocument/2006/relationships/hyperlink" Target="http://www.linkedin.com/pub/allen-chan/11/675/661" TargetMode="External"/><Relationship Id="rId4167" Type="http://schemas.openxmlformats.org/officeDocument/2006/relationships/hyperlink" Target="http://ar.linkedin.com/in/arielruscitti" TargetMode="External"/><Relationship Id="rId5495" Type="http://schemas.openxmlformats.org/officeDocument/2006/relationships/hyperlink" Target="http://www.linkedin.com/in/sandeepchordia" TargetMode="External"/><Relationship Id="rId4166" Type="http://schemas.openxmlformats.org/officeDocument/2006/relationships/hyperlink" Target="http://ar.linkedin.com/in/jdisanzo" TargetMode="External"/><Relationship Id="rId5496" Type="http://schemas.openxmlformats.org/officeDocument/2006/relationships/hyperlink" Target="http://www.linkedin.com/in/hilaryswanson" TargetMode="External"/><Relationship Id="rId4169" Type="http://schemas.openxmlformats.org/officeDocument/2006/relationships/hyperlink" Target="http://www.linkedin.com/pub/marina-delorenzini/8/134/188" TargetMode="External"/><Relationship Id="rId4168" Type="http://schemas.openxmlformats.org/officeDocument/2006/relationships/hyperlink" Target="http://ar.linkedin.com/pub/constanza-guillen/23/33A/173" TargetMode="External"/><Relationship Id="rId5499" Type="http://schemas.openxmlformats.org/officeDocument/2006/relationships/hyperlink" Target="http://www.linkedin.com/in/scottmccomas" TargetMode="External"/><Relationship Id="rId4150" Type="http://schemas.openxmlformats.org/officeDocument/2006/relationships/hyperlink" Target="http://www.linkedin.com/pub/ana-in%C3%A9s-martins/1/51b/b88" TargetMode="External"/><Relationship Id="rId5482" Type="http://schemas.openxmlformats.org/officeDocument/2006/relationships/hyperlink" Target="http://www.linkedin.com/in/abhiraj" TargetMode="External"/><Relationship Id="rId5483" Type="http://schemas.openxmlformats.org/officeDocument/2006/relationships/hyperlink" Target="http://www.linkedin.com/pub/seema-dwarakish/7/B74/60B" TargetMode="External"/><Relationship Id="rId4152" Type="http://schemas.openxmlformats.org/officeDocument/2006/relationships/hyperlink" Target="http://ar.linkedin.com/pub/maria-luz-ramos/12/272/59" TargetMode="External"/><Relationship Id="rId5480" Type="http://schemas.openxmlformats.org/officeDocument/2006/relationships/hyperlink" Target="http://www.linkedin.com/pub/maria-clara-morixe/7/447/11" TargetMode="External"/><Relationship Id="rId4151" Type="http://schemas.openxmlformats.org/officeDocument/2006/relationships/hyperlink" Target="http://ar.linkedin.com/in/jesicalevi" TargetMode="External"/><Relationship Id="rId5481" Type="http://schemas.openxmlformats.org/officeDocument/2006/relationships/hyperlink" Target="http://ar.linkedin.com/pub/federico-alonso/8/73A/A1A" TargetMode="External"/><Relationship Id="rId4154" Type="http://schemas.openxmlformats.org/officeDocument/2006/relationships/hyperlink" Target="http://ar.linkedin.com/pub/karina-badaracco/21/5B7/963" TargetMode="External"/><Relationship Id="rId5486" Type="http://schemas.openxmlformats.org/officeDocument/2006/relationships/hyperlink" Target="http://www.linkedin.com/in/cmsalvatore" TargetMode="External"/><Relationship Id="rId4153" Type="http://schemas.openxmlformats.org/officeDocument/2006/relationships/hyperlink" Target="http://ar.linkedin.com/pub/daniel-ratcliffe/20/8AB/65B" TargetMode="External"/><Relationship Id="rId5487" Type="http://schemas.openxmlformats.org/officeDocument/2006/relationships/hyperlink" Target="http://www.linkedin.com/pub/alexander-pulido/3/901/95" TargetMode="External"/><Relationship Id="rId4156" Type="http://schemas.openxmlformats.org/officeDocument/2006/relationships/hyperlink" Target="http://ar.linkedin.com/pub/vicente-venosa/9/658/4B1" TargetMode="External"/><Relationship Id="rId5484" Type="http://schemas.openxmlformats.org/officeDocument/2006/relationships/hyperlink" Target="http://www.linkedin.com/in/tallgal" TargetMode="External"/><Relationship Id="rId4155" Type="http://schemas.openxmlformats.org/officeDocument/2006/relationships/hyperlink" Target="http://ar.linkedin.com/pub/flavia-vel%C3%A1zquez/B/1BA/6A7" TargetMode="External"/><Relationship Id="rId5485" Type="http://schemas.openxmlformats.org/officeDocument/2006/relationships/hyperlink" Target="http://www.linkedin.com/pub/gururaj-mallur/1/363/A82" TargetMode="External"/><Relationship Id="rId4158" Type="http://schemas.openxmlformats.org/officeDocument/2006/relationships/hyperlink" Target="http://ar.linkedin.com/in/lauraschenone" TargetMode="External"/><Relationship Id="rId4157" Type="http://schemas.openxmlformats.org/officeDocument/2006/relationships/hyperlink" Target="http://www.linkedin.com/pub/juan-mariano-ulrich/2/4a6/a95" TargetMode="External"/><Relationship Id="rId5488" Type="http://schemas.openxmlformats.org/officeDocument/2006/relationships/hyperlink" Target="http://www.linkedin.com/pub/wade-harris/0/B55/528" TargetMode="External"/><Relationship Id="rId4159" Type="http://schemas.openxmlformats.org/officeDocument/2006/relationships/hyperlink" Target="http://ar.linkedin.com/in/leandroarias1982" TargetMode="External"/><Relationship Id="rId5489" Type="http://schemas.openxmlformats.org/officeDocument/2006/relationships/hyperlink" Target="http://www.linkedin.com/pub/chaitanya-bhuskute/0/908/503" TargetMode="External"/><Relationship Id="rId1910" Type="http://schemas.openxmlformats.org/officeDocument/2006/relationships/hyperlink" Target="http://www.linkedin.com/in/jimcavagnarotcn" TargetMode="External"/><Relationship Id="rId1911" Type="http://schemas.openxmlformats.org/officeDocument/2006/relationships/hyperlink" Target="https://in.linkedin.com/pub/srinivas-ov/9/970/27" TargetMode="External"/><Relationship Id="rId1912" Type="http://schemas.openxmlformats.org/officeDocument/2006/relationships/hyperlink" Target="http://www.linkedin.com/in/lisapettinelli" TargetMode="External"/><Relationship Id="rId1913" Type="http://schemas.openxmlformats.org/officeDocument/2006/relationships/hyperlink" Target="http://www.linkedin.com/pub/wathiney-teodoro/20/913/588" TargetMode="External"/><Relationship Id="rId1914" Type="http://schemas.openxmlformats.org/officeDocument/2006/relationships/hyperlink" Target="http://www.linkedin.com/pub/rick-heavern/20/B43/222" TargetMode="External"/><Relationship Id="rId1915" Type="http://schemas.openxmlformats.org/officeDocument/2006/relationships/hyperlink" Target="http://www.linkedin.com/pub/christine-patterson/21/698/904" TargetMode="External"/><Relationship Id="rId1916" Type="http://schemas.openxmlformats.org/officeDocument/2006/relationships/hyperlink" Target="http://www.linkedin.com/pub/eileen-woods/2/167/245" TargetMode="External"/><Relationship Id="rId1917" Type="http://schemas.openxmlformats.org/officeDocument/2006/relationships/hyperlink" Target="http://www.linkedin.com/pub/tyear-middleton/3/152/267" TargetMode="External"/><Relationship Id="rId1918" Type="http://schemas.openxmlformats.org/officeDocument/2006/relationships/hyperlink" Target="http://uk.linkedin.com/in/fionajenvey" TargetMode="External"/><Relationship Id="rId1919" Type="http://schemas.openxmlformats.org/officeDocument/2006/relationships/hyperlink" Target="http://www.linkedin.com/pub/joel-weingarten/0/17B/A20" TargetMode="External"/><Relationship Id="rId4181" Type="http://schemas.openxmlformats.org/officeDocument/2006/relationships/hyperlink" Target="http://ar.linkedin.com/in/pabloylarri" TargetMode="External"/><Relationship Id="rId4180" Type="http://schemas.openxmlformats.org/officeDocument/2006/relationships/hyperlink" Target="http://www.linkedin.com/pub/gabriel-seracchioli/5/425/249" TargetMode="External"/><Relationship Id="rId4183" Type="http://schemas.openxmlformats.org/officeDocument/2006/relationships/hyperlink" Target="http://www.linkedin.com/in/marianogandulfo" TargetMode="External"/><Relationship Id="rId4182" Type="http://schemas.openxmlformats.org/officeDocument/2006/relationships/hyperlink" Target="http://ar.linkedin.com/in/msolpignani" TargetMode="External"/><Relationship Id="rId4185" Type="http://schemas.openxmlformats.org/officeDocument/2006/relationships/hyperlink" Target="http://ar.linkedin.com/pub/mar-a-soledad-varela/21/175/1B3" TargetMode="External"/><Relationship Id="rId4184" Type="http://schemas.openxmlformats.org/officeDocument/2006/relationships/hyperlink" Target="http://www.linkedin.com/in/ramirofernandez" TargetMode="External"/><Relationship Id="rId4187" Type="http://schemas.openxmlformats.org/officeDocument/2006/relationships/hyperlink" Target="http://www.linkedin.com/pub/lisandro-fernandez-tasende/0/341/5b7" TargetMode="External"/><Relationship Id="rId4186" Type="http://schemas.openxmlformats.org/officeDocument/2006/relationships/hyperlink" Target="http://www.linkedin.com/in/jenniferbaures" TargetMode="External"/><Relationship Id="rId4189" Type="http://schemas.openxmlformats.org/officeDocument/2006/relationships/hyperlink" Target="http://ar.linkedin.com/in/dmst22" TargetMode="External"/><Relationship Id="rId4188" Type="http://schemas.openxmlformats.org/officeDocument/2006/relationships/hyperlink" Target="http://ar.linkedin.com/in/marianaaro07" TargetMode="External"/><Relationship Id="rId1900" Type="http://schemas.openxmlformats.org/officeDocument/2006/relationships/hyperlink" Target="http://www.linkedin.com/in/susanwhittaker" TargetMode="External"/><Relationship Id="rId1901" Type="http://schemas.openxmlformats.org/officeDocument/2006/relationships/hyperlink" Target="http://www.linkedin.com/in/collinsgroup" TargetMode="External"/><Relationship Id="rId1902" Type="http://schemas.openxmlformats.org/officeDocument/2006/relationships/hyperlink" Target="http://www.linkedin.com/in/tinawood" TargetMode="External"/><Relationship Id="rId1903" Type="http://schemas.openxmlformats.org/officeDocument/2006/relationships/hyperlink" Target="http://siva.kumarbenvia.com" TargetMode="External"/><Relationship Id="rId1904" Type="http://schemas.openxmlformats.org/officeDocument/2006/relationships/hyperlink" Target="http://www.linkedin.com/in/sivakumarpappu" TargetMode="External"/><Relationship Id="rId1905" Type="http://schemas.openxmlformats.org/officeDocument/2006/relationships/hyperlink" Target="http://www.linkedin.com/pub/mark-brockhoff/B/A63/402" TargetMode="External"/><Relationship Id="rId1906" Type="http://schemas.openxmlformats.org/officeDocument/2006/relationships/hyperlink" Target="http://www.linkedin.com/in/samanthacasey" TargetMode="External"/><Relationship Id="rId1907" Type="http://schemas.openxmlformats.org/officeDocument/2006/relationships/hyperlink" Target="http://ca.linkedin.com/in/carriemacpherson" TargetMode="External"/><Relationship Id="rId1908" Type="http://schemas.openxmlformats.org/officeDocument/2006/relationships/hyperlink" Target="http://it.linkedin.com/pub/gabriele-ruffatti/4/13/68" TargetMode="External"/><Relationship Id="rId1909" Type="http://schemas.openxmlformats.org/officeDocument/2006/relationships/hyperlink" Target="http://www.linkedin.com/in/tomregino" TargetMode="External"/><Relationship Id="rId4170" Type="http://schemas.openxmlformats.org/officeDocument/2006/relationships/hyperlink" Target="http://ar.linkedin.com/in/joseluispose" TargetMode="External"/><Relationship Id="rId4172" Type="http://schemas.openxmlformats.org/officeDocument/2006/relationships/hyperlink" Target="http://ar.linkedin.com/in/hefernandez" TargetMode="External"/><Relationship Id="rId4171" Type="http://schemas.openxmlformats.org/officeDocument/2006/relationships/hyperlink" Target="http://ar.linkedin.com/pub/esteban-marchese/5/A75/60B" TargetMode="External"/><Relationship Id="rId4174" Type="http://schemas.openxmlformats.org/officeDocument/2006/relationships/hyperlink" Target="http://ar.linkedin.com/in/gonzaloperezcometto" TargetMode="External"/><Relationship Id="rId4173" Type="http://schemas.openxmlformats.org/officeDocument/2006/relationships/hyperlink" Target="http://www.linkedin.com/pub/juan-daniel-abad/1b/31/102" TargetMode="External"/><Relationship Id="rId4176" Type="http://schemas.openxmlformats.org/officeDocument/2006/relationships/hyperlink" Target="http://ar.linkedin.com/pub/roberto-rossi/8/B73/329" TargetMode="External"/><Relationship Id="rId4175" Type="http://schemas.openxmlformats.org/officeDocument/2006/relationships/hyperlink" Target="http://ar.linkedin.com/pub/mirna-curti/A/69B/624" TargetMode="External"/><Relationship Id="rId4178" Type="http://schemas.openxmlformats.org/officeDocument/2006/relationships/hyperlink" Target="http://www.linkedin.com/pub/juan-carlos-spano/14/6b8/ba6" TargetMode="External"/><Relationship Id="rId4177" Type="http://schemas.openxmlformats.org/officeDocument/2006/relationships/hyperlink" Target="http://ar.linkedin.com/in/christiancerrella" TargetMode="External"/><Relationship Id="rId4179" Type="http://schemas.openxmlformats.org/officeDocument/2006/relationships/hyperlink" Target="http://www.linkedin.com/pub/carlota-d-adamo/14/755/156" TargetMode="External"/><Relationship Id="rId4129" Type="http://schemas.openxmlformats.org/officeDocument/2006/relationships/hyperlink" Target="http://ar.linkedin.com/in/fga82" TargetMode="External"/><Relationship Id="rId4128" Type="http://schemas.openxmlformats.org/officeDocument/2006/relationships/hyperlink" Target="http://ar.linkedin.com/in/rocivile" TargetMode="External"/><Relationship Id="rId5459" Type="http://schemas.openxmlformats.org/officeDocument/2006/relationships/hyperlink" Target="http://www.linkedin.com/pub/keith-cohn/24/378/334" TargetMode="External"/><Relationship Id="rId6780" Type="http://schemas.openxmlformats.org/officeDocument/2006/relationships/hyperlink" Target="http://www.linkedin.com/in/khalidzia" TargetMode="External"/><Relationship Id="rId5450" Type="http://schemas.openxmlformats.org/officeDocument/2006/relationships/hyperlink" Target="http://www.linkedin.com/pub/ike-duncan/8/17/506" TargetMode="External"/><Relationship Id="rId6781" Type="http://schemas.openxmlformats.org/officeDocument/2006/relationships/hyperlink" Target="http://www.linkedin.com/in/evanmacbeth" TargetMode="External"/><Relationship Id="rId4121" Type="http://schemas.openxmlformats.org/officeDocument/2006/relationships/hyperlink" Target="http://ar.linkedin.com/in/callerojuanjose" TargetMode="External"/><Relationship Id="rId5453" Type="http://schemas.openxmlformats.org/officeDocument/2006/relationships/hyperlink" Target="http://www.linkedin.com/in/kitykity" TargetMode="External"/><Relationship Id="rId6784" Type="http://schemas.openxmlformats.org/officeDocument/2006/relationships/hyperlink" Target="http://www.linkedin.com/pub/rajesh-pandoh/2/579/BA" TargetMode="External"/><Relationship Id="rId4120" Type="http://schemas.openxmlformats.org/officeDocument/2006/relationships/hyperlink" Target="http://ar.linkedin.com/pub/fernando-alonso/1/73A/623" TargetMode="External"/><Relationship Id="rId5454" Type="http://schemas.openxmlformats.org/officeDocument/2006/relationships/hyperlink" Target="http://www.linkedin.com/pub/nirav-patel/6/200/680" TargetMode="External"/><Relationship Id="rId6785" Type="http://schemas.openxmlformats.org/officeDocument/2006/relationships/hyperlink" Target="http://www.linkedin.com/in/pgangal" TargetMode="External"/><Relationship Id="rId4123" Type="http://schemas.openxmlformats.org/officeDocument/2006/relationships/hyperlink" Target="http://ar.linkedin.com/in/gabrielavera" TargetMode="External"/><Relationship Id="rId5451" Type="http://schemas.openxmlformats.org/officeDocument/2006/relationships/hyperlink" Target="http://www.linkedin.com/in/vicalcazar" TargetMode="External"/><Relationship Id="rId6782" Type="http://schemas.openxmlformats.org/officeDocument/2006/relationships/hyperlink" Target="http://www.linkedin.com/pub/phil-mork/1/681/A53" TargetMode="External"/><Relationship Id="rId4122" Type="http://schemas.openxmlformats.org/officeDocument/2006/relationships/hyperlink" Target="http://ar.linkedin.com/pub/ivana-ximena-prisco/22/319/91B" TargetMode="External"/><Relationship Id="rId5452" Type="http://schemas.openxmlformats.org/officeDocument/2006/relationships/hyperlink" Target="http://www.linkedin.com/pub/bob-bolduc/1/166/510" TargetMode="External"/><Relationship Id="rId6783" Type="http://schemas.openxmlformats.org/officeDocument/2006/relationships/hyperlink" Target="http://www.linkedin.com/pub/orest-jarosiewicz/3/487/68B" TargetMode="External"/><Relationship Id="rId4125" Type="http://schemas.openxmlformats.org/officeDocument/2006/relationships/hyperlink" Target="http://www.linkedin.com/pub/hernan-gonzalez-merlani/5/5b0/89b" TargetMode="External"/><Relationship Id="rId5457" Type="http://schemas.openxmlformats.org/officeDocument/2006/relationships/hyperlink" Target="http://www.linkedin.com/pub/juan-ignacio-fernandes/14/369/63a" TargetMode="External"/><Relationship Id="rId6788" Type="http://schemas.openxmlformats.org/officeDocument/2006/relationships/hyperlink" Target="http://www.linkedin.com/pub/ziad-alsukairy/0/B96/9B1" TargetMode="External"/><Relationship Id="rId4124" Type="http://schemas.openxmlformats.org/officeDocument/2006/relationships/hyperlink" Target="http://ar.linkedin.com/pub/horacio-rieznik/A/1B5/184" TargetMode="External"/><Relationship Id="rId5458" Type="http://schemas.openxmlformats.org/officeDocument/2006/relationships/hyperlink" Target="http://ar.linkedin.com/pub/esteban-almir%C3%B3n/B/94B/260" TargetMode="External"/><Relationship Id="rId6789" Type="http://schemas.openxmlformats.org/officeDocument/2006/relationships/hyperlink" Target="http://ar.linkedin.com/in/samanthaiapichino" TargetMode="External"/><Relationship Id="rId4127" Type="http://schemas.openxmlformats.org/officeDocument/2006/relationships/hyperlink" Target="http://ar.linkedin.com/in/sergiomiller" TargetMode="External"/><Relationship Id="rId5455" Type="http://schemas.openxmlformats.org/officeDocument/2006/relationships/hyperlink" Target="http://ar.linkedin.com/in/juanbecerra" TargetMode="External"/><Relationship Id="rId6786" Type="http://schemas.openxmlformats.org/officeDocument/2006/relationships/hyperlink" Target="http://www.linkedin.com/in/edwardzarecor" TargetMode="External"/><Relationship Id="rId4126" Type="http://schemas.openxmlformats.org/officeDocument/2006/relationships/hyperlink" Target="http://ar.linkedin.com/in/paulaponticorvo" TargetMode="External"/><Relationship Id="rId5456" Type="http://schemas.openxmlformats.org/officeDocument/2006/relationships/hyperlink" Target="http://www.linkedin.com/pub/neil-nobie/0/358/206" TargetMode="External"/><Relationship Id="rId6787" Type="http://schemas.openxmlformats.org/officeDocument/2006/relationships/hyperlink" Target="http://ar.linkedin.com/in/mauro3guerras" TargetMode="External"/><Relationship Id="rId4118" Type="http://schemas.openxmlformats.org/officeDocument/2006/relationships/hyperlink" Target="http://ar.linkedin.com/in/vanesarichard" TargetMode="External"/><Relationship Id="rId4117" Type="http://schemas.openxmlformats.org/officeDocument/2006/relationships/hyperlink" Target="http://ar.linkedin.com/in/vanesachacon" TargetMode="External"/><Relationship Id="rId5448" Type="http://schemas.openxmlformats.org/officeDocument/2006/relationships/hyperlink" Target="http://www.linkedin.com/pub/gaston-dubra/11/b24/260" TargetMode="External"/><Relationship Id="rId6779" Type="http://schemas.openxmlformats.org/officeDocument/2006/relationships/hyperlink" Target="http://www.linkedin.com/pub/anni-lai/0/1A0/429" TargetMode="External"/><Relationship Id="rId4119" Type="http://schemas.openxmlformats.org/officeDocument/2006/relationships/hyperlink" Target="http://ar.linkedin.com/pub/henoch-aguiar/0/285/6BA" TargetMode="External"/><Relationship Id="rId5449" Type="http://schemas.openxmlformats.org/officeDocument/2006/relationships/hyperlink" Target="https://www.linkedin.com/pub/matias-kochman/4/528/92a" TargetMode="External"/><Relationship Id="rId6770" Type="http://schemas.openxmlformats.org/officeDocument/2006/relationships/hyperlink" Target="http://www.linkedin.com/in/harishlyall" TargetMode="External"/><Relationship Id="rId4110" Type="http://schemas.openxmlformats.org/officeDocument/2006/relationships/hyperlink" Target="http://ar.linkedin.com/pub/santiago-marc-/0/181/B42" TargetMode="External"/><Relationship Id="rId5442" Type="http://schemas.openxmlformats.org/officeDocument/2006/relationships/hyperlink" Target="http://www.linkedin.com/in/john1328" TargetMode="External"/><Relationship Id="rId6773" Type="http://schemas.openxmlformats.org/officeDocument/2006/relationships/hyperlink" Target="http://www.linkedin.com/in/ashwinshukla" TargetMode="External"/><Relationship Id="rId5443" Type="http://schemas.openxmlformats.org/officeDocument/2006/relationships/hyperlink" Target="https://www.linkedin.com/pub/namita-prabhu/8/27/39a" TargetMode="External"/><Relationship Id="rId6774" Type="http://schemas.openxmlformats.org/officeDocument/2006/relationships/hyperlink" Target="http://www.linkedin.com/in/davidandrzejek" TargetMode="External"/><Relationship Id="rId4112" Type="http://schemas.openxmlformats.org/officeDocument/2006/relationships/hyperlink" Target="http://ar.linkedin.com/pub/softline-international-argentina/23/537/920" TargetMode="External"/><Relationship Id="rId5440" Type="http://schemas.openxmlformats.org/officeDocument/2006/relationships/hyperlink" Target="http://uk.linkedin.com/pub/federico-sartori/2/371/758" TargetMode="External"/><Relationship Id="rId6771" Type="http://schemas.openxmlformats.org/officeDocument/2006/relationships/hyperlink" Target="http://www.linkedin.com/in/aparup" TargetMode="External"/><Relationship Id="rId4111" Type="http://schemas.openxmlformats.org/officeDocument/2006/relationships/hyperlink" Target="http://ar.linkedin.com/in/mberra" TargetMode="External"/><Relationship Id="rId5441" Type="http://schemas.openxmlformats.org/officeDocument/2006/relationships/hyperlink" Target="http://www.linkedin.com/in/jamesqa" TargetMode="External"/><Relationship Id="rId6772" Type="http://schemas.openxmlformats.org/officeDocument/2006/relationships/hyperlink" Target="http://ar.linkedin.com/pub/mariana-fern%C3%A1ndez/A/4B6/755" TargetMode="External"/><Relationship Id="rId4114" Type="http://schemas.openxmlformats.org/officeDocument/2006/relationships/hyperlink" Target="http://ar.linkedin.com/in/olmedomartinez" TargetMode="External"/><Relationship Id="rId5446" Type="http://schemas.openxmlformats.org/officeDocument/2006/relationships/hyperlink" Target="http://www.linkedin.com/pub/marion-khonin/1/94A/354" TargetMode="External"/><Relationship Id="rId6777" Type="http://schemas.openxmlformats.org/officeDocument/2006/relationships/hyperlink" Target="http://www.linkedin.com/in/pablofullana" TargetMode="External"/><Relationship Id="rId4113" Type="http://schemas.openxmlformats.org/officeDocument/2006/relationships/hyperlink" Target="http://ar.linkedin.com/in/agenciacreativaatinua" TargetMode="External"/><Relationship Id="rId5447" Type="http://schemas.openxmlformats.org/officeDocument/2006/relationships/hyperlink" Target="http://www.linkedin.com/pub/alejandro-ventre/2/B7A/967" TargetMode="External"/><Relationship Id="rId6778" Type="http://schemas.openxmlformats.org/officeDocument/2006/relationships/hyperlink" Target="http://ar.linkedin.com/in/sebastiangrimberg" TargetMode="External"/><Relationship Id="rId4116" Type="http://schemas.openxmlformats.org/officeDocument/2006/relationships/hyperlink" Target="http://ar.linkedin.com/pub/fernando-simonazzi/0/A83/274" TargetMode="External"/><Relationship Id="rId5444" Type="http://schemas.openxmlformats.org/officeDocument/2006/relationships/hyperlink" Target="http://www.linkedin.com/in/heatherwong" TargetMode="External"/><Relationship Id="rId6775" Type="http://schemas.openxmlformats.org/officeDocument/2006/relationships/hyperlink" Target="http://www.linkedin.com/pub/karyn-brown/1/6B7/326" TargetMode="External"/><Relationship Id="rId4115" Type="http://schemas.openxmlformats.org/officeDocument/2006/relationships/hyperlink" Target="http://ar.linkedin.com/in/sebastiangiasone" TargetMode="External"/><Relationship Id="rId5445" Type="http://schemas.openxmlformats.org/officeDocument/2006/relationships/hyperlink" Target="http://ar.linkedin.com/in/gastonsalgueiro" TargetMode="External"/><Relationship Id="rId6776" Type="http://schemas.openxmlformats.org/officeDocument/2006/relationships/hyperlink" Target="http://www.linkedin.com/pub/ajay-patel/0/820/851" TargetMode="External"/><Relationship Id="rId5471" Type="http://schemas.openxmlformats.org/officeDocument/2006/relationships/hyperlink" Target="http://ar.linkedin.com/pub/mar-a-bel-n-otero/11/4BB/B28" TargetMode="External"/><Relationship Id="rId5472" Type="http://schemas.openxmlformats.org/officeDocument/2006/relationships/hyperlink" Target="http://www.linkedin.com/pub/lisandro-ipuche/26/413/723" TargetMode="External"/><Relationship Id="rId4141" Type="http://schemas.openxmlformats.org/officeDocument/2006/relationships/hyperlink" Target="http://ar.linkedin.com/in/programadorweb" TargetMode="External"/><Relationship Id="rId4140" Type="http://schemas.openxmlformats.org/officeDocument/2006/relationships/hyperlink" Target="http://ar.linkedin.com/pub/silvina-seiguer/11/B24/782" TargetMode="External"/><Relationship Id="rId5470" Type="http://schemas.openxmlformats.org/officeDocument/2006/relationships/hyperlink" Target="http://www.linkedin.com/pub/sarah-forrest/1/9A2/498" TargetMode="External"/><Relationship Id="rId4143" Type="http://schemas.openxmlformats.org/officeDocument/2006/relationships/hyperlink" Target="http://www.linkedin.com/in/rtriana" TargetMode="External"/><Relationship Id="rId5475" Type="http://schemas.openxmlformats.org/officeDocument/2006/relationships/hyperlink" Target="http://www.linkedin.com/in/mbrandsma" TargetMode="External"/><Relationship Id="rId4142" Type="http://schemas.openxmlformats.org/officeDocument/2006/relationships/hyperlink" Target="http://ar.linkedin.com/in/javierdomine" TargetMode="External"/><Relationship Id="rId5476" Type="http://schemas.openxmlformats.org/officeDocument/2006/relationships/hyperlink" Target="http://www.linkedin.com/in/bkekst" TargetMode="External"/><Relationship Id="rId4145" Type="http://schemas.openxmlformats.org/officeDocument/2006/relationships/hyperlink" Target="http://www.linkedin.com/in/denisekuschewski" TargetMode="External"/><Relationship Id="rId5473" Type="http://schemas.openxmlformats.org/officeDocument/2006/relationships/hyperlink" Target="http://www.linkedin.com/pub/angie-giardina/3/8A/9A3" TargetMode="External"/><Relationship Id="rId4144" Type="http://schemas.openxmlformats.org/officeDocument/2006/relationships/hyperlink" Target="http://ar.linkedin.com/pub/jos-manuel-robledo/0/121/62A" TargetMode="External"/><Relationship Id="rId5474" Type="http://schemas.openxmlformats.org/officeDocument/2006/relationships/hyperlink" Target="http://www.linkedin.com/pub/tom-rima/0/B70/239" TargetMode="External"/><Relationship Id="rId4147" Type="http://schemas.openxmlformats.org/officeDocument/2006/relationships/hyperlink" Target="http://ar.linkedin.com/pub/leticia-nieto/16/B32/AB5" TargetMode="External"/><Relationship Id="rId5479" Type="http://schemas.openxmlformats.org/officeDocument/2006/relationships/hyperlink" Target="http://ar.linkedin.com/in/ericlattanzi" TargetMode="External"/><Relationship Id="rId4146" Type="http://schemas.openxmlformats.org/officeDocument/2006/relationships/hyperlink" Target="http://ar.linkedin.com/pub/melina-ceballos/23/11A/938" TargetMode="External"/><Relationship Id="rId4149" Type="http://schemas.openxmlformats.org/officeDocument/2006/relationships/hyperlink" Target="http://ar.linkedin.com/in/abonadeo" TargetMode="External"/><Relationship Id="rId5477" Type="http://schemas.openxmlformats.org/officeDocument/2006/relationships/hyperlink" Target="http://www.linkedin.com/in/jamesmusick" TargetMode="External"/><Relationship Id="rId4148" Type="http://schemas.openxmlformats.org/officeDocument/2006/relationships/hyperlink" Target="http://ar.linkedin.com/pub/maria-remondino/13/986/776" TargetMode="External"/><Relationship Id="rId5478" Type="http://schemas.openxmlformats.org/officeDocument/2006/relationships/hyperlink" Target="http://ar.linkedin.com/in/mmendez" TargetMode="External"/><Relationship Id="rId4139" Type="http://schemas.openxmlformats.org/officeDocument/2006/relationships/hyperlink" Target="http://ar.linkedin.com/pub/fernando-volpi/9/636/B24" TargetMode="External"/><Relationship Id="rId5460" Type="http://schemas.openxmlformats.org/officeDocument/2006/relationships/hyperlink" Target="http://www.linkedin.com/in/vishdaswani" TargetMode="External"/><Relationship Id="rId6791" Type="http://schemas.openxmlformats.org/officeDocument/2006/relationships/hyperlink" Target="http://www.linkedin.com/in/gsicorp" TargetMode="External"/><Relationship Id="rId5461" Type="http://schemas.openxmlformats.org/officeDocument/2006/relationships/hyperlink" Target="http://www.linkedin.com/pub/john-harris/28/27B/631" TargetMode="External"/><Relationship Id="rId6792" Type="http://schemas.openxmlformats.org/officeDocument/2006/relationships/hyperlink" Target="http://www.linkedin.com/pub/gilbert-lau/0/68A/518" TargetMode="External"/><Relationship Id="rId4130" Type="http://schemas.openxmlformats.org/officeDocument/2006/relationships/hyperlink" Target="https://www.linkedin.com/pub/martin-cespedes/6/119/47" TargetMode="External"/><Relationship Id="rId6790" Type="http://schemas.openxmlformats.org/officeDocument/2006/relationships/hyperlink" Target="http://www.linkedin.com/pub/mike-broderick/0/497/A69" TargetMode="External"/><Relationship Id="rId4132" Type="http://schemas.openxmlformats.org/officeDocument/2006/relationships/hyperlink" Target="http://ar.linkedin.com/pub/maria-albin/7/A79/602" TargetMode="External"/><Relationship Id="rId5464" Type="http://schemas.openxmlformats.org/officeDocument/2006/relationships/hyperlink" Target="http://www.linkedin.com/pub/emanuel-aguanno/9/765/264" TargetMode="External"/><Relationship Id="rId6795" Type="http://schemas.openxmlformats.org/officeDocument/2006/relationships/hyperlink" Target="http://www.linkedin.com/in/jpgordon" TargetMode="External"/><Relationship Id="rId4131" Type="http://schemas.openxmlformats.org/officeDocument/2006/relationships/hyperlink" Target="http://ar.linkedin.com/pub/pablo-santiago-bernini/15/937/7A4" TargetMode="External"/><Relationship Id="rId5465" Type="http://schemas.openxmlformats.org/officeDocument/2006/relationships/hyperlink" Target="http://ar.linkedin.com/pub/diego-scapusio/2A/241/22A" TargetMode="External"/><Relationship Id="rId6796" Type="http://schemas.openxmlformats.org/officeDocument/2006/relationships/hyperlink" Target="http://www.linkedin.com/in/cchunsheng" TargetMode="External"/><Relationship Id="rId4134" Type="http://schemas.openxmlformats.org/officeDocument/2006/relationships/hyperlink" Target="http://ar.linkedin.com/pub/sol-ramos-mejia/24/208/BB9" TargetMode="External"/><Relationship Id="rId5462" Type="http://schemas.openxmlformats.org/officeDocument/2006/relationships/hyperlink" Target="http://ar.linkedin.com/pub/franco-borghesi/6/79B/8A6" TargetMode="External"/><Relationship Id="rId6793" Type="http://schemas.openxmlformats.org/officeDocument/2006/relationships/hyperlink" Target="http://www.linkedin.com/in/danielaxavier" TargetMode="External"/><Relationship Id="rId4133" Type="http://schemas.openxmlformats.org/officeDocument/2006/relationships/hyperlink" Target="http://ar.linkedin.com/pub/andrea-sacerdote/1/182/544" TargetMode="External"/><Relationship Id="rId5463" Type="http://schemas.openxmlformats.org/officeDocument/2006/relationships/hyperlink" Target="http://www.linkedin.com/pub/guillermo-kussy/8/bba/b35" TargetMode="External"/><Relationship Id="rId6794" Type="http://schemas.openxmlformats.org/officeDocument/2006/relationships/hyperlink" Target="http://www.linkedin.com/pub/byron-liu/1/683/871" TargetMode="External"/><Relationship Id="rId4136" Type="http://schemas.openxmlformats.org/officeDocument/2006/relationships/hyperlink" Target="http://www.linkedin.com/pub/ximena-iba%C3%B1ez/3/58b/a89" TargetMode="External"/><Relationship Id="rId5468" Type="http://schemas.openxmlformats.org/officeDocument/2006/relationships/hyperlink" Target="http://www.linkedin.com/pub/geoff-hazel/A/326/B18" TargetMode="External"/><Relationship Id="rId6799" Type="http://schemas.openxmlformats.org/officeDocument/2006/relationships/hyperlink" Target="http://ar.linkedin.com/in/molmi" TargetMode="External"/><Relationship Id="rId4135" Type="http://schemas.openxmlformats.org/officeDocument/2006/relationships/hyperlink" Target="http://www.linkedin.com/pub/juan-manuel-gomez-meza/16/84a/592" TargetMode="External"/><Relationship Id="rId5469" Type="http://schemas.openxmlformats.org/officeDocument/2006/relationships/hyperlink" Target="http://www.linkedin.com/pub/ralph-kuehn/9/38A/3B4" TargetMode="External"/><Relationship Id="rId4138" Type="http://schemas.openxmlformats.org/officeDocument/2006/relationships/hyperlink" Target="http://ar.linkedin.com/in/sebastiantamanaha" TargetMode="External"/><Relationship Id="rId5466" Type="http://schemas.openxmlformats.org/officeDocument/2006/relationships/hyperlink" Target="http://www.linkedin.com/pub/leandro-gaston-garcia/9/6b2/430" TargetMode="External"/><Relationship Id="rId6797" Type="http://schemas.openxmlformats.org/officeDocument/2006/relationships/hyperlink" Target="http://www.linkedin.com/pub/emiliano-ricci-aparicio/b/5b9/291" TargetMode="External"/><Relationship Id="rId4137" Type="http://schemas.openxmlformats.org/officeDocument/2006/relationships/hyperlink" Target="http://ar.linkedin.com/pub/graciela-bravo/0/A2B/63B" TargetMode="External"/><Relationship Id="rId5467" Type="http://schemas.openxmlformats.org/officeDocument/2006/relationships/hyperlink" Target="http://ar.linkedin.com/in/ftomaselli" TargetMode="External"/><Relationship Id="rId6798" Type="http://schemas.openxmlformats.org/officeDocument/2006/relationships/hyperlink" Target="http://www.linkedin.com/pub/saify-lanewala/0/207/A37" TargetMode="External"/><Relationship Id="rId1972" Type="http://schemas.openxmlformats.org/officeDocument/2006/relationships/hyperlink" Target="http://uk.linkedin.com/in/thedaveriley" TargetMode="External"/><Relationship Id="rId1973" Type="http://schemas.openxmlformats.org/officeDocument/2006/relationships/hyperlink" Target="http://www.linkedin.com/pub/tom-blackwell/7/B01/369" TargetMode="External"/><Relationship Id="rId1974" Type="http://schemas.openxmlformats.org/officeDocument/2006/relationships/hyperlink" Target="http://www.linkedin.com/pub/flamand-micha%C3%ABl-michael-flamand-come4news-com/2/149/56a" TargetMode="External"/><Relationship Id="rId1975" Type="http://schemas.openxmlformats.org/officeDocument/2006/relationships/hyperlink" Target="http://www.linkedin.com/pub/ben-yarbrough/5/38/B50" TargetMode="External"/><Relationship Id="rId1976" Type="http://schemas.openxmlformats.org/officeDocument/2006/relationships/hyperlink" Target="http://www.linkedin.com/pub/barbara-cepinko/2/495/637" TargetMode="External"/><Relationship Id="rId1977" Type="http://schemas.openxmlformats.org/officeDocument/2006/relationships/hyperlink" Target="http://uk.linkedin.com/pub/per-mikael-jensen/1/3B8/A96" TargetMode="External"/><Relationship Id="rId1978" Type="http://schemas.openxmlformats.org/officeDocument/2006/relationships/hyperlink" Target="http://www.linkedin.com/pub/michael-bertram/A/3A2/492" TargetMode="External"/><Relationship Id="rId1979" Type="http://schemas.openxmlformats.org/officeDocument/2006/relationships/hyperlink" Target="http://www.linkedin.com/in/davedraper" TargetMode="External"/><Relationship Id="rId1970" Type="http://schemas.openxmlformats.org/officeDocument/2006/relationships/hyperlink" Target="http://www.linkedin.com/in/winetrout" TargetMode="External"/><Relationship Id="rId1971" Type="http://schemas.openxmlformats.org/officeDocument/2006/relationships/hyperlink" Target="http://www.linkedin.com/pub/adam-pimentel/5/484/3BA" TargetMode="External"/><Relationship Id="rId1961" Type="http://schemas.openxmlformats.org/officeDocument/2006/relationships/hyperlink" Target="http://ca.linkedin.com/in/alexandretardif" TargetMode="External"/><Relationship Id="rId1962" Type="http://schemas.openxmlformats.org/officeDocument/2006/relationships/hyperlink" Target="http://uk.linkedin.com/in/faler" TargetMode="External"/><Relationship Id="rId1963" Type="http://schemas.openxmlformats.org/officeDocument/2006/relationships/hyperlink" Target="http://www.linkedin.com/pub/pete-joiner/4/852/215" TargetMode="External"/><Relationship Id="rId1964" Type="http://schemas.openxmlformats.org/officeDocument/2006/relationships/hyperlink" Target="http://www.linkedin.com/in/tomhorrocks" TargetMode="External"/><Relationship Id="rId1965" Type="http://schemas.openxmlformats.org/officeDocument/2006/relationships/hyperlink" Target="http://www.linkedin.com/in/courtconsults" TargetMode="External"/><Relationship Id="rId1966" Type="http://schemas.openxmlformats.org/officeDocument/2006/relationships/hyperlink" Target="http://uk.linkedin.com/pub/chantel-heesen/4/936/8B5" TargetMode="External"/><Relationship Id="rId1967" Type="http://schemas.openxmlformats.org/officeDocument/2006/relationships/hyperlink" Target="http://www.linkedin.com/in/pauljdombrowski" TargetMode="External"/><Relationship Id="rId1968" Type="http://schemas.openxmlformats.org/officeDocument/2006/relationships/hyperlink" Target="http://br.linkedin.com/pub/jo%C3%A3o-garcia/11/B02/12" TargetMode="External"/><Relationship Id="rId1969" Type="http://schemas.openxmlformats.org/officeDocument/2006/relationships/hyperlink" Target="http://www.linkedin.com/in/patriciamilner" TargetMode="External"/><Relationship Id="rId1960" Type="http://schemas.openxmlformats.org/officeDocument/2006/relationships/hyperlink" Target="http://alexandre.t.tardifusherbrooke.ca" TargetMode="External"/><Relationship Id="rId1994" Type="http://schemas.openxmlformats.org/officeDocument/2006/relationships/hyperlink" Target="http://www.linkedin.com/pub/david-palella/3/4B6/2B5" TargetMode="External"/><Relationship Id="rId1995" Type="http://schemas.openxmlformats.org/officeDocument/2006/relationships/hyperlink" Target="http://www.linkedin.com/pub/frank-j-segarra-iii/2/600/a19" TargetMode="External"/><Relationship Id="rId1996" Type="http://schemas.openxmlformats.org/officeDocument/2006/relationships/hyperlink" Target="http://www.linkedin.com/in/ericarosenberg" TargetMode="External"/><Relationship Id="rId1997" Type="http://schemas.openxmlformats.org/officeDocument/2006/relationships/hyperlink" Target="http://www.linkedin.com/pub/manish-rai-nigam/A/801/75A" TargetMode="External"/><Relationship Id="rId1998" Type="http://schemas.openxmlformats.org/officeDocument/2006/relationships/hyperlink" Target="http://www.linkedin.com/pub/ricardo-mendon-a/23/6A3/9B1" TargetMode="External"/><Relationship Id="rId1999" Type="http://schemas.openxmlformats.org/officeDocument/2006/relationships/hyperlink" Target="http://www.linkedin.com/pub/kyle-silk/3/48B/662" TargetMode="External"/><Relationship Id="rId1990" Type="http://schemas.openxmlformats.org/officeDocument/2006/relationships/hyperlink" Target="http://www.linkedin.com/in/kojikodama" TargetMode="External"/><Relationship Id="rId1991" Type="http://schemas.openxmlformats.org/officeDocument/2006/relationships/hyperlink" Target="http://in.linkedin.com/pub/amitabh-lahiri/6/174/5BA" TargetMode="External"/><Relationship Id="rId1992" Type="http://schemas.openxmlformats.org/officeDocument/2006/relationships/hyperlink" Target="http://www.linkedin.com/in/chasperry2thewisevisionary7" TargetMode="External"/><Relationship Id="rId1993" Type="http://schemas.openxmlformats.org/officeDocument/2006/relationships/hyperlink" Target="http://www.linkedin.com/pub/john-grimes/1/918/A81" TargetMode="External"/><Relationship Id="rId1983" Type="http://schemas.openxmlformats.org/officeDocument/2006/relationships/hyperlink" Target="http://www.linkedin.com/pub/gary-broyles/8/17/251" TargetMode="External"/><Relationship Id="rId1984" Type="http://schemas.openxmlformats.org/officeDocument/2006/relationships/hyperlink" Target="http://www.linkedin.com/pub/philip-hand/2/833/377" TargetMode="External"/><Relationship Id="rId1985" Type="http://schemas.openxmlformats.org/officeDocument/2006/relationships/hyperlink" Target="http://www.linkedin.com/in/howardmwiener" TargetMode="External"/><Relationship Id="rId1986" Type="http://schemas.openxmlformats.org/officeDocument/2006/relationships/hyperlink" Target="http://www.linkedin.com/in/stevehamby" TargetMode="External"/><Relationship Id="rId1987" Type="http://schemas.openxmlformats.org/officeDocument/2006/relationships/hyperlink" Target="http://www.linkedin.com/pub/ozzie-perez/8/9A/680" TargetMode="External"/><Relationship Id="rId1988" Type="http://schemas.openxmlformats.org/officeDocument/2006/relationships/hyperlink" Target="http://dk.linkedin.com/pub/martin-thomsen/7/A56/A78" TargetMode="External"/><Relationship Id="rId1989" Type="http://schemas.openxmlformats.org/officeDocument/2006/relationships/hyperlink" Target="http://www.linkedin.com/pub/gordon-sell/2/278/226" TargetMode="External"/><Relationship Id="rId1980" Type="http://schemas.openxmlformats.org/officeDocument/2006/relationships/hyperlink" Target="http://www.linkedin.com/in/aleclsmith" TargetMode="External"/><Relationship Id="rId1981" Type="http://schemas.openxmlformats.org/officeDocument/2006/relationships/hyperlink" Target="http://uk.linkedin.com/pub/tomas-valasek/A/414/137" TargetMode="External"/><Relationship Id="rId1982" Type="http://schemas.openxmlformats.org/officeDocument/2006/relationships/hyperlink" Target="http://www.linkedin.com/in/sivaramann" TargetMode="External"/><Relationship Id="rId1930" Type="http://schemas.openxmlformats.org/officeDocument/2006/relationships/hyperlink" Target="http://www.linkedin.com/in/khirodra" TargetMode="External"/><Relationship Id="rId1931" Type="http://schemas.openxmlformats.org/officeDocument/2006/relationships/hyperlink" Target="http://www.linkedin.com/in/susanmiddleton" TargetMode="External"/><Relationship Id="rId1932" Type="http://schemas.openxmlformats.org/officeDocument/2006/relationships/hyperlink" Target="http://www.linkedin.com/in/shantisos" TargetMode="External"/><Relationship Id="rId1933" Type="http://schemas.openxmlformats.org/officeDocument/2006/relationships/hyperlink" Target="http://www.linkedin.com/pub/michael-mayor/0/81/B41" TargetMode="External"/><Relationship Id="rId1934" Type="http://schemas.openxmlformats.org/officeDocument/2006/relationships/hyperlink" Target="http://www.linkedin.com/in/jorgerpereira" TargetMode="External"/><Relationship Id="rId1935" Type="http://schemas.openxmlformats.org/officeDocument/2006/relationships/hyperlink" Target="http://www.linkedin.com/pub/subramanyam-doguparthi/0/773/a29" TargetMode="External"/><Relationship Id="rId1936" Type="http://schemas.openxmlformats.org/officeDocument/2006/relationships/hyperlink" Target="http://br.linkedin.com/pub/adriana-souza/1/2A9/348" TargetMode="External"/><Relationship Id="rId1937" Type="http://schemas.openxmlformats.org/officeDocument/2006/relationships/hyperlink" Target="http://nl.linkedin.com/pub/ron-boscu/0/237/668" TargetMode="External"/><Relationship Id="rId1938" Type="http://schemas.openxmlformats.org/officeDocument/2006/relationships/hyperlink" Target="http://uk.linkedin.com/in/ianscummings" TargetMode="External"/><Relationship Id="rId1939" Type="http://schemas.openxmlformats.org/officeDocument/2006/relationships/hyperlink" Target="http://www.linkedin.com/pub/brad-young/0/725/11B" TargetMode="External"/><Relationship Id="rId1920" Type="http://schemas.openxmlformats.org/officeDocument/2006/relationships/hyperlink" Target="http://www.linkedin.com/pub/steve-flynn/0/47/54" TargetMode="External"/><Relationship Id="rId1921" Type="http://schemas.openxmlformats.org/officeDocument/2006/relationships/hyperlink" Target="http://www.linkedin.com/in/mistersterling" TargetMode="External"/><Relationship Id="rId1922" Type="http://schemas.openxmlformats.org/officeDocument/2006/relationships/hyperlink" Target="http://ca.linkedin.com/in/blackbelttech" TargetMode="External"/><Relationship Id="rId1923" Type="http://schemas.openxmlformats.org/officeDocument/2006/relationships/hyperlink" Target="http://www.linkedin.com/in/derekroot" TargetMode="External"/><Relationship Id="rId1924" Type="http://schemas.openxmlformats.org/officeDocument/2006/relationships/hyperlink" Target="http://uk.linkedin.com/in/robincarton" TargetMode="External"/><Relationship Id="rId1925" Type="http://schemas.openxmlformats.org/officeDocument/2006/relationships/hyperlink" Target="http://www.linkedin.com/pub/casey-west/6/358/197" TargetMode="External"/><Relationship Id="rId1926" Type="http://schemas.openxmlformats.org/officeDocument/2006/relationships/hyperlink" Target="http://www.linkedin.com/in/richardjburns" TargetMode="External"/><Relationship Id="rId1927" Type="http://schemas.openxmlformats.org/officeDocument/2006/relationships/hyperlink" Target="http://www.linkedin.com/pub/michael-gelb/0/65A/429" TargetMode="External"/><Relationship Id="rId1928" Type="http://schemas.openxmlformats.org/officeDocument/2006/relationships/hyperlink" Target="http://www.linkedin.com/pub/carlos-de-la-lama-noriega-pfrimmer/0/910/7a2" TargetMode="External"/><Relationship Id="rId1929" Type="http://schemas.openxmlformats.org/officeDocument/2006/relationships/hyperlink" Target="http://www.linkedin.com/pub/roger-weisbeck/0/259/264" TargetMode="External"/><Relationship Id="rId4190" Type="http://schemas.openxmlformats.org/officeDocument/2006/relationships/hyperlink" Target="http://ar.linkedin.com/in/oalarcon" TargetMode="External"/><Relationship Id="rId4192" Type="http://schemas.openxmlformats.org/officeDocument/2006/relationships/hyperlink" Target="http://ar.linkedin.com/pub/maria-laura-panizza/5/647/BB8" TargetMode="External"/><Relationship Id="rId4191" Type="http://schemas.openxmlformats.org/officeDocument/2006/relationships/hyperlink" Target="http://ar.linkedin.com/in/maximilianogalante" TargetMode="External"/><Relationship Id="rId4194" Type="http://schemas.openxmlformats.org/officeDocument/2006/relationships/hyperlink" Target="http://ar.linkedin.com/pub/javier-h-yamamoto/1/AA0/232" TargetMode="External"/><Relationship Id="rId4193" Type="http://schemas.openxmlformats.org/officeDocument/2006/relationships/hyperlink" Target="http://ar.linkedin.com/in/mbgiadas" TargetMode="External"/><Relationship Id="rId4196" Type="http://schemas.openxmlformats.org/officeDocument/2006/relationships/hyperlink" Target="http://www.linkedin.com/in/mariapueyrredon" TargetMode="External"/><Relationship Id="rId4195" Type="http://schemas.openxmlformats.org/officeDocument/2006/relationships/hyperlink" Target="http://ar.linkedin.com/in/alejandrofeiges" TargetMode="External"/><Relationship Id="rId4198" Type="http://schemas.openxmlformats.org/officeDocument/2006/relationships/hyperlink" Target="http://www.linkedin.com/pub/luciano-hammoe/8/566/132" TargetMode="External"/><Relationship Id="rId4197" Type="http://schemas.openxmlformats.org/officeDocument/2006/relationships/hyperlink" Target="http://ar.linkedin.com/pub/fernanda-weber/9/5BB/765" TargetMode="External"/><Relationship Id="rId4199" Type="http://schemas.openxmlformats.org/officeDocument/2006/relationships/hyperlink" Target="http://ar.linkedin.com/in/dreggiani" TargetMode="External"/><Relationship Id="rId1950" Type="http://schemas.openxmlformats.org/officeDocument/2006/relationships/hyperlink" Target="http://www.linkedin.com/in/jordanhoggard1" TargetMode="External"/><Relationship Id="rId1951" Type="http://schemas.openxmlformats.org/officeDocument/2006/relationships/hyperlink" Target="http://br.linkedin.com/pub/wanderley-corr%C3%AAa-de-almeida-jr/8/201/890" TargetMode="External"/><Relationship Id="rId1952" Type="http://schemas.openxmlformats.org/officeDocument/2006/relationships/hyperlink" Target="http://www.linkedin.com/in/72422" TargetMode="External"/><Relationship Id="rId1953" Type="http://schemas.openxmlformats.org/officeDocument/2006/relationships/hyperlink" Target="http://www.linkedin.com/in/chipbumgardner" TargetMode="External"/><Relationship Id="rId1954" Type="http://schemas.openxmlformats.org/officeDocument/2006/relationships/hyperlink" Target="http://www.linkedin.com/in/abhegde" TargetMode="External"/><Relationship Id="rId1955" Type="http://schemas.openxmlformats.org/officeDocument/2006/relationships/hyperlink" Target="http://ca.linkedin.com/pub/jeff-dwyer/1/860/74B" TargetMode="External"/><Relationship Id="rId1956" Type="http://schemas.openxmlformats.org/officeDocument/2006/relationships/hyperlink" Target="http://www.linkedin.com/in/brennantitus" TargetMode="External"/><Relationship Id="rId1957" Type="http://schemas.openxmlformats.org/officeDocument/2006/relationships/hyperlink" Target="http://www.linkedin.com/in/greggsgambati" TargetMode="External"/><Relationship Id="rId1958" Type="http://schemas.openxmlformats.org/officeDocument/2006/relationships/hyperlink" Target="http://www.linkedin.com/pub/clifford-heckman/2/471/97B" TargetMode="External"/><Relationship Id="rId1959" Type="http://schemas.openxmlformats.org/officeDocument/2006/relationships/hyperlink" Target="http://www.linkedin.com/pub/karen-brewer/3/A60/B84" TargetMode="External"/><Relationship Id="rId1940" Type="http://schemas.openxmlformats.org/officeDocument/2006/relationships/hyperlink" Target="https://www.linkedin.com/in/bhabanisahu" TargetMode="External"/><Relationship Id="rId1941" Type="http://schemas.openxmlformats.org/officeDocument/2006/relationships/hyperlink" Target="http://be.linkedin.com/pub/kim-dennis/3/159/280" TargetMode="External"/><Relationship Id="rId1942" Type="http://schemas.openxmlformats.org/officeDocument/2006/relationships/hyperlink" Target="https://www.linkedin.com/pub/rick-louden/0/37b/1b9" TargetMode="External"/><Relationship Id="rId1943" Type="http://schemas.openxmlformats.org/officeDocument/2006/relationships/hyperlink" Target="http://www.linkedin.com/in/lindalupowitz" TargetMode="External"/><Relationship Id="rId1944" Type="http://schemas.openxmlformats.org/officeDocument/2006/relationships/hyperlink" Target="http://www.linkedin.com/in/martiallen" TargetMode="External"/><Relationship Id="rId1945" Type="http://schemas.openxmlformats.org/officeDocument/2006/relationships/hyperlink" Target="http://www.linkedin.com/in/ninadk" TargetMode="External"/><Relationship Id="rId1946" Type="http://schemas.openxmlformats.org/officeDocument/2006/relationships/hyperlink" Target="http://ca.linkedin.com/pub/diane-martino/1/787/A3" TargetMode="External"/><Relationship Id="rId1947" Type="http://schemas.openxmlformats.org/officeDocument/2006/relationships/hyperlink" Target="http://uk.linkedin.com/in/samjgordon" TargetMode="External"/><Relationship Id="rId1948" Type="http://schemas.openxmlformats.org/officeDocument/2006/relationships/hyperlink" Target="http://www.linkedin.com/pub/eman-emmanuel-conde/2/770/5BA" TargetMode="External"/><Relationship Id="rId1949" Type="http://schemas.openxmlformats.org/officeDocument/2006/relationships/hyperlink" Target="http://uk.linkedin.com/in/jarmilahalovskyyu" TargetMode="External"/><Relationship Id="rId509" Type="http://schemas.openxmlformats.org/officeDocument/2006/relationships/hyperlink" Target="http://www.linkedin.com/pub/phil-steffora/0/120/378" TargetMode="External"/><Relationship Id="rId508" Type="http://schemas.openxmlformats.org/officeDocument/2006/relationships/hyperlink" Target="https://www.linkedin.com/pub/michael-marubio/0/73/615" TargetMode="External"/><Relationship Id="rId9061" Type="http://schemas.openxmlformats.org/officeDocument/2006/relationships/hyperlink" Target="http://www.linkedin.com/in/tonygreenberg" TargetMode="External"/><Relationship Id="rId9060" Type="http://schemas.openxmlformats.org/officeDocument/2006/relationships/hyperlink" Target="http://www.linkedin.com/in/damanrwood" TargetMode="External"/><Relationship Id="rId503" Type="http://schemas.openxmlformats.org/officeDocument/2006/relationships/hyperlink" Target="http://www.linkedin.com/pub/susanne-bowen/0/6B/8AB" TargetMode="External"/><Relationship Id="rId9054" Type="http://schemas.openxmlformats.org/officeDocument/2006/relationships/hyperlink" Target="http://www.linkedin.com/in/patrickboylan" TargetMode="External"/><Relationship Id="rId502" Type="http://schemas.openxmlformats.org/officeDocument/2006/relationships/hyperlink" Target="http://www.linkedin.com/in/philipterry" TargetMode="External"/><Relationship Id="rId9053" Type="http://schemas.openxmlformats.org/officeDocument/2006/relationships/hyperlink" Target="http://www.linkedin.com/in/shahbaz" TargetMode="External"/><Relationship Id="rId501" Type="http://schemas.openxmlformats.org/officeDocument/2006/relationships/hyperlink" Target="https://www.linkedin.com/in/djost" TargetMode="External"/><Relationship Id="rId9052" Type="http://schemas.openxmlformats.org/officeDocument/2006/relationships/hyperlink" Target="http://www.linkedin.com/in/rschmelzer" TargetMode="External"/><Relationship Id="rId500" Type="http://schemas.openxmlformats.org/officeDocument/2006/relationships/hyperlink" Target="http://uk.linkedin.com/in/carladiasbento" TargetMode="External"/><Relationship Id="rId9051" Type="http://schemas.openxmlformats.org/officeDocument/2006/relationships/hyperlink" Target="http://www.linkedin.com/in/brucecondit" TargetMode="External"/><Relationship Id="rId507" Type="http://schemas.openxmlformats.org/officeDocument/2006/relationships/hyperlink" Target="http://www.linkedin.com/in/rohitchoubey" TargetMode="External"/><Relationship Id="rId9058" Type="http://schemas.openxmlformats.org/officeDocument/2006/relationships/hyperlink" Target="http://www.linkedin.com/in/leveille" TargetMode="External"/><Relationship Id="rId506" Type="http://schemas.openxmlformats.org/officeDocument/2006/relationships/hyperlink" Target="http://uk.linkedin.com/in/guidodesimoni" TargetMode="External"/><Relationship Id="rId9057" Type="http://schemas.openxmlformats.org/officeDocument/2006/relationships/hyperlink" Target="http://www.linkedin.com/in/jeffdrust" TargetMode="External"/><Relationship Id="rId505" Type="http://schemas.openxmlformats.org/officeDocument/2006/relationships/hyperlink" Target="http://www.linkedin.com/in/rickkiwi" TargetMode="External"/><Relationship Id="rId9056" Type="http://schemas.openxmlformats.org/officeDocument/2006/relationships/hyperlink" Target="http://www.linkedin.com/in/randybias" TargetMode="External"/><Relationship Id="rId504" Type="http://schemas.openxmlformats.org/officeDocument/2006/relationships/hyperlink" Target="http://uk.linkedin.com/in/pauldakin" TargetMode="External"/><Relationship Id="rId9055" Type="http://schemas.openxmlformats.org/officeDocument/2006/relationships/hyperlink" Target="http://www.linkedin.com/in/jeffhoyer" TargetMode="External"/><Relationship Id="rId9059" Type="http://schemas.openxmlformats.org/officeDocument/2006/relationships/hyperlink" Target="http://www.linkedin.com/in/carlbressler" TargetMode="External"/><Relationship Id="rId9050" Type="http://schemas.openxmlformats.org/officeDocument/2006/relationships/hyperlink" Target="http://www.linkedin.com/in/jjordan" TargetMode="External"/><Relationship Id="rId9043" Type="http://schemas.openxmlformats.org/officeDocument/2006/relationships/hyperlink" Target="http://www.linkedin.com/in/christianbarnard" TargetMode="External"/><Relationship Id="rId9042" Type="http://schemas.openxmlformats.org/officeDocument/2006/relationships/hyperlink" Target="http://www.linkedin.com/pub/mary-beam/0/93/904" TargetMode="External"/><Relationship Id="rId9041" Type="http://schemas.openxmlformats.org/officeDocument/2006/relationships/hyperlink" Target="http://www.linkedin.com/in/anthonyandrew" TargetMode="External"/><Relationship Id="rId9040" Type="http://schemas.openxmlformats.org/officeDocument/2006/relationships/hyperlink" Target="http://www.linkedin.com/in/keithmccurdy" TargetMode="External"/><Relationship Id="rId9047" Type="http://schemas.openxmlformats.org/officeDocument/2006/relationships/hyperlink" Target="http://www.linkedin.com/pub/gadi-bashvitz/0/12A/18A" TargetMode="External"/><Relationship Id="rId9046" Type="http://schemas.openxmlformats.org/officeDocument/2006/relationships/hyperlink" Target="http://www.linkedin.com/in/eugeneevans" TargetMode="External"/><Relationship Id="rId9045" Type="http://schemas.openxmlformats.org/officeDocument/2006/relationships/hyperlink" Target="https://www.linkedin.com/in/jerrychuskins" TargetMode="External"/><Relationship Id="rId9044" Type="http://schemas.openxmlformats.org/officeDocument/2006/relationships/hyperlink" Target="http://www.linkedin.com/in/jayraman" TargetMode="External"/><Relationship Id="rId9049" Type="http://schemas.openxmlformats.org/officeDocument/2006/relationships/hyperlink" Target="http://www.linkedin.com/pub/aruna-ravichandran/0/A78/784" TargetMode="External"/><Relationship Id="rId9048" Type="http://schemas.openxmlformats.org/officeDocument/2006/relationships/hyperlink" Target="http://www.linkedin.com/in/jberenbaum" TargetMode="External"/><Relationship Id="rId6803" Type="http://schemas.openxmlformats.org/officeDocument/2006/relationships/hyperlink" Target="http://ar.linkedin.com/pub/julieta-piazza/A/85/30B" TargetMode="External"/><Relationship Id="rId6804" Type="http://schemas.openxmlformats.org/officeDocument/2006/relationships/hyperlink" Target="http://ar.linkedin.com/in/danieldron" TargetMode="External"/><Relationship Id="rId6801" Type="http://schemas.openxmlformats.org/officeDocument/2006/relationships/hyperlink" Target="http://www.linkedin.com/in/iroizman" TargetMode="External"/><Relationship Id="rId6802" Type="http://schemas.openxmlformats.org/officeDocument/2006/relationships/hyperlink" Target="http://www.linkedin.com/in/danielmauricioguzman" TargetMode="External"/><Relationship Id="rId6807" Type="http://schemas.openxmlformats.org/officeDocument/2006/relationships/hyperlink" Target="http://www.linkedin.com/pub/leonardo-de-francesco/13/709/34a" TargetMode="External"/><Relationship Id="rId6808" Type="http://schemas.openxmlformats.org/officeDocument/2006/relationships/hyperlink" Target="http://ar.linkedin.com/in/martinlawson" TargetMode="External"/><Relationship Id="rId6805" Type="http://schemas.openxmlformats.org/officeDocument/2006/relationships/hyperlink" Target="http://ar.linkedin.com/in/pacoestevarena" TargetMode="External"/><Relationship Id="rId6806" Type="http://schemas.openxmlformats.org/officeDocument/2006/relationships/hyperlink" Target="http://ar.linkedin.com/in/alejandroaguilera" TargetMode="External"/><Relationship Id="rId6809" Type="http://schemas.openxmlformats.org/officeDocument/2006/relationships/hyperlink" Target="http://www.linkedin.com/pub/lucila-biasco/7/72/4a3" TargetMode="External"/><Relationship Id="rId9083" Type="http://schemas.openxmlformats.org/officeDocument/2006/relationships/hyperlink" Target="http://www.linkedin.com/in/kempenich" TargetMode="External"/><Relationship Id="rId9082" Type="http://schemas.openxmlformats.org/officeDocument/2006/relationships/hyperlink" Target="http://www.linkedin.com/pub/tom-azelby/4/424/7A9" TargetMode="External"/><Relationship Id="rId9081" Type="http://schemas.openxmlformats.org/officeDocument/2006/relationships/hyperlink" Target="http://www.linkedin.com/in/gzicherm" TargetMode="External"/><Relationship Id="rId9080" Type="http://schemas.openxmlformats.org/officeDocument/2006/relationships/hyperlink" Target="http://www.linkedin.com/in/caspurdy" TargetMode="External"/><Relationship Id="rId525" Type="http://schemas.openxmlformats.org/officeDocument/2006/relationships/hyperlink" Target="http://www.linkedin.com/pub/drew-maginnis/4/4B9/A3A" TargetMode="External"/><Relationship Id="rId9076" Type="http://schemas.openxmlformats.org/officeDocument/2006/relationships/hyperlink" Target="http://www.linkedin.com/pub/joe-privitera/0/102/834" TargetMode="External"/><Relationship Id="rId524" Type="http://schemas.openxmlformats.org/officeDocument/2006/relationships/hyperlink" Target="http://www.linkedin.com/pub/lisa-cullingworth/0/259/417" TargetMode="External"/><Relationship Id="rId9075" Type="http://schemas.openxmlformats.org/officeDocument/2006/relationships/hyperlink" Target="http://www.linkedin.com/in/montegrubb" TargetMode="External"/><Relationship Id="rId523" Type="http://schemas.openxmlformats.org/officeDocument/2006/relationships/hyperlink" Target="http://www.linkedin.com/pub/joris-jonker/0/211/983" TargetMode="External"/><Relationship Id="rId9074" Type="http://schemas.openxmlformats.org/officeDocument/2006/relationships/hyperlink" Target="http://www.linkedin.com/in/selwayp" TargetMode="External"/><Relationship Id="rId522" Type="http://schemas.openxmlformats.org/officeDocument/2006/relationships/hyperlink" Target="http://www.linkedin.com/pub/gopal-rangachary/0/663/574" TargetMode="External"/><Relationship Id="rId9073" Type="http://schemas.openxmlformats.org/officeDocument/2006/relationships/hyperlink" Target="http://www.linkedin.com/in/deansprankling" TargetMode="External"/><Relationship Id="rId529" Type="http://schemas.openxmlformats.org/officeDocument/2006/relationships/hyperlink" Target="http://www.linkedin.com/pub/dana-dotoli/0/332/221" TargetMode="External"/><Relationship Id="rId528" Type="http://schemas.openxmlformats.org/officeDocument/2006/relationships/hyperlink" Target="http://www.linkedin.com/pub/randy-bernard/0/960/646" TargetMode="External"/><Relationship Id="rId9079" Type="http://schemas.openxmlformats.org/officeDocument/2006/relationships/hyperlink" Target="https://www.linkedin.com/in/nvered" TargetMode="External"/><Relationship Id="rId527" Type="http://schemas.openxmlformats.org/officeDocument/2006/relationships/hyperlink" Target="http://www.linkedin.com/pub/colin-pinto/0/B17/732" TargetMode="External"/><Relationship Id="rId9078" Type="http://schemas.openxmlformats.org/officeDocument/2006/relationships/hyperlink" Target="http://www.linkedin.com/in/robpickeral" TargetMode="External"/><Relationship Id="rId526" Type="http://schemas.openxmlformats.org/officeDocument/2006/relationships/hyperlink" Target="http://www.linkedin.com/in/mattburgoon" TargetMode="External"/><Relationship Id="rId9077" Type="http://schemas.openxmlformats.org/officeDocument/2006/relationships/hyperlink" Target="http://www.linkedin.com/in/callenspark" TargetMode="External"/><Relationship Id="rId521" Type="http://schemas.openxmlformats.org/officeDocument/2006/relationships/hyperlink" Target="http://www.linkedin.com/pub/dave-wippich/0/1BB/7B4" TargetMode="External"/><Relationship Id="rId520" Type="http://schemas.openxmlformats.org/officeDocument/2006/relationships/hyperlink" Target="http://www.linkedin.com/pub/mark-edwards/0/169/7A0" TargetMode="External"/><Relationship Id="rId6800" Type="http://schemas.openxmlformats.org/officeDocument/2006/relationships/hyperlink" Target="http://ar.linkedin.com/in/florsanoner" TargetMode="External"/><Relationship Id="rId519" Type="http://schemas.openxmlformats.org/officeDocument/2006/relationships/hyperlink" Target="http://www.linkedin.com/pub/mary-ann-massad/0/a0b/a84" TargetMode="External"/><Relationship Id="rId9072" Type="http://schemas.openxmlformats.org/officeDocument/2006/relationships/hyperlink" Target="http://www.linkedin.com/in/carlyankowski" TargetMode="External"/><Relationship Id="rId9071" Type="http://schemas.openxmlformats.org/officeDocument/2006/relationships/hyperlink" Target="http://www.linkedin.com/pub/mike-gilley/0/959/494" TargetMode="External"/><Relationship Id="rId9070" Type="http://schemas.openxmlformats.org/officeDocument/2006/relationships/hyperlink" Target="http://www.linkedin.com/pub/tim-bishop/3/85B/5A4" TargetMode="External"/><Relationship Id="rId514" Type="http://schemas.openxmlformats.org/officeDocument/2006/relationships/hyperlink" Target="http://www.linkedin.com/in/niravtolia" TargetMode="External"/><Relationship Id="rId9065" Type="http://schemas.openxmlformats.org/officeDocument/2006/relationships/hyperlink" Target="http://uk.linkedin.com/pub/matthew-western/0/A9/A55" TargetMode="External"/><Relationship Id="rId513" Type="http://schemas.openxmlformats.org/officeDocument/2006/relationships/hyperlink" Target="http://www.linkedin.com/in/patricklilley" TargetMode="External"/><Relationship Id="rId9064" Type="http://schemas.openxmlformats.org/officeDocument/2006/relationships/hyperlink" Target="http://www.linkedin.com/in/robynrose" TargetMode="External"/><Relationship Id="rId512" Type="http://schemas.openxmlformats.org/officeDocument/2006/relationships/hyperlink" Target="http://uk.linkedin.com/pub/mike-capstick/0/900/A36" TargetMode="External"/><Relationship Id="rId9063" Type="http://schemas.openxmlformats.org/officeDocument/2006/relationships/hyperlink" Target="http://www.linkedin.com/in/agurjal" TargetMode="External"/><Relationship Id="rId511" Type="http://schemas.openxmlformats.org/officeDocument/2006/relationships/hyperlink" Target="http://www.linkedin.com/in/leewachter" TargetMode="External"/><Relationship Id="rId9062" Type="http://schemas.openxmlformats.org/officeDocument/2006/relationships/hyperlink" Target="http://www.linkedin.com/in/gabegarms" TargetMode="External"/><Relationship Id="rId518" Type="http://schemas.openxmlformats.org/officeDocument/2006/relationships/hyperlink" Target="http://fr.linkedin.com/in/shaunzelber" TargetMode="External"/><Relationship Id="rId9069" Type="http://schemas.openxmlformats.org/officeDocument/2006/relationships/hyperlink" Target="http://www.linkedin.com/pub/yale-a-tankus/0/b0/229" TargetMode="External"/><Relationship Id="rId517" Type="http://schemas.openxmlformats.org/officeDocument/2006/relationships/hyperlink" Target="http://www.linkedin.com/pub/feldo-nartapura/7/B85/494" TargetMode="External"/><Relationship Id="rId9068" Type="http://schemas.openxmlformats.org/officeDocument/2006/relationships/hyperlink" Target="http://www.linkedin.com/pub/charles-moore/3/794/850" TargetMode="External"/><Relationship Id="rId516" Type="http://schemas.openxmlformats.org/officeDocument/2006/relationships/hyperlink" Target="http://www.linkedin.com/pub/peter-mellen/0/2B/A36" TargetMode="External"/><Relationship Id="rId9067" Type="http://schemas.openxmlformats.org/officeDocument/2006/relationships/hyperlink" Target="http://www.linkedin.com/in/isernia" TargetMode="External"/><Relationship Id="rId515" Type="http://schemas.openxmlformats.org/officeDocument/2006/relationships/hyperlink" Target="http://au.linkedin.com/pub/christiane-biemann-chris-biemann-consulting-de-/1/61/51A" TargetMode="External"/><Relationship Id="rId9066" Type="http://schemas.openxmlformats.org/officeDocument/2006/relationships/hyperlink" Target="http://www.linkedin.com/pub/rowan-scranage/0/aa/671" TargetMode="External"/><Relationship Id="rId510" Type="http://schemas.openxmlformats.org/officeDocument/2006/relationships/hyperlink" Target="http://www.linkedin.com/in/dominickcomo" TargetMode="External"/><Relationship Id="rId9010" Type="http://schemas.openxmlformats.org/officeDocument/2006/relationships/hyperlink" Target="http://www.linkedin.com/pub/nicklas-lundblad/0/A1/29A" TargetMode="External"/><Relationship Id="rId9014" Type="http://schemas.openxmlformats.org/officeDocument/2006/relationships/hyperlink" Target="http://www.linkedin.com/in/jimdyer" TargetMode="External"/><Relationship Id="rId9013" Type="http://schemas.openxmlformats.org/officeDocument/2006/relationships/hyperlink" Target="http://www.linkedin.com/in/developall" TargetMode="External"/><Relationship Id="rId9012" Type="http://schemas.openxmlformats.org/officeDocument/2006/relationships/hyperlink" Target="http://www.linkedin.com/in/carilli" TargetMode="External"/><Relationship Id="rId9011" Type="http://schemas.openxmlformats.org/officeDocument/2006/relationships/hyperlink" Target="http://www.linkedin.com/in/mch423" TargetMode="External"/><Relationship Id="rId9018" Type="http://schemas.openxmlformats.org/officeDocument/2006/relationships/hyperlink" Target="http://www.linkedin.com/in/momcentral" TargetMode="External"/><Relationship Id="rId9017" Type="http://schemas.openxmlformats.org/officeDocument/2006/relationships/hyperlink" Target="http://www.linkedin.com/in/demandgeneration" TargetMode="External"/><Relationship Id="rId9016" Type="http://schemas.openxmlformats.org/officeDocument/2006/relationships/hyperlink" Target="http://www.linkedin.com/in/markgambirasi" TargetMode="External"/><Relationship Id="rId9015" Type="http://schemas.openxmlformats.org/officeDocument/2006/relationships/hyperlink" Target="http://www.linkedin.com/in/doncollinsjr" TargetMode="External"/><Relationship Id="rId9019" Type="http://schemas.openxmlformats.org/officeDocument/2006/relationships/hyperlink" Target="http://www.linkedin.com/in/joelfricker" TargetMode="External"/><Relationship Id="rId9003" Type="http://schemas.openxmlformats.org/officeDocument/2006/relationships/hyperlink" Target="http://www.linkedin.com/pub/mahendra-durai/0/498/B87" TargetMode="External"/><Relationship Id="rId9002" Type="http://schemas.openxmlformats.org/officeDocument/2006/relationships/hyperlink" Target="http://www.linkedin.com/in/680partners" TargetMode="External"/><Relationship Id="rId9001" Type="http://schemas.openxmlformats.org/officeDocument/2006/relationships/hyperlink" Target="http://www.linkedin.com/in/derekdukes" TargetMode="External"/><Relationship Id="rId9000" Type="http://schemas.openxmlformats.org/officeDocument/2006/relationships/hyperlink" Target="http://www.linkedin.com/in/timmaliyil" TargetMode="External"/><Relationship Id="rId9007" Type="http://schemas.openxmlformats.org/officeDocument/2006/relationships/hyperlink" Target="http://www.linkedin.com/in/ananke" TargetMode="External"/><Relationship Id="rId9006" Type="http://schemas.openxmlformats.org/officeDocument/2006/relationships/hyperlink" Target="http://www.linkedin.com/in/phillipsrubin" TargetMode="External"/><Relationship Id="rId9005" Type="http://schemas.openxmlformats.org/officeDocument/2006/relationships/hyperlink" Target="http://www.linkedin.com/in/clearfweb" TargetMode="External"/><Relationship Id="rId9004" Type="http://schemas.openxmlformats.org/officeDocument/2006/relationships/hyperlink" Target="http://www.linkedin.com/in/robclyde" TargetMode="External"/><Relationship Id="rId9009" Type="http://schemas.openxmlformats.org/officeDocument/2006/relationships/hyperlink" Target="http://www.linkedin.com/in/edfries" TargetMode="External"/><Relationship Id="rId9008" Type="http://schemas.openxmlformats.org/officeDocument/2006/relationships/hyperlink" Target="http://www.linkedin.com/in/robertgeils" TargetMode="External"/><Relationship Id="rId9032" Type="http://schemas.openxmlformats.org/officeDocument/2006/relationships/hyperlink" Target="http://www.linkedin.com/in/stevenaramos" TargetMode="External"/><Relationship Id="rId9031" Type="http://schemas.openxmlformats.org/officeDocument/2006/relationships/hyperlink" Target="http://www.linkedin.com/in/johnckim" TargetMode="External"/><Relationship Id="rId9030" Type="http://schemas.openxmlformats.org/officeDocument/2006/relationships/hyperlink" Target="http://www.linkedin.com/in/timvill" TargetMode="External"/><Relationship Id="rId9036" Type="http://schemas.openxmlformats.org/officeDocument/2006/relationships/hyperlink" Target="http://www.linkedin.com/pub/erikka-buico/2/278/A5" TargetMode="External"/><Relationship Id="rId9035" Type="http://schemas.openxmlformats.org/officeDocument/2006/relationships/hyperlink" Target="http://www.linkedin.com/in/jeffcumbee" TargetMode="External"/><Relationship Id="rId9034" Type="http://schemas.openxmlformats.org/officeDocument/2006/relationships/hyperlink" Target="http://www.linkedin.com/in/pravat" TargetMode="External"/><Relationship Id="rId9033" Type="http://schemas.openxmlformats.org/officeDocument/2006/relationships/hyperlink" Target="http://www.linkedin.com/pub/aj-ragosta/2/247/42A" TargetMode="External"/><Relationship Id="rId9039" Type="http://schemas.openxmlformats.org/officeDocument/2006/relationships/hyperlink" Target="http://www.linkedin.com/in/abhas" TargetMode="External"/><Relationship Id="rId9038" Type="http://schemas.openxmlformats.org/officeDocument/2006/relationships/hyperlink" Target="http://www.linkedin.com/in/arievanderstroom" TargetMode="External"/><Relationship Id="rId9037" Type="http://schemas.openxmlformats.org/officeDocument/2006/relationships/hyperlink" Target="http://www.linkedin.com/in/robgettemy" TargetMode="External"/><Relationship Id="rId9021" Type="http://schemas.openxmlformats.org/officeDocument/2006/relationships/hyperlink" Target="http://www.linkedin.com/in/johnfineran" TargetMode="External"/><Relationship Id="rId9020" Type="http://schemas.openxmlformats.org/officeDocument/2006/relationships/hyperlink" Target="http://www.linkedin.com/in/micheleshannonsandiego" TargetMode="External"/><Relationship Id="rId9025" Type="http://schemas.openxmlformats.org/officeDocument/2006/relationships/hyperlink" Target="http://www.linkedin.com/pub/jason-wayman/2/BAA/403" TargetMode="External"/><Relationship Id="rId9024" Type="http://schemas.openxmlformats.org/officeDocument/2006/relationships/hyperlink" Target="http://www.linkedin.com/in/bwall" TargetMode="External"/><Relationship Id="rId9023" Type="http://schemas.openxmlformats.org/officeDocument/2006/relationships/hyperlink" Target="http://www.linkedin.com/in/ktbailey" TargetMode="External"/><Relationship Id="rId9022" Type="http://schemas.openxmlformats.org/officeDocument/2006/relationships/hyperlink" Target="http://www.linkedin.com/pub/gerald-monroe/0/84/96" TargetMode="External"/><Relationship Id="rId9029" Type="http://schemas.openxmlformats.org/officeDocument/2006/relationships/hyperlink" Target="http://www.linkedin.com/pub/ido-ben-moshe/0/630/230" TargetMode="External"/><Relationship Id="rId9028" Type="http://schemas.openxmlformats.org/officeDocument/2006/relationships/hyperlink" Target="http://www.linkedin.com/in/stanquayle" TargetMode="External"/><Relationship Id="rId9027" Type="http://schemas.openxmlformats.org/officeDocument/2006/relationships/hyperlink" Target="http://www.linkedin.com/in/chrisnekvinda" TargetMode="External"/><Relationship Id="rId9026" Type="http://schemas.openxmlformats.org/officeDocument/2006/relationships/hyperlink" Target="http://www.linkedin.com/in/vickvirenvaishnavi" TargetMode="External"/><Relationship Id="rId4206" Type="http://schemas.openxmlformats.org/officeDocument/2006/relationships/hyperlink" Target="http://ar.linkedin.com/pub/fabian-lettieri/2/599/62A" TargetMode="External"/><Relationship Id="rId5538" Type="http://schemas.openxmlformats.org/officeDocument/2006/relationships/hyperlink" Target="http://br.linkedin.com/in/edsonbrandi" TargetMode="External"/><Relationship Id="rId6869" Type="http://schemas.openxmlformats.org/officeDocument/2006/relationships/hyperlink" Target="http://ar.linkedin.com/in/seroro" TargetMode="External"/><Relationship Id="rId4205" Type="http://schemas.openxmlformats.org/officeDocument/2006/relationships/hyperlink" Target="http://ar.linkedin.com/pub/ramiro-cormenzana/0/295/9B3" TargetMode="External"/><Relationship Id="rId5539" Type="http://schemas.openxmlformats.org/officeDocument/2006/relationships/hyperlink" Target="http://www.linkedin.com/pub/phong-q-rock/4/4/260" TargetMode="External"/><Relationship Id="rId4208" Type="http://schemas.openxmlformats.org/officeDocument/2006/relationships/hyperlink" Target="http://ar.linkedin.com/in/veronicasigno" TargetMode="External"/><Relationship Id="rId5536" Type="http://schemas.openxmlformats.org/officeDocument/2006/relationships/hyperlink" Target="http://www.linkedin.com/in/zigurd" TargetMode="External"/><Relationship Id="rId6867" Type="http://schemas.openxmlformats.org/officeDocument/2006/relationships/hyperlink" Target="http://ar.linkedin.com/in/npinat" TargetMode="External"/><Relationship Id="rId4207" Type="http://schemas.openxmlformats.org/officeDocument/2006/relationships/hyperlink" Target="http://www.linkedin.com/pub/juan-manuel-ciuffo/5/9aa/21b" TargetMode="External"/><Relationship Id="rId5537" Type="http://schemas.openxmlformats.org/officeDocument/2006/relationships/hyperlink" Target="http://in.linkedin.com/pub/shweta-mahajan/2/B02/529" TargetMode="External"/><Relationship Id="rId6868" Type="http://schemas.openxmlformats.org/officeDocument/2006/relationships/hyperlink" Target="http://ar.linkedin.com/pub/javier-attie/30/439/50A" TargetMode="External"/><Relationship Id="rId590" Type="http://schemas.openxmlformats.org/officeDocument/2006/relationships/hyperlink" Target="http://www.linkedin.com/pub/camilo-bianchi/23/190/354" TargetMode="External"/><Relationship Id="rId4209" Type="http://schemas.openxmlformats.org/officeDocument/2006/relationships/hyperlink" Target="http://ar.linkedin.com/pub/javier-taiana/26/773/806" TargetMode="External"/><Relationship Id="rId589" Type="http://schemas.openxmlformats.org/officeDocument/2006/relationships/hyperlink" Target="https://www.linkedin.com/in/larsbell" TargetMode="External"/><Relationship Id="rId588" Type="http://schemas.openxmlformats.org/officeDocument/2006/relationships/hyperlink" Target="http://www.linkedin.com/pub/marte-formico/0/837/609" TargetMode="External"/><Relationship Id="rId583" Type="http://schemas.openxmlformats.org/officeDocument/2006/relationships/hyperlink" Target="http://www.linkedin.com/pub/john-lopes/8/16A/B62" TargetMode="External"/><Relationship Id="rId5530" Type="http://schemas.openxmlformats.org/officeDocument/2006/relationships/hyperlink" Target="http://www.linkedin.com/pub/oscar-piroli/1/807/264" TargetMode="External"/><Relationship Id="rId6861" Type="http://schemas.openxmlformats.org/officeDocument/2006/relationships/hyperlink" Target="http://ar.linkedin.com/in/martindelbosco" TargetMode="External"/><Relationship Id="rId582" Type="http://schemas.openxmlformats.org/officeDocument/2006/relationships/hyperlink" Target="http://www.linkedin.com/in/arorasamir" TargetMode="External"/><Relationship Id="rId5531" Type="http://schemas.openxmlformats.org/officeDocument/2006/relationships/hyperlink" Target="http://ar.linkedin.com/pub/sergio-messing/13/8B7/511" TargetMode="External"/><Relationship Id="rId6862" Type="http://schemas.openxmlformats.org/officeDocument/2006/relationships/hyperlink" Target="http://www.linkedin.com/pub/diego-chulak/3/a61/5a7" TargetMode="External"/><Relationship Id="rId581" Type="http://schemas.openxmlformats.org/officeDocument/2006/relationships/hyperlink" Target="http://mx.linkedin.com/pub/guillermo-cb/27/1AA/44" TargetMode="External"/><Relationship Id="rId4200" Type="http://schemas.openxmlformats.org/officeDocument/2006/relationships/hyperlink" Target="http://www.linkedin.com/pub/paula-arad%C3%B3/3/186/15b" TargetMode="External"/><Relationship Id="rId580" Type="http://schemas.openxmlformats.org/officeDocument/2006/relationships/hyperlink" Target="http://www.linkedin.com/in/leiffrykman" TargetMode="External"/><Relationship Id="rId6860" Type="http://schemas.openxmlformats.org/officeDocument/2006/relationships/hyperlink" Target="http://www.linkedin.com/pub/anna-rodriguez/2/148/292" TargetMode="External"/><Relationship Id="rId587" Type="http://schemas.openxmlformats.org/officeDocument/2006/relationships/hyperlink" Target="http://br.linkedin.com/pub/joice-oliveira/29/795/95B" TargetMode="External"/><Relationship Id="rId4202" Type="http://schemas.openxmlformats.org/officeDocument/2006/relationships/hyperlink" Target="http://ar.linkedin.com/in/bernardofrau" TargetMode="External"/><Relationship Id="rId5534" Type="http://schemas.openxmlformats.org/officeDocument/2006/relationships/hyperlink" Target="http://www.linkedin.com/in/henri" TargetMode="External"/><Relationship Id="rId6865" Type="http://schemas.openxmlformats.org/officeDocument/2006/relationships/hyperlink" Target="http://ar.linkedin.com/pub/nicolas-monetto/15/450/678" TargetMode="External"/><Relationship Id="rId586" Type="http://schemas.openxmlformats.org/officeDocument/2006/relationships/hyperlink" Target="http://www.linkedin.com/in/ankitkumarshah" TargetMode="External"/><Relationship Id="rId4201" Type="http://schemas.openxmlformats.org/officeDocument/2006/relationships/hyperlink" Target="http://ar.linkedin.com/pub/mariana-bence/2/273/412" TargetMode="External"/><Relationship Id="rId5535" Type="http://schemas.openxmlformats.org/officeDocument/2006/relationships/hyperlink" Target="http://www.linkedin.com/in/kgoldrajch" TargetMode="External"/><Relationship Id="rId6866" Type="http://schemas.openxmlformats.org/officeDocument/2006/relationships/hyperlink" Target="http://ar.linkedin.com/pub/ariel-carrion/1A/A93/26B" TargetMode="External"/><Relationship Id="rId585" Type="http://schemas.openxmlformats.org/officeDocument/2006/relationships/hyperlink" Target="http://www.linkedin.com/in/parmila" TargetMode="External"/><Relationship Id="rId4204" Type="http://schemas.openxmlformats.org/officeDocument/2006/relationships/hyperlink" Target="http://ar.linkedin.com/in/mvolman" TargetMode="External"/><Relationship Id="rId5532" Type="http://schemas.openxmlformats.org/officeDocument/2006/relationships/hyperlink" Target="http://www.linkedin.com/pub/cintia-rullo/7/469/b55" TargetMode="External"/><Relationship Id="rId6863" Type="http://schemas.openxmlformats.org/officeDocument/2006/relationships/hyperlink" Target="http://ar.linkedin.com/pub/nicol-s-shinyashiki/5/8B0/253" TargetMode="External"/><Relationship Id="rId584" Type="http://schemas.openxmlformats.org/officeDocument/2006/relationships/hyperlink" Target="http://www.linkedin.com/pub/prabhakar-chitrapu/2/42B/104" TargetMode="External"/><Relationship Id="rId4203" Type="http://schemas.openxmlformats.org/officeDocument/2006/relationships/hyperlink" Target="http://www.linkedin.com/pub/ariel-martinez-di-vietri/9/512/36" TargetMode="External"/><Relationship Id="rId5533" Type="http://schemas.openxmlformats.org/officeDocument/2006/relationships/hyperlink" Target="http://www.linkedin.com/pub/flavio-alzueta-santa-cruz/2a/53/a24" TargetMode="External"/><Relationship Id="rId6864" Type="http://schemas.openxmlformats.org/officeDocument/2006/relationships/hyperlink" Target="http://www.linkedin.com/in/mjremijan" TargetMode="External"/><Relationship Id="rId5527" Type="http://schemas.openxmlformats.org/officeDocument/2006/relationships/hyperlink" Target="http://www.linkedin.com/pub/jim-hohmeister/A/572/935" TargetMode="External"/><Relationship Id="rId6858" Type="http://schemas.openxmlformats.org/officeDocument/2006/relationships/hyperlink" Target="http://ar.linkedin.com/pub/cintia-sonia-barreiro/30/A3A/59A" TargetMode="External"/><Relationship Id="rId5528" Type="http://schemas.openxmlformats.org/officeDocument/2006/relationships/hyperlink" Target="http://www.linkedin.com/in/johnharman" TargetMode="External"/><Relationship Id="rId6859" Type="http://schemas.openxmlformats.org/officeDocument/2006/relationships/hyperlink" Target="http://www.linkedin.com/in/laurenhall" TargetMode="External"/><Relationship Id="rId5525" Type="http://schemas.openxmlformats.org/officeDocument/2006/relationships/hyperlink" Target="http://www.linkedin.com/in/chrisrauh" TargetMode="External"/><Relationship Id="rId6856" Type="http://schemas.openxmlformats.org/officeDocument/2006/relationships/hyperlink" Target="http://www.linkedin.com/pub/martha-alicia-alles/24/b33/7b0" TargetMode="External"/><Relationship Id="rId5526" Type="http://schemas.openxmlformats.org/officeDocument/2006/relationships/hyperlink" Target="http://ar.linkedin.com/in/gustavobarreiros" TargetMode="External"/><Relationship Id="rId6857" Type="http://schemas.openxmlformats.org/officeDocument/2006/relationships/hyperlink" Target="http://www.linkedin.com/in/davidvartanian" TargetMode="External"/><Relationship Id="rId5529" Type="http://schemas.openxmlformats.org/officeDocument/2006/relationships/hyperlink" Target="http://uk.linkedin.com/pub/mariano-groiso/0/59/7A9" TargetMode="External"/><Relationship Id="rId579" Type="http://schemas.openxmlformats.org/officeDocument/2006/relationships/hyperlink" Target="http://www.linkedin.com/pub/eddie-tuvin-etuv-aol-com-/0/5A9/916" TargetMode="External"/><Relationship Id="rId578" Type="http://schemas.openxmlformats.org/officeDocument/2006/relationships/hyperlink" Target="http://ca.linkedin.com/in/sheilahobeck" TargetMode="External"/><Relationship Id="rId577" Type="http://schemas.openxmlformats.org/officeDocument/2006/relationships/hyperlink" Target="http://www.linkedin.com/in/raultenorio" TargetMode="External"/><Relationship Id="rId572" Type="http://schemas.openxmlformats.org/officeDocument/2006/relationships/hyperlink" Target="http://www.linkedin.com/in/kathee" TargetMode="External"/><Relationship Id="rId6850" Type="http://schemas.openxmlformats.org/officeDocument/2006/relationships/hyperlink" Target="http://ar.linkedin.com/in/aneta81" TargetMode="External"/><Relationship Id="rId571" Type="http://schemas.openxmlformats.org/officeDocument/2006/relationships/hyperlink" Target="http://www.linkedin.com/in/idtfreedom" TargetMode="External"/><Relationship Id="rId5520" Type="http://schemas.openxmlformats.org/officeDocument/2006/relationships/hyperlink" Target="http://www.linkedin.com/in/showie" TargetMode="External"/><Relationship Id="rId6851" Type="http://schemas.openxmlformats.org/officeDocument/2006/relationships/hyperlink" Target="http://www.linkedin.com/in/luismiguelormachea" TargetMode="External"/><Relationship Id="rId570" Type="http://schemas.openxmlformats.org/officeDocument/2006/relationships/hyperlink" Target="http://www.linkedin.com/in/laurencenathanson" TargetMode="External"/><Relationship Id="rId576" Type="http://schemas.openxmlformats.org/officeDocument/2006/relationships/hyperlink" Target="http://www.linkedin.com/pub/bob-friday/0/39/88B" TargetMode="External"/><Relationship Id="rId5523" Type="http://schemas.openxmlformats.org/officeDocument/2006/relationships/hyperlink" Target="http://www.linkedin.com/pub/gabriel-isaacs-gabe/5/4a1/251" TargetMode="External"/><Relationship Id="rId6854" Type="http://schemas.openxmlformats.org/officeDocument/2006/relationships/hyperlink" Target="http://www.linkedin.com/pub/diego-osvaldo-lopez-gagliardi/3/5b8/245" TargetMode="External"/><Relationship Id="rId575" Type="http://schemas.openxmlformats.org/officeDocument/2006/relationships/hyperlink" Target="http://www.linkedin.com/in/davekerpen" TargetMode="External"/><Relationship Id="rId5524" Type="http://schemas.openxmlformats.org/officeDocument/2006/relationships/hyperlink" Target="http://www.linkedin.com/in/jhackett305" TargetMode="External"/><Relationship Id="rId6855" Type="http://schemas.openxmlformats.org/officeDocument/2006/relationships/hyperlink" Target="http://ar.linkedin.com/in/sergiocristaldo" TargetMode="External"/><Relationship Id="rId574" Type="http://schemas.openxmlformats.org/officeDocument/2006/relationships/hyperlink" Target="http://uk.linkedin.com/in/monalika" TargetMode="External"/><Relationship Id="rId5521" Type="http://schemas.openxmlformats.org/officeDocument/2006/relationships/hyperlink" Target="http://www.linkedin.com/pub/miriam-shapiro/3/8A0/1A3" TargetMode="External"/><Relationship Id="rId6852" Type="http://schemas.openxmlformats.org/officeDocument/2006/relationships/hyperlink" Target="http://www.linkedin.com/in/zimerman" TargetMode="External"/><Relationship Id="rId573" Type="http://schemas.openxmlformats.org/officeDocument/2006/relationships/hyperlink" Target="http://www.linkedin.com/pub/david-drummond/0/57/261" TargetMode="External"/><Relationship Id="rId5522" Type="http://schemas.openxmlformats.org/officeDocument/2006/relationships/hyperlink" Target="http://www.linkedin.com/in/coraflaster" TargetMode="External"/><Relationship Id="rId6853" Type="http://schemas.openxmlformats.org/officeDocument/2006/relationships/hyperlink" Target="http://ar.linkedin.com/pub/christian-brangold/B/198/423" TargetMode="External"/><Relationship Id="rId4228" Type="http://schemas.openxmlformats.org/officeDocument/2006/relationships/hyperlink" Target="http://ar.linkedin.com/in/gespindola" TargetMode="External"/><Relationship Id="rId4227" Type="http://schemas.openxmlformats.org/officeDocument/2006/relationships/hyperlink" Target="http://ar.linkedin.com/pub/maximiliano-carbajal/3/8A/33" TargetMode="External"/><Relationship Id="rId5558" Type="http://schemas.openxmlformats.org/officeDocument/2006/relationships/hyperlink" Target="http://www.linkedin.com/in/ericllam" TargetMode="External"/><Relationship Id="rId6889" Type="http://schemas.openxmlformats.org/officeDocument/2006/relationships/hyperlink" Target="http://www.linkedin.com/in/franciscodipaola" TargetMode="External"/><Relationship Id="rId4229" Type="http://schemas.openxmlformats.org/officeDocument/2006/relationships/hyperlink" Target="http://ar.linkedin.com/in/santiagomblanco" TargetMode="External"/><Relationship Id="rId5559" Type="http://schemas.openxmlformats.org/officeDocument/2006/relationships/hyperlink" Target="http://ar.linkedin.com/in/santiagocarballo" TargetMode="External"/><Relationship Id="rId6880" Type="http://schemas.openxmlformats.org/officeDocument/2006/relationships/hyperlink" Target="http://ar.linkedin.com/in/mbalakuniec" TargetMode="External"/><Relationship Id="rId4220" Type="http://schemas.openxmlformats.org/officeDocument/2006/relationships/hyperlink" Target="http://ar.linkedin.com/pub/diego-andrei/A/4B6/354" TargetMode="External"/><Relationship Id="rId5552" Type="http://schemas.openxmlformats.org/officeDocument/2006/relationships/hyperlink" Target="http://ar.linkedin.com/pub/eduardo-gonzalez/5/116/904" TargetMode="External"/><Relationship Id="rId6883" Type="http://schemas.openxmlformats.org/officeDocument/2006/relationships/hyperlink" Target="http://ar.linkedin.com/in/carlaacevey" TargetMode="External"/><Relationship Id="rId5553" Type="http://schemas.openxmlformats.org/officeDocument/2006/relationships/hyperlink" Target="http://ar.linkedin.com/in/cristiansantander" TargetMode="External"/><Relationship Id="rId6884" Type="http://schemas.openxmlformats.org/officeDocument/2006/relationships/hyperlink" Target="http://www.linkedin.com/pub/magdalena-berm%C3%BAdez/22/319/a34" TargetMode="External"/><Relationship Id="rId4222" Type="http://schemas.openxmlformats.org/officeDocument/2006/relationships/hyperlink" Target="http://ar.linkedin.com/in/lucianaramos" TargetMode="External"/><Relationship Id="rId5550" Type="http://schemas.openxmlformats.org/officeDocument/2006/relationships/hyperlink" Target="http://www.linkedin.com/pub/paul-murphy/1/641/27B" TargetMode="External"/><Relationship Id="rId6881" Type="http://schemas.openxmlformats.org/officeDocument/2006/relationships/hyperlink" Target="http://www.linkedin.com/in/rvauco" TargetMode="External"/><Relationship Id="rId4221" Type="http://schemas.openxmlformats.org/officeDocument/2006/relationships/hyperlink" Target="http://www.linkedin.com/pub/pablo-calcina/14/a91/129" TargetMode="External"/><Relationship Id="rId5551" Type="http://schemas.openxmlformats.org/officeDocument/2006/relationships/hyperlink" Target="http://www.linkedin.com/pub/jennifer-gastorf/11/466/583" TargetMode="External"/><Relationship Id="rId6882" Type="http://schemas.openxmlformats.org/officeDocument/2006/relationships/hyperlink" Target="http://ar.linkedin.com/in/gastonlaya" TargetMode="External"/><Relationship Id="rId4224" Type="http://schemas.openxmlformats.org/officeDocument/2006/relationships/hyperlink" Target="http://ar.linkedin.com/pub/eloy-farina/22/A00/73" TargetMode="External"/><Relationship Id="rId5556" Type="http://schemas.openxmlformats.org/officeDocument/2006/relationships/hyperlink" Target="http://ar.linkedin.com/pub/ezequiel-pontnau/8/3B8/78A" TargetMode="External"/><Relationship Id="rId6887" Type="http://schemas.openxmlformats.org/officeDocument/2006/relationships/hyperlink" Target="http://ar.linkedin.com/pub/m%C3%B3nica-n%C3%ADtoli/6/1B7/435" TargetMode="External"/><Relationship Id="rId4223" Type="http://schemas.openxmlformats.org/officeDocument/2006/relationships/hyperlink" Target="http://ar.linkedin.com/pub/fernando-vazquez/0/60B/267" TargetMode="External"/><Relationship Id="rId5557" Type="http://schemas.openxmlformats.org/officeDocument/2006/relationships/hyperlink" Target="http://ar.linkedin.com/in/pablocarreno" TargetMode="External"/><Relationship Id="rId6888" Type="http://schemas.openxmlformats.org/officeDocument/2006/relationships/hyperlink" Target="http://ar.linkedin.com/in/guzmanchristian" TargetMode="External"/><Relationship Id="rId4226" Type="http://schemas.openxmlformats.org/officeDocument/2006/relationships/hyperlink" Target="http://ar.linkedin.com/pub/thiago-arroadie/13/99B/227" TargetMode="External"/><Relationship Id="rId5554" Type="http://schemas.openxmlformats.org/officeDocument/2006/relationships/hyperlink" Target="http://ar.linkedin.com/in/emislej" TargetMode="External"/><Relationship Id="rId6885" Type="http://schemas.openxmlformats.org/officeDocument/2006/relationships/hyperlink" Target="http://www.linkedin.com/pub/rafael-barabino/0/279/556" TargetMode="External"/><Relationship Id="rId4225" Type="http://schemas.openxmlformats.org/officeDocument/2006/relationships/hyperlink" Target="http://ar.linkedin.com/in/angiej" TargetMode="External"/><Relationship Id="rId5555" Type="http://schemas.openxmlformats.org/officeDocument/2006/relationships/hyperlink" Target="http://www.linkedin.com/pub/alex-khutorsky/1/62A/7A4" TargetMode="External"/><Relationship Id="rId6886" Type="http://schemas.openxmlformats.org/officeDocument/2006/relationships/hyperlink" Target="http://ar.linkedin.com/in/leandrodiato" TargetMode="External"/><Relationship Id="rId4217" Type="http://schemas.openxmlformats.org/officeDocument/2006/relationships/hyperlink" Target="http://ar.linkedin.com/pub/cynthia-tortesi/15/519/704" TargetMode="External"/><Relationship Id="rId5549" Type="http://schemas.openxmlformats.org/officeDocument/2006/relationships/hyperlink" Target="http://www.linkedin.com/pub/garry-shamis/2/655/A7B" TargetMode="External"/><Relationship Id="rId4216" Type="http://schemas.openxmlformats.org/officeDocument/2006/relationships/hyperlink" Target="http://ar.linkedin.com/in/adrianvanrell" TargetMode="External"/><Relationship Id="rId4219" Type="http://schemas.openxmlformats.org/officeDocument/2006/relationships/hyperlink" Target="http://ar.linkedin.com/pub/adrian-brizuela/0/239/376" TargetMode="External"/><Relationship Id="rId5547" Type="http://schemas.openxmlformats.org/officeDocument/2006/relationships/hyperlink" Target="http://www.linkedin.com/in/marcelomorena" TargetMode="External"/><Relationship Id="rId6878" Type="http://schemas.openxmlformats.org/officeDocument/2006/relationships/hyperlink" Target="http://ar.linkedin.com/pub/mauricio-palazzini/20/403/8B5" TargetMode="External"/><Relationship Id="rId4218" Type="http://schemas.openxmlformats.org/officeDocument/2006/relationships/hyperlink" Target="http://ar.linkedin.com/pub/ana-de-lorenzi/27/72/B5A" TargetMode="External"/><Relationship Id="rId5548" Type="http://schemas.openxmlformats.org/officeDocument/2006/relationships/hyperlink" Target="http://www.linkedin.com/pub/ajay-doshi/1/841/8A3" TargetMode="External"/><Relationship Id="rId6879" Type="http://schemas.openxmlformats.org/officeDocument/2006/relationships/hyperlink" Target="http://ar.linkedin.com/in/florenciaramos" TargetMode="External"/><Relationship Id="rId599" Type="http://schemas.openxmlformats.org/officeDocument/2006/relationships/hyperlink" Target="http://in.linkedin.com/pub/kanagalu-manoj/2/931/B9A" TargetMode="External"/><Relationship Id="rId594" Type="http://schemas.openxmlformats.org/officeDocument/2006/relationships/hyperlink" Target="http://www.linkedin.com/pub/lynn-anderson/3/923/639" TargetMode="External"/><Relationship Id="rId5541" Type="http://schemas.openxmlformats.org/officeDocument/2006/relationships/hyperlink" Target="http://www.linkedin.com/pub/marcio-silveira/3/990/229" TargetMode="External"/><Relationship Id="rId6872" Type="http://schemas.openxmlformats.org/officeDocument/2006/relationships/hyperlink" Target="http://www.linkedin.com/pub/flavio-adri%C3%A1n-albarrac%C3%ADn-3000/13/768/47b" TargetMode="External"/><Relationship Id="rId593" Type="http://schemas.openxmlformats.org/officeDocument/2006/relationships/hyperlink" Target="http://www.linkedin.com/pub/miguel-martinez/1/169/B88" TargetMode="External"/><Relationship Id="rId5542" Type="http://schemas.openxmlformats.org/officeDocument/2006/relationships/hyperlink" Target="http://www.linkedin.com/pub/lance-spitzner/1/BA/AB" TargetMode="External"/><Relationship Id="rId6873" Type="http://schemas.openxmlformats.org/officeDocument/2006/relationships/hyperlink" Target="http://www.linkedin.com/in/ricardodiez" TargetMode="External"/><Relationship Id="rId592" Type="http://schemas.openxmlformats.org/officeDocument/2006/relationships/hyperlink" Target="http://br.linkedin.com/pub/gabriel-fernando-yaginuma/2B/5/57" TargetMode="External"/><Relationship Id="rId4211" Type="http://schemas.openxmlformats.org/officeDocument/2006/relationships/hyperlink" Target="http://ar.linkedin.com/in/gandiarena" TargetMode="External"/><Relationship Id="rId6870" Type="http://schemas.openxmlformats.org/officeDocument/2006/relationships/hyperlink" Target="http://www.linkedin.com/in/hernanpisano" TargetMode="External"/><Relationship Id="rId591" Type="http://schemas.openxmlformats.org/officeDocument/2006/relationships/hyperlink" Target="http://br.linkedin.com/pub/anderson-pessoa/2A/A64/23A" TargetMode="External"/><Relationship Id="rId4210" Type="http://schemas.openxmlformats.org/officeDocument/2006/relationships/hyperlink" Target="http://www.linkedin.com/in/ezequielgrande" TargetMode="External"/><Relationship Id="rId5540" Type="http://schemas.openxmlformats.org/officeDocument/2006/relationships/hyperlink" Target="http://www.linkedin.com/in/marcus" TargetMode="External"/><Relationship Id="rId6871" Type="http://schemas.openxmlformats.org/officeDocument/2006/relationships/hyperlink" Target="http://www.linkedin.com/pub/ving-ian-lei/1/430/144" TargetMode="External"/><Relationship Id="rId598" Type="http://schemas.openxmlformats.org/officeDocument/2006/relationships/hyperlink" Target="http://www.linkedin.com/in/brown2020" TargetMode="External"/><Relationship Id="rId4213" Type="http://schemas.openxmlformats.org/officeDocument/2006/relationships/hyperlink" Target="http://www.linkedin.com/pub/adriana-ceraso/5/878/342" TargetMode="External"/><Relationship Id="rId5545" Type="http://schemas.openxmlformats.org/officeDocument/2006/relationships/hyperlink" Target="http://www.linkedin.com/pub/patricio-gimelli/7/305/775" TargetMode="External"/><Relationship Id="rId6876" Type="http://schemas.openxmlformats.org/officeDocument/2006/relationships/hyperlink" Target="http://ar.linkedin.com/in/romanpellegrino" TargetMode="External"/><Relationship Id="rId597" Type="http://schemas.openxmlformats.org/officeDocument/2006/relationships/hyperlink" Target="http://fr.linkedin.com/pub/yassine-benaddi/0/71A/189" TargetMode="External"/><Relationship Id="rId4212" Type="http://schemas.openxmlformats.org/officeDocument/2006/relationships/hyperlink" Target="http://ar.linkedin.com/in/julianamora" TargetMode="External"/><Relationship Id="rId5546" Type="http://schemas.openxmlformats.org/officeDocument/2006/relationships/hyperlink" Target="http://ar.linkedin.com/in/reymundonicolas" TargetMode="External"/><Relationship Id="rId6877" Type="http://schemas.openxmlformats.org/officeDocument/2006/relationships/hyperlink" Target="http://ar.linkedin.com/in/afraga" TargetMode="External"/><Relationship Id="rId596" Type="http://schemas.openxmlformats.org/officeDocument/2006/relationships/hyperlink" Target="http://uk.linkedin.com/in/daveward" TargetMode="External"/><Relationship Id="rId4215" Type="http://schemas.openxmlformats.org/officeDocument/2006/relationships/hyperlink" Target="http://ar.linkedin.com/pub/rocio-berlanga/14/602/A49" TargetMode="External"/><Relationship Id="rId5543" Type="http://schemas.openxmlformats.org/officeDocument/2006/relationships/hyperlink" Target="http://www.linkedin.com/in/antoniochavez" TargetMode="External"/><Relationship Id="rId6874" Type="http://schemas.openxmlformats.org/officeDocument/2006/relationships/hyperlink" Target="http://ar.linkedin.com/pub/diego-arena/15/7B/639" TargetMode="External"/><Relationship Id="rId595" Type="http://schemas.openxmlformats.org/officeDocument/2006/relationships/hyperlink" Target="http://www.linkedin.com/in/kevinjudice" TargetMode="External"/><Relationship Id="rId4214" Type="http://schemas.openxmlformats.org/officeDocument/2006/relationships/hyperlink" Target="http://www.linkedin.com/pub/maria-angela-fusco/4/632/468" TargetMode="External"/><Relationship Id="rId5544" Type="http://schemas.openxmlformats.org/officeDocument/2006/relationships/hyperlink" Target="http://ar.linkedin.com/in/guillermomeyer" TargetMode="External"/><Relationship Id="rId6875" Type="http://schemas.openxmlformats.org/officeDocument/2006/relationships/hyperlink" Target="http://ar.linkedin.com/pub/gonzalo-la-salvia/B/139/B77" TargetMode="External"/><Relationship Id="rId6825" Type="http://schemas.openxmlformats.org/officeDocument/2006/relationships/hyperlink" Target="http://ar.linkedin.com/pub/luciano-orsi/20/5A4/A2A" TargetMode="External"/><Relationship Id="rId6826" Type="http://schemas.openxmlformats.org/officeDocument/2006/relationships/hyperlink" Target="http://ar.linkedin.com/pub/santiago-elizalde/B/6B1/870" TargetMode="External"/><Relationship Id="rId6823" Type="http://schemas.openxmlformats.org/officeDocument/2006/relationships/hyperlink" Target="http://www.linkedin.com/pub/kevin-slean/10/361/624" TargetMode="External"/><Relationship Id="rId6824" Type="http://schemas.openxmlformats.org/officeDocument/2006/relationships/hyperlink" Target="http://ar.linkedin.com/pub/susana-berman/2/419/190" TargetMode="External"/><Relationship Id="rId6829" Type="http://schemas.openxmlformats.org/officeDocument/2006/relationships/hyperlink" Target="http://www.linkedin.com/in/julialera" TargetMode="External"/><Relationship Id="rId6827" Type="http://schemas.openxmlformats.org/officeDocument/2006/relationships/hyperlink" Target="http://ar.linkedin.com/in/robertodilello" TargetMode="External"/><Relationship Id="rId6828" Type="http://schemas.openxmlformats.org/officeDocument/2006/relationships/hyperlink" Target="http://www.linkedin.com/in/lindaroude" TargetMode="External"/><Relationship Id="rId547" Type="http://schemas.openxmlformats.org/officeDocument/2006/relationships/hyperlink" Target="http://in.linkedin.com/pub/rahul-gandhi/0/62/5B5" TargetMode="External"/><Relationship Id="rId9098" Type="http://schemas.openxmlformats.org/officeDocument/2006/relationships/hyperlink" Target="http://www.linkedin.com/pub/rich-siegel/0/11A/71B" TargetMode="External"/><Relationship Id="rId546" Type="http://schemas.openxmlformats.org/officeDocument/2006/relationships/hyperlink" Target="http://www.linkedin.com/in/trebryan" TargetMode="External"/><Relationship Id="rId9097" Type="http://schemas.openxmlformats.org/officeDocument/2006/relationships/hyperlink" Target="http://www.linkedin.com/in/interrante" TargetMode="External"/><Relationship Id="rId545" Type="http://schemas.openxmlformats.org/officeDocument/2006/relationships/hyperlink" Target="http://www.linkedin.com/pub/michael-glinter/6/713/580" TargetMode="External"/><Relationship Id="rId9096" Type="http://schemas.openxmlformats.org/officeDocument/2006/relationships/hyperlink" Target="http://www.linkedin.com/in/edavizur" TargetMode="External"/><Relationship Id="rId544" Type="http://schemas.openxmlformats.org/officeDocument/2006/relationships/hyperlink" Target="http://www.linkedin.com/in/msureshk" TargetMode="External"/><Relationship Id="rId9095" Type="http://schemas.openxmlformats.org/officeDocument/2006/relationships/hyperlink" Target="http://www.linkedin.com/in/hwbyerly" TargetMode="External"/><Relationship Id="rId549" Type="http://schemas.openxmlformats.org/officeDocument/2006/relationships/hyperlink" Target="http://www.linkedin.com/in/mikenaj" TargetMode="External"/><Relationship Id="rId548" Type="http://schemas.openxmlformats.org/officeDocument/2006/relationships/hyperlink" Target="http://www.linkedin.com/in/scottwharton" TargetMode="External"/><Relationship Id="rId9099" Type="http://schemas.openxmlformats.org/officeDocument/2006/relationships/hyperlink" Target="http://www.linkedin.com/pub/larry-klapow/0/585/B38" TargetMode="External"/><Relationship Id="rId543" Type="http://schemas.openxmlformats.org/officeDocument/2006/relationships/hyperlink" Target="http://www.linkedin.com/pub/dennis-chen/0/A/22B" TargetMode="External"/><Relationship Id="rId6821" Type="http://schemas.openxmlformats.org/officeDocument/2006/relationships/hyperlink" Target="http://ar.linkedin.com/pub/ivana-kristoff/8/332/8A5" TargetMode="External"/><Relationship Id="rId542" Type="http://schemas.openxmlformats.org/officeDocument/2006/relationships/hyperlink" Target="http://www.linkedin.com/in/andrasboross" TargetMode="External"/><Relationship Id="rId6822" Type="http://schemas.openxmlformats.org/officeDocument/2006/relationships/hyperlink" Target="http://www.linkedin.com/pub/sonja-sanjuan/0/771/922" TargetMode="External"/><Relationship Id="rId541" Type="http://schemas.openxmlformats.org/officeDocument/2006/relationships/hyperlink" Target="http://ca.linkedin.com/in/alexmccallum/" TargetMode="External"/><Relationship Id="rId540" Type="http://schemas.openxmlformats.org/officeDocument/2006/relationships/hyperlink" Target="http://www.linkedin.com/in/prestiva" TargetMode="External"/><Relationship Id="rId6820" Type="http://schemas.openxmlformats.org/officeDocument/2006/relationships/hyperlink" Target="http://ar.linkedin.com/in/juliamunar" TargetMode="External"/><Relationship Id="rId6814" Type="http://schemas.openxmlformats.org/officeDocument/2006/relationships/hyperlink" Target="http://ar.linkedin.com/pub/diaz-ernesto/0/552/896" TargetMode="External"/><Relationship Id="rId6815" Type="http://schemas.openxmlformats.org/officeDocument/2006/relationships/hyperlink" Target="http://ar.linkedin.com/pub/sandra-yachelini/20/256/BB3" TargetMode="External"/><Relationship Id="rId6812" Type="http://schemas.openxmlformats.org/officeDocument/2006/relationships/hyperlink" Target="http://www.linkedin.com/in/dfejgelis" TargetMode="External"/><Relationship Id="rId6813" Type="http://schemas.openxmlformats.org/officeDocument/2006/relationships/hyperlink" Target="http://ar.linkedin.com/in/pluchinotta" TargetMode="External"/><Relationship Id="rId6818" Type="http://schemas.openxmlformats.org/officeDocument/2006/relationships/hyperlink" Target="http://www.linkedin.com/in/linettegomez" TargetMode="External"/><Relationship Id="rId6819" Type="http://schemas.openxmlformats.org/officeDocument/2006/relationships/hyperlink" Target="http://ar.linkedin.com/in/mariopernigotti" TargetMode="External"/><Relationship Id="rId6816" Type="http://schemas.openxmlformats.org/officeDocument/2006/relationships/hyperlink" Target="http://www.linkedin.com/pub/juan-jos%C3%A9-dell-acqua/14/28b/7a2" TargetMode="External"/><Relationship Id="rId6817" Type="http://schemas.openxmlformats.org/officeDocument/2006/relationships/hyperlink" Target="http://ar.linkedin.com/pub/carlos-cassia/3/838/923" TargetMode="External"/><Relationship Id="rId9090" Type="http://schemas.openxmlformats.org/officeDocument/2006/relationships/hyperlink" Target="http://www.linkedin.com/pub/yo-delmar/1/277/B50" TargetMode="External"/><Relationship Id="rId9094" Type="http://schemas.openxmlformats.org/officeDocument/2006/relationships/hyperlink" Target="http://www.linkedin.com/in/cookjeremiah" TargetMode="External"/><Relationship Id="rId9093" Type="http://schemas.openxmlformats.org/officeDocument/2006/relationships/hyperlink" Target="http://www.linkedin.com/in/billfishkin" TargetMode="External"/><Relationship Id="rId9092" Type="http://schemas.openxmlformats.org/officeDocument/2006/relationships/hyperlink" Target="http://www.linkedin.com/in/ianthomasgroup" TargetMode="External"/><Relationship Id="rId9091" Type="http://schemas.openxmlformats.org/officeDocument/2006/relationships/hyperlink" Target="http://www.linkedin.com/in/stephanieahuff" TargetMode="External"/><Relationship Id="rId536" Type="http://schemas.openxmlformats.org/officeDocument/2006/relationships/hyperlink" Target="http://in.linkedin.com/in/yashks" TargetMode="External"/><Relationship Id="rId9087" Type="http://schemas.openxmlformats.org/officeDocument/2006/relationships/hyperlink" Target="https://www.linkedin.com/in/pagejohn" TargetMode="External"/><Relationship Id="rId535" Type="http://schemas.openxmlformats.org/officeDocument/2006/relationships/hyperlink" Target="http://www.linkedin.com/pub/ted-girard/0/443/680" TargetMode="External"/><Relationship Id="rId9086" Type="http://schemas.openxmlformats.org/officeDocument/2006/relationships/hyperlink" Target="http://www.linkedin.com/in/olegvyadro" TargetMode="External"/><Relationship Id="rId534" Type="http://schemas.openxmlformats.org/officeDocument/2006/relationships/hyperlink" Target="http://www.linkedin.com/in/cloudcto" TargetMode="External"/><Relationship Id="rId9085" Type="http://schemas.openxmlformats.org/officeDocument/2006/relationships/hyperlink" Target="http://www.linkedin.com/in/donwarden" TargetMode="External"/><Relationship Id="rId533" Type="http://schemas.openxmlformats.org/officeDocument/2006/relationships/hyperlink" Target="http://www.linkedin.com/pub/thomas-hughes/0/230/258" TargetMode="External"/><Relationship Id="rId9084" Type="http://schemas.openxmlformats.org/officeDocument/2006/relationships/hyperlink" Target="http://www.linkedin.com/pub/fadi-bishara/0/5/712?trk=pub-pbmap" TargetMode="External"/><Relationship Id="rId539" Type="http://schemas.openxmlformats.org/officeDocument/2006/relationships/hyperlink" Target="http://www.linkedin.com/in/oliverschmid" TargetMode="External"/><Relationship Id="rId538" Type="http://schemas.openxmlformats.org/officeDocument/2006/relationships/hyperlink" Target="http://www.linkedin.com/pub/geno-zaharie/5/602/463" TargetMode="External"/><Relationship Id="rId9089" Type="http://schemas.openxmlformats.org/officeDocument/2006/relationships/hyperlink" Target="http://www.linkedin.com/in/soley" TargetMode="External"/><Relationship Id="rId537" Type="http://schemas.openxmlformats.org/officeDocument/2006/relationships/hyperlink" Target="http://uk.linkedin.com/in/desanges" TargetMode="External"/><Relationship Id="rId9088" Type="http://schemas.openxmlformats.org/officeDocument/2006/relationships/hyperlink" Target="http://www.linkedin.com/in/patrickoborn" TargetMode="External"/><Relationship Id="rId532" Type="http://schemas.openxmlformats.org/officeDocument/2006/relationships/hyperlink" Target="https://www.linkedin.com/in/jeffragovin" TargetMode="External"/><Relationship Id="rId6810" Type="http://schemas.openxmlformats.org/officeDocument/2006/relationships/hyperlink" Target="http://www.linkedin.com/in/rbenzaquen" TargetMode="External"/><Relationship Id="rId531" Type="http://schemas.openxmlformats.org/officeDocument/2006/relationships/hyperlink" Target="http://www.linkedin.com/pub/erin-cannelli-cresta/0/208/a16" TargetMode="External"/><Relationship Id="rId6811" Type="http://schemas.openxmlformats.org/officeDocument/2006/relationships/hyperlink" Target="http://ar.linkedin.com/in/joseymartinez" TargetMode="External"/><Relationship Id="rId530" Type="http://schemas.openxmlformats.org/officeDocument/2006/relationships/hyperlink" Target="http://www.linkedin.com/in/sonalchadha" TargetMode="External"/><Relationship Id="rId5516" Type="http://schemas.openxmlformats.org/officeDocument/2006/relationships/hyperlink" Target="http://www.linkedin.com/pub/gonzalo-hernan-rolnik/1a/b33/345" TargetMode="External"/><Relationship Id="rId6847" Type="http://schemas.openxmlformats.org/officeDocument/2006/relationships/hyperlink" Target="http://www.linkedin.com/in/nicolascorrarello" TargetMode="External"/><Relationship Id="rId5517" Type="http://schemas.openxmlformats.org/officeDocument/2006/relationships/hyperlink" Target="http://www.linkedin.com/pub/jeff-setrin/2/A99/5AB" TargetMode="External"/><Relationship Id="rId6848" Type="http://schemas.openxmlformats.org/officeDocument/2006/relationships/hyperlink" Target="http://www.linkedin.com/pub/maria-marta-sucari/0/374/992" TargetMode="External"/><Relationship Id="rId5514" Type="http://schemas.openxmlformats.org/officeDocument/2006/relationships/hyperlink" Target="http://www.linkedin.com/in/dannorris" TargetMode="External"/><Relationship Id="rId6845" Type="http://schemas.openxmlformats.org/officeDocument/2006/relationships/hyperlink" Target="http://ar.linkedin.com/pub/jorge-borchert/4/689/49B" TargetMode="External"/><Relationship Id="rId5515" Type="http://schemas.openxmlformats.org/officeDocument/2006/relationships/hyperlink" Target="http://ar.linkedin.com/in/federicocherchyk" TargetMode="External"/><Relationship Id="rId6846" Type="http://schemas.openxmlformats.org/officeDocument/2006/relationships/hyperlink" Target="http://ar.linkedin.com/pub/mariana-simonetta/4/666/A3A" TargetMode="External"/><Relationship Id="rId5518" Type="http://schemas.openxmlformats.org/officeDocument/2006/relationships/hyperlink" Target="http://www.linkedin.com/in/adrianagutierrezsarmiento" TargetMode="External"/><Relationship Id="rId6849" Type="http://schemas.openxmlformats.org/officeDocument/2006/relationships/hyperlink" Target="http://www.linkedin.com/in/matiasperel" TargetMode="External"/><Relationship Id="rId5519" Type="http://schemas.openxmlformats.org/officeDocument/2006/relationships/hyperlink" Target="http://ar.linkedin.com/in/gmgutierrez" TargetMode="External"/><Relationship Id="rId569" Type="http://schemas.openxmlformats.org/officeDocument/2006/relationships/hyperlink" Target="http://www.linkedin.com/in/janryanaustin/" TargetMode="External"/><Relationship Id="rId568" Type="http://schemas.openxmlformats.org/officeDocument/2006/relationships/hyperlink" Target="http://www.linkedin.com/in/moukas" TargetMode="External"/><Relationship Id="rId567" Type="http://schemas.openxmlformats.org/officeDocument/2006/relationships/hyperlink" Target="http://www.linkedin.com/in/xavierblanchot" TargetMode="External"/><Relationship Id="rId566" Type="http://schemas.openxmlformats.org/officeDocument/2006/relationships/hyperlink" Target="http://www.linkedin.com/in/mikeottcpc" TargetMode="External"/><Relationship Id="rId561" Type="http://schemas.openxmlformats.org/officeDocument/2006/relationships/hyperlink" Target="http://www.linkedin.com/pub/belinda-snyder/0/5/B64" TargetMode="External"/><Relationship Id="rId560" Type="http://schemas.openxmlformats.org/officeDocument/2006/relationships/hyperlink" Target="http://www.linkedin.com/pub/peter-mckay/0/52/207" TargetMode="External"/><Relationship Id="rId6840" Type="http://schemas.openxmlformats.org/officeDocument/2006/relationships/hyperlink" Target="http://www.linkedin.com/in/pabloduarte" TargetMode="External"/><Relationship Id="rId565" Type="http://schemas.openxmlformats.org/officeDocument/2006/relationships/hyperlink" Target="http://www.linkedin.com/in/dougroper" TargetMode="External"/><Relationship Id="rId5512" Type="http://schemas.openxmlformats.org/officeDocument/2006/relationships/hyperlink" Target="http://www.linkedin.com/in/dsolmirano" TargetMode="External"/><Relationship Id="rId6843" Type="http://schemas.openxmlformats.org/officeDocument/2006/relationships/hyperlink" Target="http://ar.linkedin.com/in/gdemagistre" TargetMode="External"/><Relationship Id="rId564" Type="http://schemas.openxmlformats.org/officeDocument/2006/relationships/hyperlink" Target="http://www.linkedin.com/in/darencoudriet" TargetMode="External"/><Relationship Id="rId5513" Type="http://schemas.openxmlformats.org/officeDocument/2006/relationships/hyperlink" Target="http://www.linkedin.com/pub/larry-hartsook/0/B08/112" TargetMode="External"/><Relationship Id="rId6844" Type="http://schemas.openxmlformats.org/officeDocument/2006/relationships/hyperlink" Target="http://www.linkedin.com/in/martinbueno" TargetMode="External"/><Relationship Id="rId563" Type="http://schemas.openxmlformats.org/officeDocument/2006/relationships/hyperlink" Target="http://www.linkedin.com/in/cyndydavis" TargetMode="External"/><Relationship Id="rId5510" Type="http://schemas.openxmlformats.org/officeDocument/2006/relationships/hyperlink" Target="http://ar.linkedin.com/in/alejandrokoretzky" TargetMode="External"/><Relationship Id="rId6841" Type="http://schemas.openxmlformats.org/officeDocument/2006/relationships/hyperlink" Target="http://ar.linkedin.com/in/paquots" TargetMode="External"/><Relationship Id="rId562" Type="http://schemas.openxmlformats.org/officeDocument/2006/relationships/hyperlink" Target="http://www.linkedin.com/pub/michael-david/0/2A/A4A" TargetMode="External"/><Relationship Id="rId5511" Type="http://schemas.openxmlformats.org/officeDocument/2006/relationships/hyperlink" Target="http://ar.linkedin.com/in/joshgoldfein" TargetMode="External"/><Relationship Id="rId6842" Type="http://schemas.openxmlformats.org/officeDocument/2006/relationships/hyperlink" Target="http://ar.linkedin.com/pub/alejandro-donoso/21/394/B78" TargetMode="External"/><Relationship Id="rId5505" Type="http://schemas.openxmlformats.org/officeDocument/2006/relationships/hyperlink" Target="https://www.linkedin.com/in/ssotomayor89" TargetMode="External"/><Relationship Id="rId6836" Type="http://schemas.openxmlformats.org/officeDocument/2006/relationships/hyperlink" Target="http://ar.linkedin.com/in/fbitonte" TargetMode="External"/><Relationship Id="rId5506" Type="http://schemas.openxmlformats.org/officeDocument/2006/relationships/hyperlink" Target="http://www.linkedin.com/pub/patrick-o-leary/1/58/177" TargetMode="External"/><Relationship Id="rId6837" Type="http://schemas.openxmlformats.org/officeDocument/2006/relationships/hyperlink" Target="http://ar.linkedin.com/pub/mar%C3%ADa-in%C3%A9s-buresti/19/649/933" TargetMode="External"/><Relationship Id="rId5503" Type="http://schemas.openxmlformats.org/officeDocument/2006/relationships/hyperlink" Target="http://www.linkedin.com/pub/scott-abramson/0/42B/A45" TargetMode="External"/><Relationship Id="rId6834" Type="http://schemas.openxmlformats.org/officeDocument/2006/relationships/hyperlink" Target="http://ar.linkedin.com/in/carloslatugaye" TargetMode="External"/><Relationship Id="rId5504" Type="http://schemas.openxmlformats.org/officeDocument/2006/relationships/hyperlink" Target="http://ar.linkedin.com/pub/gabriela-lopez-ruiz/2/A65/866" TargetMode="External"/><Relationship Id="rId6835" Type="http://schemas.openxmlformats.org/officeDocument/2006/relationships/hyperlink" Target="http://ar.linkedin.com/in/sergiogmartinez" TargetMode="External"/><Relationship Id="rId5509" Type="http://schemas.openxmlformats.org/officeDocument/2006/relationships/hyperlink" Target="http://ar.linkedin.com/in/dianaivaldi" TargetMode="External"/><Relationship Id="rId5507" Type="http://schemas.openxmlformats.org/officeDocument/2006/relationships/hyperlink" Target="http://www.linkedin.com/in/sorendetering" TargetMode="External"/><Relationship Id="rId6838" Type="http://schemas.openxmlformats.org/officeDocument/2006/relationships/hyperlink" Target="http://ar.linkedin.com/in/alfredopinkus" TargetMode="External"/><Relationship Id="rId5508" Type="http://schemas.openxmlformats.org/officeDocument/2006/relationships/hyperlink" Target="http://www.linkedin.com/pub/ken-wilson/1/80A/8A7" TargetMode="External"/><Relationship Id="rId6839" Type="http://schemas.openxmlformats.org/officeDocument/2006/relationships/hyperlink" Target="https://www.linkedin.com/in/matiascompiano" TargetMode="External"/><Relationship Id="rId558" Type="http://schemas.openxmlformats.org/officeDocument/2006/relationships/hyperlink" Target="http://www.linkedin.com/in/roykoons" TargetMode="External"/><Relationship Id="rId557" Type="http://schemas.openxmlformats.org/officeDocument/2006/relationships/hyperlink" Target="http://www.linkedin.com/pub/marie-longserre/0/23/386" TargetMode="External"/><Relationship Id="rId556" Type="http://schemas.openxmlformats.org/officeDocument/2006/relationships/hyperlink" Target="http://www.linkedin.com/in/mikesong" TargetMode="External"/><Relationship Id="rId555" Type="http://schemas.openxmlformats.org/officeDocument/2006/relationships/hyperlink" Target="http://www.linkedin.com/pub/jocelyn-reynolds/0/6A0/B62" TargetMode="External"/><Relationship Id="rId559" Type="http://schemas.openxmlformats.org/officeDocument/2006/relationships/hyperlink" Target="http://www.linkedin.com/in/webbjo" TargetMode="External"/><Relationship Id="rId550" Type="http://schemas.openxmlformats.org/officeDocument/2006/relationships/hyperlink" Target="https://www.linkedin.com/in/davescott00" TargetMode="External"/><Relationship Id="rId554" Type="http://schemas.openxmlformats.org/officeDocument/2006/relationships/hyperlink" Target="http://www.linkedin.com/in/fcohen" TargetMode="External"/><Relationship Id="rId5501" Type="http://schemas.openxmlformats.org/officeDocument/2006/relationships/hyperlink" Target="http://www.linkedin.com/in/joannafong21" TargetMode="External"/><Relationship Id="rId6832" Type="http://schemas.openxmlformats.org/officeDocument/2006/relationships/hyperlink" Target="http://www.linkedin.com/pub/andr%C3%A9s-behar/5/619/280" TargetMode="External"/><Relationship Id="rId553" Type="http://schemas.openxmlformats.org/officeDocument/2006/relationships/hyperlink" Target="http://ca.linkedin.com/in/peterjubb" TargetMode="External"/><Relationship Id="rId5502" Type="http://schemas.openxmlformats.org/officeDocument/2006/relationships/hyperlink" Target="http://www.linkedin.com/in/sajijohnson" TargetMode="External"/><Relationship Id="rId6833" Type="http://schemas.openxmlformats.org/officeDocument/2006/relationships/hyperlink" Target="http://ar.linkedin.com/in/cristianbaser" TargetMode="External"/><Relationship Id="rId552" Type="http://schemas.openxmlformats.org/officeDocument/2006/relationships/hyperlink" Target="http://www.linkedin.com/in/semguru" TargetMode="External"/><Relationship Id="rId6830" Type="http://schemas.openxmlformats.org/officeDocument/2006/relationships/hyperlink" Target="http://ar.linkedin.com/pub/hugo-sosa/14/598/705" TargetMode="External"/><Relationship Id="rId551" Type="http://schemas.openxmlformats.org/officeDocument/2006/relationships/hyperlink" Target="http://www.linkedin.com/pub/durga-das/0/4A/124" TargetMode="External"/><Relationship Id="rId5500" Type="http://schemas.openxmlformats.org/officeDocument/2006/relationships/hyperlink" Target="http://ar.linkedin.com/in/pduranti" TargetMode="External"/><Relationship Id="rId6831" Type="http://schemas.openxmlformats.org/officeDocument/2006/relationships/hyperlink" Target="http://ar.linkedin.com/pub/juan-maro/7/A60/933" TargetMode="External"/><Relationship Id="rId4280" Type="http://schemas.openxmlformats.org/officeDocument/2006/relationships/hyperlink" Target="http://ar.linkedin.com/pub/claudio-dar%C3%ADn/0/174/71A" TargetMode="External"/><Relationship Id="rId4282" Type="http://schemas.openxmlformats.org/officeDocument/2006/relationships/hyperlink" Target="http://www.linkedin.com/pub/paula-lopez-lastra/14/173/98b" TargetMode="External"/><Relationship Id="rId4281" Type="http://schemas.openxmlformats.org/officeDocument/2006/relationships/hyperlink" Target="http://www.linkedin.com/pub/laura-blanga/22/512/aa9" TargetMode="External"/><Relationship Id="rId4284" Type="http://schemas.openxmlformats.org/officeDocument/2006/relationships/hyperlink" Target="http://ar.linkedin.com/in/marialauramazz" TargetMode="External"/><Relationship Id="rId4283" Type="http://schemas.openxmlformats.org/officeDocument/2006/relationships/hyperlink" Target="http://ar.linkedin.com/pub/romina-andrada/11/A51/25" TargetMode="External"/><Relationship Id="rId4286" Type="http://schemas.openxmlformats.org/officeDocument/2006/relationships/hyperlink" Target="http://ar.linkedin.com/pub/sebasti-n-torres/2B/194/22A" TargetMode="External"/><Relationship Id="rId4285" Type="http://schemas.openxmlformats.org/officeDocument/2006/relationships/hyperlink" Target="http://ar.linkedin.com/pub/joaqu-n-llorca/1A/1B1/AB5" TargetMode="External"/><Relationship Id="rId4288" Type="http://schemas.openxmlformats.org/officeDocument/2006/relationships/hyperlink" Target="http://ar.linkedin.com/pub/mar%C3%ADa-bel%C3%A9n-balbi/19/5A2/230" TargetMode="External"/><Relationship Id="rId4287" Type="http://schemas.openxmlformats.org/officeDocument/2006/relationships/hyperlink" Target="http://ar.linkedin.com/pub/marcelo-fenoglio/14/119/827" TargetMode="External"/><Relationship Id="rId4289" Type="http://schemas.openxmlformats.org/officeDocument/2006/relationships/hyperlink" Target="http://www.linkedin.com/pub/paula-barsky/8/36a/819" TargetMode="External"/><Relationship Id="rId4271" Type="http://schemas.openxmlformats.org/officeDocument/2006/relationships/hyperlink" Target="http://ar.linkedin.com/pub/claudia-segovia/0/245/870" TargetMode="External"/><Relationship Id="rId4270" Type="http://schemas.openxmlformats.org/officeDocument/2006/relationships/hyperlink" Target="http://ar.linkedin.com/in/sebastiangorin" TargetMode="External"/><Relationship Id="rId4273" Type="http://schemas.openxmlformats.org/officeDocument/2006/relationships/hyperlink" Target="http://ar.linkedin.com/in/gdilorenzom" TargetMode="External"/><Relationship Id="rId4272" Type="http://schemas.openxmlformats.org/officeDocument/2006/relationships/hyperlink" Target="http://www.linkedin.com/pub/guadalupe-tisera/b/884/3a0" TargetMode="External"/><Relationship Id="rId4275" Type="http://schemas.openxmlformats.org/officeDocument/2006/relationships/hyperlink" Target="http://ar.linkedin.com/pub/carina-bonetto/A/A2B/B69" TargetMode="External"/><Relationship Id="rId4274" Type="http://schemas.openxmlformats.org/officeDocument/2006/relationships/hyperlink" Target="http://ar.linkedin.com/pub/nicolas-todino/9/512/662" TargetMode="External"/><Relationship Id="rId4277" Type="http://schemas.openxmlformats.org/officeDocument/2006/relationships/hyperlink" Target="http://ar.linkedin.com/pub/victor-raiban/12/3A4/795" TargetMode="External"/><Relationship Id="rId4276" Type="http://schemas.openxmlformats.org/officeDocument/2006/relationships/hyperlink" Target="http://ar.linkedin.com/pub/hernan-trinidad/22/A61/83B" TargetMode="External"/><Relationship Id="rId4279" Type="http://schemas.openxmlformats.org/officeDocument/2006/relationships/hyperlink" Target="http://ar.linkedin.com/in/ricardoalfredocorrea" TargetMode="External"/><Relationship Id="rId4278" Type="http://schemas.openxmlformats.org/officeDocument/2006/relationships/hyperlink" Target="http://ar.linkedin.com/in/dtmoser" TargetMode="External"/><Relationship Id="rId4291" Type="http://schemas.openxmlformats.org/officeDocument/2006/relationships/hyperlink" Target="http://ar.linkedin.com/in/gabrielcarrazzoni" TargetMode="External"/><Relationship Id="rId4290" Type="http://schemas.openxmlformats.org/officeDocument/2006/relationships/hyperlink" Target="http://uk.linkedin.com/pub/tamara-santiago/3/312/905" TargetMode="External"/><Relationship Id="rId4293" Type="http://schemas.openxmlformats.org/officeDocument/2006/relationships/hyperlink" Target="http://www.linkedin.com/in/cycmarcelo" TargetMode="External"/><Relationship Id="rId4292" Type="http://schemas.openxmlformats.org/officeDocument/2006/relationships/hyperlink" Target="http://ar.linkedin.com/pub/oscar-casadella/19/60/727" TargetMode="External"/><Relationship Id="rId4295" Type="http://schemas.openxmlformats.org/officeDocument/2006/relationships/hyperlink" Target="http://ar.linkedin.com/pub/alejandro-dandrea/7/200/6A1" TargetMode="External"/><Relationship Id="rId4294" Type="http://schemas.openxmlformats.org/officeDocument/2006/relationships/hyperlink" Target="http://ar.linkedin.com/pub/santiago-kantorowicz/2/133/4AB" TargetMode="External"/><Relationship Id="rId4297" Type="http://schemas.openxmlformats.org/officeDocument/2006/relationships/hyperlink" Target="http://ar.linkedin.com/pub/cecilia-tiesi/27/B76/400" TargetMode="External"/><Relationship Id="rId4296" Type="http://schemas.openxmlformats.org/officeDocument/2006/relationships/hyperlink" Target="http://www.linkedin.com/pub/fernando-javier-cossa/12/8a7/b72" TargetMode="External"/><Relationship Id="rId4299" Type="http://schemas.openxmlformats.org/officeDocument/2006/relationships/hyperlink" Target="http://ar.linkedin.com/pub/cristina-megna/4/B27/488" TargetMode="External"/><Relationship Id="rId4298" Type="http://schemas.openxmlformats.org/officeDocument/2006/relationships/hyperlink" Target="http://www.linkedin.com/pub/alejo-h%C3%A9ctor-arrighi/14/635/5b3" TargetMode="External"/><Relationship Id="rId4249" Type="http://schemas.openxmlformats.org/officeDocument/2006/relationships/hyperlink" Target="http://www.linkedin.com/pub/juan-gabriel-micheletti/9/888/b99" TargetMode="External"/><Relationship Id="rId5570" Type="http://schemas.openxmlformats.org/officeDocument/2006/relationships/hyperlink" Target="http://www.linkedin.com/pub/mar%C3%ADa-jimena-roveda/4/53b/633" TargetMode="External"/><Relationship Id="rId5571" Type="http://schemas.openxmlformats.org/officeDocument/2006/relationships/hyperlink" Target="http://ar.linkedin.com/in/sebastianmaniasi" TargetMode="External"/><Relationship Id="rId4240" Type="http://schemas.openxmlformats.org/officeDocument/2006/relationships/hyperlink" Target="http://ar.linkedin.com/pub/jose-luis-lopez/8/113/325" TargetMode="External"/><Relationship Id="rId4242" Type="http://schemas.openxmlformats.org/officeDocument/2006/relationships/hyperlink" Target="http://www.linkedin.com/pub/tom%C3%A1s-ennis/24/428/a15" TargetMode="External"/><Relationship Id="rId5574" Type="http://schemas.openxmlformats.org/officeDocument/2006/relationships/hyperlink" Target="http://www.linkedin.com/in/thomasmarek" TargetMode="External"/><Relationship Id="rId4241" Type="http://schemas.openxmlformats.org/officeDocument/2006/relationships/hyperlink" Target="http://ar.linkedin.com/pub/mart%C3%ADn-heine/8/618/B65" TargetMode="External"/><Relationship Id="rId5575" Type="http://schemas.openxmlformats.org/officeDocument/2006/relationships/hyperlink" Target="http://www.linkedin.com/in/mrama" TargetMode="External"/><Relationship Id="rId4244" Type="http://schemas.openxmlformats.org/officeDocument/2006/relationships/hyperlink" Target="http://ar.linkedin.com/pub/sabrina-rodriguez/23/A71/263" TargetMode="External"/><Relationship Id="rId5572" Type="http://schemas.openxmlformats.org/officeDocument/2006/relationships/hyperlink" Target="http://www.linkedin.com/pub/ted-mcdermott/0/B43/219" TargetMode="External"/><Relationship Id="rId4243" Type="http://schemas.openxmlformats.org/officeDocument/2006/relationships/hyperlink" Target="http://ar.linkedin.com/in/gbases" TargetMode="External"/><Relationship Id="rId5573" Type="http://schemas.openxmlformats.org/officeDocument/2006/relationships/hyperlink" Target="http://www.linkedin.com/pub/chet-barber/1/221/274" TargetMode="External"/><Relationship Id="rId4246" Type="http://schemas.openxmlformats.org/officeDocument/2006/relationships/hyperlink" Target="http://www.linkedin.com/pub/delfina-cavalli/b/a5b/79b" TargetMode="External"/><Relationship Id="rId5578" Type="http://schemas.openxmlformats.org/officeDocument/2006/relationships/hyperlink" Target="http://www.linkedin.com/in/michelleivey" TargetMode="External"/><Relationship Id="rId4245" Type="http://schemas.openxmlformats.org/officeDocument/2006/relationships/hyperlink" Target="http://ar.linkedin.com/in/patriciaprigent" TargetMode="External"/><Relationship Id="rId5579" Type="http://schemas.openxmlformats.org/officeDocument/2006/relationships/hyperlink" Target="http://www.linkedin.com/pub/rajesh-kulkarni/1/5A4/BA3" TargetMode="External"/><Relationship Id="rId4248" Type="http://schemas.openxmlformats.org/officeDocument/2006/relationships/hyperlink" Target="http://ar.linkedin.com/in/jbonino" TargetMode="External"/><Relationship Id="rId5576" Type="http://schemas.openxmlformats.org/officeDocument/2006/relationships/hyperlink" Target="http://www.linkedin.com/pub/shari-henry/5/252/944" TargetMode="External"/><Relationship Id="rId4247" Type="http://schemas.openxmlformats.org/officeDocument/2006/relationships/hyperlink" Target="http://ar.linkedin.com/pub/ezequiel-rubin/8/47B/78B" TargetMode="External"/><Relationship Id="rId5577" Type="http://schemas.openxmlformats.org/officeDocument/2006/relationships/hyperlink" Target="http://www.linkedin.com/pub/mike-roda/1/AB/17A" TargetMode="External"/><Relationship Id="rId4239" Type="http://schemas.openxmlformats.org/officeDocument/2006/relationships/hyperlink" Target="http://ar.linkedin.com/pub/gustavo-pages/3/A36/7BA" TargetMode="External"/><Relationship Id="rId4238" Type="http://schemas.openxmlformats.org/officeDocument/2006/relationships/hyperlink" Target="http://www.linkedin.com/in/mfernandaluna" TargetMode="External"/><Relationship Id="rId5569" Type="http://schemas.openxmlformats.org/officeDocument/2006/relationships/hyperlink" Target="http://ar.linkedin.com/pub/sergio-bonanno/5/501/530" TargetMode="External"/><Relationship Id="rId6890" Type="http://schemas.openxmlformats.org/officeDocument/2006/relationships/hyperlink" Target="http://ar.linkedin.com/pub/guillermina-rawson/2B/421/B57" TargetMode="External"/><Relationship Id="rId5560" Type="http://schemas.openxmlformats.org/officeDocument/2006/relationships/hyperlink" Target="http://www.linkedin.com/in/mariopellegrino" TargetMode="External"/><Relationship Id="rId6891" Type="http://schemas.openxmlformats.org/officeDocument/2006/relationships/hyperlink" Target="http://www.linkedin.com/in/matiasmendez" TargetMode="External"/><Relationship Id="rId495" Type="http://schemas.openxmlformats.org/officeDocument/2006/relationships/hyperlink" Target="http://www.linkedin.com/in/rangulo" TargetMode="External"/><Relationship Id="rId4231" Type="http://schemas.openxmlformats.org/officeDocument/2006/relationships/hyperlink" Target="http://ar.linkedin.com/in/anibalmenezes" TargetMode="External"/><Relationship Id="rId5563" Type="http://schemas.openxmlformats.org/officeDocument/2006/relationships/hyperlink" Target="http://www.linkedin.com/pub/ian-heffernan/4/B05/B87" TargetMode="External"/><Relationship Id="rId6894" Type="http://schemas.openxmlformats.org/officeDocument/2006/relationships/hyperlink" Target="http://www.linkedin.com/pub/mat%C3%ADas-andres-correa/7/66a/845" TargetMode="External"/><Relationship Id="rId494" Type="http://schemas.openxmlformats.org/officeDocument/2006/relationships/hyperlink" Target="http://www.linkedin.com/in/smartconnections" TargetMode="External"/><Relationship Id="rId4230" Type="http://schemas.openxmlformats.org/officeDocument/2006/relationships/hyperlink" Target="http://ar.linkedin.com/pub/cristina-marquez/26/463/433" TargetMode="External"/><Relationship Id="rId5564" Type="http://schemas.openxmlformats.org/officeDocument/2006/relationships/hyperlink" Target="http://www.linkedin.com/in/marceloquintas" TargetMode="External"/><Relationship Id="rId6895" Type="http://schemas.openxmlformats.org/officeDocument/2006/relationships/hyperlink" Target="http://ar.linkedin.com/pub/emiliano-marchiori/25/297/AB1" TargetMode="External"/><Relationship Id="rId493" Type="http://schemas.openxmlformats.org/officeDocument/2006/relationships/hyperlink" Target="http://de.linkedin.com/pub/joshua-cohen/2/769/211" TargetMode="External"/><Relationship Id="rId4233" Type="http://schemas.openxmlformats.org/officeDocument/2006/relationships/hyperlink" Target="http://ar.linkedin.com/pub/guillermo-nicol%C3%A1s-discoli/A/352/29B" TargetMode="External"/><Relationship Id="rId5561" Type="http://schemas.openxmlformats.org/officeDocument/2006/relationships/hyperlink" Target="http://ar.linkedin.com/pub/alejandro-kim/7/11/1B0" TargetMode="External"/><Relationship Id="rId6892" Type="http://schemas.openxmlformats.org/officeDocument/2006/relationships/hyperlink" Target="http://ar.linkedin.com/pub/olegario-heberto-gamarra/9/A2A/50A" TargetMode="External"/><Relationship Id="rId492" Type="http://schemas.openxmlformats.org/officeDocument/2006/relationships/hyperlink" Target="http://www.linkedin.com/pub/adrian-hodgson/2/156/550" TargetMode="External"/><Relationship Id="rId4232" Type="http://schemas.openxmlformats.org/officeDocument/2006/relationships/hyperlink" Target="http://ar.linkedin.com/in/anagorleri" TargetMode="External"/><Relationship Id="rId5562" Type="http://schemas.openxmlformats.org/officeDocument/2006/relationships/hyperlink" Target="http://ar.linkedin.com/in/nicochiari" TargetMode="External"/><Relationship Id="rId6893" Type="http://schemas.openxmlformats.org/officeDocument/2006/relationships/hyperlink" Target="http://ar.linkedin.com/pub/philip-hausmann/8/125/59A" TargetMode="External"/><Relationship Id="rId499" Type="http://schemas.openxmlformats.org/officeDocument/2006/relationships/hyperlink" Target="http://www.linkedin.com/in/mbenedetti" TargetMode="External"/><Relationship Id="rId4235" Type="http://schemas.openxmlformats.org/officeDocument/2006/relationships/hyperlink" Target="http://ar.linkedin.com/pub/adriana-b-bonavita/0/14B/3B" TargetMode="External"/><Relationship Id="rId5567" Type="http://schemas.openxmlformats.org/officeDocument/2006/relationships/hyperlink" Target="http://www.linkedin.com/pub/donald-glass/0/315/131" TargetMode="External"/><Relationship Id="rId6898" Type="http://schemas.openxmlformats.org/officeDocument/2006/relationships/hyperlink" Target="http://ar.linkedin.com/pub/rolf-meyer/1/233/699" TargetMode="External"/><Relationship Id="rId498" Type="http://schemas.openxmlformats.org/officeDocument/2006/relationships/hyperlink" Target="http://www.linkedin.com/pub/luke-davies/0/1b8/741" TargetMode="External"/><Relationship Id="rId4234" Type="http://schemas.openxmlformats.org/officeDocument/2006/relationships/hyperlink" Target="http://ar.linkedin.com/pub/javier-prudencio-paredes/12/441/350" TargetMode="External"/><Relationship Id="rId5568" Type="http://schemas.openxmlformats.org/officeDocument/2006/relationships/hyperlink" Target="http://ar.linkedin.com/pub/david-haimovich/22/A55/626" TargetMode="External"/><Relationship Id="rId6899" Type="http://schemas.openxmlformats.org/officeDocument/2006/relationships/hyperlink" Target="http://www.linkedin.com/in/arielkas" TargetMode="External"/><Relationship Id="rId497" Type="http://schemas.openxmlformats.org/officeDocument/2006/relationships/hyperlink" Target="http://www.linkedin.com/pub/jeff-kraatz/0/5B/214" TargetMode="External"/><Relationship Id="rId4237" Type="http://schemas.openxmlformats.org/officeDocument/2006/relationships/hyperlink" Target="http://ar.linkedin.com/pub/bianca-sundell/17/884/8B8" TargetMode="External"/><Relationship Id="rId5565" Type="http://schemas.openxmlformats.org/officeDocument/2006/relationships/hyperlink" Target="https://www.linkedin.com/in/sunildoshi" TargetMode="External"/><Relationship Id="rId6896" Type="http://schemas.openxmlformats.org/officeDocument/2006/relationships/hyperlink" Target="http://www.linkedin.com/pub/javier-oscar-arbelaiz/1b/490/b05" TargetMode="External"/><Relationship Id="rId496" Type="http://schemas.openxmlformats.org/officeDocument/2006/relationships/hyperlink" Target="http://www.linkedin.com/in/lindarolle" TargetMode="External"/><Relationship Id="rId4236" Type="http://schemas.openxmlformats.org/officeDocument/2006/relationships/hyperlink" Target="http://www.linkedin.com/pub/david-m-rey-goitia/23/456/b29" TargetMode="External"/><Relationship Id="rId5566" Type="http://schemas.openxmlformats.org/officeDocument/2006/relationships/hyperlink" Target="http://www.linkedin.com/in/jaygierak" TargetMode="External"/><Relationship Id="rId6897" Type="http://schemas.openxmlformats.org/officeDocument/2006/relationships/hyperlink" Target="http://ar.linkedin.com/pub/vicky-marziali/10/571/290" TargetMode="External"/><Relationship Id="rId4260" Type="http://schemas.openxmlformats.org/officeDocument/2006/relationships/hyperlink" Target="http://uk.linkedin.com/pub/barry-hind/4/468/135" TargetMode="External"/><Relationship Id="rId5592" Type="http://schemas.openxmlformats.org/officeDocument/2006/relationships/hyperlink" Target="http://www.linkedin.com/pub/mat%C3%ADas-jarab/26/92b/674" TargetMode="External"/><Relationship Id="rId5593" Type="http://schemas.openxmlformats.org/officeDocument/2006/relationships/hyperlink" Target="http://www.linkedin.com/pub/seferino-antonio-gallardo/12/785/580" TargetMode="External"/><Relationship Id="rId4262" Type="http://schemas.openxmlformats.org/officeDocument/2006/relationships/hyperlink" Target="http://www.linkedin.com/in/thespirit2010" TargetMode="External"/><Relationship Id="rId5590" Type="http://schemas.openxmlformats.org/officeDocument/2006/relationships/hyperlink" Target="http://ar.linkedin.com/in/alejandroferrari" TargetMode="External"/><Relationship Id="rId4261" Type="http://schemas.openxmlformats.org/officeDocument/2006/relationships/hyperlink" Target="http://www.linkedin.com/pub/rashesh-joshi-bsc-fca-miod/3/631/b97" TargetMode="External"/><Relationship Id="rId5591" Type="http://schemas.openxmlformats.org/officeDocument/2006/relationships/hyperlink" Target="http://ar.linkedin.com/in/franciscopugliese" TargetMode="External"/><Relationship Id="rId4264" Type="http://schemas.openxmlformats.org/officeDocument/2006/relationships/hyperlink" Target="http://www.linkedin.com/pub/agust%C3%ADn-di-toro/11/84b/851" TargetMode="External"/><Relationship Id="rId5596" Type="http://schemas.openxmlformats.org/officeDocument/2006/relationships/hyperlink" Target="http://www.linkedin.com/pub/neal-so/0/834/598" TargetMode="External"/><Relationship Id="rId4263" Type="http://schemas.openxmlformats.org/officeDocument/2006/relationships/hyperlink" Target="http://www.linkedin.com/in/robfurmanmba" TargetMode="External"/><Relationship Id="rId5597" Type="http://schemas.openxmlformats.org/officeDocument/2006/relationships/hyperlink" Target="http://www.linkedin.com/pub/nord-samuelson/0/BB4/A15" TargetMode="External"/><Relationship Id="rId4266" Type="http://schemas.openxmlformats.org/officeDocument/2006/relationships/hyperlink" Target="http://www.linkedin.com/pub/julieta-tettamanti/14/825/6a8" TargetMode="External"/><Relationship Id="rId5594" Type="http://schemas.openxmlformats.org/officeDocument/2006/relationships/hyperlink" Target="http://www.linkedin.com/in/stephenyi" TargetMode="External"/><Relationship Id="rId4265" Type="http://schemas.openxmlformats.org/officeDocument/2006/relationships/hyperlink" Target="http://ar.linkedin.com/pub/cecilia-balvorin/4/810/BB7" TargetMode="External"/><Relationship Id="rId5595" Type="http://schemas.openxmlformats.org/officeDocument/2006/relationships/hyperlink" Target="http://www.linkedin.com/in/rickwahlberg" TargetMode="External"/><Relationship Id="rId4268" Type="http://schemas.openxmlformats.org/officeDocument/2006/relationships/hyperlink" Target="http://www.linkedin.com/pub/paola-sulkies/9/915/0" TargetMode="External"/><Relationship Id="rId4267" Type="http://schemas.openxmlformats.org/officeDocument/2006/relationships/hyperlink" Target="http://ar.linkedin.com/pub/claudia-almanza/10/5B/403" TargetMode="External"/><Relationship Id="rId5598" Type="http://schemas.openxmlformats.org/officeDocument/2006/relationships/hyperlink" Target="http://www.linkedin.com/in/jkalbrecht" TargetMode="External"/><Relationship Id="rId4269" Type="http://schemas.openxmlformats.org/officeDocument/2006/relationships/hyperlink" Target="http://ar.linkedin.com/pub/alejandro-servide/14/B09/BA6" TargetMode="External"/><Relationship Id="rId5599" Type="http://schemas.openxmlformats.org/officeDocument/2006/relationships/hyperlink" Target="http://www.linkedin.com/in/shawnbroderick" TargetMode="External"/><Relationship Id="rId5581" Type="http://schemas.openxmlformats.org/officeDocument/2006/relationships/hyperlink" Target="http://www.linkedin.com/pub/cindy-hilmes-csm/0/258/723" TargetMode="External"/><Relationship Id="rId5582" Type="http://schemas.openxmlformats.org/officeDocument/2006/relationships/hyperlink" Target="http://www.linkedin.com/pub/bob-crouse/2/417/497" TargetMode="External"/><Relationship Id="rId4251" Type="http://schemas.openxmlformats.org/officeDocument/2006/relationships/hyperlink" Target="http://www.linkedin.com/pub/juan-carlos-martinez-carlevaro/12/905/990" TargetMode="External"/><Relationship Id="rId4250" Type="http://schemas.openxmlformats.org/officeDocument/2006/relationships/hyperlink" Target="http://ar.linkedin.com/pub/hernan-petruzzi/11/B76/B2" TargetMode="External"/><Relationship Id="rId5580" Type="http://schemas.openxmlformats.org/officeDocument/2006/relationships/hyperlink" Target="http://www.linkedin.com/pub/vinay-moharil/1/989/164" TargetMode="External"/><Relationship Id="rId4253" Type="http://schemas.openxmlformats.org/officeDocument/2006/relationships/hyperlink" Target="http://ar.linkedin.com/pub/julian-herrera/2A/952/148" TargetMode="External"/><Relationship Id="rId5585" Type="http://schemas.openxmlformats.org/officeDocument/2006/relationships/hyperlink" Target="http://www.linkedin.com/pub/rebecca-garner/15/403/306" TargetMode="External"/><Relationship Id="rId4252" Type="http://schemas.openxmlformats.org/officeDocument/2006/relationships/hyperlink" Target="http://ar.linkedin.com/in/norbertorubenserrano" TargetMode="External"/><Relationship Id="rId5586" Type="http://schemas.openxmlformats.org/officeDocument/2006/relationships/hyperlink" Target="http://www.linkedin.com/pub/michael-roseman/0/198/B8" TargetMode="External"/><Relationship Id="rId4255" Type="http://schemas.openxmlformats.org/officeDocument/2006/relationships/hyperlink" Target="http://ar.linkedin.com/pub/mart%C3%ADn-acosta/22/890/A84" TargetMode="External"/><Relationship Id="rId5583" Type="http://schemas.openxmlformats.org/officeDocument/2006/relationships/hyperlink" Target="http://www.linkedin.com/pub/jay-stright/4/854/B64" TargetMode="External"/><Relationship Id="rId4254" Type="http://schemas.openxmlformats.org/officeDocument/2006/relationships/hyperlink" Target="http://www.linkedin.com/pub/marcos-tonina/14/3a2/773" TargetMode="External"/><Relationship Id="rId5584" Type="http://schemas.openxmlformats.org/officeDocument/2006/relationships/hyperlink" Target="http://www.linkedin.com/in/robholley" TargetMode="External"/><Relationship Id="rId4257" Type="http://schemas.openxmlformats.org/officeDocument/2006/relationships/hyperlink" Target="http://www.linkedin.com/pub/mart%C3%ADn-amat/12/38b/46" TargetMode="External"/><Relationship Id="rId5589" Type="http://schemas.openxmlformats.org/officeDocument/2006/relationships/hyperlink" Target="http://www.linkedin.com/in/iftequarmohammed" TargetMode="External"/><Relationship Id="rId4256" Type="http://schemas.openxmlformats.org/officeDocument/2006/relationships/hyperlink" Target="http://ar.linkedin.com/pub/patricia-s-/2A/8B5/734" TargetMode="External"/><Relationship Id="rId4259" Type="http://schemas.openxmlformats.org/officeDocument/2006/relationships/hyperlink" Target="http://ar.linkedin.com/pub/jorge-luis-falcone/1/29/677" TargetMode="External"/><Relationship Id="rId5587" Type="http://schemas.openxmlformats.org/officeDocument/2006/relationships/hyperlink" Target="http://www.linkedin.com/in/wesleybryan" TargetMode="External"/><Relationship Id="rId4258" Type="http://schemas.openxmlformats.org/officeDocument/2006/relationships/hyperlink" Target="http://www.linkedin.com/in/diegoavalos" TargetMode="External"/><Relationship Id="rId5588" Type="http://schemas.openxmlformats.org/officeDocument/2006/relationships/hyperlink" Target="http://www.linkedin.com/in/rontgenisaac" TargetMode="External"/><Relationship Id="rId9113" Type="http://schemas.openxmlformats.org/officeDocument/2006/relationships/hyperlink" Target="http://www.linkedin.com/pub/beti-simon/0/B4/976" TargetMode="External"/><Relationship Id="rId9112" Type="http://schemas.openxmlformats.org/officeDocument/2006/relationships/hyperlink" Target="http://www.linkedin.com/in/carolshaffer" TargetMode="External"/><Relationship Id="rId9111" Type="http://schemas.openxmlformats.org/officeDocument/2006/relationships/hyperlink" Target="http://www.linkedin.com/in/sherylgundersen" TargetMode="External"/><Relationship Id="rId9110" Type="http://schemas.openxmlformats.org/officeDocument/2006/relationships/hyperlink" Target="http://www.linkedin.com/in/welcommgreg" TargetMode="External"/><Relationship Id="rId9117" Type="http://schemas.openxmlformats.org/officeDocument/2006/relationships/hyperlink" Target="http://ca.linkedin.com/in/bbaliuc" TargetMode="External"/><Relationship Id="rId9116" Type="http://schemas.openxmlformats.org/officeDocument/2006/relationships/hyperlink" Target="http://www.linkedin.com/in/jackcage" TargetMode="External"/><Relationship Id="rId9115" Type="http://schemas.openxmlformats.org/officeDocument/2006/relationships/hyperlink" Target="http://www.linkedin.com/in/joeypeloquin" TargetMode="External"/><Relationship Id="rId9114" Type="http://schemas.openxmlformats.org/officeDocument/2006/relationships/hyperlink" Target="http://www.linkedin.com/in/scottanschuetz" TargetMode="External"/><Relationship Id="rId9119" Type="http://schemas.openxmlformats.org/officeDocument/2006/relationships/hyperlink" Target="http://www.linkedin.com/in/kevinfreedman" TargetMode="External"/><Relationship Id="rId9118" Type="http://schemas.openxmlformats.org/officeDocument/2006/relationships/hyperlink" Target="http://www.linkedin.com/in/launchdesign" TargetMode="External"/><Relationship Id="rId9102" Type="http://schemas.openxmlformats.org/officeDocument/2006/relationships/hyperlink" Target="http://www.linkedin.com/in/energytech" TargetMode="External"/><Relationship Id="rId9101" Type="http://schemas.openxmlformats.org/officeDocument/2006/relationships/hyperlink" Target="http://www.linkedin.com/in/danbroudy" TargetMode="External"/><Relationship Id="rId9100" Type="http://schemas.openxmlformats.org/officeDocument/2006/relationships/hyperlink" Target="http://www.linkedin.com/pub/paul-isley/4/229/B2" TargetMode="External"/><Relationship Id="rId9106" Type="http://schemas.openxmlformats.org/officeDocument/2006/relationships/hyperlink" Target="http://www.linkedin.com/in/steffenland" TargetMode="External"/><Relationship Id="rId9105" Type="http://schemas.openxmlformats.org/officeDocument/2006/relationships/hyperlink" Target="http://www.linkedin.com/in/travismarquette" TargetMode="External"/><Relationship Id="rId9104" Type="http://schemas.openxmlformats.org/officeDocument/2006/relationships/hyperlink" Target="http://www.linkedin.com/pub/kevin-kopanon/0/2A0/410" TargetMode="External"/><Relationship Id="rId9103" Type="http://schemas.openxmlformats.org/officeDocument/2006/relationships/hyperlink" Target="http://www.linkedin.com/in/hunterwalk" TargetMode="External"/><Relationship Id="rId9109" Type="http://schemas.openxmlformats.org/officeDocument/2006/relationships/hyperlink" Target="http://www.linkedin.com/in/josephsterbling" TargetMode="External"/><Relationship Id="rId9108" Type="http://schemas.openxmlformats.org/officeDocument/2006/relationships/hyperlink" Target="http://www.linkedin.com/pub/steve-kaish/0/212/A30" TargetMode="External"/><Relationship Id="rId9107" Type="http://schemas.openxmlformats.org/officeDocument/2006/relationships/hyperlink" Target="http://www.linkedin.com/pub/ajay-mishra/0/123/274" TargetMode="External"/><Relationship Id="rId6902" Type="http://schemas.openxmlformats.org/officeDocument/2006/relationships/hyperlink" Target="http://www.linkedin.com/in/marywelsh" TargetMode="External"/><Relationship Id="rId6903" Type="http://schemas.openxmlformats.org/officeDocument/2006/relationships/hyperlink" Target="http://www.linkedin.com/in/carlgrover" TargetMode="External"/><Relationship Id="rId6900" Type="http://schemas.openxmlformats.org/officeDocument/2006/relationships/hyperlink" Target="http://ar.linkedin.com/in/patriciacaimer" TargetMode="External"/><Relationship Id="rId6901" Type="http://schemas.openxmlformats.org/officeDocument/2006/relationships/hyperlink" Target="http://ar.linkedin.com/pub/federico-bosch/2/90A/59B" TargetMode="External"/><Relationship Id="rId6906" Type="http://schemas.openxmlformats.org/officeDocument/2006/relationships/hyperlink" Target="http://ar.linkedin.com/pub/susana-b-zabala/A/463/3AB" TargetMode="External"/><Relationship Id="rId6907" Type="http://schemas.openxmlformats.org/officeDocument/2006/relationships/hyperlink" Target="http://ar.linkedin.com/pub/leonardo-queizan/2B/901/279" TargetMode="External"/><Relationship Id="rId6904" Type="http://schemas.openxmlformats.org/officeDocument/2006/relationships/hyperlink" Target="http://www.linkedin.com/pub/luiz-fernando-girolamo/0/220/830" TargetMode="External"/><Relationship Id="rId6905" Type="http://schemas.openxmlformats.org/officeDocument/2006/relationships/hyperlink" Target="http://ar.linkedin.com/pub/claudio-pazzano/12/5B1/722" TargetMode="External"/><Relationship Id="rId6908" Type="http://schemas.openxmlformats.org/officeDocument/2006/relationships/hyperlink" Target="http://www.linkedin.com/pub/marcos-paione/14/1a1/b80" TargetMode="External"/><Relationship Id="rId6909" Type="http://schemas.openxmlformats.org/officeDocument/2006/relationships/hyperlink" Target="http://www.linkedin.com/pub/lucas-fam%C3%A1/b/4b0/85b" TargetMode="External"/><Relationship Id="rId9182" Type="http://schemas.openxmlformats.org/officeDocument/2006/relationships/hyperlink" Target="http://www.linkedin.com/in/jeffmucci" TargetMode="External"/><Relationship Id="rId9181" Type="http://schemas.openxmlformats.org/officeDocument/2006/relationships/hyperlink" Target="http://www.linkedin.com/in/diegofmartinez" TargetMode="External"/><Relationship Id="rId9180" Type="http://schemas.openxmlformats.org/officeDocument/2006/relationships/hyperlink" Target="http://www.linkedin.com/pub/dan-hight/1/A41/47A" TargetMode="External"/><Relationship Id="rId9175" Type="http://schemas.openxmlformats.org/officeDocument/2006/relationships/hyperlink" Target="http://www.linkedin.com/in/brianbowman" TargetMode="External"/><Relationship Id="rId9174" Type="http://schemas.openxmlformats.org/officeDocument/2006/relationships/hyperlink" Target="http://www.linkedin.com/pub/david-dahn-cpa-mst/0/36A/317" TargetMode="External"/><Relationship Id="rId9173" Type="http://schemas.openxmlformats.org/officeDocument/2006/relationships/hyperlink" Target="http://www.linkedin.com/in/markandersonindy" TargetMode="External"/><Relationship Id="rId9172" Type="http://schemas.openxmlformats.org/officeDocument/2006/relationships/hyperlink" Target="http://www.linkedin.com/pub/genia-jacques/0/13A/A97" TargetMode="External"/><Relationship Id="rId9179" Type="http://schemas.openxmlformats.org/officeDocument/2006/relationships/hyperlink" Target="http://www.linkedin.com/pub/balakrishna-narasimhan/0/938/627" TargetMode="External"/><Relationship Id="rId9178" Type="http://schemas.openxmlformats.org/officeDocument/2006/relationships/hyperlink" Target="http://www.linkedin.com/in/jonfukuda" TargetMode="External"/><Relationship Id="rId9177" Type="http://schemas.openxmlformats.org/officeDocument/2006/relationships/hyperlink" Target="http://uk.linkedin.com/pub/tim-donald/A/4B0/829" TargetMode="External"/><Relationship Id="rId9176" Type="http://schemas.openxmlformats.org/officeDocument/2006/relationships/hyperlink" Target="http://www.linkedin.com/in/evanbauer" TargetMode="External"/><Relationship Id="rId9171" Type="http://schemas.openxmlformats.org/officeDocument/2006/relationships/hyperlink" Target="http://www.linkedin.com/in/terihuenink" TargetMode="External"/><Relationship Id="rId9170" Type="http://schemas.openxmlformats.org/officeDocument/2006/relationships/hyperlink" Target="http://www.linkedin.com/pub/darren-ferrar/1/89B/881" TargetMode="External"/><Relationship Id="rId9164" Type="http://schemas.openxmlformats.org/officeDocument/2006/relationships/hyperlink" Target="http://www.linkedin.com/in/praveenshah" TargetMode="External"/><Relationship Id="rId9163" Type="http://schemas.openxmlformats.org/officeDocument/2006/relationships/hyperlink" Target="http://www.linkedin.com/in/mikeoliversolus" TargetMode="External"/><Relationship Id="rId9162" Type="http://schemas.openxmlformats.org/officeDocument/2006/relationships/hyperlink" Target="http://www.linkedin.com/pub/thy-lam/1/786/643" TargetMode="External"/><Relationship Id="rId9161" Type="http://schemas.openxmlformats.org/officeDocument/2006/relationships/hyperlink" Target="http://www.linkedin.com/pub/asaf-silberstein/1/525/664" TargetMode="External"/><Relationship Id="rId9168" Type="http://schemas.openxmlformats.org/officeDocument/2006/relationships/hyperlink" Target="http://www.linkedin.com/pub/mark-hipp/2/BA8/B08" TargetMode="External"/><Relationship Id="rId9167" Type="http://schemas.openxmlformats.org/officeDocument/2006/relationships/hyperlink" Target="http://www.linkedin.com/in/jasonyan" TargetMode="External"/><Relationship Id="rId9166" Type="http://schemas.openxmlformats.org/officeDocument/2006/relationships/hyperlink" Target="http://www.linkedin.com/pub/carolyn-crandall/0/332/47A" TargetMode="External"/><Relationship Id="rId9165" Type="http://schemas.openxmlformats.org/officeDocument/2006/relationships/hyperlink" Target="http://www.linkedin.com/pub/steve-potter/0/83B/803" TargetMode="External"/><Relationship Id="rId9169" Type="http://schemas.openxmlformats.org/officeDocument/2006/relationships/hyperlink" Target="http://www.linkedin.com/in/neilhaldar" TargetMode="External"/><Relationship Id="rId6924" Type="http://schemas.openxmlformats.org/officeDocument/2006/relationships/hyperlink" Target="http://www.linkedin.com/pub/diego-veca/1/598/840" TargetMode="External"/><Relationship Id="rId6925" Type="http://schemas.openxmlformats.org/officeDocument/2006/relationships/hyperlink" Target="http://www.linkedin.com/pub/naveed-agha/6/514/71B" TargetMode="External"/><Relationship Id="rId6922" Type="http://schemas.openxmlformats.org/officeDocument/2006/relationships/hyperlink" Target="http://www.linkedin.com/pub/marcela-malanca/2b/127/132" TargetMode="External"/><Relationship Id="rId6923" Type="http://schemas.openxmlformats.org/officeDocument/2006/relationships/hyperlink" Target="http://www.linkedin.com/pub/alejo-vazquez-bahurlet/7/59a/223" TargetMode="External"/><Relationship Id="rId6928" Type="http://schemas.openxmlformats.org/officeDocument/2006/relationships/hyperlink" Target="http://www.linkedin.com/in/chrisalberto" TargetMode="External"/><Relationship Id="rId6929" Type="http://schemas.openxmlformats.org/officeDocument/2006/relationships/hyperlink" Target="http://www.linkedin.com/in/valeriamosconi" TargetMode="External"/><Relationship Id="rId6926" Type="http://schemas.openxmlformats.org/officeDocument/2006/relationships/hyperlink" Target="http://ar.linkedin.com/pub/cecilia-lopez/10/862/481" TargetMode="External"/><Relationship Id="rId6927" Type="http://schemas.openxmlformats.org/officeDocument/2006/relationships/hyperlink" Target="http://ar.linkedin.com/pub/esteban-casta-eda/13/180/3B" TargetMode="External"/><Relationship Id="rId409" Type="http://schemas.openxmlformats.org/officeDocument/2006/relationships/hyperlink" Target="http://www.linkedin.com/in/santoshdeme" TargetMode="External"/><Relationship Id="rId404" Type="http://schemas.openxmlformats.org/officeDocument/2006/relationships/hyperlink" Target="http://www.linkedin.com/in/ashleycarman" TargetMode="External"/><Relationship Id="rId9197" Type="http://schemas.openxmlformats.org/officeDocument/2006/relationships/hyperlink" Target="http://www.linkedin.com/in/tomsgorman" TargetMode="External"/><Relationship Id="rId403" Type="http://schemas.openxmlformats.org/officeDocument/2006/relationships/hyperlink" Target="http://www.linkedin.com/in/bradmcmonigle" TargetMode="External"/><Relationship Id="rId9196" Type="http://schemas.openxmlformats.org/officeDocument/2006/relationships/hyperlink" Target="http://www.linkedin.com/in/davidkeim" TargetMode="External"/><Relationship Id="rId402" Type="http://schemas.openxmlformats.org/officeDocument/2006/relationships/hyperlink" Target="http://www.linkedin.com/in/rjvissers" TargetMode="External"/><Relationship Id="rId9195" Type="http://schemas.openxmlformats.org/officeDocument/2006/relationships/hyperlink" Target="http://www.linkedin.com/in/tfilippone" TargetMode="External"/><Relationship Id="rId401" Type="http://schemas.openxmlformats.org/officeDocument/2006/relationships/hyperlink" Target="http://www.linkedin.com/in/ericthal" TargetMode="External"/><Relationship Id="rId9194" Type="http://schemas.openxmlformats.org/officeDocument/2006/relationships/hyperlink" Target="http://www.linkedin.com/in/miriamliszewski" TargetMode="External"/><Relationship Id="rId408" Type="http://schemas.openxmlformats.org/officeDocument/2006/relationships/hyperlink" Target="http://uk.linkedin.com/pub/cliff-scobie/0/A76/5B9" TargetMode="External"/><Relationship Id="rId407" Type="http://schemas.openxmlformats.org/officeDocument/2006/relationships/hyperlink" Target="http://uk.linkedin.com/pub/andy-monkhouse/3/263/204" TargetMode="External"/><Relationship Id="rId406" Type="http://schemas.openxmlformats.org/officeDocument/2006/relationships/hyperlink" Target="http://www.linkedin.com/in/anthonyldavis" TargetMode="External"/><Relationship Id="rId9199" Type="http://schemas.openxmlformats.org/officeDocument/2006/relationships/hyperlink" Target="http://www.linkedin.com/pub/bob-mccarthy/6/660/717" TargetMode="External"/><Relationship Id="rId405" Type="http://schemas.openxmlformats.org/officeDocument/2006/relationships/hyperlink" Target="http://www.linkedin.com/pub/ruchit-g-garg/0/442/78a?trk=pub-pbmap" TargetMode="External"/><Relationship Id="rId9198" Type="http://schemas.openxmlformats.org/officeDocument/2006/relationships/hyperlink" Target="http://www.linkedin.com/in/jstapleton" TargetMode="External"/><Relationship Id="rId400" Type="http://schemas.openxmlformats.org/officeDocument/2006/relationships/hyperlink" Target="http://www.linkedin.com/in/gregcomrie" TargetMode="External"/><Relationship Id="rId6920" Type="http://schemas.openxmlformats.org/officeDocument/2006/relationships/hyperlink" Target="http://ar.linkedin.com/pub/claudia-brea/4/271/610" TargetMode="External"/><Relationship Id="rId6921" Type="http://schemas.openxmlformats.org/officeDocument/2006/relationships/hyperlink" Target="http://ar.linkedin.com/pub/maria-eugenia-arroyo/2/5B2/260" TargetMode="External"/><Relationship Id="rId6913" Type="http://schemas.openxmlformats.org/officeDocument/2006/relationships/hyperlink" Target="http://ar.linkedin.com/pub/hernan-del-negro/8/300/BBB" TargetMode="External"/><Relationship Id="rId6914" Type="http://schemas.openxmlformats.org/officeDocument/2006/relationships/hyperlink" Target="http://ar.linkedin.com/pub/andrea-agostinelli/2/4A/3A6" TargetMode="External"/><Relationship Id="rId6911" Type="http://schemas.openxmlformats.org/officeDocument/2006/relationships/hyperlink" Target="http://ar.linkedin.com/pub/claudio-pailhe/A/85/207" TargetMode="External"/><Relationship Id="rId6912" Type="http://schemas.openxmlformats.org/officeDocument/2006/relationships/hyperlink" Target="http://ar.linkedin.com/in/jorgedangelo" TargetMode="External"/><Relationship Id="rId6917" Type="http://schemas.openxmlformats.org/officeDocument/2006/relationships/hyperlink" Target="http://ar.linkedin.com/in/lucianogimeno" TargetMode="External"/><Relationship Id="rId6918" Type="http://schemas.openxmlformats.org/officeDocument/2006/relationships/hyperlink" Target="http://www.linkedin.com/in/jmrodriguezb" TargetMode="External"/><Relationship Id="rId6915" Type="http://schemas.openxmlformats.org/officeDocument/2006/relationships/hyperlink" Target="http://ar.linkedin.com/in/joaquindoglio" TargetMode="External"/><Relationship Id="rId6916" Type="http://schemas.openxmlformats.org/officeDocument/2006/relationships/hyperlink" Target="http://ar.linkedin.com/pub/alejandro-guzm-n/A/317/981" TargetMode="External"/><Relationship Id="rId6919" Type="http://schemas.openxmlformats.org/officeDocument/2006/relationships/hyperlink" Target="http://ar.linkedin.com/pub/ariel-kanelson/5/857/3A6" TargetMode="External"/><Relationship Id="rId9193" Type="http://schemas.openxmlformats.org/officeDocument/2006/relationships/hyperlink" Target="http://www.linkedin.com/pub/kevin-strange/0/430/688" TargetMode="External"/><Relationship Id="rId9192" Type="http://schemas.openxmlformats.org/officeDocument/2006/relationships/hyperlink" Target="http://www.linkedin.com/pub/chase-holland/6/53A/4B9" TargetMode="External"/><Relationship Id="rId9191" Type="http://schemas.openxmlformats.org/officeDocument/2006/relationships/hyperlink" Target="http://www.linkedin.com/in/dougstabenow" TargetMode="External"/><Relationship Id="rId9190" Type="http://schemas.openxmlformats.org/officeDocument/2006/relationships/hyperlink" Target="https://www.linkedin.com/in/erikklein" TargetMode="External"/><Relationship Id="rId9186" Type="http://schemas.openxmlformats.org/officeDocument/2006/relationships/hyperlink" Target="http://www.linkedin.com/in/scottdietzen" TargetMode="External"/><Relationship Id="rId9185" Type="http://schemas.openxmlformats.org/officeDocument/2006/relationships/hyperlink" Target="http://www.linkedin.com/in/gazelleinteractive" TargetMode="External"/><Relationship Id="rId9184" Type="http://schemas.openxmlformats.org/officeDocument/2006/relationships/hyperlink" Target="http://www.linkedin.com/in/yoavshapira" TargetMode="External"/><Relationship Id="rId9183" Type="http://schemas.openxmlformats.org/officeDocument/2006/relationships/hyperlink" Target="http://www.linkedin.com/in/paulaarnett" TargetMode="External"/><Relationship Id="rId9189" Type="http://schemas.openxmlformats.org/officeDocument/2006/relationships/hyperlink" Target="http://www.linkedin.com/pub/jim-drill/1/849/24" TargetMode="External"/><Relationship Id="rId9188" Type="http://schemas.openxmlformats.org/officeDocument/2006/relationships/hyperlink" Target="http://www.linkedin.com/in/alexbrutin" TargetMode="External"/><Relationship Id="rId9187" Type="http://schemas.openxmlformats.org/officeDocument/2006/relationships/hyperlink" Target="http://www.linkedin.com/in/cbenara" TargetMode="External"/><Relationship Id="rId6910" Type="http://schemas.openxmlformats.org/officeDocument/2006/relationships/hyperlink" Target="http://www.linkedin.com/pub/gabriel-redrado/a/375/b83" TargetMode="External"/><Relationship Id="rId9131" Type="http://schemas.openxmlformats.org/officeDocument/2006/relationships/hyperlink" Target="http://www.linkedin.com/pub/mark-slaga/3/782/869" TargetMode="External"/><Relationship Id="rId9130" Type="http://schemas.openxmlformats.org/officeDocument/2006/relationships/hyperlink" Target="http://www.linkedin.com/in/bensharp" TargetMode="External"/><Relationship Id="rId9135" Type="http://schemas.openxmlformats.org/officeDocument/2006/relationships/hyperlink" Target="http://www.linkedin.com/in/rjfolz" TargetMode="External"/><Relationship Id="rId9134" Type="http://schemas.openxmlformats.org/officeDocument/2006/relationships/hyperlink" Target="http://www.linkedin.com/in/tincup" TargetMode="External"/><Relationship Id="rId9133" Type="http://schemas.openxmlformats.org/officeDocument/2006/relationships/hyperlink" Target="http://www.linkedin.com/in/yangandrew" TargetMode="External"/><Relationship Id="rId9132" Type="http://schemas.openxmlformats.org/officeDocument/2006/relationships/hyperlink" Target="http://www.linkedin.com/in/bruzzi" TargetMode="External"/><Relationship Id="rId9139" Type="http://schemas.openxmlformats.org/officeDocument/2006/relationships/hyperlink" Target="http://www.linkedin.com/pub/nick-oberhuber/4/A76/733" TargetMode="External"/><Relationship Id="rId9138" Type="http://schemas.openxmlformats.org/officeDocument/2006/relationships/hyperlink" Target="http://www.linkedin.com/in/jessiefanning" TargetMode="External"/><Relationship Id="rId9137" Type="http://schemas.openxmlformats.org/officeDocument/2006/relationships/hyperlink" Target="http://www.linkedin.com/pub/greg-seal/1/55A/423" TargetMode="External"/><Relationship Id="rId9136" Type="http://schemas.openxmlformats.org/officeDocument/2006/relationships/hyperlink" Target="http://www.linkedin.com/in/pathakritesh" TargetMode="External"/><Relationship Id="rId9120" Type="http://schemas.openxmlformats.org/officeDocument/2006/relationships/hyperlink" Target="http://www.linkedin.com/in/adamblackthekeywifiguy" TargetMode="External"/><Relationship Id="rId9124" Type="http://schemas.openxmlformats.org/officeDocument/2006/relationships/hyperlink" Target="http://www.linkedin.com/in/joelengelmeier" TargetMode="External"/><Relationship Id="rId9123" Type="http://schemas.openxmlformats.org/officeDocument/2006/relationships/hyperlink" Target="http://www.linkedin.com/in/jnewman" TargetMode="External"/><Relationship Id="rId9122" Type="http://schemas.openxmlformats.org/officeDocument/2006/relationships/hyperlink" Target="https://www.linkedin.com/in/josephadler" TargetMode="External"/><Relationship Id="rId9121" Type="http://schemas.openxmlformats.org/officeDocument/2006/relationships/hyperlink" Target="http://www.linkedin.com/in/greghoffman7" TargetMode="External"/><Relationship Id="rId9128" Type="http://schemas.openxmlformats.org/officeDocument/2006/relationships/hyperlink" Target="http://www.linkedin.com/in/christinedover" TargetMode="External"/><Relationship Id="rId9127" Type="http://schemas.openxmlformats.org/officeDocument/2006/relationships/hyperlink" Target="http://www.linkedin.com/in/klubin" TargetMode="External"/><Relationship Id="rId9126" Type="http://schemas.openxmlformats.org/officeDocument/2006/relationships/hyperlink" Target="http://www.linkedin.com/in/jscottwebb" TargetMode="External"/><Relationship Id="rId9125" Type="http://schemas.openxmlformats.org/officeDocument/2006/relationships/hyperlink" Target="http://www.linkedin.com/in/sheilagreco" TargetMode="External"/><Relationship Id="rId9129" Type="http://schemas.openxmlformats.org/officeDocument/2006/relationships/hyperlink" Target="http://www.linkedin.com/in/stamper" TargetMode="External"/><Relationship Id="rId9160" Type="http://schemas.openxmlformats.org/officeDocument/2006/relationships/hyperlink" Target="http://www.linkedin.com/in/kennethgroberts" TargetMode="External"/><Relationship Id="rId9153" Type="http://schemas.openxmlformats.org/officeDocument/2006/relationships/hyperlink" Target="http://www.linkedin.com/pub/john-donham/0/72/600" TargetMode="External"/><Relationship Id="rId9152" Type="http://schemas.openxmlformats.org/officeDocument/2006/relationships/hyperlink" Target="http://www.linkedin.com/in/fali59" TargetMode="External"/><Relationship Id="rId9151" Type="http://schemas.openxmlformats.org/officeDocument/2006/relationships/hyperlink" Target="http://www.linkedin.com/in/robminaglia1" TargetMode="External"/><Relationship Id="rId9150" Type="http://schemas.openxmlformats.org/officeDocument/2006/relationships/hyperlink" Target="http://www.linkedin.com/in/kevhill" TargetMode="External"/><Relationship Id="rId9157" Type="http://schemas.openxmlformats.org/officeDocument/2006/relationships/hyperlink" Target="http://www.linkedin.com/in/richardbarnett" TargetMode="External"/><Relationship Id="rId9156" Type="http://schemas.openxmlformats.org/officeDocument/2006/relationships/hyperlink" Target="http://www.linkedin.com/in/castoro" TargetMode="External"/><Relationship Id="rId9155" Type="http://schemas.openxmlformats.org/officeDocument/2006/relationships/hyperlink" Target="http://www.linkedin.com/in/henryearaya" TargetMode="External"/><Relationship Id="rId9154" Type="http://schemas.openxmlformats.org/officeDocument/2006/relationships/hyperlink" Target="http://www.linkedin.com/in/nicoleblomgren" TargetMode="External"/><Relationship Id="rId9159" Type="http://schemas.openxmlformats.org/officeDocument/2006/relationships/hyperlink" Target="http://www.linkedin.com/in/andreae" TargetMode="External"/><Relationship Id="rId9158" Type="http://schemas.openxmlformats.org/officeDocument/2006/relationships/hyperlink" Target="http://www.linkedin.com/in/simongoodall" TargetMode="External"/><Relationship Id="rId9142" Type="http://schemas.openxmlformats.org/officeDocument/2006/relationships/hyperlink" Target="http://www.linkedin.com/in/alexanderlopez01" TargetMode="External"/><Relationship Id="rId9141" Type="http://schemas.openxmlformats.org/officeDocument/2006/relationships/hyperlink" Target="http://www.linkedin.com/in/dimitrihage" TargetMode="External"/><Relationship Id="rId9140" Type="http://schemas.openxmlformats.org/officeDocument/2006/relationships/hyperlink" Target="http://www.linkedin.com/in/paulvweinstein" TargetMode="External"/><Relationship Id="rId9146" Type="http://schemas.openxmlformats.org/officeDocument/2006/relationships/hyperlink" Target="http://www.linkedin.com/in/nateungerott" TargetMode="External"/><Relationship Id="rId9145" Type="http://schemas.openxmlformats.org/officeDocument/2006/relationships/hyperlink" Target="http://www.linkedin.com/pub/dan-weiss/3/B6B/39B" TargetMode="External"/><Relationship Id="rId9144" Type="http://schemas.openxmlformats.org/officeDocument/2006/relationships/hyperlink" Target="http://www.linkedin.com/in/chambron" TargetMode="External"/><Relationship Id="rId9143" Type="http://schemas.openxmlformats.org/officeDocument/2006/relationships/hyperlink" Target="http://www.linkedin.com/in/jeffmonnes" TargetMode="External"/><Relationship Id="rId9149" Type="http://schemas.openxmlformats.org/officeDocument/2006/relationships/hyperlink" Target="http://www.linkedin.com/in/ggrundstrom" TargetMode="External"/><Relationship Id="rId9148" Type="http://schemas.openxmlformats.org/officeDocument/2006/relationships/hyperlink" Target="http://www.linkedin.com/in/mikegreene" TargetMode="External"/><Relationship Id="rId9147" Type="http://schemas.openxmlformats.org/officeDocument/2006/relationships/hyperlink" Target="http://www.linkedin.com/pub/murali-kanakasabai/2/756/373" TargetMode="External"/><Relationship Id="rId4327" Type="http://schemas.openxmlformats.org/officeDocument/2006/relationships/hyperlink" Target="http://ar.linkedin.com/pub/alexis-pourrain/B/10/4A8" TargetMode="External"/><Relationship Id="rId5659" Type="http://schemas.openxmlformats.org/officeDocument/2006/relationships/hyperlink" Target="http://ar.linkedin.com/in/gbenitez" TargetMode="External"/><Relationship Id="rId4326" Type="http://schemas.openxmlformats.org/officeDocument/2006/relationships/hyperlink" Target="http://www.linkedin.com/in/martingasulla" TargetMode="External"/><Relationship Id="rId4329" Type="http://schemas.openxmlformats.org/officeDocument/2006/relationships/hyperlink" Target="http://ar.linkedin.com/pub/miguel-isabella/11/89A/137" TargetMode="External"/><Relationship Id="rId5657" Type="http://schemas.openxmlformats.org/officeDocument/2006/relationships/hyperlink" Target="http://www.linkedin.com/in/phwetsel" TargetMode="External"/><Relationship Id="rId6988" Type="http://schemas.openxmlformats.org/officeDocument/2006/relationships/hyperlink" Target="http://ar.linkedin.com/in/sergiozuleta" TargetMode="External"/><Relationship Id="rId4328" Type="http://schemas.openxmlformats.org/officeDocument/2006/relationships/hyperlink" Target="http://ar.linkedin.com/in/gcousido" TargetMode="External"/><Relationship Id="rId5658" Type="http://schemas.openxmlformats.org/officeDocument/2006/relationships/hyperlink" Target="http://www.linkedin.com/pub/ignacio-guardines/3/b06/b95" TargetMode="External"/><Relationship Id="rId6989" Type="http://schemas.openxmlformats.org/officeDocument/2006/relationships/hyperlink" Target="http://www.linkedin.com/pub/tony-del-valle/0/784/384" TargetMode="External"/><Relationship Id="rId469" Type="http://schemas.openxmlformats.org/officeDocument/2006/relationships/hyperlink" Target="http://www.linkedin.com/in/stevenleung" TargetMode="External"/><Relationship Id="rId468" Type="http://schemas.openxmlformats.org/officeDocument/2006/relationships/hyperlink" Target="http://www.linkedin.com/in/caryking" TargetMode="External"/><Relationship Id="rId467" Type="http://schemas.openxmlformats.org/officeDocument/2006/relationships/hyperlink" Target="http://ca.linkedin.com/in/grahammarko" TargetMode="External"/><Relationship Id="rId462" Type="http://schemas.openxmlformats.org/officeDocument/2006/relationships/hyperlink" Target="http://www.linkedin.com/pub/peter-mccracken/1/199/48" TargetMode="External"/><Relationship Id="rId5651" Type="http://schemas.openxmlformats.org/officeDocument/2006/relationships/hyperlink" Target="http://www.linkedin.com/in/vakgraun" TargetMode="External"/><Relationship Id="rId6982" Type="http://schemas.openxmlformats.org/officeDocument/2006/relationships/hyperlink" Target="http://www.linkedin.com/pub/alfredo-daniel-vel%C3%A1zquez/1a/5a1/28b" TargetMode="External"/><Relationship Id="rId461" Type="http://schemas.openxmlformats.org/officeDocument/2006/relationships/hyperlink" Target="http://pk.linkedin.com/in/mscrmexpert" TargetMode="External"/><Relationship Id="rId5652" Type="http://schemas.openxmlformats.org/officeDocument/2006/relationships/hyperlink" Target="http://www.linkedin.com/pub/paul-robinson/0/960/532" TargetMode="External"/><Relationship Id="rId6983" Type="http://schemas.openxmlformats.org/officeDocument/2006/relationships/hyperlink" Target="http://ar.linkedin.com/pub/ariel-mastrangelo-ozores/2A/501/7A5" TargetMode="External"/><Relationship Id="rId460" Type="http://schemas.openxmlformats.org/officeDocument/2006/relationships/hyperlink" Target="http://www.linkedin.com/in/djlincoln" TargetMode="External"/><Relationship Id="rId4321" Type="http://schemas.openxmlformats.org/officeDocument/2006/relationships/hyperlink" Target="http://ar.linkedin.com/pub/ignacio-giani/A/5A2/581" TargetMode="External"/><Relationship Id="rId6980" Type="http://schemas.openxmlformats.org/officeDocument/2006/relationships/hyperlink" Target="http://www.linkedin.com/pub/robert-spinelli/0/B11/6B4" TargetMode="External"/><Relationship Id="rId4320" Type="http://schemas.openxmlformats.org/officeDocument/2006/relationships/hyperlink" Target="http://www.linkedin.com/pub/maria-florencia-caggia/4/883/706" TargetMode="External"/><Relationship Id="rId5650" Type="http://schemas.openxmlformats.org/officeDocument/2006/relationships/hyperlink" Target="http://ar.linkedin.com/in/marianoliceaga" TargetMode="External"/><Relationship Id="rId6981" Type="http://schemas.openxmlformats.org/officeDocument/2006/relationships/hyperlink" Target="http://www.linkedin.com/pub/francisco-lanteri/12/767/148" TargetMode="External"/><Relationship Id="rId466" Type="http://schemas.openxmlformats.org/officeDocument/2006/relationships/hyperlink" Target="http://www.linkedin.com/pub/artie-kaloz/7/240/92" TargetMode="External"/><Relationship Id="rId4323" Type="http://schemas.openxmlformats.org/officeDocument/2006/relationships/hyperlink" Target="http://ar.linkedin.com/pub/bettina-cohen/0/2B1/151" TargetMode="External"/><Relationship Id="rId5655" Type="http://schemas.openxmlformats.org/officeDocument/2006/relationships/hyperlink" Target="http://www.linkedin.com/pub/craig-tripp/0/191/351" TargetMode="External"/><Relationship Id="rId6986" Type="http://schemas.openxmlformats.org/officeDocument/2006/relationships/hyperlink" Target="http://www.linkedin.com/pub/gabriela-alfano/13/83b/4b" TargetMode="External"/><Relationship Id="rId465" Type="http://schemas.openxmlformats.org/officeDocument/2006/relationships/hyperlink" Target="http://www.linkedin.com/in/davekiwi" TargetMode="External"/><Relationship Id="rId4322" Type="http://schemas.openxmlformats.org/officeDocument/2006/relationships/hyperlink" Target="http://www.linkedin.com/pub/juan-ayerza/6/623/4a9" TargetMode="External"/><Relationship Id="rId5656" Type="http://schemas.openxmlformats.org/officeDocument/2006/relationships/hyperlink" Target="http://www.linkedin.com/pub/al-kadhim/16/607/241" TargetMode="External"/><Relationship Id="rId6987" Type="http://schemas.openxmlformats.org/officeDocument/2006/relationships/hyperlink" Target="http://mx.linkedin.com/pub/pedro-ramirez/25/A27/204" TargetMode="External"/><Relationship Id="rId464" Type="http://schemas.openxmlformats.org/officeDocument/2006/relationships/hyperlink" Target="http://www.linkedin.com/pub/al-haslam/2/535/501" TargetMode="External"/><Relationship Id="rId4325" Type="http://schemas.openxmlformats.org/officeDocument/2006/relationships/hyperlink" Target="http://ar.linkedin.com/in/victormoure" TargetMode="External"/><Relationship Id="rId5653" Type="http://schemas.openxmlformats.org/officeDocument/2006/relationships/hyperlink" Target="http://www.linkedin.com/pub/john-reel/3/A66/924" TargetMode="External"/><Relationship Id="rId6984" Type="http://schemas.openxmlformats.org/officeDocument/2006/relationships/hyperlink" Target="http://www.linkedin.com/pub/christian-mambrin-ms-pmp/0/821/B69" TargetMode="External"/><Relationship Id="rId463" Type="http://schemas.openxmlformats.org/officeDocument/2006/relationships/hyperlink" Target="http://www.linkedin.com/in/carlosarmas" TargetMode="External"/><Relationship Id="rId4324" Type="http://schemas.openxmlformats.org/officeDocument/2006/relationships/hyperlink" Target="http://ar.linkedin.com/in/cfmartinelli" TargetMode="External"/><Relationship Id="rId5654" Type="http://schemas.openxmlformats.org/officeDocument/2006/relationships/hyperlink" Target="http://www.linkedin.com/pub/gary-eliot/B/466/B53" TargetMode="External"/><Relationship Id="rId6985" Type="http://schemas.openxmlformats.org/officeDocument/2006/relationships/hyperlink" Target="http://ar.linkedin.com/in/mariasolgonzalez" TargetMode="External"/><Relationship Id="rId4316" Type="http://schemas.openxmlformats.org/officeDocument/2006/relationships/hyperlink" Target="http://ar.linkedin.com/pub/sergio-gabriel-martinez/23/81B/674" TargetMode="External"/><Relationship Id="rId5648" Type="http://schemas.openxmlformats.org/officeDocument/2006/relationships/hyperlink" Target="http://www.linkedin.com/pub/c-ignacio-fern%C3%A1ndez-espada/14/a0a/132" TargetMode="External"/><Relationship Id="rId6979" Type="http://schemas.openxmlformats.org/officeDocument/2006/relationships/hyperlink" Target="http://ar.linkedin.com/pub/daniel-alvarez/4/B40/B66" TargetMode="External"/><Relationship Id="rId4315" Type="http://schemas.openxmlformats.org/officeDocument/2006/relationships/hyperlink" Target="http://ar.linkedin.com/pub/juan-ignacio-mazza/12/A34/411" TargetMode="External"/><Relationship Id="rId5649" Type="http://schemas.openxmlformats.org/officeDocument/2006/relationships/hyperlink" Target="http://www.linkedin.com/pub/gonzalo-garcia-morales/30/4b8/4bb" TargetMode="External"/><Relationship Id="rId4318" Type="http://schemas.openxmlformats.org/officeDocument/2006/relationships/hyperlink" Target="http://www.linkedin.com/in/clifftang" TargetMode="External"/><Relationship Id="rId5646" Type="http://schemas.openxmlformats.org/officeDocument/2006/relationships/hyperlink" Target="http://www.linkedin.com/in/eduardohauser" TargetMode="External"/><Relationship Id="rId6977" Type="http://schemas.openxmlformats.org/officeDocument/2006/relationships/hyperlink" Target="http://ar.linkedin.com/pub/alberto-varela/6/120/504" TargetMode="External"/><Relationship Id="rId4317" Type="http://schemas.openxmlformats.org/officeDocument/2006/relationships/hyperlink" Target="http://www.linkedin.com/pub/manuel-castellano-quiroga/0/4a7/990" TargetMode="External"/><Relationship Id="rId5647" Type="http://schemas.openxmlformats.org/officeDocument/2006/relationships/hyperlink" Target="http://www.linkedin.com/in/andrewburgert" TargetMode="External"/><Relationship Id="rId6978" Type="http://schemas.openxmlformats.org/officeDocument/2006/relationships/hyperlink" Target="http://ar.linkedin.com/pub/gabriel-robledo/B/508/426" TargetMode="External"/><Relationship Id="rId4319" Type="http://schemas.openxmlformats.org/officeDocument/2006/relationships/hyperlink" Target="http://www.linkedin.com/in/markdunlop" TargetMode="External"/><Relationship Id="rId459" Type="http://schemas.openxmlformats.org/officeDocument/2006/relationships/hyperlink" Target="http://www.linkedin.com/in/ronifontaine" TargetMode="External"/><Relationship Id="rId458" Type="http://schemas.openxmlformats.org/officeDocument/2006/relationships/hyperlink" Target="http://www.linkedin.com/in/shortini" TargetMode="External"/><Relationship Id="rId457" Type="http://schemas.openxmlformats.org/officeDocument/2006/relationships/hyperlink" Target="http://in.linkedin.com/in/mukindoggy" TargetMode="External"/><Relationship Id="rId456" Type="http://schemas.openxmlformats.org/officeDocument/2006/relationships/hyperlink" Target="http://uk.linkedin.com/in/gedcarroll" TargetMode="External"/><Relationship Id="rId451" Type="http://schemas.openxmlformats.org/officeDocument/2006/relationships/hyperlink" Target="http://uk.linkedin.com/in/patilbhushan" TargetMode="External"/><Relationship Id="rId5640" Type="http://schemas.openxmlformats.org/officeDocument/2006/relationships/hyperlink" Target="http://www.linkedin.com/pub/kevin-scully/4/B53/772" TargetMode="External"/><Relationship Id="rId6971" Type="http://schemas.openxmlformats.org/officeDocument/2006/relationships/hyperlink" Target="http://www.linkedin.com/pub/maria-jose-piastrellini/23/3b1/2b5" TargetMode="External"/><Relationship Id="rId450" Type="http://schemas.openxmlformats.org/officeDocument/2006/relationships/hyperlink" Target="http://www.linkedin.com/in/billfowle" TargetMode="External"/><Relationship Id="rId5641" Type="http://schemas.openxmlformats.org/officeDocument/2006/relationships/hyperlink" Target="http://www.linkedin.com/pub/osvaldo-moffa/3/871/522" TargetMode="External"/><Relationship Id="rId6972" Type="http://schemas.openxmlformats.org/officeDocument/2006/relationships/hyperlink" Target="http://ar.linkedin.com/pub/diego-conde/3/A60/582" TargetMode="External"/><Relationship Id="rId4310" Type="http://schemas.openxmlformats.org/officeDocument/2006/relationships/hyperlink" Target="http://www.linkedin.com/pub/mar%C3%ADa-josefina-weber/b/869/29" TargetMode="External"/><Relationship Id="rId6970" Type="http://schemas.openxmlformats.org/officeDocument/2006/relationships/hyperlink" Target="http://www.linkedin.com/pub/bruce-bain/0/809/A36" TargetMode="External"/><Relationship Id="rId455" Type="http://schemas.openxmlformats.org/officeDocument/2006/relationships/hyperlink" Target="http://in.linkedin.com/in/ashvannisrivastava" TargetMode="External"/><Relationship Id="rId4312" Type="http://schemas.openxmlformats.org/officeDocument/2006/relationships/hyperlink" Target="http://ar.linkedin.com/pub/brenda-baran/9/443/189" TargetMode="External"/><Relationship Id="rId5644" Type="http://schemas.openxmlformats.org/officeDocument/2006/relationships/hyperlink" Target="http://www.linkedin.com/in/fabiansantillan" TargetMode="External"/><Relationship Id="rId6975" Type="http://schemas.openxmlformats.org/officeDocument/2006/relationships/hyperlink" Target="http://ar.linkedin.com/in/caherrera" TargetMode="External"/><Relationship Id="rId454" Type="http://schemas.openxmlformats.org/officeDocument/2006/relationships/hyperlink" Target="http://www.linkedin.com/in/ronflynn" TargetMode="External"/><Relationship Id="rId4311" Type="http://schemas.openxmlformats.org/officeDocument/2006/relationships/hyperlink" Target="http://ar.linkedin.com/pub/lucila-mar-a-g-elfo-salles/15/A12/6BB" TargetMode="External"/><Relationship Id="rId5645" Type="http://schemas.openxmlformats.org/officeDocument/2006/relationships/hyperlink" Target="http://www.linkedin.com/pub/ver%C3%B3nica-llames-massini/7/2a4/5a2" TargetMode="External"/><Relationship Id="rId6976" Type="http://schemas.openxmlformats.org/officeDocument/2006/relationships/hyperlink" Target="http://www.linkedin.com/in/blainehall" TargetMode="External"/><Relationship Id="rId453" Type="http://schemas.openxmlformats.org/officeDocument/2006/relationships/hyperlink" Target="http://www.linkedin.com/in/bjcook" TargetMode="External"/><Relationship Id="rId4314" Type="http://schemas.openxmlformats.org/officeDocument/2006/relationships/hyperlink" Target="http://ar.linkedin.com/pub/federico-carbone/7/B00/B3A" TargetMode="External"/><Relationship Id="rId5642" Type="http://schemas.openxmlformats.org/officeDocument/2006/relationships/hyperlink" Target="http://ar.linkedin.com/pub/luciana-ramos-ducos/A/35/884" TargetMode="External"/><Relationship Id="rId6973" Type="http://schemas.openxmlformats.org/officeDocument/2006/relationships/hyperlink" Target="http://www.linkedin.com/pub/sergio-tiraferri/22/113/78a" TargetMode="External"/><Relationship Id="rId452" Type="http://schemas.openxmlformats.org/officeDocument/2006/relationships/hyperlink" Target="http://ca.linkedin.com/pub/tim-thorsteinson/2/A15/605" TargetMode="External"/><Relationship Id="rId4313" Type="http://schemas.openxmlformats.org/officeDocument/2006/relationships/hyperlink" Target="http://ar.linkedin.com/pub/jorge-n-berman/0/190/4" TargetMode="External"/><Relationship Id="rId5643" Type="http://schemas.openxmlformats.org/officeDocument/2006/relationships/hyperlink" Target="http://ar.linkedin.com/in/cvergine" TargetMode="External"/><Relationship Id="rId6974" Type="http://schemas.openxmlformats.org/officeDocument/2006/relationships/hyperlink" Target="http://ar.linkedin.com/in/josemarianoalvarez" TargetMode="External"/><Relationship Id="rId3018" Type="http://schemas.openxmlformats.org/officeDocument/2006/relationships/hyperlink" Target="http://ar.linkedin.com/pub/gabriel-medina/12/252/33A" TargetMode="External"/><Relationship Id="rId4349" Type="http://schemas.openxmlformats.org/officeDocument/2006/relationships/hyperlink" Target="http://ar.linkedin.com/pub/alejandro-abella/0/432/1B7" TargetMode="External"/><Relationship Id="rId3017" Type="http://schemas.openxmlformats.org/officeDocument/2006/relationships/hyperlink" Target="http://ar.linkedin.com/in/danielrodriguezargentina" TargetMode="External"/><Relationship Id="rId4348" Type="http://schemas.openxmlformats.org/officeDocument/2006/relationships/hyperlink" Target="http://ar.linkedin.com/pub/matias-berardi/0/B59/664" TargetMode="External"/><Relationship Id="rId5679" Type="http://schemas.openxmlformats.org/officeDocument/2006/relationships/hyperlink" Target="http://www.linkedin.com/in/mlmoreno" TargetMode="External"/><Relationship Id="rId3019" Type="http://schemas.openxmlformats.org/officeDocument/2006/relationships/hyperlink" Target="http://ar.linkedin.com/in/nicolasenriorigarcia" TargetMode="External"/><Relationship Id="rId491" Type="http://schemas.openxmlformats.org/officeDocument/2006/relationships/hyperlink" Target="http://www.linkedin.com/in/linktoroy" TargetMode="External"/><Relationship Id="rId490" Type="http://schemas.openxmlformats.org/officeDocument/2006/relationships/hyperlink" Target="http://www.linkedin.com/in/stevengaynor" TargetMode="External"/><Relationship Id="rId489" Type="http://schemas.openxmlformats.org/officeDocument/2006/relationships/hyperlink" Target="http://www.linkedin.com/in/raiyani" TargetMode="External"/><Relationship Id="rId5670" Type="http://schemas.openxmlformats.org/officeDocument/2006/relationships/hyperlink" Target="http://ar.linkedin.com/pub/cecilia-di-stefano/5/846/8A9" TargetMode="External"/><Relationship Id="rId484" Type="http://schemas.openxmlformats.org/officeDocument/2006/relationships/hyperlink" Target="http://uk.linkedin.com/in/trevorkennedy" TargetMode="External"/><Relationship Id="rId3010" Type="http://schemas.openxmlformats.org/officeDocument/2006/relationships/hyperlink" Target="http://ar.linkedin.com/pub/jorge-serrano/0/1B5/A4A" TargetMode="External"/><Relationship Id="rId4341" Type="http://schemas.openxmlformats.org/officeDocument/2006/relationships/hyperlink" Target="http://www.linkedin.com/pub/diego-lorenzutti/2/b32/a9b" TargetMode="External"/><Relationship Id="rId5673" Type="http://schemas.openxmlformats.org/officeDocument/2006/relationships/hyperlink" Target="http://www.linkedin.com/in/russdamske" TargetMode="External"/><Relationship Id="rId483" Type="http://schemas.openxmlformats.org/officeDocument/2006/relationships/hyperlink" Target="http://www.linkedin.com/pub/tom-thimot/0/308/988" TargetMode="External"/><Relationship Id="rId4340" Type="http://schemas.openxmlformats.org/officeDocument/2006/relationships/hyperlink" Target="http://ar.linkedin.com/pub/walter-gentili/B/828/5B5" TargetMode="External"/><Relationship Id="rId5674" Type="http://schemas.openxmlformats.org/officeDocument/2006/relationships/hyperlink" Target="http://www.linkedin.com/pub/scott-swartz/0/57B/230" TargetMode="External"/><Relationship Id="rId482" Type="http://schemas.openxmlformats.org/officeDocument/2006/relationships/hyperlink" Target="http://www.linkedin.com/in/frankbaia" TargetMode="External"/><Relationship Id="rId3012" Type="http://schemas.openxmlformats.org/officeDocument/2006/relationships/hyperlink" Target="http://www.linkedin.com/in/venkatchigurupati" TargetMode="External"/><Relationship Id="rId4343" Type="http://schemas.openxmlformats.org/officeDocument/2006/relationships/hyperlink" Target="http://ar.linkedin.com/pub/patricia-goldstein/10/12B/464" TargetMode="External"/><Relationship Id="rId5671" Type="http://schemas.openxmlformats.org/officeDocument/2006/relationships/hyperlink" Target="http://www.linkedin.com/in/amirm1" TargetMode="External"/><Relationship Id="rId481" Type="http://schemas.openxmlformats.org/officeDocument/2006/relationships/hyperlink" Target="http://www.linkedin.com/pub/lisa-heck/23/616/928" TargetMode="External"/><Relationship Id="rId3011" Type="http://schemas.openxmlformats.org/officeDocument/2006/relationships/hyperlink" Target="http://ar.linkedin.com/pub/diego-levi/6/618/13" TargetMode="External"/><Relationship Id="rId4342" Type="http://schemas.openxmlformats.org/officeDocument/2006/relationships/hyperlink" Target="http://ar.linkedin.com/pub/pablo-pannunzio/27/838/10B" TargetMode="External"/><Relationship Id="rId5672" Type="http://schemas.openxmlformats.org/officeDocument/2006/relationships/hyperlink" Target="http://www.linkedin.com/pub/janine-davidson/6/344/917" TargetMode="External"/><Relationship Id="rId488" Type="http://schemas.openxmlformats.org/officeDocument/2006/relationships/hyperlink" Target="http://www.linkedin.com/in/glennplatkin" TargetMode="External"/><Relationship Id="rId3014" Type="http://schemas.openxmlformats.org/officeDocument/2006/relationships/hyperlink" Target="http://www.linkedin.com/pub/ricardo-braverman/0/924/a18" TargetMode="External"/><Relationship Id="rId4345" Type="http://schemas.openxmlformats.org/officeDocument/2006/relationships/hyperlink" Target="http://ar.linkedin.com/pub/h%C3%A9ctor-blanco/7/B7A/B53" TargetMode="External"/><Relationship Id="rId5677" Type="http://schemas.openxmlformats.org/officeDocument/2006/relationships/hyperlink" Target="http://www.linkedin.com/pub/gerardo-gonzalez/3/A85/84A" TargetMode="External"/><Relationship Id="rId487" Type="http://schemas.openxmlformats.org/officeDocument/2006/relationships/hyperlink" Target="http://www.linkedin.com/pub/sherif-danish/0/39/B3A" TargetMode="External"/><Relationship Id="rId3013" Type="http://schemas.openxmlformats.org/officeDocument/2006/relationships/hyperlink" Target="http://www.linkedin.com/pub/juan-ignacio-esperon/17/351/b76" TargetMode="External"/><Relationship Id="rId4344" Type="http://schemas.openxmlformats.org/officeDocument/2006/relationships/hyperlink" Target="http://ar.linkedin.com/pub/toti-schmeisser/17/214/25A" TargetMode="External"/><Relationship Id="rId5678" Type="http://schemas.openxmlformats.org/officeDocument/2006/relationships/hyperlink" Target="http://ar.linkedin.com/pub/fernando-martinez/7/347/196" TargetMode="External"/><Relationship Id="rId486" Type="http://schemas.openxmlformats.org/officeDocument/2006/relationships/hyperlink" Target="http://au.linkedin.com/pub/bruce-kennedy/25/208/B51" TargetMode="External"/><Relationship Id="rId3016" Type="http://schemas.openxmlformats.org/officeDocument/2006/relationships/hyperlink" Target="http://ar.linkedin.com/pub/agustin-pinto/9/7B2/AA7" TargetMode="External"/><Relationship Id="rId4347" Type="http://schemas.openxmlformats.org/officeDocument/2006/relationships/hyperlink" Target="http://ar.linkedin.com/in/aaurelio" TargetMode="External"/><Relationship Id="rId5675" Type="http://schemas.openxmlformats.org/officeDocument/2006/relationships/hyperlink" Target="http://www.linkedin.com/pub/martin-kiernicki/1/3A6/7B0" TargetMode="External"/><Relationship Id="rId485" Type="http://schemas.openxmlformats.org/officeDocument/2006/relationships/hyperlink" Target="http://www.linkedin.com/pub/amit-babaria/0/113/916" TargetMode="External"/><Relationship Id="rId3015" Type="http://schemas.openxmlformats.org/officeDocument/2006/relationships/hyperlink" Target="http://ar.linkedin.com/in/sabrinasoria" TargetMode="External"/><Relationship Id="rId4346" Type="http://schemas.openxmlformats.org/officeDocument/2006/relationships/hyperlink" Target="http://ar.linkedin.com/in/alejandrojaviercanteli" TargetMode="External"/><Relationship Id="rId5676" Type="http://schemas.openxmlformats.org/officeDocument/2006/relationships/hyperlink" Target="http://ar.linkedin.com/pub/hernan-porras/10/5AB/413" TargetMode="External"/><Relationship Id="rId3007" Type="http://schemas.openxmlformats.org/officeDocument/2006/relationships/hyperlink" Target="http://ar.linkedin.com/in/rafaelvincenti" TargetMode="External"/><Relationship Id="rId4338" Type="http://schemas.openxmlformats.org/officeDocument/2006/relationships/hyperlink" Target="http://ar.linkedin.com/in/ggazzano" TargetMode="External"/><Relationship Id="rId3006" Type="http://schemas.openxmlformats.org/officeDocument/2006/relationships/hyperlink" Target="http://uk.linkedin.com/pub/carolina-vallasciani/0/9B1/966" TargetMode="External"/><Relationship Id="rId4337" Type="http://schemas.openxmlformats.org/officeDocument/2006/relationships/hyperlink" Target="http://ar.linkedin.com/pub/alejandro-gallo/A/7A0/AA3" TargetMode="External"/><Relationship Id="rId3009" Type="http://schemas.openxmlformats.org/officeDocument/2006/relationships/hyperlink" Target="http://ar.linkedin.com/in/lmgiorni" TargetMode="External"/><Relationship Id="rId5668" Type="http://schemas.openxmlformats.org/officeDocument/2006/relationships/hyperlink" Target="http://www.linkedin.com/in/laurynjones" TargetMode="External"/><Relationship Id="rId6999" Type="http://schemas.openxmlformats.org/officeDocument/2006/relationships/hyperlink" Target="http://www.linkedin.com/in/luisblando" TargetMode="External"/><Relationship Id="rId3008" Type="http://schemas.openxmlformats.org/officeDocument/2006/relationships/hyperlink" Target="http://ar.linkedin.com/in/christianhein" TargetMode="External"/><Relationship Id="rId4339" Type="http://schemas.openxmlformats.org/officeDocument/2006/relationships/hyperlink" Target="http://ar.linkedin.com/pub/maria-victoria-guimil/9/753/725" TargetMode="External"/><Relationship Id="rId5669" Type="http://schemas.openxmlformats.org/officeDocument/2006/relationships/hyperlink" Target="http://www.linkedin.com/pub/elizabeth-bell/0/300/912" TargetMode="External"/><Relationship Id="rId480" Type="http://schemas.openxmlformats.org/officeDocument/2006/relationships/hyperlink" Target="http://www.linkedin.com/in/jwphelan" TargetMode="External"/><Relationship Id="rId479" Type="http://schemas.openxmlformats.org/officeDocument/2006/relationships/hyperlink" Target="http://www.linkedin.com/in/theinze" TargetMode="External"/><Relationship Id="rId478" Type="http://schemas.openxmlformats.org/officeDocument/2006/relationships/hyperlink" Target="http://www.linkedin.com/in/mathewdovens" TargetMode="External"/><Relationship Id="rId6990" Type="http://schemas.openxmlformats.org/officeDocument/2006/relationships/hyperlink" Target="http://www.linkedin.com/in/chrisheuer" TargetMode="External"/><Relationship Id="rId473" Type="http://schemas.openxmlformats.org/officeDocument/2006/relationships/hyperlink" Target="http://www.linkedin.com/in/toddbrownaccesssciences" TargetMode="External"/><Relationship Id="rId4330" Type="http://schemas.openxmlformats.org/officeDocument/2006/relationships/hyperlink" Target="http://ar.linkedin.com/pub/juan-manuel-guidi/9/9AB/A00" TargetMode="External"/><Relationship Id="rId5662" Type="http://schemas.openxmlformats.org/officeDocument/2006/relationships/hyperlink" Target="http://www.linkedin.com/pub/giovanni-cano/0/832/B24" TargetMode="External"/><Relationship Id="rId6993" Type="http://schemas.openxmlformats.org/officeDocument/2006/relationships/hyperlink" Target="http://www.linkedin.com/pub/alejandro-bruzoni/24/4b/601" TargetMode="External"/><Relationship Id="rId472" Type="http://schemas.openxmlformats.org/officeDocument/2006/relationships/hyperlink" Target="http://br.linkedin.com/pub/anderson-alves/2/54B/416" TargetMode="External"/><Relationship Id="rId5663" Type="http://schemas.openxmlformats.org/officeDocument/2006/relationships/hyperlink" Target="http://ar.linkedin.com/in/alejandromoge" TargetMode="External"/><Relationship Id="rId6994" Type="http://schemas.openxmlformats.org/officeDocument/2006/relationships/hyperlink" Target="http://www.linkedin.com/in/paulrbruno" TargetMode="External"/><Relationship Id="rId471" Type="http://schemas.openxmlformats.org/officeDocument/2006/relationships/hyperlink" Target="http://www.linkedin.com/in/arothman" TargetMode="External"/><Relationship Id="rId3001" Type="http://schemas.openxmlformats.org/officeDocument/2006/relationships/hyperlink" Target="http://www.linkedin.com/pub/anabel-soledad-lezcano/25/765/b3b" TargetMode="External"/><Relationship Id="rId4332" Type="http://schemas.openxmlformats.org/officeDocument/2006/relationships/hyperlink" Target="http://ar.linkedin.com/in/carolinagoodacre" TargetMode="External"/><Relationship Id="rId5660" Type="http://schemas.openxmlformats.org/officeDocument/2006/relationships/hyperlink" Target="http://ar.linkedin.com/in/gabrielcastellano" TargetMode="External"/><Relationship Id="rId6991" Type="http://schemas.openxmlformats.org/officeDocument/2006/relationships/hyperlink" Target="http://www.linkedin.com/pub/guillermo-trombotto/5/77/17a" TargetMode="External"/><Relationship Id="rId470" Type="http://schemas.openxmlformats.org/officeDocument/2006/relationships/hyperlink" Target="http://www.linkedin.com/in/gregmurphy" TargetMode="External"/><Relationship Id="rId3000" Type="http://schemas.openxmlformats.org/officeDocument/2006/relationships/hyperlink" Target="http://ar.linkedin.com/in/crmigliaccio" TargetMode="External"/><Relationship Id="rId4331" Type="http://schemas.openxmlformats.org/officeDocument/2006/relationships/hyperlink" Target="http://ar.linkedin.com/pub/laura-suero/9/B44/889" TargetMode="External"/><Relationship Id="rId5661" Type="http://schemas.openxmlformats.org/officeDocument/2006/relationships/hyperlink" Target="http://ar.linkedin.com/pub/hugo-cardozo/5/36B/309" TargetMode="External"/><Relationship Id="rId6992" Type="http://schemas.openxmlformats.org/officeDocument/2006/relationships/hyperlink" Target="http://ar.linkedin.com/pub/german-tello/8/497/2AB" TargetMode="External"/><Relationship Id="rId477" Type="http://schemas.openxmlformats.org/officeDocument/2006/relationships/hyperlink" Target="http://www.linkedin.com/pub/chris-longston/2/523/585" TargetMode="External"/><Relationship Id="rId3003" Type="http://schemas.openxmlformats.org/officeDocument/2006/relationships/hyperlink" Target="http://www.linkedin.com/in/baker333" TargetMode="External"/><Relationship Id="rId4334" Type="http://schemas.openxmlformats.org/officeDocument/2006/relationships/hyperlink" Target="http://ar.linkedin.com/in/clarapaula" TargetMode="External"/><Relationship Id="rId5666" Type="http://schemas.openxmlformats.org/officeDocument/2006/relationships/hyperlink" Target="http://www.linkedin.com/pub/matias-woloski/1/433/250" TargetMode="External"/><Relationship Id="rId6997" Type="http://schemas.openxmlformats.org/officeDocument/2006/relationships/hyperlink" Target="http://www.linkedin.com/pub/federico-mccormick-freddie/13/318/133" TargetMode="External"/><Relationship Id="rId476" Type="http://schemas.openxmlformats.org/officeDocument/2006/relationships/hyperlink" Target="http://www.linkedin.com/pub/mike-roth/0/6/357" TargetMode="External"/><Relationship Id="rId3002" Type="http://schemas.openxmlformats.org/officeDocument/2006/relationships/hyperlink" Target="http://www.linkedin.com/pub/larry-minarcik/0/BA3/868" TargetMode="External"/><Relationship Id="rId4333" Type="http://schemas.openxmlformats.org/officeDocument/2006/relationships/hyperlink" Target="http://www.linkedin.com/pub/mariana-gabriela-rincon/19/5b8/480" TargetMode="External"/><Relationship Id="rId5667" Type="http://schemas.openxmlformats.org/officeDocument/2006/relationships/hyperlink" Target="http://www.linkedin.com/pub/ruben-osses/a/859/a68" TargetMode="External"/><Relationship Id="rId6998" Type="http://schemas.openxmlformats.org/officeDocument/2006/relationships/hyperlink" Target="http://ar.linkedin.com/in/nicolasroberts" TargetMode="External"/><Relationship Id="rId475" Type="http://schemas.openxmlformats.org/officeDocument/2006/relationships/hyperlink" Target="http://www.linkedin.com/in/rosemary" TargetMode="External"/><Relationship Id="rId3005" Type="http://schemas.openxmlformats.org/officeDocument/2006/relationships/hyperlink" Target="http://www.linkedin.com/pub/gabriela-margaride/1/a24/872" TargetMode="External"/><Relationship Id="rId4336" Type="http://schemas.openxmlformats.org/officeDocument/2006/relationships/hyperlink" Target="http://ar.linkedin.com/pub/romina-pi-eiro/13/503/6A0" TargetMode="External"/><Relationship Id="rId5664" Type="http://schemas.openxmlformats.org/officeDocument/2006/relationships/hyperlink" Target="http://www.linkedin.com/pub/bruce-curling/A/875/794" TargetMode="External"/><Relationship Id="rId6995" Type="http://schemas.openxmlformats.org/officeDocument/2006/relationships/hyperlink" Target="http://www.linkedin.com/pub/marcela-depianti/15/759/3b9" TargetMode="External"/><Relationship Id="rId474" Type="http://schemas.openxmlformats.org/officeDocument/2006/relationships/hyperlink" Target="http://uk.linkedin.com/in/ianparkerjoseph" TargetMode="External"/><Relationship Id="rId3004" Type="http://schemas.openxmlformats.org/officeDocument/2006/relationships/hyperlink" Target="http://www.linkedin.com/in/aeckstein" TargetMode="External"/><Relationship Id="rId4335" Type="http://schemas.openxmlformats.org/officeDocument/2006/relationships/hyperlink" Target="http://ar.linkedin.com/pub/federico-ariel-p-rez/5/184/76A" TargetMode="External"/><Relationship Id="rId5665" Type="http://schemas.openxmlformats.org/officeDocument/2006/relationships/hyperlink" Target="http://ar.linkedin.com/in/lauracarnelli" TargetMode="External"/><Relationship Id="rId6996" Type="http://schemas.openxmlformats.org/officeDocument/2006/relationships/hyperlink" Target="http://ar.linkedin.com/pub/franco-besso-pianetto/4/72B/90B" TargetMode="External"/><Relationship Id="rId5615" Type="http://schemas.openxmlformats.org/officeDocument/2006/relationships/hyperlink" Target="http://www.linkedin.com/in/stephenbrough" TargetMode="External"/><Relationship Id="rId6946" Type="http://schemas.openxmlformats.org/officeDocument/2006/relationships/hyperlink" Target="http://ar.linkedin.com/pub/gregorio-kominiarz/8/914/236" TargetMode="External"/><Relationship Id="rId5616" Type="http://schemas.openxmlformats.org/officeDocument/2006/relationships/hyperlink" Target="http://www.linkedin.com/pub/sean-malatesta/0/AB6/733" TargetMode="External"/><Relationship Id="rId6947" Type="http://schemas.openxmlformats.org/officeDocument/2006/relationships/hyperlink" Target="http://ar.linkedin.com/in/sebastianromano" TargetMode="External"/><Relationship Id="rId5613" Type="http://schemas.openxmlformats.org/officeDocument/2006/relationships/hyperlink" Target="http://www.linkedin.com/in/mortgreenberg" TargetMode="External"/><Relationship Id="rId6944" Type="http://schemas.openxmlformats.org/officeDocument/2006/relationships/hyperlink" Target="http://www.linkedin.com/pub/sergio-mastrogiovanni/20/711/45B" TargetMode="External"/><Relationship Id="rId5614" Type="http://schemas.openxmlformats.org/officeDocument/2006/relationships/hyperlink" Target="http://www.linkedin.com/pub/carlos-sanchez/0/1A3/48B" TargetMode="External"/><Relationship Id="rId6945" Type="http://schemas.openxmlformats.org/officeDocument/2006/relationships/hyperlink" Target="http://ar.linkedin.com/pub/juan-pablo-brunori/B/9A7/791" TargetMode="External"/><Relationship Id="rId5619" Type="http://schemas.openxmlformats.org/officeDocument/2006/relationships/hyperlink" Target="http://www.linkedin.com/pub/juan-pablo-guich%C3%B3n/9/4a8/67" TargetMode="External"/><Relationship Id="rId5617" Type="http://schemas.openxmlformats.org/officeDocument/2006/relationships/hyperlink" Target="http://www.linkedin.com/pub/marcelo-levy/0/72/5A" TargetMode="External"/><Relationship Id="rId6948" Type="http://schemas.openxmlformats.org/officeDocument/2006/relationships/hyperlink" Target="http://www.linkedin.com/pub/amie-drahos/6/19B/977" TargetMode="External"/><Relationship Id="rId5618" Type="http://schemas.openxmlformats.org/officeDocument/2006/relationships/hyperlink" Target="http://www.linkedin.com/in/saracromie" TargetMode="External"/><Relationship Id="rId6949" Type="http://schemas.openxmlformats.org/officeDocument/2006/relationships/hyperlink" Target="http://ar.linkedin.com/in/scianciulli" TargetMode="External"/><Relationship Id="rId426" Type="http://schemas.openxmlformats.org/officeDocument/2006/relationships/hyperlink" Target="http://www.linkedin.com/in/jaf52" TargetMode="External"/><Relationship Id="rId425" Type="http://schemas.openxmlformats.org/officeDocument/2006/relationships/hyperlink" Target="http://www.linkedin.com/in/mikebrearley" TargetMode="External"/><Relationship Id="rId424" Type="http://schemas.openxmlformats.org/officeDocument/2006/relationships/hyperlink" Target="http://www.linkedin.com/in/vikramrchari" TargetMode="External"/><Relationship Id="rId423" Type="http://schemas.openxmlformats.org/officeDocument/2006/relationships/hyperlink" Target="http://www.linkedin.com/in/garyslack" TargetMode="External"/><Relationship Id="rId429" Type="http://schemas.openxmlformats.org/officeDocument/2006/relationships/hyperlink" Target="http://www.linkedin.com/in/susanmernit" TargetMode="External"/><Relationship Id="rId428" Type="http://schemas.openxmlformats.org/officeDocument/2006/relationships/hyperlink" Target="http://www.linkedin.com/in/iyermani" TargetMode="External"/><Relationship Id="rId427" Type="http://schemas.openxmlformats.org/officeDocument/2006/relationships/hyperlink" Target="http://www.linkedin.com/pub/hong-hou/0/541/2A5" TargetMode="External"/><Relationship Id="rId422" Type="http://schemas.openxmlformats.org/officeDocument/2006/relationships/hyperlink" Target="http://www.linkedin.com/pub/brian-o-connor/0/A54/6A3" TargetMode="External"/><Relationship Id="rId5611" Type="http://schemas.openxmlformats.org/officeDocument/2006/relationships/hyperlink" Target="http://uk.linkedin.com/pub/stephen-lewis/6/297/8A5" TargetMode="External"/><Relationship Id="rId6942" Type="http://schemas.openxmlformats.org/officeDocument/2006/relationships/hyperlink" Target="http://ar.linkedin.com/in/jdenkiewicz" TargetMode="External"/><Relationship Id="rId421" Type="http://schemas.openxmlformats.org/officeDocument/2006/relationships/hyperlink" Target="https://www.linkedin.com/in/martinemiller" TargetMode="External"/><Relationship Id="rId5612" Type="http://schemas.openxmlformats.org/officeDocument/2006/relationships/hyperlink" Target="http://www.linkedin.com/in/larryclayton" TargetMode="External"/><Relationship Id="rId6943" Type="http://schemas.openxmlformats.org/officeDocument/2006/relationships/hyperlink" Target="http://ar.linkedin.com/in/mauriciomiret" TargetMode="External"/><Relationship Id="rId420" Type="http://schemas.openxmlformats.org/officeDocument/2006/relationships/hyperlink" Target="http://www.linkedin.com/in/amargoel" TargetMode="External"/><Relationship Id="rId6940" Type="http://schemas.openxmlformats.org/officeDocument/2006/relationships/hyperlink" Target="http://ar.linkedin.com/in/ricardoczikk" TargetMode="External"/><Relationship Id="rId5610" Type="http://schemas.openxmlformats.org/officeDocument/2006/relationships/hyperlink" Target="http://ar.linkedin.com/in/sebastianarriada" TargetMode="External"/><Relationship Id="rId6941" Type="http://schemas.openxmlformats.org/officeDocument/2006/relationships/hyperlink" Target="http://ar.linkedin.com/in/santiagoalmiron" TargetMode="External"/><Relationship Id="rId5604" Type="http://schemas.openxmlformats.org/officeDocument/2006/relationships/hyperlink" Target="http://www.linkedin.com/in/brettprofitt" TargetMode="External"/><Relationship Id="rId6935" Type="http://schemas.openxmlformats.org/officeDocument/2006/relationships/hyperlink" Target="http://www.linkedin.com/pub/jose-leonardo-serres/2/128/8BB" TargetMode="External"/><Relationship Id="rId5605" Type="http://schemas.openxmlformats.org/officeDocument/2006/relationships/hyperlink" Target="http://www.linkedin.com/pub/mark-myers/4/757/B67" TargetMode="External"/><Relationship Id="rId6936" Type="http://schemas.openxmlformats.org/officeDocument/2006/relationships/hyperlink" Target="http://ar.linkedin.com/in/maximouva" TargetMode="External"/><Relationship Id="rId5602" Type="http://schemas.openxmlformats.org/officeDocument/2006/relationships/hyperlink" Target="http://www.linkedin.com/pub/mike-butler/0/517/6A6" TargetMode="External"/><Relationship Id="rId6933" Type="http://schemas.openxmlformats.org/officeDocument/2006/relationships/hyperlink" Target="http://ar.linkedin.com/pub/jorge-heras/8/211/167" TargetMode="External"/><Relationship Id="rId5603" Type="http://schemas.openxmlformats.org/officeDocument/2006/relationships/hyperlink" Target="http://www.linkedin.com/in/benrturner" TargetMode="External"/><Relationship Id="rId6934" Type="http://schemas.openxmlformats.org/officeDocument/2006/relationships/hyperlink" Target="http://ar.linkedin.com/in/vdandrea" TargetMode="External"/><Relationship Id="rId5608" Type="http://schemas.openxmlformats.org/officeDocument/2006/relationships/hyperlink" Target="http://www.linkedin.com/in/armandomann" TargetMode="External"/><Relationship Id="rId6939" Type="http://schemas.openxmlformats.org/officeDocument/2006/relationships/hyperlink" Target="http://www.linkedin.com/in/brianscotttoney" TargetMode="External"/><Relationship Id="rId5609" Type="http://schemas.openxmlformats.org/officeDocument/2006/relationships/hyperlink" Target="http://www.linkedin.com/pub/mar%C3%ADa-in%C3%A9s-colona/25/801/397" TargetMode="External"/><Relationship Id="rId5606" Type="http://schemas.openxmlformats.org/officeDocument/2006/relationships/hyperlink" Target="http://www.linkedin.com/pub/rob-myers/0/91B/B89" TargetMode="External"/><Relationship Id="rId6937" Type="http://schemas.openxmlformats.org/officeDocument/2006/relationships/hyperlink" Target="http://ar.linkedin.com/in/lucianomangini" TargetMode="External"/><Relationship Id="rId5607" Type="http://schemas.openxmlformats.org/officeDocument/2006/relationships/hyperlink" Target="http://www.linkedin.com/pub/vince-pawlowski/4/903/39" TargetMode="External"/><Relationship Id="rId6938" Type="http://schemas.openxmlformats.org/officeDocument/2006/relationships/hyperlink" Target="http://ar.linkedin.com/pub/pablo-fernandez-elisegui/11/407/498" TargetMode="External"/><Relationship Id="rId415" Type="http://schemas.openxmlformats.org/officeDocument/2006/relationships/hyperlink" Target="http://www.linkedin.com/pub/robert-wilkinson/23/493/4" TargetMode="External"/><Relationship Id="rId414" Type="http://schemas.openxmlformats.org/officeDocument/2006/relationships/hyperlink" Target="http://www.linkedin.com/in/joannepiscopo" TargetMode="External"/><Relationship Id="rId413" Type="http://schemas.openxmlformats.org/officeDocument/2006/relationships/hyperlink" Target="http://www.linkedin.com/pub/ross-berkowitz/5/8B9/4B9" TargetMode="External"/><Relationship Id="rId412" Type="http://schemas.openxmlformats.org/officeDocument/2006/relationships/hyperlink" Target="http://www.linkedin.com/in/jeannebarnett" TargetMode="External"/><Relationship Id="rId419" Type="http://schemas.openxmlformats.org/officeDocument/2006/relationships/hyperlink" Target="http://www.linkedin.com/pub/walt-doyle/0/37/79B" TargetMode="External"/><Relationship Id="rId418" Type="http://schemas.openxmlformats.org/officeDocument/2006/relationships/hyperlink" Target="http://www.linkedin.com/in/edhemphill" TargetMode="External"/><Relationship Id="rId417" Type="http://schemas.openxmlformats.org/officeDocument/2006/relationships/hyperlink" Target="http://www.linkedin.com/in/statsuno" TargetMode="External"/><Relationship Id="rId416" Type="http://schemas.openxmlformats.org/officeDocument/2006/relationships/hyperlink" Target="http://www.linkedin.com/pub/alfredo-angel/0/9/393" TargetMode="External"/><Relationship Id="rId411" Type="http://schemas.openxmlformats.org/officeDocument/2006/relationships/hyperlink" Target="http://www.linkedin.com/in/andreakbrown" TargetMode="External"/><Relationship Id="rId5600" Type="http://schemas.openxmlformats.org/officeDocument/2006/relationships/hyperlink" Target="http://www.linkedin.com/pub/scott-west/1/31A/313" TargetMode="External"/><Relationship Id="rId6931" Type="http://schemas.openxmlformats.org/officeDocument/2006/relationships/hyperlink" Target="http://ar.linkedin.com/in/alejandrogrisoni" TargetMode="External"/><Relationship Id="rId410" Type="http://schemas.openxmlformats.org/officeDocument/2006/relationships/hyperlink" Target="http://nl.linkedin.com/in/mcjansen" TargetMode="External"/><Relationship Id="rId5601" Type="http://schemas.openxmlformats.org/officeDocument/2006/relationships/hyperlink" Target="http://www.linkedin.com/pub/peter-burghardt/8/480/943" TargetMode="External"/><Relationship Id="rId6932" Type="http://schemas.openxmlformats.org/officeDocument/2006/relationships/hyperlink" Target="http://ar.linkedin.com/pub/guadalupe-casuso/5/282/5B1" TargetMode="External"/><Relationship Id="rId6930" Type="http://schemas.openxmlformats.org/officeDocument/2006/relationships/hyperlink" Target="http://ar.linkedin.com/pub/gabriela-suriani/17/1BB/173" TargetMode="External"/><Relationship Id="rId4305" Type="http://schemas.openxmlformats.org/officeDocument/2006/relationships/hyperlink" Target="http://ar.linkedin.com/pub/mariela-lopez/1A/B20/363" TargetMode="External"/><Relationship Id="rId5637" Type="http://schemas.openxmlformats.org/officeDocument/2006/relationships/hyperlink" Target="http://www.linkedin.com/pub/jeff-anderson/9/B49/156" TargetMode="External"/><Relationship Id="rId6968" Type="http://schemas.openxmlformats.org/officeDocument/2006/relationships/hyperlink" Target="http://www.linkedin.com/in/internetmarketingnickstamoulis" TargetMode="External"/><Relationship Id="rId4304" Type="http://schemas.openxmlformats.org/officeDocument/2006/relationships/hyperlink" Target="http://ar.linkedin.com/pub/nicol%C3%A1s-buthay/23/7B4/B13" TargetMode="External"/><Relationship Id="rId5638" Type="http://schemas.openxmlformats.org/officeDocument/2006/relationships/hyperlink" Target="http://www.linkedin.com/pub/david-dean/1/27/B98" TargetMode="External"/><Relationship Id="rId6969" Type="http://schemas.openxmlformats.org/officeDocument/2006/relationships/hyperlink" Target="http://www.linkedin.com/in/adnanavdic" TargetMode="External"/><Relationship Id="rId4307" Type="http://schemas.openxmlformats.org/officeDocument/2006/relationships/hyperlink" Target="http://www.linkedin.com/pub/pilar-cabrera-castilla/6/637/336" TargetMode="External"/><Relationship Id="rId5635" Type="http://schemas.openxmlformats.org/officeDocument/2006/relationships/hyperlink" Target="http://ar.linkedin.com/in/gonzalocampuris" TargetMode="External"/><Relationship Id="rId6966" Type="http://schemas.openxmlformats.org/officeDocument/2006/relationships/hyperlink" Target="http://www.linkedin.com/in/mikeoneil" TargetMode="External"/><Relationship Id="rId4306" Type="http://schemas.openxmlformats.org/officeDocument/2006/relationships/hyperlink" Target="http://ar.linkedin.com/pub/vanesa-l%C3%B3pez/8/948/487" TargetMode="External"/><Relationship Id="rId5636" Type="http://schemas.openxmlformats.org/officeDocument/2006/relationships/hyperlink" Target="http://www.linkedin.com/pub/paul-collica-pmp%C2%AE/4/324/923" TargetMode="External"/><Relationship Id="rId6967" Type="http://schemas.openxmlformats.org/officeDocument/2006/relationships/hyperlink" Target="http://www.linkedin.com/pub/patricia-laura-loria/5/302/487" TargetMode="External"/><Relationship Id="rId4309" Type="http://schemas.openxmlformats.org/officeDocument/2006/relationships/hyperlink" Target="http://uk.linkedin.com/pub/david-alan-taylor/14/835/A73" TargetMode="External"/><Relationship Id="rId4308" Type="http://schemas.openxmlformats.org/officeDocument/2006/relationships/hyperlink" Target="http://ar.linkedin.com/pub/norman-beltran/A/370/A81" TargetMode="External"/><Relationship Id="rId5639" Type="http://schemas.openxmlformats.org/officeDocument/2006/relationships/hyperlink" Target="http://www.linkedin.com/in/sundarman" TargetMode="External"/><Relationship Id="rId448" Type="http://schemas.openxmlformats.org/officeDocument/2006/relationships/hyperlink" Target="http://in.linkedin.com/in/santanub" TargetMode="External"/><Relationship Id="rId447" Type="http://schemas.openxmlformats.org/officeDocument/2006/relationships/hyperlink" Target="http://www.linkedin.com/in/johnmartinoconnor" TargetMode="External"/><Relationship Id="rId446" Type="http://schemas.openxmlformats.org/officeDocument/2006/relationships/hyperlink" Target="http://www.linkedin.com/in/cameronchristian" TargetMode="External"/><Relationship Id="rId445" Type="http://schemas.openxmlformats.org/officeDocument/2006/relationships/hyperlink" Target="http://ca.linkedin.com/in/georgiatsao1001" TargetMode="External"/><Relationship Id="rId449" Type="http://schemas.openxmlformats.org/officeDocument/2006/relationships/hyperlink" Target="http://www.linkedin.com/pub/nessim-mezrahi/1/A98/61A" TargetMode="External"/><Relationship Id="rId440" Type="http://schemas.openxmlformats.org/officeDocument/2006/relationships/hyperlink" Target="http://www.linkedin.com/in/rhayden" TargetMode="External"/><Relationship Id="rId6960" Type="http://schemas.openxmlformats.org/officeDocument/2006/relationships/hyperlink" Target="http://www.linkedin.com/in/rjtutak" TargetMode="External"/><Relationship Id="rId5630" Type="http://schemas.openxmlformats.org/officeDocument/2006/relationships/hyperlink" Target="http://ar.linkedin.com/pub/juan-pablo-brsicioli/4/737/5A" TargetMode="External"/><Relationship Id="rId6961" Type="http://schemas.openxmlformats.org/officeDocument/2006/relationships/hyperlink" Target="http://ar.linkedin.com/pub/ana-marin/4/A08/13" TargetMode="External"/><Relationship Id="rId444" Type="http://schemas.openxmlformats.org/officeDocument/2006/relationships/hyperlink" Target="http://www.linkedin.com/in/randellmiller" TargetMode="External"/><Relationship Id="rId4301" Type="http://schemas.openxmlformats.org/officeDocument/2006/relationships/hyperlink" Target="http://www.linkedin.com/pub/oscar-mart%C3%ADn-bianchi/14/154/372" TargetMode="External"/><Relationship Id="rId5633" Type="http://schemas.openxmlformats.org/officeDocument/2006/relationships/hyperlink" Target="http://www.linkedin.com/pub/jose-cruz/0/725/776" TargetMode="External"/><Relationship Id="rId6964" Type="http://schemas.openxmlformats.org/officeDocument/2006/relationships/hyperlink" Target="http://ar.linkedin.com/pub/karina-neter/7/258/975" TargetMode="External"/><Relationship Id="rId443" Type="http://schemas.openxmlformats.org/officeDocument/2006/relationships/hyperlink" Target="http://www.linkedin.com/pub/marty-kacin/0/2/949" TargetMode="External"/><Relationship Id="rId4300" Type="http://schemas.openxmlformats.org/officeDocument/2006/relationships/hyperlink" Target="http://ar.linkedin.com/pub/christian-bonifacio/23/190/4B4" TargetMode="External"/><Relationship Id="rId5634" Type="http://schemas.openxmlformats.org/officeDocument/2006/relationships/hyperlink" Target="http://www.linkedin.com/pub/cristina-fernandez-de-kirchner/1b/bb1/396?trk=pub-pbmap" TargetMode="External"/><Relationship Id="rId6965" Type="http://schemas.openxmlformats.org/officeDocument/2006/relationships/hyperlink" Target="http://www.linkedin.com/in/sbuchholz" TargetMode="External"/><Relationship Id="rId442" Type="http://schemas.openxmlformats.org/officeDocument/2006/relationships/hyperlink" Target="http://in.linkedin.com/in/sureshsambandam" TargetMode="External"/><Relationship Id="rId4303" Type="http://schemas.openxmlformats.org/officeDocument/2006/relationships/hyperlink" Target="http://www.linkedin.com/pub/martin-machin-cladera/0/313/667" TargetMode="External"/><Relationship Id="rId5631" Type="http://schemas.openxmlformats.org/officeDocument/2006/relationships/hyperlink" Target="http://www.linkedin.com/pub/sergio-broner/23/163/5b6" TargetMode="External"/><Relationship Id="rId6962" Type="http://schemas.openxmlformats.org/officeDocument/2006/relationships/hyperlink" Target="http://ar.linkedin.com/pub/matias-salimbene/11/51B/A10" TargetMode="External"/><Relationship Id="rId441" Type="http://schemas.openxmlformats.org/officeDocument/2006/relationships/hyperlink" Target="http://www.linkedin.com/pub/mark-spargo/0/14/AA1" TargetMode="External"/><Relationship Id="rId4302" Type="http://schemas.openxmlformats.org/officeDocument/2006/relationships/hyperlink" Target="http://ar.linkedin.com/pub/alejandro-monz%C3%B3n/27/388/35" TargetMode="External"/><Relationship Id="rId5632" Type="http://schemas.openxmlformats.org/officeDocument/2006/relationships/hyperlink" Target="http://ar.linkedin.com/in/klpr25" TargetMode="External"/><Relationship Id="rId6963" Type="http://schemas.openxmlformats.org/officeDocument/2006/relationships/hyperlink" Target="http://ar.linkedin.com/in/daddino" TargetMode="External"/><Relationship Id="rId5626" Type="http://schemas.openxmlformats.org/officeDocument/2006/relationships/hyperlink" Target="http://ar.linkedin.com/in/diegoklajner" TargetMode="External"/><Relationship Id="rId6957" Type="http://schemas.openxmlformats.org/officeDocument/2006/relationships/hyperlink" Target="http://ar.linkedin.com/pub/ricardo-piergallini/6/B60/395" TargetMode="External"/><Relationship Id="rId5627" Type="http://schemas.openxmlformats.org/officeDocument/2006/relationships/hyperlink" Target="http://www.linkedin.com/pub/dolores-davison/0/BB2/7A3" TargetMode="External"/><Relationship Id="rId6958" Type="http://schemas.openxmlformats.org/officeDocument/2006/relationships/hyperlink" Target="http://www.linkedin.com/in/bolotchi" TargetMode="External"/><Relationship Id="rId5624" Type="http://schemas.openxmlformats.org/officeDocument/2006/relationships/hyperlink" Target="http://ar.linkedin.com/pub/alicia-thompson/4/958/71A" TargetMode="External"/><Relationship Id="rId6955" Type="http://schemas.openxmlformats.org/officeDocument/2006/relationships/hyperlink" Target="http://www.linkedin.com/pub/maria-eugenia-barbagallo-lewin/15/537/15a" TargetMode="External"/><Relationship Id="rId5625" Type="http://schemas.openxmlformats.org/officeDocument/2006/relationships/hyperlink" Target="http://www.linkedin.com/pub/ruben-muradas/4/512/394" TargetMode="External"/><Relationship Id="rId6956" Type="http://schemas.openxmlformats.org/officeDocument/2006/relationships/hyperlink" Target="http://www.linkedin.com/pub/prof-pruthwiraj-das/18/132/809" TargetMode="External"/><Relationship Id="rId5628" Type="http://schemas.openxmlformats.org/officeDocument/2006/relationships/hyperlink" Target="http://www.linkedin.com/pub/leonardo-gannio/b/a04/245" TargetMode="External"/><Relationship Id="rId6959" Type="http://schemas.openxmlformats.org/officeDocument/2006/relationships/hyperlink" Target="http://www.linkedin.com/in/tariley" TargetMode="External"/><Relationship Id="rId5629" Type="http://schemas.openxmlformats.org/officeDocument/2006/relationships/hyperlink" Target="http://ar.linkedin.com/in/danielhulej" TargetMode="External"/><Relationship Id="rId437" Type="http://schemas.openxmlformats.org/officeDocument/2006/relationships/hyperlink" Target="http://www.linkedin.com/in/williamgrosso" TargetMode="External"/><Relationship Id="rId436" Type="http://schemas.openxmlformats.org/officeDocument/2006/relationships/hyperlink" Target="http://www.linkedin.com/in/margueritebeaty" TargetMode="External"/><Relationship Id="rId435" Type="http://schemas.openxmlformats.org/officeDocument/2006/relationships/hyperlink" Target="http://au.linkedin.com/in/istjepanovic" TargetMode="External"/><Relationship Id="rId434" Type="http://schemas.openxmlformats.org/officeDocument/2006/relationships/hyperlink" Target="http://www.linkedin.com/in/johnalogan" TargetMode="External"/><Relationship Id="rId439" Type="http://schemas.openxmlformats.org/officeDocument/2006/relationships/hyperlink" Target="http://nl.linkedin.com/in/peterwent" TargetMode="External"/><Relationship Id="rId438" Type="http://schemas.openxmlformats.org/officeDocument/2006/relationships/hyperlink" Target="http://www.linkedin.com/in/michaeldennissf" TargetMode="External"/><Relationship Id="rId6950" Type="http://schemas.openxmlformats.org/officeDocument/2006/relationships/hyperlink" Target="http://ar.linkedin.com/in/etagwerker" TargetMode="External"/><Relationship Id="rId433" Type="http://schemas.openxmlformats.org/officeDocument/2006/relationships/hyperlink" Target="http://www.linkedin.com/pub/gope-nagdev/1/168/516" TargetMode="External"/><Relationship Id="rId5622" Type="http://schemas.openxmlformats.org/officeDocument/2006/relationships/hyperlink" Target="http://ar.linkedin.com/pub/dami%C3%A1n-miquitiansky/12/749/1BA" TargetMode="External"/><Relationship Id="rId6953" Type="http://schemas.openxmlformats.org/officeDocument/2006/relationships/hyperlink" Target="http://www.linkedin.com/in/osvaldocapmany" TargetMode="External"/><Relationship Id="rId432" Type="http://schemas.openxmlformats.org/officeDocument/2006/relationships/hyperlink" Target="http://uk.linkedin.com/pub/jo-pighin/1/A9/6A9" TargetMode="External"/><Relationship Id="rId5623" Type="http://schemas.openxmlformats.org/officeDocument/2006/relationships/hyperlink" Target="http://ar.linkedin.com/pub/mike-hauber/5/2B3/923" TargetMode="External"/><Relationship Id="rId6954" Type="http://schemas.openxmlformats.org/officeDocument/2006/relationships/hyperlink" Target="http://ar.linkedin.com/pub/alejandro-duran/4/258/5B8" TargetMode="External"/><Relationship Id="rId431" Type="http://schemas.openxmlformats.org/officeDocument/2006/relationships/hyperlink" Target="http://www.linkedin.com/pub/renato-ajauskas/0/402/266" TargetMode="External"/><Relationship Id="rId5620" Type="http://schemas.openxmlformats.org/officeDocument/2006/relationships/hyperlink" Target="http://www.linkedin.com/pub/juan-jos%C3%A9-abreg%C3%BA/21/442/a78" TargetMode="External"/><Relationship Id="rId6951" Type="http://schemas.openxmlformats.org/officeDocument/2006/relationships/hyperlink" Target="http://ar.linkedin.com/in/paulapallo" TargetMode="External"/><Relationship Id="rId430" Type="http://schemas.openxmlformats.org/officeDocument/2006/relationships/hyperlink" Target="http://www.linkedin.com/in/infinitysearch" TargetMode="External"/><Relationship Id="rId5621" Type="http://schemas.openxmlformats.org/officeDocument/2006/relationships/hyperlink" Target="http://ar.linkedin.com/pub/hugo-perez/0/2B8/83A" TargetMode="External"/><Relationship Id="rId6952" Type="http://schemas.openxmlformats.org/officeDocument/2006/relationships/hyperlink" Target="http://ar.linkedin.com/pub/marina-sesar/26/24B/730" TargetMode="External"/><Relationship Id="rId6108" Type="http://schemas.openxmlformats.org/officeDocument/2006/relationships/hyperlink" Target="http://www.linkedin.com/pub/jennifer-philipps/4/B08/299" TargetMode="External"/><Relationship Id="rId6109" Type="http://schemas.openxmlformats.org/officeDocument/2006/relationships/hyperlink" Target="http://ar.linkedin.com/pub/mariano-dantas/6/9A6/863" TargetMode="External"/><Relationship Id="rId7439" Type="http://schemas.openxmlformats.org/officeDocument/2006/relationships/hyperlink" Target="http://www.linkedin.com/pub/daniella-quintero/6/463/764" TargetMode="External"/><Relationship Id="rId7430" Type="http://schemas.openxmlformats.org/officeDocument/2006/relationships/hyperlink" Target="http://www.linkedin.com/pub/debora-freidkes/17/a9/61b" TargetMode="External"/><Relationship Id="rId8761" Type="http://schemas.openxmlformats.org/officeDocument/2006/relationships/hyperlink" Target="http://www.linkedin.com/pub/art-mann/0/5B6/4B" TargetMode="External"/><Relationship Id="rId8760" Type="http://schemas.openxmlformats.org/officeDocument/2006/relationships/hyperlink" Target="http://www.linkedin.com/pub/wayne-c-tighe/1B/6A7/816" TargetMode="External"/><Relationship Id="rId6102" Type="http://schemas.openxmlformats.org/officeDocument/2006/relationships/hyperlink" Target="http://ar.linkedin.com/pub/gabriel-leonetti/A/113/873" TargetMode="External"/><Relationship Id="rId7434" Type="http://schemas.openxmlformats.org/officeDocument/2006/relationships/hyperlink" Target="http://www.linkedin.com/pub/shailender-gunnala/7/6B0/9" TargetMode="External"/><Relationship Id="rId8765" Type="http://schemas.openxmlformats.org/officeDocument/2006/relationships/hyperlink" Target="http://www.linkedin.com/pub/bryan-anderson/18/548/685" TargetMode="External"/><Relationship Id="rId6103" Type="http://schemas.openxmlformats.org/officeDocument/2006/relationships/hyperlink" Target="http://www.linkedin.com/pub/leo-bagnato/8/440/928" TargetMode="External"/><Relationship Id="rId7433" Type="http://schemas.openxmlformats.org/officeDocument/2006/relationships/hyperlink" Target="http://ar.linkedin.com/in/ceciliabulfe" TargetMode="External"/><Relationship Id="rId8764" Type="http://schemas.openxmlformats.org/officeDocument/2006/relationships/hyperlink" Target="http://www.linkedin.com/pub/carolyn-de-rose/5/784/A88" TargetMode="External"/><Relationship Id="rId6100" Type="http://schemas.openxmlformats.org/officeDocument/2006/relationships/hyperlink" Target="http://ar.linkedin.com/pub/juan-pablo-ojeda/8/941/32" TargetMode="External"/><Relationship Id="rId7432" Type="http://schemas.openxmlformats.org/officeDocument/2006/relationships/hyperlink" Target="http://www.linkedin.com/pub/pablo-sinisgalli/9/378/44b" TargetMode="External"/><Relationship Id="rId8763" Type="http://schemas.openxmlformats.org/officeDocument/2006/relationships/hyperlink" Target="http://www.linkedin.com/in/rickbrunner" TargetMode="External"/><Relationship Id="rId6101" Type="http://schemas.openxmlformats.org/officeDocument/2006/relationships/hyperlink" Target="http://ar.linkedin.com/in/maximilianovillarreal" TargetMode="External"/><Relationship Id="rId7431" Type="http://schemas.openxmlformats.org/officeDocument/2006/relationships/hyperlink" Target="http://www.linkedin.com/pub/maximo-cingolani/15/879/949" TargetMode="External"/><Relationship Id="rId8762" Type="http://schemas.openxmlformats.org/officeDocument/2006/relationships/hyperlink" Target="http://www.linkedin.com/pub/ryan-dowd/0/67B/978" TargetMode="External"/><Relationship Id="rId6106" Type="http://schemas.openxmlformats.org/officeDocument/2006/relationships/hyperlink" Target="http://www.linkedin.com/pub/andrea-aguirre/23/612/770" TargetMode="External"/><Relationship Id="rId7438" Type="http://schemas.openxmlformats.org/officeDocument/2006/relationships/hyperlink" Target="http://www.linkedin.com/pub/leonardo-gazzo/4/352/B08" TargetMode="External"/><Relationship Id="rId8769" Type="http://schemas.openxmlformats.org/officeDocument/2006/relationships/hyperlink" Target="http://www.linkedin.com/in/keeganriley" TargetMode="External"/><Relationship Id="rId6107" Type="http://schemas.openxmlformats.org/officeDocument/2006/relationships/hyperlink" Target="http://www.linkedin.com/pub/alejandro-serricchio/12/95A/A84" TargetMode="External"/><Relationship Id="rId7437" Type="http://schemas.openxmlformats.org/officeDocument/2006/relationships/hyperlink" Target="http://www.linkedin.com/pub/oscar-mazza/5/A04/51" TargetMode="External"/><Relationship Id="rId8768" Type="http://schemas.openxmlformats.org/officeDocument/2006/relationships/hyperlink" Target="http://www.linkedin.com/pub/chris-degnan/0/470/524" TargetMode="External"/><Relationship Id="rId6104" Type="http://schemas.openxmlformats.org/officeDocument/2006/relationships/hyperlink" Target="http://ar.linkedin.com/in/miguellivi" TargetMode="External"/><Relationship Id="rId7436" Type="http://schemas.openxmlformats.org/officeDocument/2006/relationships/hyperlink" Target="http://ar.linkedin.com/pub/maria-caravello/23/45A/B0" TargetMode="External"/><Relationship Id="rId8767" Type="http://schemas.openxmlformats.org/officeDocument/2006/relationships/hyperlink" Target="http://www.linkedin.com/in/gscymanski" TargetMode="External"/><Relationship Id="rId6105" Type="http://schemas.openxmlformats.org/officeDocument/2006/relationships/hyperlink" Target="http://www.linkedin.com/pub/lorena-p%C3%A9rez-reyes/16/92b/212" TargetMode="External"/><Relationship Id="rId7435" Type="http://schemas.openxmlformats.org/officeDocument/2006/relationships/hyperlink" Target="http://ar.linkedin.com/in/dimarcomaximiliano" TargetMode="External"/><Relationship Id="rId8766" Type="http://schemas.openxmlformats.org/officeDocument/2006/relationships/hyperlink" Target="https://www.linkedin.com/pub/david-morris/1b/9a2/744" TargetMode="External"/><Relationship Id="rId7429" Type="http://schemas.openxmlformats.org/officeDocument/2006/relationships/hyperlink" Target="http://www.linkedin.com/in/eduardobcocozza" TargetMode="External"/><Relationship Id="rId7428" Type="http://schemas.openxmlformats.org/officeDocument/2006/relationships/hyperlink" Target="http://ar.linkedin.com/in/psluongo" TargetMode="External"/><Relationship Id="rId8759" Type="http://schemas.openxmlformats.org/officeDocument/2006/relationships/hyperlink" Target="http://www.linkedin.com/pub/jeff-petersen/8/94/612" TargetMode="External"/><Relationship Id="rId8750" Type="http://schemas.openxmlformats.org/officeDocument/2006/relationships/hyperlink" Target="http://www.linkedin.com/in/scottsafe" TargetMode="External"/><Relationship Id="rId7423" Type="http://schemas.openxmlformats.org/officeDocument/2006/relationships/hyperlink" Target="http://www.linkedin.com/pub/edwin-marcano/9/771/204" TargetMode="External"/><Relationship Id="rId8754" Type="http://schemas.openxmlformats.org/officeDocument/2006/relationships/hyperlink" Target="http://www.linkedin.com/in/sylvialan" TargetMode="External"/><Relationship Id="rId7422" Type="http://schemas.openxmlformats.org/officeDocument/2006/relationships/hyperlink" Target="http://www.linkedin.com/pub/mauricio-temporin/0/142/38B" TargetMode="External"/><Relationship Id="rId8753" Type="http://schemas.openxmlformats.org/officeDocument/2006/relationships/hyperlink" Target="http://www.linkedin.com/in/alangonsenhauser" TargetMode="External"/><Relationship Id="rId7421" Type="http://schemas.openxmlformats.org/officeDocument/2006/relationships/hyperlink" Target="http://www.linkedin.com/pub/tammy-marks-pmp/0/212/399" TargetMode="External"/><Relationship Id="rId8752" Type="http://schemas.openxmlformats.org/officeDocument/2006/relationships/hyperlink" Target="http://www.linkedin.com/in/allenmale" TargetMode="External"/><Relationship Id="rId7420" Type="http://schemas.openxmlformats.org/officeDocument/2006/relationships/hyperlink" Target="http://www.linkedin.com/pub/david-vuelta/30/753/29" TargetMode="External"/><Relationship Id="rId8751" Type="http://schemas.openxmlformats.org/officeDocument/2006/relationships/hyperlink" Target="http://www.linkedin.com/in/staceyphelps" TargetMode="External"/><Relationship Id="rId7427" Type="http://schemas.openxmlformats.org/officeDocument/2006/relationships/hyperlink" Target="http://www.linkedin.com/pub/luciana-zanata/0/12A/B1B" TargetMode="External"/><Relationship Id="rId8758" Type="http://schemas.openxmlformats.org/officeDocument/2006/relationships/hyperlink" Target="http://www.linkedin.com/in/jimgerland" TargetMode="External"/><Relationship Id="rId7426" Type="http://schemas.openxmlformats.org/officeDocument/2006/relationships/hyperlink" Target="http://ar.linkedin.com/pub/silvina-almonacid/B/B0B/126" TargetMode="External"/><Relationship Id="rId8757" Type="http://schemas.openxmlformats.org/officeDocument/2006/relationships/hyperlink" Target="http://www.linkedin.com/pub/dave-noderer/0/295/754" TargetMode="External"/><Relationship Id="rId7425" Type="http://schemas.openxmlformats.org/officeDocument/2006/relationships/hyperlink" Target="http://www.linkedin.com/pub/andrea-alejandra-ibaceta/5/395/bb7" TargetMode="External"/><Relationship Id="rId8756" Type="http://schemas.openxmlformats.org/officeDocument/2006/relationships/hyperlink" Target="http://www.linkedin.com/pub/tom-donoghue/0/B70/297" TargetMode="External"/><Relationship Id="rId7424" Type="http://schemas.openxmlformats.org/officeDocument/2006/relationships/hyperlink" Target="http://www.linkedin.com/pub/alejandro-esteban-aric%C3%B3/14/190/a64" TargetMode="External"/><Relationship Id="rId8755" Type="http://schemas.openxmlformats.org/officeDocument/2006/relationships/hyperlink" Target="http://www.linkedin.com/in/mestroni" TargetMode="External"/><Relationship Id="rId6120" Type="http://schemas.openxmlformats.org/officeDocument/2006/relationships/hyperlink" Target="http://www.linkedin.com/pub/mariel-bencovic/15/558/a0" TargetMode="External"/><Relationship Id="rId7452" Type="http://schemas.openxmlformats.org/officeDocument/2006/relationships/hyperlink" Target="http://www.linkedin.com/pub/jonathan-ezequiel-diaz/20/761/292" TargetMode="External"/><Relationship Id="rId8783" Type="http://schemas.openxmlformats.org/officeDocument/2006/relationships/hyperlink" Target="http://www.linkedin.com/pub/patrick-ewalt/9/4B5/A54" TargetMode="External"/><Relationship Id="rId6121" Type="http://schemas.openxmlformats.org/officeDocument/2006/relationships/hyperlink" Target="http://www.linkedin.com/pub/gabriel-taormina/23/26b/42a" TargetMode="External"/><Relationship Id="rId7451" Type="http://schemas.openxmlformats.org/officeDocument/2006/relationships/hyperlink" Target="http://www.linkedin.com/pub/alejandra-lopez/12/9AB/514" TargetMode="External"/><Relationship Id="rId8782" Type="http://schemas.openxmlformats.org/officeDocument/2006/relationships/hyperlink" Target="http://www.linkedin.com/pub/joseph-tuma/9/45A/193" TargetMode="External"/><Relationship Id="rId7450" Type="http://schemas.openxmlformats.org/officeDocument/2006/relationships/hyperlink" Target="http://ar.linkedin.com/pub/augusto-remondino/17/702/49" TargetMode="External"/><Relationship Id="rId8781" Type="http://schemas.openxmlformats.org/officeDocument/2006/relationships/hyperlink" Target="http://www.linkedin.com/pub/zuriel-agurto/9/299/722" TargetMode="External"/><Relationship Id="rId8780" Type="http://schemas.openxmlformats.org/officeDocument/2006/relationships/hyperlink" Target="http://www.linkedin.com/in/janebehrend" TargetMode="External"/><Relationship Id="rId6124" Type="http://schemas.openxmlformats.org/officeDocument/2006/relationships/hyperlink" Target="http://www.linkedin.com/pub/alex-staub/1/212/B41" TargetMode="External"/><Relationship Id="rId7456" Type="http://schemas.openxmlformats.org/officeDocument/2006/relationships/hyperlink" Target="http://www.linkedin.com/pub/fedra-piloni/8/957/871" TargetMode="External"/><Relationship Id="rId8787" Type="http://schemas.openxmlformats.org/officeDocument/2006/relationships/hyperlink" Target="http://www.linkedin.com/in/dancolbert" TargetMode="External"/><Relationship Id="rId6125" Type="http://schemas.openxmlformats.org/officeDocument/2006/relationships/hyperlink" Target="http://www.linkedin.com/in/facundo" TargetMode="External"/><Relationship Id="rId7455" Type="http://schemas.openxmlformats.org/officeDocument/2006/relationships/hyperlink" Target="http://ar.linkedin.com/in/angelessimal" TargetMode="External"/><Relationship Id="rId8786" Type="http://schemas.openxmlformats.org/officeDocument/2006/relationships/hyperlink" Target="http://www.linkedin.com/in/colemanwashington" TargetMode="External"/><Relationship Id="rId6122" Type="http://schemas.openxmlformats.org/officeDocument/2006/relationships/hyperlink" Target="http://ar.linkedin.com/pub/gabriela-cassanelli/9/2A8/A84" TargetMode="External"/><Relationship Id="rId7454" Type="http://schemas.openxmlformats.org/officeDocument/2006/relationships/hyperlink" Target="http://ar.linkedin.com/pub/liliana-gentile/19/0/615" TargetMode="External"/><Relationship Id="rId8785" Type="http://schemas.openxmlformats.org/officeDocument/2006/relationships/hyperlink" Target="http://www.linkedin.com/pub/bill-cienian/12/6B3/6A8" TargetMode="External"/><Relationship Id="rId6123" Type="http://schemas.openxmlformats.org/officeDocument/2006/relationships/hyperlink" Target="http://ar.linkedin.com/pub/elvira-salda%C3%B1a/7/308/267" TargetMode="External"/><Relationship Id="rId7453" Type="http://schemas.openxmlformats.org/officeDocument/2006/relationships/hyperlink" Target="http://www.linkedin.com/pub/esteban-denovi/1A/493/838" TargetMode="External"/><Relationship Id="rId8784" Type="http://schemas.openxmlformats.org/officeDocument/2006/relationships/hyperlink" Target="http://www.linkedin.com/pub/michelle-salerno/8/190/785" TargetMode="External"/><Relationship Id="rId6128" Type="http://schemas.openxmlformats.org/officeDocument/2006/relationships/hyperlink" Target="http://ar.linkedin.com/in/gianatiempo" TargetMode="External"/><Relationship Id="rId6129" Type="http://schemas.openxmlformats.org/officeDocument/2006/relationships/hyperlink" Target="http://www.linkedin.com/in/marceloorigoni" TargetMode="External"/><Relationship Id="rId7459" Type="http://schemas.openxmlformats.org/officeDocument/2006/relationships/hyperlink" Target="http://ar.linkedin.com/in/francofiorini" TargetMode="External"/><Relationship Id="rId6126" Type="http://schemas.openxmlformats.org/officeDocument/2006/relationships/hyperlink" Target="http://www.linkedin.com/pub/denis-denis-pierpoint-com-lion/4/23A/533" TargetMode="External"/><Relationship Id="rId7458" Type="http://schemas.openxmlformats.org/officeDocument/2006/relationships/hyperlink" Target="http://ar.linkedin.com/pub/damian-gaston-courteaux/16/64/136" TargetMode="External"/><Relationship Id="rId8789" Type="http://schemas.openxmlformats.org/officeDocument/2006/relationships/hyperlink" Target="http://www.linkedin.com/in/moemachine" TargetMode="External"/><Relationship Id="rId6127" Type="http://schemas.openxmlformats.org/officeDocument/2006/relationships/hyperlink" Target="http://ar.linkedin.com/pub/ariel-gimenez/A/883/504" TargetMode="External"/><Relationship Id="rId7457" Type="http://schemas.openxmlformats.org/officeDocument/2006/relationships/hyperlink" Target="http://www.linkedin.com/pub/damian-durigon/7/7aa/312" TargetMode="External"/><Relationship Id="rId8788" Type="http://schemas.openxmlformats.org/officeDocument/2006/relationships/hyperlink" Target="http://www.linkedin.com/pub/ed-burns-sr/4/44/429" TargetMode="External"/><Relationship Id="rId6119" Type="http://schemas.openxmlformats.org/officeDocument/2006/relationships/hyperlink" Target="http://ar.linkedin.com/in/carlosgarciaargentina" TargetMode="External"/><Relationship Id="rId7441" Type="http://schemas.openxmlformats.org/officeDocument/2006/relationships/hyperlink" Target="http://www.linkedin.com/pub/maria-belen-rodriguez/28/a28/685?trk=pub-pbmap" TargetMode="External"/><Relationship Id="rId8772" Type="http://schemas.openxmlformats.org/officeDocument/2006/relationships/hyperlink" Target="http://www.linkedin.com/in/stephenconnally" TargetMode="External"/><Relationship Id="rId6110" Type="http://schemas.openxmlformats.org/officeDocument/2006/relationships/hyperlink" Target="http://www.linkedin.com/pub/viviana-n-dominguez/b/68a/62a" TargetMode="External"/><Relationship Id="rId7440" Type="http://schemas.openxmlformats.org/officeDocument/2006/relationships/hyperlink" Target="http://www.linkedin.com/pub/pablo-patroncini/a/398/657" TargetMode="External"/><Relationship Id="rId8771" Type="http://schemas.openxmlformats.org/officeDocument/2006/relationships/hyperlink" Target="http://www.linkedin.com/in/billcampbell1" TargetMode="External"/><Relationship Id="rId8770" Type="http://schemas.openxmlformats.org/officeDocument/2006/relationships/hyperlink" Target="http://www.linkedin.com/in/raychagnon" TargetMode="External"/><Relationship Id="rId6113" Type="http://schemas.openxmlformats.org/officeDocument/2006/relationships/hyperlink" Target="http://www.linkedin.com/pub/andy-cohan/0/32/166" TargetMode="External"/><Relationship Id="rId7445" Type="http://schemas.openxmlformats.org/officeDocument/2006/relationships/hyperlink" Target="http://www.linkedin.com/pub/tommy-campbell-supervielle/9/a53/83" TargetMode="External"/><Relationship Id="rId8776" Type="http://schemas.openxmlformats.org/officeDocument/2006/relationships/hyperlink" Target="http://www.linkedin.com/pub/mercy-schroeder/7/3A9/95A" TargetMode="External"/><Relationship Id="rId6114" Type="http://schemas.openxmlformats.org/officeDocument/2006/relationships/hyperlink" Target="http://www.linkedin.com/pub/michelle-sharon-rua/1a/227/701" TargetMode="External"/><Relationship Id="rId7444" Type="http://schemas.openxmlformats.org/officeDocument/2006/relationships/hyperlink" Target="http://ar.linkedin.com/in/martinibrahim" TargetMode="External"/><Relationship Id="rId8775" Type="http://schemas.openxmlformats.org/officeDocument/2006/relationships/hyperlink" Target="http://www.linkedin.com/in/hilarititianewton13" TargetMode="External"/><Relationship Id="rId6111" Type="http://schemas.openxmlformats.org/officeDocument/2006/relationships/hyperlink" Target="http://ar.linkedin.com/pub/andres-kamycki/18/156/69B" TargetMode="External"/><Relationship Id="rId7443" Type="http://schemas.openxmlformats.org/officeDocument/2006/relationships/hyperlink" Target="http://ar.linkedin.com/pub/luis-garcia-castellanos/23/4B8/698" TargetMode="External"/><Relationship Id="rId8774" Type="http://schemas.openxmlformats.org/officeDocument/2006/relationships/hyperlink" Target="http://www.linkedin.com/pub/darren-devito/3/997/677" TargetMode="External"/><Relationship Id="rId6112" Type="http://schemas.openxmlformats.org/officeDocument/2006/relationships/hyperlink" Target="http://www.linkedin.com/pub/tom-hogan-pmp/0/75A/51" TargetMode="External"/><Relationship Id="rId7442" Type="http://schemas.openxmlformats.org/officeDocument/2006/relationships/hyperlink" Target="http://www.linkedin.com/pub/juan-muzzio/0/1A9/269" TargetMode="External"/><Relationship Id="rId8773" Type="http://schemas.openxmlformats.org/officeDocument/2006/relationships/hyperlink" Target="http://www.linkedin.com/in/davegraber" TargetMode="External"/><Relationship Id="rId6117" Type="http://schemas.openxmlformats.org/officeDocument/2006/relationships/hyperlink" Target="http://www.linkedin.com/pub/braian-demian-anelich/1a/785/316" TargetMode="External"/><Relationship Id="rId7449" Type="http://schemas.openxmlformats.org/officeDocument/2006/relationships/hyperlink" Target="http://ar.linkedin.com/pub/pablo-ferreira/8/796/645" TargetMode="External"/><Relationship Id="rId6118" Type="http://schemas.openxmlformats.org/officeDocument/2006/relationships/hyperlink" Target="http://ar.linkedin.com/in/gustavocrespo" TargetMode="External"/><Relationship Id="rId7448" Type="http://schemas.openxmlformats.org/officeDocument/2006/relationships/hyperlink" Target="http://www.linkedin.com/pub/adrian-lisenberg/2/627/328" TargetMode="External"/><Relationship Id="rId8779" Type="http://schemas.openxmlformats.org/officeDocument/2006/relationships/hyperlink" Target="http://www.linkedin.com/pub/james-garner/4/B78/343" TargetMode="External"/><Relationship Id="rId6115" Type="http://schemas.openxmlformats.org/officeDocument/2006/relationships/hyperlink" Target="http://www.linkedin.com/pub/marcela-in%C3%A9s-algacibiur/7/b18/92a" TargetMode="External"/><Relationship Id="rId7447" Type="http://schemas.openxmlformats.org/officeDocument/2006/relationships/hyperlink" Target="http://ar.linkedin.com/in/fabianmonzon" TargetMode="External"/><Relationship Id="rId8778" Type="http://schemas.openxmlformats.org/officeDocument/2006/relationships/hyperlink" Target="http://www.linkedin.com/pub/amit-ghosal/8/154/A65" TargetMode="External"/><Relationship Id="rId6116" Type="http://schemas.openxmlformats.org/officeDocument/2006/relationships/hyperlink" Target="http://www.linkedin.com/pub/clint-dovholuk/5/961/A42" TargetMode="External"/><Relationship Id="rId7446" Type="http://schemas.openxmlformats.org/officeDocument/2006/relationships/hyperlink" Target="http://www.linkedin.com/in/mariano" TargetMode="External"/><Relationship Id="rId8777" Type="http://schemas.openxmlformats.org/officeDocument/2006/relationships/hyperlink" Target="http://www.linkedin.com/in/adamkstafford" TargetMode="External"/><Relationship Id="rId8729" Type="http://schemas.openxmlformats.org/officeDocument/2006/relationships/hyperlink" Target="http://www.linkedin.com/in/scottdelaney" TargetMode="External"/><Relationship Id="rId8728" Type="http://schemas.openxmlformats.org/officeDocument/2006/relationships/hyperlink" Target="http://www.linkedin.com/in/carlgunell" TargetMode="External"/><Relationship Id="rId8727" Type="http://schemas.openxmlformats.org/officeDocument/2006/relationships/hyperlink" Target="http://www.linkedin.com/pub/robert-day/0/28B/770" TargetMode="External"/><Relationship Id="rId8726" Type="http://schemas.openxmlformats.org/officeDocument/2006/relationships/hyperlink" Target="http://www.linkedin.com/in/adriaantheron" TargetMode="External"/><Relationship Id="rId1" Type="http://schemas.openxmlformats.org/officeDocument/2006/relationships/hyperlink" Target="https://www.linkedin.com/in/edubrawski" TargetMode="External"/><Relationship Id="rId2" Type="http://schemas.openxmlformats.org/officeDocument/2006/relationships/hyperlink" Target="http://www.linkedin.com/pub/mauricio-spinetti/5/867/19" TargetMode="External"/><Relationship Id="rId3" Type="http://schemas.openxmlformats.org/officeDocument/2006/relationships/hyperlink" Target="http://www.linkedin.com/pub/julio-cepeda/14/345/649" TargetMode="External"/><Relationship Id="rId4" Type="http://schemas.openxmlformats.org/officeDocument/2006/relationships/hyperlink" Target="http://br.linkedin.com/pub/delson-silveira/0/366/9AA" TargetMode="External"/><Relationship Id="rId9" Type="http://schemas.openxmlformats.org/officeDocument/2006/relationships/hyperlink" Target="http://www.linkedin.com/pub/gary-l-melling/0/1a5/264" TargetMode="External"/><Relationship Id="rId8721" Type="http://schemas.openxmlformats.org/officeDocument/2006/relationships/hyperlink" Target="http://www.linkedin.com/in/martinhall" TargetMode="External"/><Relationship Id="rId8720" Type="http://schemas.openxmlformats.org/officeDocument/2006/relationships/hyperlink" Target="https://www.linkedin.com/in/lgenkin" TargetMode="External"/><Relationship Id="rId5" Type="http://schemas.openxmlformats.org/officeDocument/2006/relationships/hyperlink" Target="http://br.linkedin.com/in/adrianaesmeraldo" TargetMode="External"/><Relationship Id="rId8725" Type="http://schemas.openxmlformats.org/officeDocument/2006/relationships/hyperlink" Target="http://www.linkedin.com/pub/michael-crane/0/1/167" TargetMode="External"/><Relationship Id="rId6" Type="http://schemas.openxmlformats.org/officeDocument/2006/relationships/hyperlink" Target="http://ca.linkedin.com/in/nowshade" TargetMode="External"/><Relationship Id="rId8724" Type="http://schemas.openxmlformats.org/officeDocument/2006/relationships/hyperlink" Target="http://www.linkedin.com/in/edbarrett" TargetMode="External"/><Relationship Id="rId7" Type="http://schemas.openxmlformats.org/officeDocument/2006/relationships/hyperlink" Target="http://br.linkedin.com/in/carlosrocha" TargetMode="External"/><Relationship Id="rId8723" Type="http://schemas.openxmlformats.org/officeDocument/2006/relationships/hyperlink" Target="http://www.linkedin.com/pub/gerry-glynn/0/199/6B0" TargetMode="External"/><Relationship Id="rId8" Type="http://schemas.openxmlformats.org/officeDocument/2006/relationships/hyperlink" Target="http://uk.linkedin.com/in/arnnei" TargetMode="External"/><Relationship Id="rId8722" Type="http://schemas.openxmlformats.org/officeDocument/2006/relationships/hyperlink" Target="http://www.linkedin.com/in/djdas" TargetMode="External"/><Relationship Id="rId8718" Type="http://schemas.openxmlformats.org/officeDocument/2006/relationships/hyperlink" Target="http://www.linkedin.com/pub/donna-williams/1/12/1" TargetMode="External"/><Relationship Id="rId8717" Type="http://schemas.openxmlformats.org/officeDocument/2006/relationships/hyperlink" Target="http://www.linkedin.com/in/mcateer" TargetMode="External"/><Relationship Id="rId8716" Type="http://schemas.openxmlformats.org/officeDocument/2006/relationships/hyperlink" Target="http://www.linkedin.com/in/brosin" TargetMode="External"/><Relationship Id="rId8715" Type="http://schemas.openxmlformats.org/officeDocument/2006/relationships/hyperlink" Target="http://www.linkedin.com/in/lougasco" TargetMode="External"/><Relationship Id="rId8719" Type="http://schemas.openxmlformats.org/officeDocument/2006/relationships/hyperlink" Target="http://www.linkedin.com/in/bpeele" TargetMode="External"/><Relationship Id="rId8710" Type="http://schemas.openxmlformats.org/officeDocument/2006/relationships/hyperlink" Target="http://www.linkedin.com/in/billblount" TargetMode="External"/><Relationship Id="rId8714" Type="http://schemas.openxmlformats.org/officeDocument/2006/relationships/hyperlink" Target="http://www.linkedin.com/pub/guillaume-vives/0/21B/279" TargetMode="External"/><Relationship Id="rId8713" Type="http://schemas.openxmlformats.org/officeDocument/2006/relationships/hyperlink" Target="http://www.linkedin.com/pub/rick-cummings/0/176/A66" TargetMode="External"/><Relationship Id="rId8712" Type="http://schemas.openxmlformats.org/officeDocument/2006/relationships/hyperlink" Target="http://www.linkedin.com/in/dickmulvihill" TargetMode="External"/><Relationship Id="rId8711" Type="http://schemas.openxmlformats.org/officeDocument/2006/relationships/hyperlink" Target="http://www.linkedin.com/in/dannydharris" TargetMode="External"/><Relationship Id="rId7419" Type="http://schemas.openxmlformats.org/officeDocument/2006/relationships/hyperlink" Target="http://www.linkedin.com/pub/fernando-calvo/8/78B/837" TargetMode="External"/><Relationship Id="rId7418" Type="http://schemas.openxmlformats.org/officeDocument/2006/relationships/hyperlink" Target="http://www.linkedin.com/pub/guillermo-gabriel-cavalieri/25/6a3/29b" TargetMode="External"/><Relationship Id="rId8749" Type="http://schemas.openxmlformats.org/officeDocument/2006/relationships/hyperlink" Target="http://www.linkedin.com/pub/mary-hope-mcquiston/0/965/398" TargetMode="External"/><Relationship Id="rId7417" Type="http://schemas.openxmlformats.org/officeDocument/2006/relationships/hyperlink" Target="http://www.linkedin.com/in/jonahmanning" TargetMode="External"/><Relationship Id="rId8748" Type="http://schemas.openxmlformats.org/officeDocument/2006/relationships/hyperlink" Target="http://www.linkedin.com/in/jatinmaniar" TargetMode="External"/><Relationship Id="rId7412" Type="http://schemas.openxmlformats.org/officeDocument/2006/relationships/hyperlink" Target="http://ar.linkedin.com/in/pikyvalicente" TargetMode="External"/><Relationship Id="rId8743" Type="http://schemas.openxmlformats.org/officeDocument/2006/relationships/hyperlink" Target="http://www.linkedin.com/in/scottcfitzgerald" TargetMode="External"/><Relationship Id="rId7411" Type="http://schemas.openxmlformats.org/officeDocument/2006/relationships/hyperlink" Target="http://www.linkedin.com/in/stevenlevymd" TargetMode="External"/><Relationship Id="rId8742" Type="http://schemas.openxmlformats.org/officeDocument/2006/relationships/hyperlink" Target="http://www.linkedin.com/in/rayrosti" TargetMode="External"/><Relationship Id="rId7410" Type="http://schemas.openxmlformats.org/officeDocument/2006/relationships/hyperlink" Target="http://www.linkedin.com/pub/graciela-kort/4/464/113" TargetMode="External"/><Relationship Id="rId8741" Type="http://schemas.openxmlformats.org/officeDocument/2006/relationships/hyperlink" Target="http://www.linkedin.com/in/annehunter" TargetMode="External"/><Relationship Id="rId8740" Type="http://schemas.openxmlformats.org/officeDocument/2006/relationships/hyperlink" Target="http://www.linkedin.com/in/harddollar" TargetMode="External"/><Relationship Id="rId7416" Type="http://schemas.openxmlformats.org/officeDocument/2006/relationships/hyperlink" Target="http://ca.linkedin.com/in/helmuthager" TargetMode="External"/><Relationship Id="rId8747" Type="http://schemas.openxmlformats.org/officeDocument/2006/relationships/hyperlink" Target="http://www.linkedin.com/in/franbinc" TargetMode="External"/><Relationship Id="rId7415" Type="http://schemas.openxmlformats.org/officeDocument/2006/relationships/hyperlink" Target="http://www.linkedin.com/pub/fabian-victor-rodriguez/15/461/5ab" TargetMode="External"/><Relationship Id="rId8746" Type="http://schemas.openxmlformats.org/officeDocument/2006/relationships/hyperlink" Target="http://www.linkedin.com/in/jimdurbin" TargetMode="External"/><Relationship Id="rId7414" Type="http://schemas.openxmlformats.org/officeDocument/2006/relationships/hyperlink" Target="http://www.linkedin.com/in/markhamade" TargetMode="External"/><Relationship Id="rId8745" Type="http://schemas.openxmlformats.org/officeDocument/2006/relationships/hyperlink" Target="http://www.linkedin.com/pub/deb-richards/0/226/121" TargetMode="External"/><Relationship Id="rId7413" Type="http://schemas.openxmlformats.org/officeDocument/2006/relationships/hyperlink" Target="http://ar.linkedin.com/pub/gustavo-moya/24/606/23" TargetMode="External"/><Relationship Id="rId8744" Type="http://schemas.openxmlformats.org/officeDocument/2006/relationships/hyperlink" Target="http://www.linkedin.com/in/rolandwaddellnc1" TargetMode="External"/><Relationship Id="rId7409" Type="http://schemas.openxmlformats.org/officeDocument/2006/relationships/hyperlink" Target="http://www.linkedin.com/in/lockealderson" TargetMode="External"/><Relationship Id="rId7408" Type="http://schemas.openxmlformats.org/officeDocument/2006/relationships/hyperlink" Target="http://www.linkedin.com/in/jaquith" TargetMode="External"/><Relationship Id="rId8739" Type="http://schemas.openxmlformats.org/officeDocument/2006/relationships/hyperlink" Target="http://www.linkedin.com/in/billgerba" TargetMode="External"/><Relationship Id="rId7407" Type="http://schemas.openxmlformats.org/officeDocument/2006/relationships/hyperlink" Target="http://www.linkedin.com/in/jimteeter" TargetMode="External"/><Relationship Id="rId8738" Type="http://schemas.openxmlformats.org/officeDocument/2006/relationships/hyperlink" Target="http://www.linkedin.com/pub/gregory-hampton/0/467/AA6" TargetMode="External"/><Relationship Id="rId7406" Type="http://schemas.openxmlformats.org/officeDocument/2006/relationships/hyperlink" Target="http://www.linkedin.com/in/flaviocardoso" TargetMode="External"/><Relationship Id="rId8737" Type="http://schemas.openxmlformats.org/officeDocument/2006/relationships/hyperlink" Target="http://www.linkedin.com/in/gonda" TargetMode="External"/><Relationship Id="rId7401" Type="http://schemas.openxmlformats.org/officeDocument/2006/relationships/hyperlink" Target="http://ar.linkedin.com/pub/alejandro-sosa/13/A85/2BA" TargetMode="External"/><Relationship Id="rId8732" Type="http://schemas.openxmlformats.org/officeDocument/2006/relationships/hyperlink" Target="http://www.linkedin.com/in/kristathomas" TargetMode="External"/><Relationship Id="rId7400" Type="http://schemas.openxmlformats.org/officeDocument/2006/relationships/hyperlink" Target="http://www.linkedin.com/in/yanma" TargetMode="External"/><Relationship Id="rId8731" Type="http://schemas.openxmlformats.org/officeDocument/2006/relationships/hyperlink" Target="http://www.linkedin.com/in/silona" TargetMode="External"/><Relationship Id="rId8730" Type="http://schemas.openxmlformats.org/officeDocument/2006/relationships/hyperlink" Target="http://www.linkedin.com/pub/david-scott/0/2A2/29B" TargetMode="External"/><Relationship Id="rId7405" Type="http://schemas.openxmlformats.org/officeDocument/2006/relationships/hyperlink" Target="http://ar.linkedin.com/in/pollylerma" TargetMode="External"/><Relationship Id="rId8736" Type="http://schemas.openxmlformats.org/officeDocument/2006/relationships/hyperlink" Target="https://www.linkedin.com/in/bryangiss" TargetMode="External"/><Relationship Id="rId7404" Type="http://schemas.openxmlformats.org/officeDocument/2006/relationships/hyperlink" Target="http://www.linkedin.com/in/meghanmaher" TargetMode="External"/><Relationship Id="rId8735" Type="http://schemas.openxmlformats.org/officeDocument/2006/relationships/hyperlink" Target="http://www.linkedin.com/in/rockclapper" TargetMode="External"/><Relationship Id="rId7403" Type="http://schemas.openxmlformats.org/officeDocument/2006/relationships/hyperlink" Target="http://www.linkedin.com/in/elizabethsheridan" TargetMode="External"/><Relationship Id="rId8734" Type="http://schemas.openxmlformats.org/officeDocument/2006/relationships/hyperlink" Target="http://www.linkedin.com/in/stewartfox" TargetMode="External"/><Relationship Id="rId7402" Type="http://schemas.openxmlformats.org/officeDocument/2006/relationships/hyperlink" Target="http://www.linkedin.com/pub/staci-king-marcus-/0/23/B1" TargetMode="External"/><Relationship Id="rId8733" Type="http://schemas.openxmlformats.org/officeDocument/2006/relationships/hyperlink" Target="http://www.linkedin.com/pub/lars-mapstead/0/11/5A6" TargetMode="External"/><Relationship Id="rId3911" Type="http://schemas.openxmlformats.org/officeDocument/2006/relationships/hyperlink" Target="http://ar.linkedin.com/in/constanzavilar" TargetMode="External"/><Relationship Id="rId3910" Type="http://schemas.openxmlformats.org/officeDocument/2006/relationships/hyperlink" Target="http://ar.linkedin.com/in/julianamoralesrins" TargetMode="External"/><Relationship Id="rId3913" Type="http://schemas.openxmlformats.org/officeDocument/2006/relationships/hyperlink" Target="http://ar.linkedin.com/in/josefinatuzinkevicz" TargetMode="External"/><Relationship Id="rId3912" Type="http://schemas.openxmlformats.org/officeDocument/2006/relationships/hyperlink" Target="http://www.linkedin.com/in/nadiarivas" TargetMode="External"/><Relationship Id="rId3915" Type="http://schemas.openxmlformats.org/officeDocument/2006/relationships/hyperlink" Target="http://ar.linkedin.com/in/rominadeangelis" TargetMode="External"/><Relationship Id="rId3914" Type="http://schemas.openxmlformats.org/officeDocument/2006/relationships/hyperlink" Target="http://ar.linkedin.com/pub/agustin-herrero/27/379/35B" TargetMode="External"/><Relationship Id="rId3917" Type="http://schemas.openxmlformats.org/officeDocument/2006/relationships/hyperlink" Target="http://www.linkedin.com/in/deborabarlocco" TargetMode="External"/><Relationship Id="rId3916" Type="http://schemas.openxmlformats.org/officeDocument/2006/relationships/hyperlink" Target="http://www.linkedin.com/pub/%C3%A1ngela-mandel/1b/728/671" TargetMode="External"/><Relationship Id="rId3919" Type="http://schemas.openxmlformats.org/officeDocument/2006/relationships/hyperlink" Target="http://ar.linkedin.com/in/ignaciofernandezsantamaria" TargetMode="External"/><Relationship Id="rId3918" Type="http://schemas.openxmlformats.org/officeDocument/2006/relationships/hyperlink" Target="http://ar.linkedin.com/pub/claudio-magi/B/282/43B" TargetMode="External"/><Relationship Id="rId6190" Type="http://schemas.openxmlformats.org/officeDocument/2006/relationships/hyperlink" Target="http://www.linkedin.com/pub/nuncio-di-mare/10/549/93" TargetMode="External"/><Relationship Id="rId6182" Type="http://schemas.openxmlformats.org/officeDocument/2006/relationships/hyperlink" Target="http://ar.linkedin.com/in/sabrinaberazategui" TargetMode="External"/><Relationship Id="rId6183" Type="http://schemas.openxmlformats.org/officeDocument/2006/relationships/hyperlink" Target="http://ar.linkedin.com/pub/rodrigo-avila/5/79A/886" TargetMode="External"/><Relationship Id="rId6180" Type="http://schemas.openxmlformats.org/officeDocument/2006/relationships/hyperlink" Target="http://www.linkedin.com/in/theresaenebo" TargetMode="External"/><Relationship Id="rId6181" Type="http://schemas.openxmlformats.org/officeDocument/2006/relationships/hyperlink" Target="http://www.linkedin.com/in/danielaltbaum" TargetMode="External"/><Relationship Id="rId6186" Type="http://schemas.openxmlformats.org/officeDocument/2006/relationships/hyperlink" Target="http://ar.linkedin.com/pub/veronica-arguello/17/8B6/475" TargetMode="External"/><Relationship Id="rId6187" Type="http://schemas.openxmlformats.org/officeDocument/2006/relationships/hyperlink" Target="http://www.linkedin.com/pub/marcelo-di-cugno/0/822/325" TargetMode="External"/><Relationship Id="rId6184" Type="http://schemas.openxmlformats.org/officeDocument/2006/relationships/hyperlink" Target="http://www.linkedin.com/pub/jose-gabriel-magaquian/21/479/245" TargetMode="External"/><Relationship Id="rId6185" Type="http://schemas.openxmlformats.org/officeDocument/2006/relationships/hyperlink" Target="http://ar.linkedin.com/pub/mariana-prunes/11/B05/A6A" TargetMode="External"/><Relationship Id="rId6188" Type="http://schemas.openxmlformats.org/officeDocument/2006/relationships/hyperlink" Target="http://www.linkedin.com/in/bernardoaraya" TargetMode="External"/><Relationship Id="rId6189" Type="http://schemas.openxmlformats.org/officeDocument/2006/relationships/hyperlink" Target="http://www.linkedin.com/pub/juan-lontok/1/192/A6A" TargetMode="External"/><Relationship Id="rId3900" Type="http://schemas.openxmlformats.org/officeDocument/2006/relationships/hyperlink" Target="http://ar.linkedin.com/pub/ignacio-julian/15/577/765" TargetMode="External"/><Relationship Id="rId3902" Type="http://schemas.openxmlformats.org/officeDocument/2006/relationships/hyperlink" Target="http://ar.linkedin.com/in/guillermogesualdi" TargetMode="External"/><Relationship Id="rId3901" Type="http://schemas.openxmlformats.org/officeDocument/2006/relationships/hyperlink" Target="http://ar.linkedin.com/in/josefinatarris" TargetMode="External"/><Relationship Id="rId3904" Type="http://schemas.openxmlformats.org/officeDocument/2006/relationships/hyperlink" Target="http://www.linkedin.com/pub/martina-rua/b/615/609" TargetMode="External"/><Relationship Id="rId3903" Type="http://schemas.openxmlformats.org/officeDocument/2006/relationships/hyperlink" Target="http://www.linkedin.com/pub/luciana-lovece/1/b63/166" TargetMode="External"/><Relationship Id="rId3906" Type="http://schemas.openxmlformats.org/officeDocument/2006/relationships/hyperlink" Target="http://ar.linkedin.com/in/famdan" TargetMode="External"/><Relationship Id="rId3905" Type="http://schemas.openxmlformats.org/officeDocument/2006/relationships/hyperlink" Target="http://ar.linkedin.com/in/irinasternik" TargetMode="External"/><Relationship Id="rId3908" Type="http://schemas.openxmlformats.org/officeDocument/2006/relationships/hyperlink" Target="http://ar.linkedin.com/pub/leila-salinas/22/467/41A" TargetMode="External"/><Relationship Id="rId3907" Type="http://schemas.openxmlformats.org/officeDocument/2006/relationships/hyperlink" Target="http://ar.linkedin.com/pub/ramiro-mazzeo/0/5BA/312" TargetMode="External"/><Relationship Id="rId3909" Type="http://schemas.openxmlformats.org/officeDocument/2006/relationships/hyperlink" Target="http://ar.linkedin.com/pub/silvana-jachevasky/24/214/A1" TargetMode="External"/><Relationship Id="rId6171" Type="http://schemas.openxmlformats.org/officeDocument/2006/relationships/hyperlink" Target="http://uk.linkedin.com/pub/mary-burke/3/341/851" TargetMode="External"/><Relationship Id="rId6172" Type="http://schemas.openxmlformats.org/officeDocument/2006/relationships/hyperlink" Target="http://www.linkedin.com/pub/danielle-knipp/6/49/3B6" TargetMode="External"/><Relationship Id="rId6170" Type="http://schemas.openxmlformats.org/officeDocument/2006/relationships/hyperlink" Target="http://www.linkedin.com/pub/bianca-smothers/15/A76/135" TargetMode="External"/><Relationship Id="rId6175" Type="http://schemas.openxmlformats.org/officeDocument/2006/relationships/hyperlink" Target="http://www.linkedin.com/in/marianos" TargetMode="External"/><Relationship Id="rId6176" Type="http://schemas.openxmlformats.org/officeDocument/2006/relationships/hyperlink" Target="http://www.linkedin.com/in/ericbuhring" TargetMode="External"/><Relationship Id="rId6173" Type="http://schemas.openxmlformats.org/officeDocument/2006/relationships/hyperlink" Target="http://www.linkedin.com/pub/kerri-nelson/2/57B/476" TargetMode="External"/><Relationship Id="rId6174" Type="http://schemas.openxmlformats.org/officeDocument/2006/relationships/hyperlink" Target="http://www.linkedin.com/in/timmarkham" TargetMode="External"/><Relationship Id="rId6179" Type="http://schemas.openxmlformats.org/officeDocument/2006/relationships/hyperlink" Target="http://www.linkedin.com/in/markwyss" TargetMode="External"/><Relationship Id="rId6177" Type="http://schemas.openxmlformats.org/officeDocument/2006/relationships/hyperlink" Target="http://www.linkedin.com/pub/greg-connaughton/7/A9B/B65" TargetMode="External"/><Relationship Id="rId6178" Type="http://schemas.openxmlformats.org/officeDocument/2006/relationships/hyperlink" Target="http://www.linkedin.com/pub/worth-baker/4/714/7B2" TargetMode="External"/><Relationship Id="rId3931" Type="http://schemas.openxmlformats.org/officeDocument/2006/relationships/hyperlink" Target="http://ar.linkedin.com/in/facundoboggino" TargetMode="External"/><Relationship Id="rId2600" Type="http://schemas.openxmlformats.org/officeDocument/2006/relationships/hyperlink" Target="http://ar.linkedin.com/in/yesicadossantos" TargetMode="External"/><Relationship Id="rId3930" Type="http://schemas.openxmlformats.org/officeDocument/2006/relationships/hyperlink" Target="http://ar.linkedin.com/pub/milagros-festa/15/B04/A1" TargetMode="External"/><Relationship Id="rId2601" Type="http://schemas.openxmlformats.org/officeDocument/2006/relationships/hyperlink" Target="http://ar.linkedin.com/pub/manuel-pizarro/4/BA0/659" TargetMode="External"/><Relationship Id="rId3933" Type="http://schemas.openxmlformats.org/officeDocument/2006/relationships/hyperlink" Target="http://ar.linkedin.com/in/danielhardenack" TargetMode="External"/><Relationship Id="rId2602" Type="http://schemas.openxmlformats.org/officeDocument/2006/relationships/hyperlink" Target="http://ar.linkedin.com/in/delamota" TargetMode="External"/><Relationship Id="rId3932" Type="http://schemas.openxmlformats.org/officeDocument/2006/relationships/hyperlink" Target="http://ar.linkedin.com/in/hernangalvan" TargetMode="External"/><Relationship Id="rId2603" Type="http://schemas.openxmlformats.org/officeDocument/2006/relationships/hyperlink" Target="http://ar.linkedin.com/in/paulaantonelli83" TargetMode="External"/><Relationship Id="rId3935" Type="http://schemas.openxmlformats.org/officeDocument/2006/relationships/hyperlink" Target="http://ar.linkedin.com/pub/leonardo-bianco/8/913/1B6" TargetMode="External"/><Relationship Id="rId2604" Type="http://schemas.openxmlformats.org/officeDocument/2006/relationships/hyperlink" Target="http://ar.linkedin.com/pub/barbara-martinez-castro/6/BB2/8A1" TargetMode="External"/><Relationship Id="rId3934" Type="http://schemas.openxmlformats.org/officeDocument/2006/relationships/hyperlink" Target="http://ar.linkedin.com/pub/gabriel-brenta/4/874/743" TargetMode="External"/><Relationship Id="rId2605" Type="http://schemas.openxmlformats.org/officeDocument/2006/relationships/hyperlink" Target="http://ar.linkedin.com/pub/constanza-estefanell-translation-studio/30/7B6/13" TargetMode="External"/><Relationship Id="rId3937" Type="http://schemas.openxmlformats.org/officeDocument/2006/relationships/hyperlink" Target="http://ar.linkedin.com/pub/josefina-aramburu/29/64A/568" TargetMode="External"/><Relationship Id="rId2606" Type="http://schemas.openxmlformats.org/officeDocument/2006/relationships/hyperlink" Target="http://www.linkedin.com/pub/maximiliano-rey-itil%C2%AE-v3-mba/18/a1b/776" TargetMode="External"/><Relationship Id="rId3936" Type="http://schemas.openxmlformats.org/officeDocument/2006/relationships/hyperlink" Target="http://www.linkedin.com/pub/perla-neiburg/0/a9b/631" TargetMode="External"/><Relationship Id="rId808" Type="http://schemas.openxmlformats.org/officeDocument/2006/relationships/hyperlink" Target="http://www.linkedin.com/in/trigemini" TargetMode="External"/><Relationship Id="rId2607" Type="http://schemas.openxmlformats.org/officeDocument/2006/relationships/hyperlink" Target="http://ar.linkedin.com/in/marianapapaianni" TargetMode="External"/><Relationship Id="rId3939" Type="http://schemas.openxmlformats.org/officeDocument/2006/relationships/hyperlink" Target="http://www.linkedin.com/pub/santiago-benav%C3%ADdez/2a/66/379" TargetMode="External"/><Relationship Id="rId807" Type="http://schemas.openxmlformats.org/officeDocument/2006/relationships/hyperlink" Target="http://www.linkedin.com/in/arunthakur" TargetMode="External"/><Relationship Id="rId2608" Type="http://schemas.openxmlformats.org/officeDocument/2006/relationships/hyperlink" Target="http://ar.linkedin.com/pub/roxana-molinari/11/336/B02" TargetMode="External"/><Relationship Id="rId3938" Type="http://schemas.openxmlformats.org/officeDocument/2006/relationships/hyperlink" Target="http://ar.linkedin.com/in/alanlopez2011" TargetMode="External"/><Relationship Id="rId806" Type="http://schemas.openxmlformats.org/officeDocument/2006/relationships/hyperlink" Target="https://www.linkedin.com/in/mdombrowski" TargetMode="External"/><Relationship Id="rId2609" Type="http://schemas.openxmlformats.org/officeDocument/2006/relationships/hyperlink" Target="http://ar.linkedin.com/pub/ines-brito/12/A78/11A" TargetMode="External"/><Relationship Id="rId805" Type="http://schemas.openxmlformats.org/officeDocument/2006/relationships/hyperlink" Target="http://www.linkedin.com/in/seeman" TargetMode="External"/><Relationship Id="rId809" Type="http://schemas.openxmlformats.org/officeDocument/2006/relationships/hyperlink" Target="http://www.linkedin.com/in/lisanamerow" TargetMode="External"/><Relationship Id="rId800" Type="http://schemas.openxmlformats.org/officeDocument/2006/relationships/hyperlink" Target="http://www.linkedin.com/in/yannickgermain" TargetMode="External"/><Relationship Id="rId804" Type="http://schemas.openxmlformats.org/officeDocument/2006/relationships/hyperlink" Target="http://uk.linkedin.com/in/rajeevgm" TargetMode="External"/><Relationship Id="rId803" Type="http://schemas.openxmlformats.org/officeDocument/2006/relationships/hyperlink" Target="http://www.linkedin.com/in/freshform" TargetMode="External"/><Relationship Id="rId802" Type="http://schemas.openxmlformats.org/officeDocument/2006/relationships/hyperlink" Target="http://br.linkedin.com/pub/bruna-villela-rosi/29/4A0/A33" TargetMode="External"/><Relationship Id="rId801" Type="http://schemas.openxmlformats.org/officeDocument/2006/relationships/hyperlink" Target="http://br.linkedin.com/pub/juliana-carvalho/29/499/8B2" TargetMode="External"/><Relationship Id="rId3920" Type="http://schemas.openxmlformats.org/officeDocument/2006/relationships/hyperlink" Target="http://ar.linkedin.com/in/matiasgiorgio" TargetMode="External"/><Relationship Id="rId3922" Type="http://schemas.openxmlformats.org/officeDocument/2006/relationships/hyperlink" Target="http://ar.linkedin.com/in/manuelbarberis" TargetMode="External"/><Relationship Id="rId3921" Type="http://schemas.openxmlformats.org/officeDocument/2006/relationships/hyperlink" Target="http://ar.linkedin.com/pub/ernesto-krahmer/B/7B9/432" TargetMode="External"/><Relationship Id="rId3924" Type="http://schemas.openxmlformats.org/officeDocument/2006/relationships/hyperlink" Target="http://www.linkedin.com/pub/mar%C3%ADa-sof%C3%ADa-sarav%C3%AD-o-keefe/10/ba3/29" TargetMode="External"/><Relationship Id="rId3923" Type="http://schemas.openxmlformats.org/officeDocument/2006/relationships/hyperlink" Target="http://ar.linkedin.com/pub/natalia-rossello/15/979/B4B" TargetMode="External"/><Relationship Id="rId3926" Type="http://schemas.openxmlformats.org/officeDocument/2006/relationships/hyperlink" Target="http://ar.linkedin.com/in/federicomazzei" TargetMode="External"/><Relationship Id="rId3925" Type="http://schemas.openxmlformats.org/officeDocument/2006/relationships/hyperlink" Target="http://ar.linkedin.com/in/diegodella" TargetMode="External"/><Relationship Id="rId3928" Type="http://schemas.openxmlformats.org/officeDocument/2006/relationships/hyperlink" Target="http://ar.linkedin.com/in/danielpituello" TargetMode="External"/><Relationship Id="rId3927" Type="http://schemas.openxmlformats.org/officeDocument/2006/relationships/hyperlink" Target="http://ar.linkedin.com/in/sergiogcastro" TargetMode="External"/><Relationship Id="rId3929" Type="http://schemas.openxmlformats.org/officeDocument/2006/relationships/hyperlink" Target="http://ar.linkedin.com/pub/edgardo-bianco/23/3B7/97B" TargetMode="External"/><Relationship Id="rId6193" Type="http://schemas.openxmlformats.org/officeDocument/2006/relationships/hyperlink" Target="http://www.linkedin.com/pub/salvatore-cippo/2/945/596" TargetMode="External"/><Relationship Id="rId6194" Type="http://schemas.openxmlformats.org/officeDocument/2006/relationships/hyperlink" Target="http://www.linkedin.com/pub/rodrigo-ruiz/6/B24/49" TargetMode="External"/><Relationship Id="rId6191" Type="http://schemas.openxmlformats.org/officeDocument/2006/relationships/hyperlink" Target="http://www.linkedin.com/in/jfmaitrot" TargetMode="External"/><Relationship Id="rId6192" Type="http://schemas.openxmlformats.org/officeDocument/2006/relationships/hyperlink" Target="http://www.linkedin.com/pub/leonard-%22len%22-savini/4/4B4/656" TargetMode="External"/><Relationship Id="rId6197" Type="http://schemas.openxmlformats.org/officeDocument/2006/relationships/hyperlink" Target="http://www.linkedin.com/in/dnajafi" TargetMode="External"/><Relationship Id="rId6198" Type="http://schemas.openxmlformats.org/officeDocument/2006/relationships/hyperlink" Target="http://www.linkedin.com/pub/stephen-mau/1/A24/B49" TargetMode="External"/><Relationship Id="rId6195" Type="http://schemas.openxmlformats.org/officeDocument/2006/relationships/hyperlink" Target="http://www.linkedin.com/in/jairoorea" TargetMode="External"/><Relationship Id="rId6196" Type="http://schemas.openxmlformats.org/officeDocument/2006/relationships/hyperlink" Target="http://www.linkedin.com/pub/kelvin-holbrook/6/A72/A01" TargetMode="External"/><Relationship Id="rId6199" Type="http://schemas.openxmlformats.org/officeDocument/2006/relationships/hyperlink" Target="http://www.linkedin.com/pub/bruce-d-amico-cop/9/a74/a6b" TargetMode="External"/><Relationship Id="rId7470" Type="http://schemas.openxmlformats.org/officeDocument/2006/relationships/hyperlink" Target="http://www.linkedin.com/in/hubertsmits" TargetMode="External"/><Relationship Id="rId6142" Type="http://schemas.openxmlformats.org/officeDocument/2006/relationships/hyperlink" Target="http://www.linkedin.com/in/joselito" TargetMode="External"/><Relationship Id="rId7474" Type="http://schemas.openxmlformats.org/officeDocument/2006/relationships/hyperlink" Target="http://ar.linkedin.com/pub/gustavo-garcia-fontan/17/4A0/458" TargetMode="External"/><Relationship Id="rId6143" Type="http://schemas.openxmlformats.org/officeDocument/2006/relationships/hyperlink" Target="http://www.linkedin.com/in/ramonsolisjr" TargetMode="External"/><Relationship Id="rId7473" Type="http://schemas.openxmlformats.org/officeDocument/2006/relationships/hyperlink" Target="http://www.linkedin.com/pub/annette-kreisl-mcgough/1/630/975" TargetMode="External"/><Relationship Id="rId6140" Type="http://schemas.openxmlformats.org/officeDocument/2006/relationships/hyperlink" Target="http://br.linkedin.com/in/rodneyrepullo" TargetMode="External"/><Relationship Id="rId7472" Type="http://schemas.openxmlformats.org/officeDocument/2006/relationships/hyperlink" Target="http://www.linkedin.com/pub/korchaguin-jimenez/1/A50/1A6" TargetMode="External"/><Relationship Id="rId6141" Type="http://schemas.openxmlformats.org/officeDocument/2006/relationships/hyperlink" Target="http://www.linkedin.com/pub/a-murillo-zamora/0/33B/A41" TargetMode="External"/><Relationship Id="rId7471" Type="http://schemas.openxmlformats.org/officeDocument/2006/relationships/hyperlink" Target="http://www.linkedin.com/pub/anil-jain/1/B7/199" TargetMode="External"/><Relationship Id="rId6146" Type="http://schemas.openxmlformats.org/officeDocument/2006/relationships/hyperlink" Target="http://www.linkedin.com/in/hugoswart" TargetMode="External"/><Relationship Id="rId7478" Type="http://schemas.openxmlformats.org/officeDocument/2006/relationships/hyperlink" Target="http://www.linkedin.com/in/gradybooch" TargetMode="External"/><Relationship Id="rId6147" Type="http://schemas.openxmlformats.org/officeDocument/2006/relationships/hyperlink" Target="http://www.linkedin.com/pub/fabiano-fernandes-soares-mba/2a/55/399" TargetMode="External"/><Relationship Id="rId7477" Type="http://schemas.openxmlformats.org/officeDocument/2006/relationships/hyperlink" Target="http://www.linkedin.com/pub/mark-o-gara/0/B27/875" TargetMode="External"/><Relationship Id="rId6144" Type="http://schemas.openxmlformats.org/officeDocument/2006/relationships/hyperlink" Target="http://www.linkedin.com/in/marketresearchconsultant" TargetMode="External"/><Relationship Id="rId7476" Type="http://schemas.openxmlformats.org/officeDocument/2006/relationships/hyperlink" Target="http://www.linkedin.com/pub/deby-laufer/0/72/584" TargetMode="External"/><Relationship Id="rId6145" Type="http://schemas.openxmlformats.org/officeDocument/2006/relationships/hyperlink" Target="http://www.linkedin.com/in/denisblampoix" TargetMode="External"/><Relationship Id="rId7475" Type="http://schemas.openxmlformats.org/officeDocument/2006/relationships/hyperlink" Target="http://www.linkedin.com/pub/sergio-lastra/8/205/9B7" TargetMode="External"/><Relationship Id="rId6148" Type="http://schemas.openxmlformats.org/officeDocument/2006/relationships/hyperlink" Target="http://www.linkedin.com/in/slozoya" TargetMode="External"/><Relationship Id="rId6149" Type="http://schemas.openxmlformats.org/officeDocument/2006/relationships/hyperlink" Target="http://www.linkedin.com/in/samuelluchini" TargetMode="External"/><Relationship Id="rId7479" Type="http://schemas.openxmlformats.org/officeDocument/2006/relationships/hyperlink" Target="http://www.linkedin.com/in/kellymitchellzeller" TargetMode="External"/><Relationship Id="rId8790" Type="http://schemas.openxmlformats.org/officeDocument/2006/relationships/hyperlink" Target="http://www.linkedin.com/pub/marie-imbault/B/B4/AB3" TargetMode="External"/><Relationship Id="rId6131" Type="http://schemas.openxmlformats.org/officeDocument/2006/relationships/hyperlink" Target="http://www.linkedin.com/pub/steven-boyd/1/104/35" TargetMode="External"/><Relationship Id="rId7463" Type="http://schemas.openxmlformats.org/officeDocument/2006/relationships/hyperlink" Target="http://ar.linkedin.com/pub/javier-ivaldi/B/348/B2A" TargetMode="External"/><Relationship Id="rId8794" Type="http://schemas.openxmlformats.org/officeDocument/2006/relationships/hyperlink" Target="http://www.linkedin.com/in/evannicoud" TargetMode="External"/><Relationship Id="rId6132" Type="http://schemas.openxmlformats.org/officeDocument/2006/relationships/hyperlink" Target="http://www.linkedin.com/pub/kelsey-rafferty/3/9B4/68" TargetMode="External"/><Relationship Id="rId7462" Type="http://schemas.openxmlformats.org/officeDocument/2006/relationships/hyperlink" Target="http://www.linkedin.com/in/josearmario" TargetMode="External"/><Relationship Id="rId8793" Type="http://schemas.openxmlformats.org/officeDocument/2006/relationships/hyperlink" Target="http://www.linkedin.com/in/ricardoantonioperez" TargetMode="External"/><Relationship Id="rId7461" Type="http://schemas.openxmlformats.org/officeDocument/2006/relationships/hyperlink" Target="http://www.linkedin.com/pub/j-c-gonzalez-mendez/5/57A/410" TargetMode="External"/><Relationship Id="rId8792" Type="http://schemas.openxmlformats.org/officeDocument/2006/relationships/hyperlink" Target="http://www.linkedin.com/in/ronweisman" TargetMode="External"/><Relationship Id="rId6130" Type="http://schemas.openxmlformats.org/officeDocument/2006/relationships/hyperlink" Target="http://www.linkedin.com/in/kylenebruskipmp" TargetMode="External"/><Relationship Id="rId7460" Type="http://schemas.openxmlformats.org/officeDocument/2006/relationships/hyperlink" Target="http://www.linkedin.com/in/robertgbarani" TargetMode="External"/><Relationship Id="rId8791" Type="http://schemas.openxmlformats.org/officeDocument/2006/relationships/hyperlink" Target="http://www.linkedin.com/pub/paul-previte/26/B92/716" TargetMode="External"/><Relationship Id="rId6135" Type="http://schemas.openxmlformats.org/officeDocument/2006/relationships/hyperlink" Target="http://ar.linkedin.com/in/folcojp" TargetMode="External"/><Relationship Id="rId7467" Type="http://schemas.openxmlformats.org/officeDocument/2006/relationships/hyperlink" Target="http://www.linkedin.com/pub/carlos-asparch/a/588/215" TargetMode="External"/><Relationship Id="rId8798" Type="http://schemas.openxmlformats.org/officeDocument/2006/relationships/hyperlink" Target="http://www.linkedin.com/in/bradleyhodge" TargetMode="External"/><Relationship Id="rId6136" Type="http://schemas.openxmlformats.org/officeDocument/2006/relationships/hyperlink" Target="http://ar.linkedin.com/pub/sebastian-bellucci/8/935/350" TargetMode="External"/><Relationship Id="rId7466" Type="http://schemas.openxmlformats.org/officeDocument/2006/relationships/hyperlink" Target="http://ar.linkedin.com/pub/mario-salv-/28/1AA/50A" TargetMode="External"/><Relationship Id="rId8797" Type="http://schemas.openxmlformats.org/officeDocument/2006/relationships/hyperlink" Target="http://www.linkedin.com/pub/stacy-anthony/9/4A1/408" TargetMode="External"/><Relationship Id="rId6133" Type="http://schemas.openxmlformats.org/officeDocument/2006/relationships/hyperlink" Target="http://ar.linkedin.com/in/gonzaloazor" TargetMode="External"/><Relationship Id="rId7465" Type="http://schemas.openxmlformats.org/officeDocument/2006/relationships/hyperlink" Target="http://ar.linkedin.com/in/diegofumero" TargetMode="External"/><Relationship Id="rId8796" Type="http://schemas.openxmlformats.org/officeDocument/2006/relationships/hyperlink" Target="http://www.linkedin.com/pub/john-jj-murray/5/867/938" TargetMode="External"/><Relationship Id="rId6134" Type="http://schemas.openxmlformats.org/officeDocument/2006/relationships/hyperlink" Target="http://ar.linkedin.com/pub/mat%C3%ADas-calegaris/8/A63/80" TargetMode="External"/><Relationship Id="rId7464" Type="http://schemas.openxmlformats.org/officeDocument/2006/relationships/hyperlink" Target="http://ar.linkedin.com/in/rosariotienda" TargetMode="External"/><Relationship Id="rId8795" Type="http://schemas.openxmlformats.org/officeDocument/2006/relationships/hyperlink" Target="http://www.linkedin.com/pub/manish-kainth-prince2%C2%AE/5/a0/679" TargetMode="External"/><Relationship Id="rId6139" Type="http://schemas.openxmlformats.org/officeDocument/2006/relationships/hyperlink" Target="http://www.linkedin.com/in/claytoncosta" TargetMode="External"/><Relationship Id="rId6137" Type="http://schemas.openxmlformats.org/officeDocument/2006/relationships/hyperlink" Target="http://ar.linkedin.com/in/marianodesanze" TargetMode="External"/><Relationship Id="rId7469" Type="http://schemas.openxmlformats.org/officeDocument/2006/relationships/hyperlink" Target="http://ar.linkedin.com/pub/romina-espinola/9/B25/748" TargetMode="External"/><Relationship Id="rId6138" Type="http://schemas.openxmlformats.org/officeDocument/2006/relationships/hyperlink" Target="http://ca.linkedin.com/in/pascalenini" TargetMode="External"/><Relationship Id="rId7468" Type="http://schemas.openxmlformats.org/officeDocument/2006/relationships/hyperlink" Target="http://ar.linkedin.com/pub/fernando-sosa/4/906/4B9" TargetMode="External"/><Relationship Id="rId8799" Type="http://schemas.openxmlformats.org/officeDocument/2006/relationships/hyperlink" Target="http://www.linkedin.com/pub/adam-krutsinger/19/424/497" TargetMode="External"/><Relationship Id="rId6160" Type="http://schemas.openxmlformats.org/officeDocument/2006/relationships/hyperlink" Target="http://www.linkedin.com/in/jfrizzo" TargetMode="External"/><Relationship Id="rId7492" Type="http://schemas.openxmlformats.org/officeDocument/2006/relationships/hyperlink" Target="http://www.linkedin.com/in/rsantamaria9990" TargetMode="External"/><Relationship Id="rId6161" Type="http://schemas.openxmlformats.org/officeDocument/2006/relationships/hyperlink" Target="http://www.linkedin.com/in/toddmarkson" TargetMode="External"/><Relationship Id="rId7491" Type="http://schemas.openxmlformats.org/officeDocument/2006/relationships/hyperlink" Target="http://www.linkedin.com/pub/mike-yaffe/0/91A/348" TargetMode="External"/><Relationship Id="rId7490" Type="http://schemas.openxmlformats.org/officeDocument/2006/relationships/hyperlink" Target="http://www.linkedin.com/in/aaprofile" TargetMode="External"/><Relationship Id="rId6164" Type="http://schemas.openxmlformats.org/officeDocument/2006/relationships/hyperlink" Target="http://www.linkedin.com/in/kevinbarnes" TargetMode="External"/><Relationship Id="rId7496" Type="http://schemas.openxmlformats.org/officeDocument/2006/relationships/hyperlink" Target="http://www.linkedin.com/pub/angel-azambuya/14/67/980" TargetMode="External"/><Relationship Id="rId6165" Type="http://schemas.openxmlformats.org/officeDocument/2006/relationships/hyperlink" Target="http://www.linkedin.com/in/sedwardharrison" TargetMode="External"/><Relationship Id="rId7495" Type="http://schemas.openxmlformats.org/officeDocument/2006/relationships/hyperlink" Target="http://www.linkedin.com/pub/maga-hegde/1/90/AAA" TargetMode="External"/><Relationship Id="rId6162" Type="http://schemas.openxmlformats.org/officeDocument/2006/relationships/hyperlink" Target="http://uk.linkedin.com/pub/anildo-silva/0/247/968" TargetMode="External"/><Relationship Id="rId7494" Type="http://schemas.openxmlformats.org/officeDocument/2006/relationships/hyperlink" Target="http://www.linkedin.com/pub/eli-laufer/2/B35/76" TargetMode="External"/><Relationship Id="rId6163" Type="http://schemas.openxmlformats.org/officeDocument/2006/relationships/hyperlink" Target="http://www.linkedin.com/in/ericasavka1" TargetMode="External"/><Relationship Id="rId7493" Type="http://schemas.openxmlformats.org/officeDocument/2006/relationships/hyperlink" Target="http://www.linkedin.com/pub/lic-andrea-dircks-cony/24/513/744" TargetMode="External"/><Relationship Id="rId6168" Type="http://schemas.openxmlformats.org/officeDocument/2006/relationships/hyperlink" Target="http://www.linkedin.com/pub/randy-cable/28/75/783" TargetMode="External"/><Relationship Id="rId6169" Type="http://schemas.openxmlformats.org/officeDocument/2006/relationships/hyperlink" Target="http://www.linkedin.com/in/kambijecminek" TargetMode="External"/><Relationship Id="rId7499" Type="http://schemas.openxmlformats.org/officeDocument/2006/relationships/hyperlink" Target="http://www.linkedin.com/pub/enrique-castanon/1/26B/BB3" TargetMode="External"/><Relationship Id="rId6166" Type="http://schemas.openxmlformats.org/officeDocument/2006/relationships/hyperlink" Target="http://www.linkedin.com/pub/barbara-wheeler/2/1AA/39A" TargetMode="External"/><Relationship Id="rId7498" Type="http://schemas.openxmlformats.org/officeDocument/2006/relationships/hyperlink" Target="http://ar.linkedin.com/pub/ricardo-m-ller/B/292/A8B" TargetMode="External"/><Relationship Id="rId6167" Type="http://schemas.openxmlformats.org/officeDocument/2006/relationships/hyperlink" Target="http://www.linkedin.com/pub/paula-garb/5/3A8/AB6" TargetMode="External"/><Relationship Id="rId7497" Type="http://schemas.openxmlformats.org/officeDocument/2006/relationships/hyperlink" Target="http://www.linkedin.com/pub/alan-sanchez/8/240/981" TargetMode="External"/><Relationship Id="rId7481" Type="http://schemas.openxmlformats.org/officeDocument/2006/relationships/hyperlink" Target="http://www.linkedin.com/pub/domingo-asiain/0/605/112" TargetMode="External"/><Relationship Id="rId6150" Type="http://schemas.openxmlformats.org/officeDocument/2006/relationships/hyperlink" Target="https://www.linkedin.com/in/andrepenha" TargetMode="External"/><Relationship Id="rId7480" Type="http://schemas.openxmlformats.org/officeDocument/2006/relationships/hyperlink" Target="http://www.linkedin.com/pub/valeria-aguilar/A/644/AA3" TargetMode="External"/><Relationship Id="rId6153" Type="http://schemas.openxmlformats.org/officeDocument/2006/relationships/hyperlink" Target="http://www.linkedin.com/pub/eugene-luarasi/0/A21/282" TargetMode="External"/><Relationship Id="rId7485" Type="http://schemas.openxmlformats.org/officeDocument/2006/relationships/hyperlink" Target="http://www.linkedin.com/in/alejandrarizzo" TargetMode="External"/><Relationship Id="rId6154" Type="http://schemas.openxmlformats.org/officeDocument/2006/relationships/hyperlink" Target="http://www.linkedin.com/pub/june-driscol/10/348/3B8" TargetMode="External"/><Relationship Id="rId7484" Type="http://schemas.openxmlformats.org/officeDocument/2006/relationships/hyperlink" Target="http://ar.linkedin.com/pub/diego-groba/21/900/442" TargetMode="External"/><Relationship Id="rId6151" Type="http://schemas.openxmlformats.org/officeDocument/2006/relationships/hyperlink" Target="http://www.linkedin.com/pub/cristina-lilly/5/BBA/69A" TargetMode="External"/><Relationship Id="rId7483" Type="http://schemas.openxmlformats.org/officeDocument/2006/relationships/hyperlink" Target="http://www.linkedin.com/pub/francisco-garcia-de-la-barrera/1/517/206" TargetMode="External"/><Relationship Id="rId6152" Type="http://schemas.openxmlformats.org/officeDocument/2006/relationships/hyperlink" Target="http://www.linkedin.com/in/wdimachkie" TargetMode="External"/><Relationship Id="rId7482" Type="http://schemas.openxmlformats.org/officeDocument/2006/relationships/hyperlink" Target="http://www.linkedin.com/pub/jose-avalos/6/22/B6A" TargetMode="External"/><Relationship Id="rId6157" Type="http://schemas.openxmlformats.org/officeDocument/2006/relationships/hyperlink" Target="http://www.linkedin.com/pub/ramsey-a-masri/0/92/113" TargetMode="External"/><Relationship Id="rId7489" Type="http://schemas.openxmlformats.org/officeDocument/2006/relationships/hyperlink" Target="http://ar.linkedin.com/in/rodrigocousillas" TargetMode="External"/><Relationship Id="rId6158" Type="http://schemas.openxmlformats.org/officeDocument/2006/relationships/hyperlink" Target="https://www.linkedin.com/pub/laetitia-rettori/4/608/649" TargetMode="External"/><Relationship Id="rId7488" Type="http://schemas.openxmlformats.org/officeDocument/2006/relationships/hyperlink" Target="http://ar.linkedin.com/in/hernanochoa" TargetMode="External"/><Relationship Id="rId6155" Type="http://schemas.openxmlformats.org/officeDocument/2006/relationships/hyperlink" Target="http://www.linkedin.com/pub/roy-kopeikin/1/131/90B" TargetMode="External"/><Relationship Id="rId7487" Type="http://schemas.openxmlformats.org/officeDocument/2006/relationships/hyperlink" Target="http://www.linkedin.com/pub/donato-javier-gil/16/5a4/ab0" TargetMode="External"/><Relationship Id="rId6156" Type="http://schemas.openxmlformats.org/officeDocument/2006/relationships/hyperlink" Target="http://www.linkedin.com/in/billchow" TargetMode="External"/><Relationship Id="rId7486" Type="http://schemas.openxmlformats.org/officeDocument/2006/relationships/hyperlink" Target="http://ar.linkedin.com/pub/liliana-mart%C3%ADnez/15/248/6B2" TargetMode="External"/><Relationship Id="rId6159" Type="http://schemas.openxmlformats.org/officeDocument/2006/relationships/hyperlink" Target="http://www.linkedin.com/in/bedyyang" TargetMode="External"/><Relationship Id="rId1334" Type="http://schemas.openxmlformats.org/officeDocument/2006/relationships/hyperlink" Target="http://www.linkedin.com/pub/jamal-ramdani/4/159/5B" TargetMode="External"/><Relationship Id="rId2665" Type="http://schemas.openxmlformats.org/officeDocument/2006/relationships/hyperlink" Target="http://ar.linkedin.com/pub/antonio-ariel-pinto/28/206/129" TargetMode="External"/><Relationship Id="rId3997" Type="http://schemas.openxmlformats.org/officeDocument/2006/relationships/hyperlink" Target="http://www.linkedin.com/in/richardatkind" TargetMode="External"/><Relationship Id="rId1335" Type="http://schemas.openxmlformats.org/officeDocument/2006/relationships/hyperlink" Target="http://www.linkedin.com/in/danwebber" TargetMode="External"/><Relationship Id="rId2666" Type="http://schemas.openxmlformats.org/officeDocument/2006/relationships/hyperlink" Target="http://ar.linkedin.com/in/limayfortunato" TargetMode="External"/><Relationship Id="rId3996" Type="http://schemas.openxmlformats.org/officeDocument/2006/relationships/hyperlink" Target="http://ar.linkedin.com/in/oscarromanelli" TargetMode="External"/><Relationship Id="rId1336" Type="http://schemas.openxmlformats.org/officeDocument/2006/relationships/hyperlink" Target="https://www.linkedin.com/in/judyradan" TargetMode="External"/><Relationship Id="rId2667" Type="http://schemas.openxmlformats.org/officeDocument/2006/relationships/hyperlink" Target="http://ar.linkedin.com/pub/juan-bello/0/1AA/712" TargetMode="External"/><Relationship Id="rId3999" Type="http://schemas.openxmlformats.org/officeDocument/2006/relationships/hyperlink" Target="http://ar.linkedin.com/pub/german-vidal/1/981/B44" TargetMode="External"/><Relationship Id="rId1337" Type="http://schemas.openxmlformats.org/officeDocument/2006/relationships/hyperlink" Target="http://www.linkedin.com/in/willemboom" TargetMode="External"/><Relationship Id="rId2668" Type="http://schemas.openxmlformats.org/officeDocument/2006/relationships/hyperlink" Target="http://ar.linkedin.com/in/joseabella" TargetMode="External"/><Relationship Id="rId3998" Type="http://schemas.openxmlformats.org/officeDocument/2006/relationships/hyperlink" Target="http://www.linkedin.com/pub/gabriela-alejandra-ciccone/13/385/460" TargetMode="External"/><Relationship Id="rId1338" Type="http://schemas.openxmlformats.org/officeDocument/2006/relationships/hyperlink" Target="https://www.linkedin.com/in/resourceflow" TargetMode="External"/><Relationship Id="rId2669" Type="http://schemas.openxmlformats.org/officeDocument/2006/relationships/hyperlink" Target="http://www.linkedin.com/in/mariadepiano" TargetMode="External"/><Relationship Id="rId1339" Type="http://schemas.openxmlformats.org/officeDocument/2006/relationships/hyperlink" Target="http://uk.linkedin.com/in/rmartinezv" TargetMode="External"/><Relationship Id="rId745" Type="http://schemas.openxmlformats.org/officeDocument/2006/relationships/hyperlink" Target="http://www.linkedin.com/in/mikehayashiselfdefense" TargetMode="External"/><Relationship Id="rId744" Type="http://schemas.openxmlformats.org/officeDocument/2006/relationships/hyperlink" Target="http://www.linkedin.com/in/russwhite" TargetMode="External"/><Relationship Id="rId743" Type="http://schemas.openxmlformats.org/officeDocument/2006/relationships/hyperlink" Target="http://www.linkedin.com/pub/timothy-eades/5/177/667" TargetMode="External"/><Relationship Id="rId742" Type="http://schemas.openxmlformats.org/officeDocument/2006/relationships/hyperlink" Target="http://www.linkedin.com/in/dclee" TargetMode="External"/><Relationship Id="rId749" Type="http://schemas.openxmlformats.org/officeDocument/2006/relationships/hyperlink" Target="http://www.linkedin.com/in/marktolliver" TargetMode="External"/><Relationship Id="rId748" Type="http://schemas.openxmlformats.org/officeDocument/2006/relationships/hyperlink" Target="http://www.linkedin.com/in/stephanboutboul" TargetMode="External"/><Relationship Id="rId747" Type="http://schemas.openxmlformats.org/officeDocument/2006/relationships/hyperlink" Target="http://www.linkedin.com/in/grepory" TargetMode="External"/><Relationship Id="rId746" Type="http://schemas.openxmlformats.org/officeDocument/2006/relationships/hyperlink" Target="http://ca.linkedin.com/in/annemarieeventplanner" TargetMode="External"/><Relationship Id="rId3991" Type="http://schemas.openxmlformats.org/officeDocument/2006/relationships/hyperlink" Target="http://ar.linkedin.com/pub/paula-canil/5/750/36B" TargetMode="External"/><Relationship Id="rId2660" Type="http://schemas.openxmlformats.org/officeDocument/2006/relationships/hyperlink" Target="http://ar.linkedin.com/in/rrositto" TargetMode="External"/><Relationship Id="rId3990" Type="http://schemas.openxmlformats.org/officeDocument/2006/relationships/hyperlink" Target="http://ar.linkedin.com/in/alejandragarrido" TargetMode="External"/><Relationship Id="rId741" Type="http://schemas.openxmlformats.org/officeDocument/2006/relationships/hyperlink" Target="http://www.linkedin.com/pub/bud-broomhead/0/21/741" TargetMode="External"/><Relationship Id="rId1330" Type="http://schemas.openxmlformats.org/officeDocument/2006/relationships/hyperlink" Target="http://uk.linkedin.com/pub/michelle-sutton/3/A1A/336" TargetMode="External"/><Relationship Id="rId2661" Type="http://schemas.openxmlformats.org/officeDocument/2006/relationships/hyperlink" Target="http://ar.linkedin.com/in/agustinalvarezreynolds" TargetMode="External"/><Relationship Id="rId3993" Type="http://schemas.openxmlformats.org/officeDocument/2006/relationships/hyperlink" Target="http://ar.linkedin.com/pub/rafaela-ren%C3%B3/0/431/B0B" TargetMode="External"/><Relationship Id="rId740" Type="http://schemas.openxmlformats.org/officeDocument/2006/relationships/hyperlink" Target="http://www.linkedin.com/in/chrisfoxgilson" TargetMode="External"/><Relationship Id="rId1331" Type="http://schemas.openxmlformats.org/officeDocument/2006/relationships/hyperlink" Target="http://www.linkedin.com/pub/dan-raker/6/A5/966" TargetMode="External"/><Relationship Id="rId2662" Type="http://schemas.openxmlformats.org/officeDocument/2006/relationships/hyperlink" Target="http://www.linkedin.com/pub/romina-rubi%C3%B1o/7/5a4/18a" TargetMode="External"/><Relationship Id="rId3992" Type="http://schemas.openxmlformats.org/officeDocument/2006/relationships/hyperlink" Target="http://ar.linkedin.com/pub/adri%C3%A1n-solter-soroa/0/196/402" TargetMode="External"/><Relationship Id="rId1332" Type="http://schemas.openxmlformats.org/officeDocument/2006/relationships/hyperlink" Target="http://www.linkedin.com/pub/millicent-montoya/1/BA7/73A" TargetMode="External"/><Relationship Id="rId2663" Type="http://schemas.openxmlformats.org/officeDocument/2006/relationships/hyperlink" Target="http://www.linkedin.com/in/jeperezbay" TargetMode="External"/><Relationship Id="rId3995" Type="http://schemas.openxmlformats.org/officeDocument/2006/relationships/hyperlink" Target="http://ar.linkedin.com/in/paulaportal" TargetMode="External"/><Relationship Id="rId1333" Type="http://schemas.openxmlformats.org/officeDocument/2006/relationships/hyperlink" Target="http://www.linkedin.com/pub/phil-lucey/1/167/ABB" TargetMode="External"/><Relationship Id="rId2664" Type="http://schemas.openxmlformats.org/officeDocument/2006/relationships/hyperlink" Target="http://ar.linkedin.com/in/liclauraquinteros" TargetMode="External"/><Relationship Id="rId3994" Type="http://schemas.openxmlformats.org/officeDocument/2006/relationships/hyperlink" Target="http://ar.linkedin.com/pub/rodrigo-tabernero/12/335/221" TargetMode="External"/><Relationship Id="rId1323" Type="http://schemas.openxmlformats.org/officeDocument/2006/relationships/hyperlink" Target="http://www.linkedin.com/pub/derek-yeap/1/920/5A4" TargetMode="External"/><Relationship Id="rId2654" Type="http://schemas.openxmlformats.org/officeDocument/2006/relationships/hyperlink" Target="http://www.linkedin.com/pub/mariano-montone/3/707/a33" TargetMode="External"/><Relationship Id="rId3986" Type="http://schemas.openxmlformats.org/officeDocument/2006/relationships/hyperlink" Target="http://www.linkedin.com/pub/maira-daniela-ferrari/7/a8b/57b" TargetMode="External"/><Relationship Id="rId1324" Type="http://schemas.openxmlformats.org/officeDocument/2006/relationships/hyperlink" Target="http://www.linkedin.com/in/michaeliacona" TargetMode="External"/><Relationship Id="rId2655" Type="http://schemas.openxmlformats.org/officeDocument/2006/relationships/hyperlink" Target="http://ar.linkedin.com/in/pabloiaria" TargetMode="External"/><Relationship Id="rId3985" Type="http://schemas.openxmlformats.org/officeDocument/2006/relationships/hyperlink" Target="http://ar.linkedin.com/in/matt3d" TargetMode="External"/><Relationship Id="rId1325" Type="http://schemas.openxmlformats.org/officeDocument/2006/relationships/hyperlink" Target="http://www.linkedin.com/in/manojranaweera" TargetMode="External"/><Relationship Id="rId2656" Type="http://schemas.openxmlformats.org/officeDocument/2006/relationships/hyperlink" Target="http://ar.linkedin.com/pub/alfredo-avila/2B/428/54B" TargetMode="External"/><Relationship Id="rId3988" Type="http://schemas.openxmlformats.org/officeDocument/2006/relationships/hyperlink" Target="http://ar.linkedin.com/in/leandrocabrera" TargetMode="External"/><Relationship Id="rId1326" Type="http://schemas.openxmlformats.org/officeDocument/2006/relationships/hyperlink" Target="http://www.linkedin.com/in/jeanmarclopezaventurecapital" TargetMode="External"/><Relationship Id="rId2657" Type="http://schemas.openxmlformats.org/officeDocument/2006/relationships/hyperlink" Target="http://ar.linkedin.com/pub/jorgelina-v-schmutz/11/8B5/B79" TargetMode="External"/><Relationship Id="rId3987" Type="http://schemas.openxmlformats.org/officeDocument/2006/relationships/hyperlink" Target="http://ar.linkedin.com/pub/yamila-florencia-fortunato/20/89A/3A0" TargetMode="External"/><Relationship Id="rId1327" Type="http://schemas.openxmlformats.org/officeDocument/2006/relationships/hyperlink" Target="http://www.linkedin.com/in/kinaripachani" TargetMode="External"/><Relationship Id="rId2658" Type="http://schemas.openxmlformats.org/officeDocument/2006/relationships/hyperlink" Target="http://www.linkedin.com/pub/m-graciela-aparicio/8/42a/26a" TargetMode="External"/><Relationship Id="rId1328" Type="http://schemas.openxmlformats.org/officeDocument/2006/relationships/hyperlink" Target="http://uk.linkedin.com/in/tonygrubb" TargetMode="External"/><Relationship Id="rId2659" Type="http://schemas.openxmlformats.org/officeDocument/2006/relationships/hyperlink" Target="http://ar.linkedin.com/pub/gustavo-wurzel/4/225/33A" TargetMode="External"/><Relationship Id="rId3989" Type="http://schemas.openxmlformats.org/officeDocument/2006/relationships/hyperlink" Target="http://ar.linkedin.com/in/fernandoarocena" TargetMode="External"/><Relationship Id="rId1329" Type="http://schemas.openxmlformats.org/officeDocument/2006/relationships/hyperlink" Target="http://www.linkedin.com/in/joejmeyer" TargetMode="External"/><Relationship Id="rId739" Type="http://schemas.openxmlformats.org/officeDocument/2006/relationships/hyperlink" Target="http://www.linkedin.com/pub/stephanie-cistrunk/2/145/496" TargetMode="External"/><Relationship Id="rId734" Type="http://schemas.openxmlformats.org/officeDocument/2006/relationships/hyperlink" Target="http://www.linkedin.com/pub/mike-riddle/4/78B/271" TargetMode="External"/><Relationship Id="rId733" Type="http://schemas.openxmlformats.org/officeDocument/2006/relationships/hyperlink" Target="http://uk.linkedin.com/in/anitali" TargetMode="External"/><Relationship Id="rId732" Type="http://schemas.openxmlformats.org/officeDocument/2006/relationships/hyperlink" Target="http://www.linkedin.com/pub/prasad-lion-%5D/24/813/A7B" TargetMode="External"/><Relationship Id="rId731" Type="http://schemas.openxmlformats.org/officeDocument/2006/relationships/hyperlink" Target="http://www.linkedin.com/pub/antoine-e-pirson/0/678/B7B" TargetMode="External"/><Relationship Id="rId738" Type="http://schemas.openxmlformats.org/officeDocument/2006/relationships/hyperlink" Target="http://www.linkedin.com/pub/ben-norton/0/B09/174" TargetMode="External"/><Relationship Id="rId737" Type="http://schemas.openxmlformats.org/officeDocument/2006/relationships/hyperlink" Target="http://www.linkedin.com/in/johneaton2012" TargetMode="External"/><Relationship Id="rId736" Type="http://schemas.openxmlformats.org/officeDocument/2006/relationships/hyperlink" Target="http://www.linkedin.com/pub/jonathon-solomons/1/6b0/28a" TargetMode="External"/><Relationship Id="rId735" Type="http://schemas.openxmlformats.org/officeDocument/2006/relationships/hyperlink" Target="http://pt.linkedin.com/in/sofiacostaquintas" TargetMode="External"/><Relationship Id="rId3980" Type="http://schemas.openxmlformats.org/officeDocument/2006/relationships/hyperlink" Target="http://ar.linkedin.com/in/jorgegrandoso" TargetMode="External"/><Relationship Id="rId730" Type="http://schemas.openxmlformats.org/officeDocument/2006/relationships/hyperlink" Target="http://www.linkedin.com/pub/larry-dillon/0/46/377" TargetMode="External"/><Relationship Id="rId2650" Type="http://schemas.openxmlformats.org/officeDocument/2006/relationships/hyperlink" Target="http://ar.linkedin.com/pub/fernando-valeriani/4/253/276" TargetMode="External"/><Relationship Id="rId3982" Type="http://schemas.openxmlformats.org/officeDocument/2006/relationships/hyperlink" Target="http://ar.linkedin.com/in/mdellanno" TargetMode="External"/><Relationship Id="rId1320" Type="http://schemas.openxmlformats.org/officeDocument/2006/relationships/hyperlink" Target="http://www.linkedin.com/pub/julia-demichelis/10/316/B4A" TargetMode="External"/><Relationship Id="rId2651" Type="http://schemas.openxmlformats.org/officeDocument/2006/relationships/hyperlink" Target="http://ar.linkedin.com/in/sofialuduena" TargetMode="External"/><Relationship Id="rId3981" Type="http://schemas.openxmlformats.org/officeDocument/2006/relationships/hyperlink" Target="http://www.linkedin.com/in/dariorapetti" TargetMode="External"/><Relationship Id="rId1321" Type="http://schemas.openxmlformats.org/officeDocument/2006/relationships/hyperlink" Target="http://www.linkedin.com/in/randydey" TargetMode="External"/><Relationship Id="rId2652" Type="http://schemas.openxmlformats.org/officeDocument/2006/relationships/hyperlink" Target="http://www.linkedin.com/pub/daniela-cufari/1b/25/640" TargetMode="External"/><Relationship Id="rId3984" Type="http://schemas.openxmlformats.org/officeDocument/2006/relationships/hyperlink" Target="http://ar.linkedin.com/in/vbottazzi" TargetMode="External"/><Relationship Id="rId1322" Type="http://schemas.openxmlformats.org/officeDocument/2006/relationships/hyperlink" Target="http://www.linkedin.com/pub/carrie-lamson/5/32A/798" TargetMode="External"/><Relationship Id="rId2653" Type="http://schemas.openxmlformats.org/officeDocument/2006/relationships/hyperlink" Target="http://ar.linkedin.com/in/alexsiri7" TargetMode="External"/><Relationship Id="rId3983" Type="http://schemas.openxmlformats.org/officeDocument/2006/relationships/hyperlink" Target="http://ar.linkedin.com/in/joaquinrodriguezvarela" TargetMode="External"/><Relationship Id="rId1356" Type="http://schemas.openxmlformats.org/officeDocument/2006/relationships/hyperlink" Target="http://www.linkedin.com/pub/elizabeth-cohen/4/8A8/92A" TargetMode="External"/><Relationship Id="rId2687" Type="http://schemas.openxmlformats.org/officeDocument/2006/relationships/hyperlink" Target="http://www.linkedin.com/in/petertutak" TargetMode="External"/><Relationship Id="rId1357" Type="http://schemas.openxmlformats.org/officeDocument/2006/relationships/hyperlink" Target="http://www.linkedin.com/in/dhavelock" TargetMode="External"/><Relationship Id="rId2688" Type="http://schemas.openxmlformats.org/officeDocument/2006/relationships/hyperlink" Target="http://ar.linkedin.com/in/marcomustapic" TargetMode="External"/><Relationship Id="rId1358" Type="http://schemas.openxmlformats.org/officeDocument/2006/relationships/hyperlink" Target="http://www.linkedin.com/in/anthonyjosephdublino" TargetMode="External"/><Relationship Id="rId2689" Type="http://schemas.openxmlformats.org/officeDocument/2006/relationships/hyperlink" Target="http://www.linkedin.com/pub/michelle-hollingsworth/7/29A/890" TargetMode="External"/><Relationship Id="rId1359" Type="http://schemas.openxmlformats.org/officeDocument/2006/relationships/hyperlink" Target="http://www.linkedin.com/in/wdhopkins" TargetMode="External"/><Relationship Id="rId767" Type="http://schemas.openxmlformats.org/officeDocument/2006/relationships/hyperlink" Target="http://www.linkedin.com/in/barryjinks" TargetMode="External"/><Relationship Id="rId766" Type="http://schemas.openxmlformats.org/officeDocument/2006/relationships/hyperlink" Target="http://www.linkedin.com/pub/rob-gorlin/2/72B/665" TargetMode="External"/><Relationship Id="rId765" Type="http://schemas.openxmlformats.org/officeDocument/2006/relationships/hyperlink" Target="http://uk.linkedin.com/pub/phil-peters/0/B0B/998" TargetMode="External"/><Relationship Id="rId764" Type="http://schemas.openxmlformats.org/officeDocument/2006/relationships/hyperlink" Target="http://www.linkedin.com/pub/michael-facchinei/10/538/395" TargetMode="External"/><Relationship Id="rId769" Type="http://schemas.openxmlformats.org/officeDocument/2006/relationships/hyperlink" Target="http://www.linkedin.com/in/sjsteinbeck" TargetMode="External"/><Relationship Id="rId768" Type="http://schemas.openxmlformats.org/officeDocument/2006/relationships/hyperlink" Target="http://www.linkedin.com/pub/sanjeev-chawla/1/AA7/99" TargetMode="External"/><Relationship Id="rId2680" Type="http://schemas.openxmlformats.org/officeDocument/2006/relationships/hyperlink" Target="http://ar.linkedin.com/pub/german-otero/2/417/736" TargetMode="External"/><Relationship Id="rId1350" Type="http://schemas.openxmlformats.org/officeDocument/2006/relationships/hyperlink" Target="http://www.linkedin.com/in/adamaudette" TargetMode="External"/><Relationship Id="rId2681" Type="http://schemas.openxmlformats.org/officeDocument/2006/relationships/hyperlink" Target="http://ar.linkedin.com/in/nicodiaz" TargetMode="External"/><Relationship Id="rId1351" Type="http://schemas.openxmlformats.org/officeDocument/2006/relationships/hyperlink" Target="http://br.linkedin.com/pub/luiz-francisco-pinto-freitas/1/70/27A" TargetMode="External"/><Relationship Id="rId2682" Type="http://schemas.openxmlformats.org/officeDocument/2006/relationships/hyperlink" Target="http://ar.linkedin.com/in/arielaguirre" TargetMode="External"/><Relationship Id="rId763" Type="http://schemas.openxmlformats.org/officeDocument/2006/relationships/hyperlink" Target="http://www.linkedin.com/pub/burak-gokturk/2/379/898" TargetMode="External"/><Relationship Id="rId1352" Type="http://schemas.openxmlformats.org/officeDocument/2006/relationships/hyperlink" Target="http://www.linkedin.com/pub/joseph-bonocore/0/78/A68" TargetMode="External"/><Relationship Id="rId2683" Type="http://schemas.openxmlformats.org/officeDocument/2006/relationships/hyperlink" Target="http://www.linkedin.com/pub/diego-garc%C3%ADa-jaime/4/3ba/937" TargetMode="External"/><Relationship Id="rId762" Type="http://schemas.openxmlformats.org/officeDocument/2006/relationships/hyperlink" Target="http://www.linkedin.com/pub/sanjeev-malhotra/1/8A0/625" TargetMode="External"/><Relationship Id="rId1353" Type="http://schemas.openxmlformats.org/officeDocument/2006/relationships/hyperlink" Target="http://ca.linkedin.com/in/ravirevuri" TargetMode="External"/><Relationship Id="rId2684" Type="http://schemas.openxmlformats.org/officeDocument/2006/relationships/hyperlink" Target="http://www.linkedin.com/pub/martin-sebastian-denipotti/23/b6a/925" TargetMode="External"/><Relationship Id="rId761" Type="http://schemas.openxmlformats.org/officeDocument/2006/relationships/hyperlink" Target="http://www.linkedin.com/in/charlesbennettcpa" TargetMode="External"/><Relationship Id="rId1354" Type="http://schemas.openxmlformats.org/officeDocument/2006/relationships/hyperlink" Target="http://uk.linkedin.com/in/chrisbrassington" TargetMode="External"/><Relationship Id="rId2685" Type="http://schemas.openxmlformats.org/officeDocument/2006/relationships/hyperlink" Target="http://ar.linkedin.com/in/mattnlertora" TargetMode="External"/><Relationship Id="rId760" Type="http://schemas.openxmlformats.org/officeDocument/2006/relationships/hyperlink" Target="http://www.linkedin.com/pub/tony-bucciero-jdusa%5D/0/61A/763" TargetMode="External"/><Relationship Id="rId1355" Type="http://schemas.openxmlformats.org/officeDocument/2006/relationships/hyperlink" Target="http://ca.linkedin.com/in/gameaudio" TargetMode="External"/><Relationship Id="rId2686" Type="http://schemas.openxmlformats.org/officeDocument/2006/relationships/hyperlink" Target="http://www.linkedin.com/pub/jonatan-allik/2/530/85a" TargetMode="External"/><Relationship Id="rId1345" Type="http://schemas.openxmlformats.org/officeDocument/2006/relationships/hyperlink" Target="http://www.linkedin.com/in/mgudipati" TargetMode="External"/><Relationship Id="rId2676" Type="http://schemas.openxmlformats.org/officeDocument/2006/relationships/hyperlink" Target="http://ar.linkedin.com/in/nicolaspasserini" TargetMode="External"/><Relationship Id="rId1346" Type="http://schemas.openxmlformats.org/officeDocument/2006/relationships/hyperlink" Target="http://www.linkedin.com/in/micbaker" TargetMode="External"/><Relationship Id="rId2677" Type="http://schemas.openxmlformats.org/officeDocument/2006/relationships/hyperlink" Target="http://ar.linkedin.com/in/hernanguggisberg" TargetMode="External"/><Relationship Id="rId1347" Type="http://schemas.openxmlformats.org/officeDocument/2006/relationships/hyperlink" Target="http://robininsightrecruiters.com" TargetMode="External"/><Relationship Id="rId2678" Type="http://schemas.openxmlformats.org/officeDocument/2006/relationships/hyperlink" Target="http://ar.linkedin.com/in/silviacastillo" TargetMode="External"/><Relationship Id="rId1348" Type="http://schemas.openxmlformats.org/officeDocument/2006/relationships/hyperlink" Target="http://www.linkedin.com/pub/robin-manley-robin-insightrecruiters-com/0/293/9a5" TargetMode="External"/><Relationship Id="rId2679" Type="http://schemas.openxmlformats.org/officeDocument/2006/relationships/hyperlink" Target="http://www.linkedin.com/in/moisesdelgado" TargetMode="External"/><Relationship Id="rId1349" Type="http://schemas.openxmlformats.org/officeDocument/2006/relationships/hyperlink" Target="http://uk.linkedin.com/pub/daniel-trangmar/0/770/584" TargetMode="External"/><Relationship Id="rId756" Type="http://schemas.openxmlformats.org/officeDocument/2006/relationships/hyperlink" Target="http://uk.linkedin.com/pub/david-large/2/556/96B" TargetMode="External"/><Relationship Id="rId755" Type="http://schemas.openxmlformats.org/officeDocument/2006/relationships/hyperlink" Target="http://ca.linkedin.com/in/guiwong" TargetMode="External"/><Relationship Id="rId754" Type="http://schemas.openxmlformats.org/officeDocument/2006/relationships/hyperlink" Target="http://in.linkedin.com/in/akshayhartalkar" TargetMode="External"/><Relationship Id="rId753" Type="http://schemas.openxmlformats.org/officeDocument/2006/relationships/hyperlink" Target="http://www.linkedin.com/pub/javier-carrion/2/263/949" TargetMode="External"/><Relationship Id="rId759" Type="http://schemas.openxmlformats.org/officeDocument/2006/relationships/hyperlink" Target="http://www.linkedin.com/in/claytonreidmmgworldwide" TargetMode="External"/><Relationship Id="rId758" Type="http://schemas.openxmlformats.org/officeDocument/2006/relationships/hyperlink" Target="http://www.linkedin.com/pub/marty-wilson/0/5A7/B24" TargetMode="External"/><Relationship Id="rId757" Type="http://schemas.openxmlformats.org/officeDocument/2006/relationships/hyperlink" Target="http://www.linkedin.com/pub/andrew-levy/0/58B/930" TargetMode="External"/><Relationship Id="rId2670" Type="http://schemas.openxmlformats.org/officeDocument/2006/relationships/hyperlink" Target="http://ar.linkedin.com/pub/gustavo-regner/A/317/405" TargetMode="External"/><Relationship Id="rId1340" Type="http://schemas.openxmlformats.org/officeDocument/2006/relationships/hyperlink" Target="http://www.linkedin.com/pub/john-fairholme/1/9A5/B0A" TargetMode="External"/><Relationship Id="rId2671" Type="http://schemas.openxmlformats.org/officeDocument/2006/relationships/hyperlink" Target="http://ar.linkedin.com/in/marieladagracaguerra" TargetMode="External"/><Relationship Id="rId752" Type="http://schemas.openxmlformats.org/officeDocument/2006/relationships/hyperlink" Target="http://www.linkedin.com/in/fineman" TargetMode="External"/><Relationship Id="rId1341" Type="http://schemas.openxmlformats.org/officeDocument/2006/relationships/hyperlink" Target="http://uk.linkedin.com/pub/eoin-jennings/1/31/204" TargetMode="External"/><Relationship Id="rId2672" Type="http://schemas.openxmlformats.org/officeDocument/2006/relationships/hyperlink" Target="http://ar.linkedin.com/in/leandrofalvo" TargetMode="External"/><Relationship Id="rId751" Type="http://schemas.openxmlformats.org/officeDocument/2006/relationships/hyperlink" Target="http://www.linkedin.com/pub/yuri-porras/4/BA1/B61" TargetMode="External"/><Relationship Id="rId1342" Type="http://schemas.openxmlformats.org/officeDocument/2006/relationships/hyperlink" Target="http://www.linkedin.com/pub/luis-ojeda-s%C3%A1nchez/16/6b4/a4" TargetMode="External"/><Relationship Id="rId2673" Type="http://schemas.openxmlformats.org/officeDocument/2006/relationships/hyperlink" Target="http://ar.linkedin.com/pub/juan-muracciole/15/11A/A07" TargetMode="External"/><Relationship Id="rId750" Type="http://schemas.openxmlformats.org/officeDocument/2006/relationships/hyperlink" Target="http://www.linkedin.com/in/opportunitysearch" TargetMode="External"/><Relationship Id="rId1343" Type="http://schemas.openxmlformats.org/officeDocument/2006/relationships/hyperlink" Target="http://www.linkedin.com/in/nirumehta" TargetMode="External"/><Relationship Id="rId2674" Type="http://schemas.openxmlformats.org/officeDocument/2006/relationships/hyperlink" Target="http://ar.linkedin.com/pub/alicia-echeverria/0/293/87A" TargetMode="External"/><Relationship Id="rId1344" Type="http://schemas.openxmlformats.org/officeDocument/2006/relationships/hyperlink" Target="http://www.linkedin.com/pub/justin-hayes/6/338/516" TargetMode="External"/><Relationship Id="rId2675" Type="http://schemas.openxmlformats.org/officeDocument/2006/relationships/hyperlink" Target="http://ar.linkedin.com/in/marianobillinghurst" TargetMode="External"/><Relationship Id="rId2621" Type="http://schemas.openxmlformats.org/officeDocument/2006/relationships/hyperlink" Target="http://ar.linkedin.com/in/sebastianlipchak" TargetMode="External"/><Relationship Id="rId3953" Type="http://schemas.openxmlformats.org/officeDocument/2006/relationships/hyperlink" Target="http://ar.linkedin.com/in/sergioarancibia" TargetMode="External"/><Relationship Id="rId2622" Type="http://schemas.openxmlformats.org/officeDocument/2006/relationships/hyperlink" Target="http://ar.linkedin.com/pub/marcelo-guemes/4/999/A55" TargetMode="External"/><Relationship Id="rId3952" Type="http://schemas.openxmlformats.org/officeDocument/2006/relationships/hyperlink" Target="http://www.linkedin.com/pub/damian-h-besio/23/b/678" TargetMode="External"/><Relationship Id="rId2623" Type="http://schemas.openxmlformats.org/officeDocument/2006/relationships/hyperlink" Target="https://www.linkedin.com/pub/fernando-monserrat/5/297/561" TargetMode="External"/><Relationship Id="rId3955" Type="http://schemas.openxmlformats.org/officeDocument/2006/relationships/hyperlink" Target="http://ar.linkedin.com/in/vaninacardoso" TargetMode="External"/><Relationship Id="rId2624" Type="http://schemas.openxmlformats.org/officeDocument/2006/relationships/hyperlink" Target="http://ar.linkedin.com/pub/mauricio-lange/6/8A1/72" TargetMode="External"/><Relationship Id="rId3954" Type="http://schemas.openxmlformats.org/officeDocument/2006/relationships/hyperlink" Target="http://ar.linkedin.com/pub/julio-martin/22/918/922" TargetMode="External"/><Relationship Id="rId2625" Type="http://schemas.openxmlformats.org/officeDocument/2006/relationships/hyperlink" Target="http://www.linkedin.com/pub/adolfo-ernesto-custidiano-secchi/3/659/644" TargetMode="External"/><Relationship Id="rId3957" Type="http://schemas.openxmlformats.org/officeDocument/2006/relationships/hyperlink" Target="http://ar.linkedin.com/in/ingssilva" TargetMode="External"/><Relationship Id="rId2626" Type="http://schemas.openxmlformats.org/officeDocument/2006/relationships/hyperlink" Target="http://ar.linkedin.com/pub/gustavo-vega/0/757/7B2" TargetMode="External"/><Relationship Id="rId3956" Type="http://schemas.openxmlformats.org/officeDocument/2006/relationships/hyperlink" Target="http://www.linkedin.com/in/enzorucci" TargetMode="External"/><Relationship Id="rId2627" Type="http://schemas.openxmlformats.org/officeDocument/2006/relationships/hyperlink" Target="http://www.linkedin.com/pub/carlos-giordana/1a/32b/616" TargetMode="External"/><Relationship Id="rId3959" Type="http://schemas.openxmlformats.org/officeDocument/2006/relationships/hyperlink" Target="http://www.linkedin.com/pub/ariel-leonel-tolcachier/5/503/402" TargetMode="External"/><Relationship Id="rId2628" Type="http://schemas.openxmlformats.org/officeDocument/2006/relationships/hyperlink" Target="http://ar.linkedin.com/pub/silvana-ver-nica-bravo/25/B08/725" TargetMode="External"/><Relationship Id="rId3958" Type="http://schemas.openxmlformats.org/officeDocument/2006/relationships/hyperlink" Target="http://ar.linkedin.com/in/damiandicostanzo" TargetMode="External"/><Relationship Id="rId709" Type="http://schemas.openxmlformats.org/officeDocument/2006/relationships/hyperlink" Target="http://www.linkedin.com/in/peterquintas" TargetMode="External"/><Relationship Id="rId2629" Type="http://schemas.openxmlformats.org/officeDocument/2006/relationships/hyperlink" Target="http://ar.linkedin.com/in/danielabenevento" TargetMode="External"/><Relationship Id="rId708" Type="http://schemas.openxmlformats.org/officeDocument/2006/relationships/hyperlink" Target="http://www.linkedin.com/in/imesimaging" TargetMode="External"/><Relationship Id="rId707" Type="http://schemas.openxmlformats.org/officeDocument/2006/relationships/hyperlink" Target="http://il.linkedin.com/in/joelleyden" TargetMode="External"/><Relationship Id="rId706" Type="http://schemas.openxmlformats.org/officeDocument/2006/relationships/hyperlink" Target="http://www.linkedin.com/in/vorticom" TargetMode="External"/><Relationship Id="rId701" Type="http://schemas.openxmlformats.org/officeDocument/2006/relationships/hyperlink" Target="http://www.linkedin.com/pub/paul-bramy/0/68a/a21" TargetMode="External"/><Relationship Id="rId700" Type="http://schemas.openxmlformats.org/officeDocument/2006/relationships/hyperlink" Target="http://ca.linkedin.com/in/cameronlaker" TargetMode="External"/><Relationship Id="rId705" Type="http://schemas.openxmlformats.org/officeDocument/2006/relationships/hyperlink" Target="http://www.linkedin.com/pub/dan-lankford/2/269/137" TargetMode="External"/><Relationship Id="rId704" Type="http://schemas.openxmlformats.org/officeDocument/2006/relationships/hyperlink" Target="http://www.linkedin.com/pub/gaurav-sharma/1A/317/146" TargetMode="External"/><Relationship Id="rId703" Type="http://schemas.openxmlformats.org/officeDocument/2006/relationships/hyperlink" Target="http://www.linkedin.com/in/vincentcarmosino" TargetMode="External"/><Relationship Id="rId702" Type="http://schemas.openxmlformats.org/officeDocument/2006/relationships/hyperlink" Target="http://ca.linkedin.com/in/davidsmith555" TargetMode="External"/><Relationship Id="rId3951" Type="http://schemas.openxmlformats.org/officeDocument/2006/relationships/hyperlink" Target="http://ar.linkedin.com/pub/natalia-paola-franco/20/187/813" TargetMode="External"/><Relationship Id="rId2620" Type="http://schemas.openxmlformats.org/officeDocument/2006/relationships/hyperlink" Target="http://ar.linkedin.com/pub/jorge-colombo/8/760/3A3" TargetMode="External"/><Relationship Id="rId3950" Type="http://schemas.openxmlformats.org/officeDocument/2006/relationships/hyperlink" Target="http://www.linkedin.com/pub/melina-belicia/20/736/373" TargetMode="External"/><Relationship Id="rId2610" Type="http://schemas.openxmlformats.org/officeDocument/2006/relationships/hyperlink" Target="http://ar.linkedin.com/pub/daniel-tarico/15/B54/963" TargetMode="External"/><Relationship Id="rId3942" Type="http://schemas.openxmlformats.org/officeDocument/2006/relationships/hyperlink" Target="http://ar.linkedin.com/in/danieluggino" TargetMode="External"/><Relationship Id="rId2611" Type="http://schemas.openxmlformats.org/officeDocument/2006/relationships/hyperlink" Target="http://ar.linkedin.com/in/juanfornieles" TargetMode="External"/><Relationship Id="rId3941" Type="http://schemas.openxmlformats.org/officeDocument/2006/relationships/hyperlink" Target="http://www.linkedin.com/pub/maria-paula-leuzzi/19/408/164" TargetMode="External"/><Relationship Id="rId2612" Type="http://schemas.openxmlformats.org/officeDocument/2006/relationships/hyperlink" Target="http://ar.linkedin.com/in/aleyanki" TargetMode="External"/><Relationship Id="rId3944" Type="http://schemas.openxmlformats.org/officeDocument/2006/relationships/hyperlink" Target="http://ar.linkedin.com/in/lucianalopez" TargetMode="External"/><Relationship Id="rId2613" Type="http://schemas.openxmlformats.org/officeDocument/2006/relationships/hyperlink" Target="http://ar.linkedin.com/in/clarabeltran" TargetMode="External"/><Relationship Id="rId3943" Type="http://schemas.openxmlformats.org/officeDocument/2006/relationships/hyperlink" Target="http://ar.linkedin.com/pub/marisol-casta-eda/9/50B/B26" TargetMode="External"/><Relationship Id="rId2614" Type="http://schemas.openxmlformats.org/officeDocument/2006/relationships/hyperlink" Target="http://ar.linkedin.com/in/alexisguastavino" TargetMode="External"/><Relationship Id="rId3946" Type="http://schemas.openxmlformats.org/officeDocument/2006/relationships/hyperlink" Target="http://ar.linkedin.com/in/marianaflinta" TargetMode="External"/><Relationship Id="rId2615" Type="http://schemas.openxmlformats.org/officeDocument/2006/relationships/hyperlink" Target="http://www.linkedin.com/pub/nelson-canteloup/3/722/A7B" TargetMode="External"/><Relationship Id="rId3945" Type="http://schemas.openxmlformats.org/officeDocument/2006/relationships/hyperlink" Target="http://ar.linkedin.com/pub/ricardo-lavaggi/5/385/19" TargetMode="External"/><Relationship Id="rId2616" Type="http://schemas.openxmlformats.org/officeDocument/2006/relationships/hyperlink" Target="http://ar.linkedin.com/in/gustavograbelli" TargetMode="External"/><Relationship Id="rId3948" Type="http://schemas.openxmlformats.org/officeDocument/2006/relationships/hyperlink" Target="http://www.linkedin.com/pub/mart%C3%ADn-pielvitori/10/b60/b71" TargetMode="External"/><Relationship Id="rId2617" Type="http://schemas.openxmlformats.org/officeDocument/2006/relationships/hyperlink" Target="http://www.linkedin.com/pub/guillermo-narducci/10/b92/509" TargetMode="External"/><Relationship Id="rId3947" Type="http://schemas.openxmlformats.org/officeDocument/2006/relationships/hyperlink" Target="http://ar.linkedin.com/in/gonzaloalvarez" TargetMode="External"/><Relationship Id="rId2618" Type="http://schemas.openxmlformats.org/officeDocument/2006/relationships/hyperlink" Target="http://ar.linkedin.com/pub/eugenio-gabriel-bassignani/2A/739/A65" TargetMode="External"/><Relationship Id="rId2619" Type="http://schemas.openxmlformats.org/officeDocument/2006/relationships/hyperlink" Target="http://ar.linkedin.com/pub/daniel-bustos/9/546/107" TargetMode="External"/><Relationship Id="rId3949" Type="http://schemas.openxmlformats.org/officeDocument/2006/relationships/hyperlink" Target="http://www.linkedin.com/pub/susan-standiford/0/A78/136" TargetMode="External"/><Relationship Id="rId3940" Type="http://schemas.openxmlformats.org/officeDocument/2006/relationships/hyperlink" Target="http://ar.linkedin.com/in/galera" TargetMode="External"/><Relationship Id="rId1312" Type="http://schemas.openxmlformats.org/officeDocument/2006/relationships/hyperlink" Target="http://www.linkedin.com/pub/mio-babic/1/AAB/B36" TargetMode="External"/><Relationship Id="rId2643" Type="http://schemas.openxmlformats.org/officeDocument/2006/relationships/hyperlink" Target="http://www.linkedin.com/pub/hernan-gastaud/27/736/b73" TargetMode="External"/><Relationship Id="rId3975" Type="http://schemas.openxmlformats.org/officeDocument/2006/relationships/hyperlink" Target="http://ar.linkedin.com/in/agustinvinao" TargetMode="External"/><Relationship Id="rId1313" Type="http://schemas.openxmlformats.org/officeDocument/2006/relationships/hyperlink" Target="http://www.linkedin.com/pub/andrey-dobrynin/1/7ba/18a" TargetMode="External"/><Relationship Id="rId2644" Type="http://schemas.openxmlformats.org/officeDocument/2006/relationships/hyperlink" Target="http://ar.linkedin.com/pub/nelson-galvan/3/427/873" TargetMode="External"/><Relationship Id="rId3974" Type="http://schemas.openxmlformats.org/officeDocument/2006/relationships/hyperlink" Target="http://ar.linkedin.com/pub/lucas-zanello/19/A70/57" TargetMode="External"/><Relationship Id="rId1314" Type="http://schemas.openxmlformats.org/officeDocument/2006/relationships/hyperlink" Target="http://www.linkedin.com/pub/vilma-schonwetter/5/A72/74B" TargetMode="External"/><Relationship Id="rId2645" Type="http://schemas.openxmlformats.org/officeDocument/2006/relationships/hyperlink" Target="http://ar.linkedin.com/pub/mariana-sim%C3%B3n/1B/783/B86" TargetMode="External"/><Relationship Id="rId3977" Type="http://schemas.openxmlformats.org/officeDocument/2006/relationships/hyperlink" Target="http://ar.linkedin.com/pub/gonzalo-roque/13/328/3A0" TargetMode="External"/><Relationship Id="rId1315" Type="http://schemas.openxmlformats.org/officeDocument/2006/relationships/hyperlink" Target="http://www.linkedin.com/in/kimberlycoletti" TargetMode="External"/><Relationship Id="rId2646" Type="http://schemas.openxmlformats.org/officeDocument/2006/relationships/hyperlink" Target="http://ar.linkedin.com/pub/victoria-teloni/B/3A2/1B7" TargetMode="External"/><Relationship Id="rId3976" Type="http://schemas.openxmlformats.org/officeDocument/2006/relationships/hyperlink" Target="http://ar.linkedin.com/in/brunosimionati" TargetMode="External"/><Relationship Id="rId1316" Type="http://schemas.openxmlformats.org/officeDocument/2006/relationships/hyperlink" Target="http://pt.linkedin.com/pub/fernando-dias/2/737/736" TargetMode="External"/><Relationship Id="rId2647" Type="http://schemas.openxmlformats.org/officeDocument/2006/relationships/hyperlink" Target="http://ar.linkedin.com/pub/jose-tallarico/3/B23/393" TargetMode="External"/><Relationship Id="rId3979" Type="http://schemas.openxmlformats.org/officeDocument/2006/relationships/hyperlink" Target="http://www.linkedin.com/pub/daniel-texido/0/692/8b3" TargetMode="External"/><Relationship Id="rId1317" Type="http://schemas.openxmlformats.org/officeDocument/2006/relationships/hyperlink" Target="http://www.linkedin.com/pub/mike-spedick/5/B4A/A04" TargetMode="External"/><Relationship Id="rId2648" Type="http://schemas.openxmlformats.org/officeDocument/2006/relationships/hyperlink" Target="http://ar.linkedin.com/in/ignaciocuffia" TargetMode="External"/><Relationship Id="rId3978" Type="http://schemas.openxmlformats.org/officeDocument/2006/relationships/hyperlink" Target="http://www.linkedin.com/in/rlombardi" TargetMode="External"/><Relationship Id="rId1318" Type="http://schemas.openxmlformats.org/officeDocument/2006/relationships/hyperlink" Target="http://www.linkedin.com/pub/marcy-d-rubin/0/9BB/5A9" TargetMode="External"/><Relationship Id="rId2649" Type="http://schemas.openxmlformats.org/officeDocument/2006/relationships/hyperlink" Target="http://ar.linkedin.com/in/joaquincabal" TargetMode="External"/><Relationship Id="rId1319" Type="http://schemas.openxmlformats.org/officeDocument/2006/relationships/hyperlink" Target="http://www.linkedin.com/in/deepakpisipati" TargetMode="External"/><Relationship Id="rId729" Type="http://schemas.openxmlformats.org/officeDocument/2006/relationships/hyperlink" Target="http://www.linkedin.com/pub/conor-mcgann/0/7A/A8B" TargetMode="External"/><Relationship Id="rId728" Type="http://schemas.openxmlformats.org/officeDocument/2006/relationships/hyperlink" Target="http://www.linkedin.com/pub/monte-bailey/4/695/238" TargetMode="External"/><Relationship Id="rId723" Type="http://schemas.openxmlformats.org/officeDocument/2006/relationships/hyperlink" Target="http://www.linkedin.com/pub/vince-cannon/2/4A7/525" TargetMode="External"/><Relationship Id="rId722" Type="http://schemas.openxmlformats.org/officeDocument/2006/relationships/hyperlink" Target="http://www.linkedin.com/in/djwinter" TargetMode="External"/><Relationship Id="rId721" Type="http://schemas.openxmlformats.org/officeDocument/2006/relationships/hyperlink" Target="http://www.linkedin.com/pub/john-gilbert/0/39B/B94" TargetMode="External"/><Relationship Id="rId720" Type="http://schemas.openxmlformats.org/officeDocument/2006/relationships/hyperlink" Target="http://www.linkedin.com/in/valerielarson" TargetMode="External"/><Relationship Id="rId727" Type="http://schemas.openxmlformats.org/officeDocument/2006/relationships/hyperlink" Target="http://www.linkedin.com/in/jonturner" TargetMode="External"/><Relationship Id="rId726" Type="http://schemas.openxmlformats.org/officeDocument/2006/relationships/hyperlink" Target="http://www.linkedin.com/pub/ram-jayam/1/445/230" TargetMode="External"/><Relationship Id="rId725" Type="http://schemas.openxmlformats.org/officeDocument/2006/relationships/hyperlink" Target="http://www.linkedin.com/in/billwiemann" TargetMode="External"/><Relationship Id="rId724" Type="http://schemas.openxmlformats.org/officeDocument/2006/relationships/hyperlink" Target="http://www.linkedin.com/pub/ken-malek/3/619/795" TargetMode="External"/><Relationship Id="rId3971" Type="http://schemas.openxmlformats.org/officeDocument/2006/relationships/hyperlink" Target="http://ar.linkedin.com/pub/luciano-caudevilla/3/22A/668" TargetMode="External"/><Relationship Id="rId2640" Type="http://schemas.openxmlformats.org/officeDocument/2006/relationships/hyperlink" Target="http://ar.linkedin.com/in/antonellalucio" TargetMode="External"/><Relationship Id="rId3970" Type="http://schemas.openxmlformats.org/officeDocument/2006/relationships/hyperlink" Target="http://ar.linkedin.com/pub/fernando-dodino/7/348/BA6" TargetMode="External"/><Relationship Id="rId1310" Type="http://schemas.openxmlformats.org/officeDocument/2006/relationships/hyperlink" Target="http://uk.linkedin.com/in/petermcnaney" TargetMode="External"/><Relationship Id="rId2641" Type="http://schemas.openxmlformats.org/officeDocument/2006/relationships/hyperlink" Target="http://ar.linkedin.com/in/patriciamarcelapirola" TargetMode="External"/><Relationship Id="rId3973" Type="http://schemas.openxmlformats.org/officeDocument/2006/relationships/hyperlink" Target="http://ar.linkedin.com/in/andresfermepinabapconsultant" TargetMode="External"/><Relationship Id="rId1311" Type="http://schemas.openxmlformats.org/officeDocument/2006/relationships/hyperlink" Target="http://uk.linkedin.com/pub/craig-pearman/1/B78/554" TargetMode="External"/><Relationship Id="rId2642" Type="http://schemas.openxmlformats.org/officeDocument/2006/relationships/hyperlink" Target="http://ar.linkedin.com/in/juanmanueltruppia" TargetMode="External"/><Relationship Id="rId3972" Type="http://schemas.openxmlformats.org/officeDocument/2006/relationships/hyperlink" Target="http://www.linkedin.com/pub/diego-vigliarolo/0/341/307" TargetMode="External"/><Relationship Id="rId1301" Type="http://schemas.openxmlformats.org/officeDocument/2006/relationships/hyperlink" Target="http://www.linkedin.com/in/stevenbeisler" TargetMode="External"/><Relationship Id="rId2632" Type="http://schemas.openxmlformats.org/officeDocument/2006/relationships/hyperlink" Target="http://ar.linkedin.com/in/eduardopiombino" TargetMode="External"/><Relationship Id="rId3964" Type="http://schemas.openxmlformats.org/officeDocument/2006/relationships/hyperlink" Target="http://www.linkedin.com/pub/malachi-bierstein/0/408/A09" TargetMode="External"/><Relationship Id="rId1302" Type="http://schemas.openxmlformats.org/officeDocument/2006/relationships/hyperlink" Target="http://in.linkedin.com/in/prashantgulati" TargetMode="External"/><Relationship Id="rId2633" Type="http://schemas.openxmlformats.org/officeDocument/2006/relationships/hyperlink" Target="http://ar.linkedin.com/pub/alejandro-fernandez/19/2B0/83" TargetMode="External"/><Relationship Id="rId3963" Type="http://schemas.openxmlformats.org/officeDocument/2006/relationships/hyperlink" Target="http://www.linkedin.com/pub/faustin-mukena/1B/75B/183" TargetMode="External"/><Relationship Id="rId1303" Type="http://schemas.openxmlformats.org/officeDocument/2006/relationships/hyperlink" Target="http://br.linkedin.com/pub/edmilson-magalhaes/29/AA0/260" TargetMode="External"/><Relationship Id="rId2634" Type="http://schemas.openxmlformats.org/officeDocument/2006/relationships/hyperlink" Target="http://ar.linkedin.com/in/jmmolinari" TargetMode="External"/><Relationship Id="rId3966" Type="http://schemas.openxmlformats.org/officeDocument/2006/relationships/hyperlink" Target="http://www.linkedin.com/in/ninagracecabrera" TargetMode="External"/><Relationship Id="rId1304" Type="http://schemas.openxmlformats.org/officeDocument/2006/relationships/hyperlink" Target="http://br.linkedin.com/pub/jalmir-silva/2A/AA1/51A" TargetMode="External"/><Relationship Id="rId2635" Type="http://schemas.openxmlformats.org/officeDocument/2006/relationships/hyperlink" Target="http://ar.linkedin.com/in/mrapallini" TargetMode="External"/><Relationship Id="rId3965" Type="http://schemas.openxmlformats.org/officeDocument/2006/relationships/hyperlink" Target="http://www.linkedin.com/in/garetthunter" TargetMode="External"/><Relationship Id="rId1305" Type="http://schemas.openxmlformats.org/officeDocument/2006/relationships/hyperlink" Target="http://www.linkedin.com/pub/fabiola-ribeiro/8/165/536" TargetMode="External"/><Relationship Id="rId2636" Type="http://schemas.openxmlformats.org/officeDocument/2006/relationships/hyperlink" Target="http://ar.linkedin.com/in/martinmorono" TargetMode="External"/><Relationship Id="rId3968" Type="http://schemas.openxmlformats.org/officeDocument/2006/relationships/hyperlink" Target="http://www.linkedin.com/pub/willy-unger/0/666/a27" TargetMode="External"/><Relationship Id="rId1306" Type="http://schemas.openxmlformats.org/officeDocument/2006/relationships/hyperlink" Target="http://www.linkedin.com/in/gopikishan" TargetMode="External"/><Relationship Id="rId2637" Type="http://schemas.openxmlformats.org/officeDocument/2006/relationships/hyperlink" Target="http://www.linkedin.com/pub/alejandro-guelman/0/11b/319" TargetMode="External"/><Relationship Id="rId3967" Type="http://schemas.openxmlformats.org/officeDocument/2006/relationships/hyperlink" Target="http://www.linkedin.com/pub/lorrie-lambert/A/A79/74A" TargetMode="External"/><Relationship Id="rId1307" Type="http://schemas.openxmlformats.org/officeDocument/2006/relationships/hyperlink" Target="http://www.linkedin.com/pub/matthew-dvorin/8/32A/571" TargetMode="External"/><Relationship Id="rId2638" Type="http://schemas.openxmlformats.org/officeDocument/2006/relationships/hyperlink" Target="http://ar.linkedin.com/in/hernanbenedetti" TargetMode="External"/><Relationship Id="rId1308" Type="http://schemas.openxmlformats.org/officeDocument/2006/relationships/hyperlink" Target="http://www.linkedin.com/in/darylz" TargetMode="External"/><Relationship Id="rId2639" Type="http://schemas.openxmlformats.org/officeDocument/2006/relationships/hyperlink" Target="https://www.linkedin.com/in/nykka" TargetMode="External"/><Relationship Id="rId3969" Type="http://schemas.openxmlformats.org/officeDocument/2006/relationships/hyperlink" Target="http://www.linkedin.com/pub/eduardo-su%C3%A1rez-batt%C3%A1n/0/7a5/a9b" TargetMode="External"/><Relationship Id="rId1309" Type="http://schemas.openxmlformats.org/officeDocument/2006/relationships/hyperlink" Target="http://www.linkedin.com/in/stevenwillmott" TargetMode="External"/><Relationship Id="rId719" Type="http://schemas.openxmlformats.org/officeDocument/2006/relationships/hyperlink" Target="http://www.linkedin.com/pub/pankaj-mayor/0/145/B5B" TargetMode="External"/><Relationship Id="rId718" Type="http://schemas.openxmlformats.org/officeDocument/2006/relationships/hyperlink" Target="http://www.linkedin.com/in/davearcher" TargetMode="External"/><Relationship Id="rId717" Type="http://schemas.openxmlformats.org/officeDocument/2006/relationships/hyperlink" Target="http://www.linkedin.com/in/hemantnadakuditi" TargetMode="External"/><Relationship Id="rId712" Type="http://schemas.openxmlformats.org/officeDocument/2006/relationships/hyperlink" Target="http://www.linkedin.com/pub/ron-wright/0/136/826" TargetMode="External"/><Relationship Id="rId711" Type="http://schemas.openxmlformats.org/officeDocument/2006/relationships/hyperlink" Target="http://www.linkedin.com/pub/karen-l-parker/0/43/26" TargetMode="External"/><Relationship Id="rId710" Type="http://schemas.openxmlformats.org/officeDocument/2006/relationships/hyperlink" Target="http://www.linkedin.com/pub/anne-miller/0/2A/B91" TargetMode="External"/><Relationship Id="rId716" Type="http://schemas.openxmlformats.org/officeDocument/2006/relationships/hyperlink" Target="http://www.linkedin.com/in/stevesubar" TargetMode="External"/><Relationship Id="rId715" Type="http://schemas.openxmlformats.org/officeDocument/2006/relationships/hyperlink" Target="http://www.linkedin.com/in/thomasrota" TargetMode="External"/><Relationship Id="rId714" Type="http://schemas.openxmlformats.org/officeDocument/2006/relationships/hyperlink" Target="https://www.linkedin.com/in/peterliu47" TargetMode="External"/><Relationship Id="rId713" Type="http://schemas.openxmlformats.org/officeDocument/2006/relationships/hyperlink" Target="http://www.linkedin.com/in/adampeterson" TargetMode="External"/><Relationship Id="rId3960" Type="http://schemas.openxmlformats.org/officeDocument/2006/relationships/hyperlink" Target="http://www.linkedin.com/pub/marina-zattera/4/99a/311" TargetMode="External"/><Relationship Id="rId2630" Type="http://schemas.openxmlformats.org/officeDocument/2006/relationships/hyperlink" Target="http://ar.linkedin.com/pub/laura-arias/A/20B/979" TargetMode="External"/><Relationship Id="rId3962" Type="http://schemas.openxmlformats.org/officeDocument/2006/relationships/hyperlink" Target="http://ar.linkedin.com/in/ameter" TargetMode="External"/><Relationship Id="rId1300" Type="http://schemas.openxmlformats.org/officeDocument/2006/relationships/hyperlink" Target="http://www.linkedin.com/pub/lars-cavi-lars-cavi-btinternet-com/0/78a/784" TargetMode="External"/><Relationship Id="rId2631" Type="http://schemas.openxmlformats.org/officeDocument/2006/relationships/hyperlink" Target="http://www.linkedin.com/pub/gabriel-lopez-braulinese/a/33a/8a0" TargetMode="External"/><Relationship Id="rId3961" Type="http://schemas.openxmlformats.org/officeDocument/2006/relationships/hyperlink" Target="http://ar.linkedin.com/in/federicofinos" TargetMode="External"/><Relationship Id="rId8806" Type="http://schemas.openxmlformats.org/officeDocument/2006/relationships/hyperlink" Target="http://www.linkedin.com/in/sandyping" TargetMode="External"/><Relationship Id="rId8805" Type="http://schemas.openxmlformats.org/officeDocument/2006/relationships/hyperlink" Target="http://www.linkedin.com/in/rameshkumarbudhani" TargetMode="External"/><Relationship Id="rId8804" Type="http://schemas.openxmlformats.org/officeDocument/2006/relationships/hyperlink" Target="http://www.linkedin.com/pub/christopher-miller/24/648/555" TargetMode="External"/><Relationship Id="rId8803" Type="http://schemas.openxmlformats.org/officeDocument/2006/relationships/hyperlink" Target="http://www.linkedin.com/in/matthansen" TargetMode="External"/><Relationship Id="rId8809" Type="http://schemas.openxmlformats.org/officeDocument/2006/relationships/hyperlink" Target="http://www.linkedin.com/in/jeffreyfhughes" TargetMode="External"/><Relationship Id="rId8808" Type="http://schemas.openxmlformats.org/officeDocument/2006/relationships/hyperlink" Target="http://www.linkedin.com/in/charlesjo" TargetMode="External"/><Relationship Id="rId8807" Type="http://schemas.openxmlformats.org/officeDocument/2006/relationships/hyperlink" Target="http://www.linkedin.com/in/johnglennon" TargetMode="External"/><Relationship Id="rId8802" Type="http://schemas.openxmlformats.org/officeDocument/2006/relationships/hyperlink" Target="http://www.linkedin.com/pub/gilbert-maddock/4/854/AB0" TargetMode="External"/><Relationship Id="rId8801" Type="http://schemas.openxmlformats.org/officeDocument/2006/relationships/hyperlink" Target="http://www.linkedin.com/in/michaelcentrella" TargetMode="External"/><Relationship Id="rId8800" Type="http://schemas.openxmlformats.org/officeDocument/2006/relationships/hyperlink" Target="http://www.linkedin.com/pub/natalie-minh/25/88B/B9" TargetMode="External"/><Relationship Id="rId8828" Type="http://schemas.openxmlformats.org/officeDocument/2006/relationships/hyperlink" Target="http://www.linkedin.com/in/tphelps" TargetMode="External"/><Relationship Id="rId8827" Type="http://schemas.openxmlformats.org/officeDocument/2006/relationships/hyperlink" Target="http://www.linkedin.com/pub/wendy-delmolino/1/188/244" TargetMode="External"/><Relationship Id="rId8826" Type="http://schemas.openxmlformats.org/officeDocument/2006/relationships/hyperlink" Target="http://www.linkedin.com/in/vmachado" TargetMode="External"/><Relationship Id="rId8825" Type="http://schemas.openxmlformats.org/officeDocument/2006/relationships/hyperlink" Target="http://www.linkedin.com/pub/fletcher-previn/0/B56/A81" TargetMode="External"/><Relationship Id="rId8829" Type="http://schemas.openxmlformats.org/officeDocument/2006/relationships/hyperlink" Target="http://www.linkedin.com/pub/anand-kumar-ak/1/982/104" TargetMode="External"/><Relationship Id="rId8820" Type="http://schemas.openxmlformats.org/officeDocument/2006/relationships/hyperlink" Target="http://www.linkedin.com/in/randallrussell" TargetMode="External"/><Relationship Id="rId8824" Type="http://schemas.openxmlformats.org/officeDocument/2006/relationships/hyperlink" Target="http://www.linkedin.com/pub/don-piluso/0/527/2B" TargetMode="External"/><Relationship Id="rId8823" Type="http://schemas.openxmlformats.org/officeDocument/2006/relationships/hyperlink" Target="http://www.linkedin.com/in/ritchiepark" TargetMode="External"/><Relationship Id="rId8822" Type="http://schemas.openxmlformats.org/officeDocument/2006/relationships/hyperlink" Target="http://www.linkedin.com/in/terryscholl" TargetMode="External"/><Relationship Id="rId8821" Type="http://schemas.openxmlformats.org/officeDocument/2006/relationships/hyperlink" Target="http://www.linkedin.com/in/timothylafferty" TargetMode="External"/><Relationship Id="rId8817" Type="http://schemas.openxmlformats.org/officeDocument/2006/relationships/hyperlink" Target="http://www.linkedin.com/in/aviramjenik" TargetMode="External"/><Relationship Id="rId8816" Type="http://schemas.openxmlformats.org/officeDocument/2006/relationships/hyperlink" Target="http://www.linkedin.com/in/alainjourdier" TargetMode="External"/><Relationship Id="rId8815" Type="http://schemas.openxmlformats.org/officeDocument/2006/relationships/hyperlink" Target="http://www.linkedin.com/in/geertdb" TargetMode="External"/><Relationship Id="rId8814" Type="http://schemas.openxmlformats.org/officeDocument/2006/relationships/hyperlink" Target="http://www.linkedin.com/in/billleslie" TargetMode="External"/><Relationship Id="rId8819" Type="http://schemas.openxmlformats.org/officeDocument/2006/relationships/hyperlink" Target="http://www.linkedin.com/in/thesmartkioskguy" TargetMode="External"/><Relationship Id="rId8818" Type="http://schemas.openxmlformats.org/officeDocument/2006/relationships/hyperlink" Target="http://www.linkedin.com/in/jdmoore" TargetMode="External"/><Relationship Id="rId8813" Type="http://schemas.openxmlformats.org/officeDocument/2006/relationships/hyperlink" Target="http://www.linkedin.com/in/riggs" TargetMode="External"/><Relationship Id="rId8812" Type="http://schemas.openxmlformats.org/officeDocument/2006/relationships/hyperlink" Target="http://www.linkedin.com/in/biddingforgood" TargetMode="External"/><Relationship Id="rId8811" Type="http://schemas.openxmlformats.org/officeDocument/2006/relationships/hyperlink" Target="http://www.linkedin.com/in/jarrettgoetz" TargetMode="External"/><Relationship Id="rId8810" Type="http://schemas.openxmlformats.org/officeDocument/2006/relationships/hyperlink" Target="http://www.linkedin.com/in/laraabrams" TargetMode="External"/><Relationship Id="rId1378" Type="http://schemas.openxmlformats.org/officeDocument/2006/relationships/hyperlink" Target="http://www.linkedin.com/in/garrettstephenson" TargetMode="External"/><Relationship Id="rId1379" Type="http://schemas.openxmlformats.org/officeDocument/2006/relationships/hyperlink" Target="http://www.linkedin.com/in/kellymcgough" TargetMode="External"/><Relationship Id="rId789" Type="http://schemas.openxmlformats.org/officeDocument/2006/relationships/hyperlink" Target="http://www.linkedin.com/in/dcfawcett" TargetMode="External"/><Relationship Id="rId788" Type="http://schemas.openxmlformats.org/officeDocument/2006/relationships/hyperlink" Target="http://www.linkedin.com/pub/sanjay-sood/0/441/707" TargetMode="External"/><Relationship Id="rId787" Type="http://schemas.openxmlformats.org/officeDocument/2006/relationships/hyperlink" Target="http://uk.linkedin.com/in/perfectlyplaced" TargetMode="External"/><Relationship Id="rId786" Type="http://schemas.openxmlformats.org/officeDocument/2006/relationships/hyperlink" Target="http://www.linkedin.com/pub/stephanie-schweighofer-jones/0/46/9AA" TargetMode="External"/><Relationship Id="rId781" Type="http://schemas.openxmlformats.org/officeDocument/2006/relationships/hyperlink" Target="http://www.linkedin.com/pub/niranjan-rajaratnam/0/220/B10" TargetMode="External"/><Relationship Id="rId1370" Type="http://schemas.openxmlformats.org/officeDocument/2006/relationships/hyperlink" Target="http://uk.linkedin.com/in/paulkelsall" TargetMode="External"/><Relationship Id="rId780" Type="http://schemas.openxmlformats.org/officeDocument/2006/relationships/hyperlink" Target="http://www.linkedin.com/pub/niti-agrawal/0/21/234" TargetMode="External"/><Relationship Id="rId1371" Type="http://schemas.openxmlformats.org/officeDocument/2006/relationships/hyperlink" Target="http://ca.linkedin.com/in/kimjpeters" TargetMode="External"/><Relationship Id="rId1372" Type="http://schemas.openxmlformats.org/officeDocument/2006/relationships/hyperlink" Target="http://uk.linkedin.com/pub/chris-saynor/1/502/84A" TargetMode="External"/><Relationship Id="rId1373" Type="http://schemas.openxmlformats.org/officeDocument/2006/relationships/hyperlink" Target="http://www.linkedin.com/in/sandeepkurne" TargetMode="External"/><Relationship Id="rId785" Type="http://schemas.openxmlformats.org/officeDocument/2006/relationships/hyperlink" Target="http://www.linkedin.com/pub/kim-sanchez-rael/0/79/493" TargetMode="External"/><Relationship Id="rId1374" Type="http://schemas.openxmlformats.org/officeDocument/2006/relationships/hyperlink" Target="http://www.linkedin.com/in/valeriebritt" TargetMode="External"/><Relationship Id="rId784" Type="http://schemas.openxmlformats.org/officeDocument/2006/relationships/hyperlink" Target="http://uk.linkedin.com/pub/jonathan-nelson/0/53/552" TargetMode="External"/><Relationship Id="rId1375" Type="http://schemas.openxmlformats.org/officeDocument/2006/relationships/hyperlink" Target="http://www.linkedin.com/in/joshcagwin" TargetMode="External"/><Relationship Id="rId783" Type="http://schemas.openxmlformats.org/officeDocument/2006/relationships/hyperlink" Target="https://www.linkedin.com/in/adrienneann" TargetMode="External"/><Relationship Id="rId1376" Type="http://schemas.openxmlformats.org/officeDocument/2006/relationships/hyperlink" Target="http://www.linkedin.com/in/gialuvsrecruiting" TargetMode="External"/><Relationship Id="rId782" Type="http://schemas.openxmlformats.org/officeDocument/2006/relationships/hyperlink" Target="http://www.linkedin.com/pub/mark-haas/20/A35/9A1" TargetMode="External"/><Relationship Id="rId1377" Type="http://schemas.openxmlformats.org/officeDocument/2006/relationships/hyperlink" Target="http://www.linkedin.com/in/czeffy" TargetMode="External"/><Relationship Id="rId1367" Type="http://schemas.openxmlformats.org/officeDocument/2006/relationships/hyperlink" Target="http://www.linkedin.com/in/bcrowley" TargetMode="External"/><Relationship Id="rId2698" Type="http://schemas.openxmlformats.org/officeDocument/2006/relationships/hyperlink" Target="http://ar.linkedin.com/pub/miriam-gabriela-gutierrez/1/BB6/571" TargetMode="External"/><Relationship Id="rId1368" Type="http://schemas.openxmlformats.org/officeDocument/2006/relationships/hyperlink" Target="http://www.linkedin.com/in/talentdevelopment" TargetMode="External"/><Relationship Id="rId2699" Type="http://schemas.openxmlformats.org/officeDocument/2006/relationships/hyperlink" Target="http://uk.linkedin.com/in/pablojejcic" TargetMode="External"/><Relationship Id="rId1369" Type="http://schemas.openxmlformats.org/officeDocument/2006/relationships/hyperlink" Target="http://www.linkedin.com/pub/mark-jacobs-mha-cphimss-fhimss/0/758/163" TargetMode="External"/><Relationship Id="rId778" Type="http://schemas.openxmlformats.org/officeDocument/2006/relationships/hyperlink" Target="http://www.linkedin.com/pub/ginny-gutierrez/0/105/20" TargetMode="External"/><Relationship Id="rId777" Type="http://schemas.openxmlformats.org/officeDocument/2006/relationships/hyperlink" Target="http://www.linkedin.com/in/stevemaul" TargetMode="External"/><Relationship Id="rId776" Type="http://schemas.openxmlformats.org/officeDocument/2006/relationships/hyperlink" Target="http://www.linkedin.com/pub/anurag-khemka/0/111/A93" TargetMode="External"/><Relationship Id="rId775" Type="http://schemas.openxmlformats.org/officeDocument/2006/relationships/hyperlink" Target="http://fr.linkedin.com/pub/loic-fleury/0/6A/A53" TargetMode="External"/><Relationship Id="rId779" Type="http://schemas.openxmlformats.org/officeDocument/2006/relationships/hyperlink" Target="http://www.linkedin.com/pub/robert-kranson/0/55/363" TargetMode="External"/><Relationship Id="rId770" Type="http://schemas.openxmlformats.org/officeDocument/2006/relationships/hyperlink" Target="http://www.linkedin.com/pub/cheryl-baldwin/6/9BA/452" TargetMode="External"/><Relationship Id="rId2690" Type="http://schemas.openxmlformats.org/officeDocument/2006/relationships/hyperlink" Target="http://www.linkedin.com/pub/anette-henningson/3/AB1/8AA" TargetMode="External"/><Relationship Id="rId1360" Type="http://schemas.openxmlformats.org/officeDocument/2006/relationships/hyperlink" Target="http://www.linkedin.com/in/marklkay" TargetMode="External"/><Relationship Id="rId2691" Type="http://schemas.openxmlformats.org/officeDocument/2006/relationships/hyperlink" Target="http://ar.linkedin.com/pub/sebastian-ramirez/20/8A3/233" TargetMode="External"/><Relationship Id="rId1361" Type="http://schemas.openxmlformats.org/officeDocument/2006/relationships/hyperlink" Target="http://www.linkedin.com/pub/david-sasson/0/1AA/A02" TargetMode="External"/><Relationship Id="rId2692" Type="http://schemas.openxmlformats.org/officeDocument/2006/relationships/hyperlink" Target="http://www.linkedin.com/in/marcossobral" TargetMode="External"/><Relationship Id="rId1362" Type="http://schemas.openxmlformats.org/officeDocument/2006/relationships/hyperlink" Target="http://uk.linkedin.com/in/dylanjones" TargetMode="External"/><Relationship Id="rId2693" Type="http://schemas.openxmlformats.org/officeDocument/2006/relationships/hyperlink" Target="http://www.linkedin.com/pub/bing-liu/3/992/99" TargetMode="External"/><Relationship Id="rId774" Type="http://schemas.openxmlformats.org/officeDocument/2006/relationships/hyperlink" Target="http://www.linkedin.com/in/jchenard" TargetMode="External"/><Relationship Id="rId1363" Type="http://schemas.openxmlformats.org/officeDocument/2006/relationships/hyperlink" Target="http://www.linkedin.com/in/harrycorless" TargetMode="External"/><Relationship Id="rId2694" Type="http://schemas.openxmlformats.org/officeDocument/2006/relationships/hyperlink" Target="http://ar.linkedin.com/pub/pablo-cosso/0/1A8/973" TargetMode="External"/><Relationship Id="rId773" Type="http://schemas.openxmlformats.org/officeDocument/2006/relationships/hyperlink" Target="http://www.linkedin.com/in/jerrysbellsoft" TargetMode="External"/><Relationship Id="rId1364" Type="http://schemas.openxmlformats.org/officeDocument/2006/relationships/hyperlink" Target="http://www.linkedin.com/pub/g-thomas-furgerson/0/211/624" TargetMode="External"/><Relationship Id="rId2695" Type="http://schemas.openxmlformats.org/officeDocument/2006/relationships/hyperlink" Target="http://www.linkedin.com/in/luissilvetti" TargetMode="External"/><Relationship Id="rId772" Type="http://schemas.openxmlformats.org/officeDocument/2006/relationships/hyperlink" Target="http://jerrysbellsoftinc.com" TargetMode="External"/><Relationship Id="rId1365" Type="http://schemas.openxmlformats.org/officeDocument/2006/relationships/hyperlink" Target="https://www.linkedin.com/in/kurtdavidkratchman" TargetMode="External"/><Relationship Id="rId2696" Type="http://schemas.openxmlformats.org/officeDocument/2006/relationships/hyperlink" Target="http://www.linkedin.com/in/ericavw" TargetMode="External"/><Relationship Id="rId771" Type="http://schemas.openxmlformats.org/officeDocument/2006/relationships/hyperlink" Target="http://www.linkedin.com/in/gautamgoswami" TargetMode="External"/><Relationship Id="rId1366" Type="http://schemas.openxmlformats.org/officeDocument/2006/relationships/hyperlink" Target="http://www.linkedin.com/in/troymckaskle" TargetMode="External"/><Relationship Id="rId2697" Type="http://schemas.openxmlformats.org/officeDocument/2006/relationships/hyperlink" Target="http://ar.linkedin.com/in/adrianurrestarazu" TargetMode="External"/><Relationship Id="rId1390" Type="http://schemas.openxmlformats.org/officeDocument/2006/relationships/hyperlink" Target="http://www.linkedin.com/pub/clarence-augustin/1B/2AA/78" TargetMode="External"/><Relationship Id="rId1391" Type="http://schemas.openxmlformats.org/officeDocument/2006/relationships/hyperlink" Target="http://www.linkedin.com/pub/malky-schlesinger/3/0/132" TargetMode="External"/><Relationship Id="rId1392" Type="http://schemas.openxmlformats.org/officeDocument/2006/relationships/hyperlink" Target="http://www.linkedin.com/in/darylthompson" TargetMode="External"/><Relationship Id="rId1393" Type="http://schemas.openxmlformats.org/officeDocument/2006/relationships/hyperlink" Target="http://www.linkedin.com/pub/raj-reddy/7/A66/BB" TargetMode="External"/><Relationship Id="rId1394" Type="http://schemas.openxmlformats.org/officeDocument/2006/relationships/hyperlink" Target="http://www.linkedin.com/in/solmandan" TargetMode="External"/><Relationship Id="rId1395" Type="http://schemas.openxmlformats.org/officeDocument/2006/relationships/hyperlink" Target="http://in.linkedin.com/pub/philip-kurian/7/A73/6A1" TargetMode="External"/><Relationship Id="rId1396" Type="http://schemas.openxmlformats.org/officeDocument/2006/relationships/hyperlink" Target="http://www.linkedin.com/pub/david-zylka/0/827/774" TargetMode="External"/><Relationship Id="rId1397" Type="http://schemas.openxmlformats.org/officeDocument/2006/relationships/hyperlink" Target="http://www.linkedin.com/pub/carroll-lefon/2/2A7/250" TargetMode="External"/><Relationship Id="rId1398" Type="http://schemas.openxmlformats.org/officeDocument/2006/relationships/hyperlink" Target="http://www.linkedin.com/pub/todd-kobayashi-cfa/1/620/883" TargetMode="External"/><Relationship Id="rId1399" Type="http://schemas.openxmlformats.org/officeDocument/2006/relationships/hyperlink" Target="http://www.linkedin.com/in/howardstentz" TargetMode="External"/><Relationship Id="rId1389" Type="http://schemas.openxmlformats.org/officeDocument/2006/relationships/hyperlink" Target="http://www.linkedin.com/in/shutterstock" TargetMode="External"/><Relationship Id="rId799" Type="http://schemas.openxmlformats.org/officeDocument/2006/relationships/hyperlink" Target="http://www.linkedin.com/in/garykessinger" TargetMode="External"/><Relationship Id="rId798" Type="http://schemas.openxmlformats.org/officeDocument/2006/relationships/hyperlink" Target="http://www.linkedin.com/pub/lois-plust/0/2B6/360" TargetMode="External"/><Relationship Id="rId797" Type="http://schemas.openxmlformats.org/officeDocument/2006/relationships/hyperlink" Target="http://www.linkedin.com/in/leedoragam" TargetMode="External"/><Relationship Id="rId1380" Type="http://schemas.openxmlformats.org/officeDocument/2006/relationships/hyperlink" Target="http://www.linkedin.com/pub/damion-hickman/3/843/B08" TargetMode="External"/><Relationship Id="rId792" Type="http://schemas.openxmlformats.org/officeDocument/2006/relationships/hyperlink" Target="http://www.linkedin.com/pub/dave-shaffer/0/67/610" TargetMode="External"/><Relationship Id="rId1381" Type="http://schemas.openxmlformats.org/officeDocument/2006/relationships/hyperlink" Target="http://uk.linkedin.com/pub/sav-rick/5/27/939" TargetMode="External"/><Relationship Id="rId791" Type="http://schemas.openxmlformats.org/officeDocument/2006/relationships/hyperlink" Target="http://www.linkedin.com/in/buzzard" TargetMode="External"/><Relationship Id="rId1382" Type="http://schemas.openxmlformats.org/officeDocument/2006/relationships/hyperlink" Target="http://www.linkedin.com/pub/anurag-lal/0/93A/37" TargetMode="External"/><Relationship Id="rId790" Type="http://schemas.openxmlformats.org/officeDocument/2006/relationships/hyperlink" Target="http://www.linkedin.com/pub/mike-chrobak/0/35/87A" TargetMode="External"/><Relationship Id="rId1383" Type="http://schemas.openxmlformats.org/officeDocument/2006/relationships/hyperlink" Target="http://www.linkedin.com/pub/kelly-benton/4/533/19" TargetMode="External"/><Relationship Id="rId1384" Type="http://schemas.openxmlformats.org/officeDocument/2006/relationships/hyperlink" Target="http://www.linkedin.com/pub/kevin-rathi/1/13B/487" TargetMode="External"/><Relationship Id="rId796" Type="http://schemas.openxmlformats.org/officeDocument/2006/relationships/hyperlink" Target="http://www.linkedin.com/pub/ike-brenner/0/475/32B" TargetMode="External"/><Relationship Id="rId1385" Type="http://schemas.openxmlformats.org/officeDocument/2006/relationships/hyperlink" Target="http://www.linkedin.com/pub/yoav-izhar-prato/0/172/967" TargetMode="External"/><Relationship Id="rId795" Type="http://schemas.openxmlformats.org/officeDocument/2006/relationships/hyperlink" Target="http://www.linkedin.com/pub/martie-bond/0/26/A38" TargetMode="External"/><Relationship Id="rId1386" Type="http://schemas.openxmlformats.org/officeDocument/2006/relationships/hyperlink" Target="http://www.linkedin.com/in/jackkim" TargetMode="External"/><Relationship Id="rId794" Type="http://schemas.openxmlformats.org/officeDocument/2006/relationships/hyperlink" Target="https://www.linkedin.com/in/louishyman" TargetMode="External"/><Relationship Id="rId1387" Type="http://schemas.openxmlformats.org/officeDocument/2006/relationships/hyperlink" Target="http://www.linkedin.com/pub/masaki-kawamura/1A/295/B66" TargetMode="External"/><Relationship Id="rId793" Type="http://schemas.openxmlformats.org/officeDocument/2006/relationships/hyperlink" Target="http://www.linkedin.com/pub/lora-cecere/0/196/573" TargetMode="External"/><Relationship Id="rId1388" Type="http://schemas.openxmlformats.org/officeDocument/2006/relationships/hyperlink" Target="http://www.linkedin.com/in/curtisoreilly" TargetMode="External"/><Relationship Id="rId6229" Type="http://schemas.openxmlformats.org/officeDocument/2006/relationships/hyperlink" Target="http://ar.linkedin.com/in/juanbarles" TargetMode="External"/><Relationship Id="rId7551" Type="http://schemas.openxmlformats.org/officeDocument/2006/relationships/hyperlink" Target="http://www.linkedin.com/in/zymurge" TargetMode="External"/><Relationship Id="rId8882" Type="http://schemas.openxmlformats.org/officeDocument/2006/relationships/hyperlink" Target="http://www.linkedin.com/in/grahamlawlor" TargetMode="External"/><Relationship Id="rId6220" Type="http://schemas.openxmlformats.org/officeDocument/2006/relationships/hyperlink" Target="http://ar.linkedin.com/pub/natalia-cirilli/26/259/492" TargetMode="External"/><Relationship Id="rId7550" Type="http://schemas.openxmlformats.org/officeDocument/2006/relationships/hyperlink" Target="https://www.linkedin.com/in/adamwulf" TargetMode="External"/><Relationship Id="rId8881" Type="http://schemas.openxmlformats.org/officeDocument/2006/relationships/hyperlink" Target="http://www.linkedin.com/in/rmwinenger" TargetMode="External"/><Relationship Id="rId8880" Type="http://schemas.openxmlformats.org/officeDocument/2006/relationships/hyperlink" Target="https://www.linkedin.com/in/fertig" TargetMode="External"/><Relationship Id="rId6223" Type="http://schemas.openxmlformats.org/officeDocument/2006/relationships/hyperlink" Target="http://ar.linkedin.com/in/mariarusso" TargetMode="External"/><Relationship Id="rId7555" Type="http://schemas.openxmlformats.org/officeDocument/2006/relationships/hyperlink" Target="http://www.linkedin.com/in/dustinwhoward" TargetMode="External"/><Relationship Id="rId8886" Type="http://schemas.openxmlformats.org/officeDocument/2006/relationships/hyperlink" Target="http://www.linkedin.com/in/regevadi" TargetMode="External"/><Relationship Id="rId6224" Type="http://schemas.openxmlformats.org/officeDocument/2006/relationships/hyperlink" Target="http://ar.linkedin.com/pub/maximiliano-hapes/5/96A/89B" TargetMode="External"/><Relationship Id="rId7554" Type="http://schemas.openxmlformats.org/officeDocument/2006/relationships/hyperlink" Target="http://www.linkedin.com/in/annaanisin" TargetMode="External"/><Relationship Id="rId8885" Type="http://schemas.openxmlformats.org/officeDocument/2006/relationships/hyperlink" Target="http://www.linkedin.com/in/biopharmhead" TargetMode="External"/><Relationship Id="rId6221" Type="http://schemas.openxmlformats.org/officeDocument/2006/relationships/hyperlink" Target="http://ar.linkedin.com/pub/juan-manuel-parodi/26/171/342" TargetMode="External"/><Relationship Id="rId7553" Type="http://schemas.openxmlformats.org/officeDocument/2006/relationships/hyperlink" Target="http://www.linkedin.com/pub/garret-tadlock/0/732/609" TargetMode="External"/><Relationship Id="rId8884" Type="http://schemas.openxmlformats.org/officeDocument/2006/relationships/hyperlink" Target="http://www.linkedin.com/in/peglarr" TargetMode="External"/><Relationship Id="rId6222" Type="http://schemas.openxmlformats.org/officeDocument/2006/relationships/hyperlink" Target="http://www.linkedin.com/pub/jan-jensen/7/34B/36A" TargetMode="External"/><Relationship Id="rId7552" Type="http://schemas.openxmlformats.org/officeDocument/2006/relationships/hyperlink" Target="http://www.linkedin.com/pub/mark-lackey/17/713/675" TargetMode="External"/><Relationship Id="rId8883" Type="http://schemas.openxmlformats.org/officeDocument/2006/relationships/hyperlink" Target="http://www.linkedin.com/pub/mary-kay-hyde/0/198/3A8" TargetMode="External"/><Relationship Id="rId6227" Type="http://schemas.openxmlformats.org/officeDocument/2006/relationships/hyperlink" Target="http://www.linkedin.com/pub/marcela-alejandra-villan/b/617/692" TargetMode="External"/><Relationship Id="rId7559" Type="http://schemas.openxmlformats.org/officeDocument/2006/relationships/hyperlink" Target="http://www.linkedin.com/in/csimmons" TargetMode="External"/><Relationship Id="rId6228" Type="http://schemas.openxmlformats.org/officeDocument/2006/relationships/hyperlink" Target="http://ar.linkedin.com/in/emygalceran" TargetMode="External"/><Relationship Id="rId7558" Type="http://schemas.openxmlformats.org/officeDocument/2006/relationships/hyperlink" Target="http://www.linkedin.com/in/michaelpilip" TargetMode="External"/><Relationship Id="rId8889" Type="http://schemas.openxmlformats.org/officeDocument/2006/relationships/hyperlink" Target="http://www.linkedin.com/in/barrysaltzman" TargetMode="External"/><Relationship Id="rId6225" Type="http://schemas.openxmlformats.org/officeDocument/2006/relationships/hyperlink" Target="http://ar.linkedin.com/pub/natalia-goyena/25/3AB/91A" TargetMode="External"/><Relationship Id="rId7557" Type="http://schemas.openxmlformats.org/officeDocument/2006/relationships/hyperlink" Target="http://www.linkedin.com/in/wallacera" TargetMode="External"/><Relationship Id="rId8888" Type="http://schemas.openxmlformats.org/officeDocument/2006/relationships/hyperlink" Target="http://www.linkedin.com/in/zigserafin" TargetMode="External"/><Relationship Id="rId6226" Type="http://schemas.openxmlformats.org/officeDocument/2006/relationships/hyperlink" Target="http://www.linkedin.com/pub/feas-leonardo/9/11b/b24" TargetMode="External"/><Relationship Id="rId7556" Type="http://schemas.openxmlformats.org/officeDocument/2006/relationships/hyperlink" Target="http://www.linkedin.com/in/fencken" TargetMode="External"/><Relationship Id="rId8887" Type="http://schemas.openxmlformats.org/officeDocument/2006/relationships/hyperlink" Target="http://www.linkedin.com/pub/scott-mcninch/0/471/7BA" TargetMode="External"/><Relationship Id="rId6218" Type="http://schemas.openxmlformats.org/officeDocument/2006/relationships/hyperlink" Target="http://ar.linkedin.com/pub/juan-pablo/6/226/137" TargetMode="External"/><Relationship Id="rId6219" Type="http://schemas.openxmlformats.org/officeDocument/2006/relationships/hyperlink" Target="http://ar.linkedin.com/in/fernandorodolfogonzalez" TargetMode="External"/><Relationship Id="rId7549" Type="http://schemas.openxmlformats.org/officeDocument/2006/relationships/hyperlink" Target="http://ar.linkedin.com/in/marianopulgar" TargetMode="External"/><Relationship Id="rId7540" Type="http://schemas.openxmlformats.org/officeDocument/2006/relationships/hyperlink" Target="http://www.linkedin.com/in/robertmercer" TargetMode="External"/><Relationship Id="rId8871" Type="http://schemas.openxmlformats.org/officeDocument/2006/relationships/hyperlink" Target="http://www.linkedin.com/in/craigwhitney" TargetMode="External"/><Relationship Id="rId8870" Type="http://schemas.openxmlformats.org/officeDocument/2006/relationships/hyperlink" Target="http://www.linkedin.com/pub/steve-braz/0/624/695" TargetMode="External"/><Relationship Id="rId6212" Type="http://schemas.openxmlformats.org/officeDocument/2006/relationships/hyperlink" Target="http://www.linkedin.com/pub/frank-weaver/1/140/2AA" TargetMode="External"/><Relationship Id="rId7544" Type="http://schemas.openxmlformats.org/officeDocument/2006/relationships/hyperlink" Target="http://www.linkedin.com/pub/david-evans/6/25A/170" TargetMode="External"/><Relationship Id="rId8875" Type="http://schemas.openxmlformats.org/officeDocument/2006/relationships/hyperlink" Target="https://www.linkedin.com/in/frankabrams" TargetMode="External"/><Relationship Id="rId6213" Type="http://schemas.openxmlformats.org/officeDocument/2006/relationships/hyperlink" Target="http://www.linkedin.com/pub/woody-linwood/14/80/A4B" TargetMode="External"/><Relationship Id="rId7543" Type="http://schemas.openxmlformats.org/officeDocument/2006/relationships/hyperlink" Target="http://www.linkedin.com/in/davenerz" TargetMode="External"/><Relationship Id="rId8874" Type="http://schemas.openxmlformats.org/officeDocument/2006/relationships/hyperlink" Target="http://www.linkedin.com/in/irvinepaul" TargetMode="External"/><Relationship Id="rId6210" Type="http://schemas.openxmlformats.org/officeDocument/2006/relationships/hyperlink" Target="http://ar.linkedin.com/pub/daniel-moroni/6/357/120" TargetMode="External"/><Relationship Id="rId7542" Type="http://schemas.openxmlformats.org/officeDocument/2006/relationships/hyperlink" Target="http://ar.linkedin.com/in/adebiase" TargetMode="External"/><Relationship Id="rId8873" Type="http://schemas.openxmlformats.org/officeDocument/2006/relationships/hyperlink" Target="http://www.linkedin.com/in/mmendelsohn" TargetMode="External"/><Relationship Id="rId6211" Type="http://schemas.openxmlformats.org/officeDocument/2006/relationships/hyperlink" Target="http://www.linkedin.com/pub/diego-carrizo-aslanian/10/38/a7b" TargetMode="External"/><Relationship Id="rId7541" Type="http://schemas.openxmlformats.org/officeDocument/2006/relationships/hyperlink" Target="http://www.linkedin.com/in/bliss" TargetMode="External"/><Relationship Id="rId8872" Type="http://schemas.openxmlformats.org/officeDocument/2006/relationships/hyperlink" Target="http://www.linkedin.com/in/peggydau" TargetMode="External"/><Relationship Id="rId6216" Type="http://schemas.openxmlformats.org/officeDocument/2006/relationships/hyperlink" Target="http://ar.linkedin.com/pub/pablo-schulz/12/A03/B88" TargetMode="External"/><Relationship Id="rId7548" Type="http://schemas.openxmlformats.org/officeDocument/2006/relationships/hyperlink" Target="http://www.linkedin.com/pub/tom%C3%A1s-talarico/25/a6a/57a" TargetMode="External"/><Relationship Id="rId8879" Type="http://schemas.openxmlformats.org/officeDocument/2006/relationships/hyperlink" Target="http://www.linkedin.com/in/gregtaffet" TargetMode="External"/><Relationship Id="rId6217" Type="http://schemas.openxmlformats.org/officeDocument/2006/relationships/hyperlink" Target="http://www.linkedin.com/in/donnberke" TargetMode="External"/><Relationship Id="rId7547" Type="http://schemas.openxmlformats.org/officeDocument/2006/relationships/hyperlink" Target="http://www.linkedin.com/in/hassanabdelrahman" TargetMode="External"/><Relationship Id="rId8878" Type="http://schemas.openxmlformats.org/officeDocument/2006/relationships/hyperlink" Target="http://www.linkedin.com/in/ainmckendrick" TargetMode="External"/><Relationship Id="rId6214" Type="http://schemas.openxmlformats.org/officeDocument/2006/relationships/hyperlink" Target="http://ar.linkedin.com/pub/hector-manuel-gonzalez/16/903/78B" TargetMode="External"/><Relationship Id="rId7546" Type="http://schemas.openxmlformats.org/officeDocument/2006/relationships/hyperlink" Target="http://www.linkedin.com/in/andresbiernat" TargetMode="External"/><Relationship Id="rId8877" Type="http://schemas.openxmlformats.org/officeDocument/2006/relationships/hyperlink" Target="http://www.linkedin.com/pub/pat-loring/0/2B/8B2" TargetMode="External"/><Relationship Id="rId6215" Type="http://schemas.openxmlformats.org/officeDocument/2006/relationships/hyperlink" Target="http://ar.linkedin.com/pub/diego-manzo/17/338/900" TargetMode="External"/><Relationship Id="rId7545" Type="http://schemas.openxmlformats.org/officeDocument/2006/relationships/hyperlink" Target="http://www.linkedin.com/in/davidtruchot" TargetMode="External"/><Relationship Id="rId8876" Type="http://schemas.openxmlformats.org/officeDocument/2006/relationships/hyperlink" Target="http://www.linkedin.com/in/marcolimena" TargetMode="External"/><Relationship Id="rId6241" Type="http://schemas.openxmlformats.org/officeDocument/2006/relationships/hyperlink" Target="http://www.linkedin.com/pub/rui-n%C3%B3brega/0/278/974" TargetMode="External"/><Relationship Id="rId7573" Type="http://schemas.openxmlformats.org/officeDocument/2006/relationships/hyperlink" Target="http://www.linkedin.com/pub/sam-ramachandran/2/b0/76?trk=pub-pbmap" TargetMode="External"/><Relationship Id="rId6242" Type="http://schemas.openxmlformats.org/officeDocument/2006/relationships/hyperlink" Target="http://www.linkedin.com/in/cindynovak" TargetMode="External"/><Relationship Id="rId7572" Type="http://schemas.openxmlformats.org/officeDocument/2006/relationships/hyperlink" Target="http://www.linkedin.com/in/michaelaorourke" TargetMode="External"/><Relationship Id="rId7571" Type="http://schemas.openxmlformats.org/officeDocument/2006/relationships/hyperlink" Target="http://www.linkedin.com/in/pausabria" TargetMode="External"/><Relationship Id="rId6240" Type="http://schemas.openxmlformats.org/officeDocument/2006/relationships/hyperlink" Target="http://www.linkedin.com/pub/alberto-araujo/B/497/526" TargetMode="External"/><Relationship Id="rId7570" Type="http://schemas.openxmlformats.org/officeDocument/2006/relationships/hyperlink" Target="http://www.linkedin.com/in/gustavobuendia1" TargetMode="External"/><Relationship Id="rId6245" Type="http://schemas.openxmlformats.org/officeDocument/2006/relationships/hyperlink" Target="http://www.linkedin.com/pub/todd-paladini/0/83A/10B" TargetMode="External"/><Relationship Id="rId7577" Type="http://schemas.openxmlformats.org/officeDocument/2006/relationships/hyperlink" Target="http://www.linkedin.com/pub/michael-hartmann/5/AA8/56A" TargetMode="External"/><Relationship Id="rId6246" Type="http://schemas.openxmlformats.org/officeDocument/2006/relationships/hyperlink" Target="http://www.linkedin.com/in/anabrowne" TargetMode="External"/><Relationship Id="rId7576" Type="http://schemas.openxmlformats.org/officeDocument/2006/relationships/hyperlink" Target="http://www.linkedin.com/in/brianwilliamsonesourcevhr" TargetMode="External"/><Relationship Id="rId6243" Type="http://schemas.openxmlformats.org/officeDocument/2006/relationships/hyperlink" Target="http://www.linkedin.com/pub/marko-myllymaki/10/849/45B" TargetMode="External"/><Relationship Id="rId7575" Type="http://schemas.openxmlformats.org/officeDocument/2006/relationships/hyperlink" Target="http://www.linkedin.com/in/susanwalls" TargetMode="External"/><Relationship Id="rId6244" Type="http://schemas.openxmlformats.org/officeDocument/2006/relationships/hyperlink" Target="http://www.linkedin.com/pub/michael-gargiulo/0/489/805" TargetMode="External"/><Relationship Id="rId7574" Type="http://schemas.openxmlformats.org/officeDocument/2006/relationships/hyperlink" Target="http://www.linkedin.com/pub/drew-kiran/7/820/22" TargetMode="External"/><Relationship Id="rId6249" Type="http://schemas.openxmlformats.org/officeDocument/2006/relationships/hyperlink" Target="http://www.linkedin.com/pub/reny-virginia-borges-esteves/29/a28/aaa" TargetMode="External"/><Relationship Id="rId6247" Type="http://schemas.openxmlformats.org/officeDocument/2006/relationships/hyperlink" Target="http://uk.linkedin.com/pub/f-bio-tambosi/8/19B/55" TargetMode="External"/><Relationship Id="rId7579" Type="http://schemas.openxmlformats.org/officeDocument/2006/relationships/hyperlink" Target="http://www.linkedin.com/pub/carlos-atehortua/2/491/131" TargetMode="External"/><Relationship Id="rId6248" Type="http://schemas.openxmlformats.org/officeDocument/2006/relationships/hyperlink" Target="https://www.linkedin.com/in/rodrigomeirelles" TargetMode="External"/><Relationship Id="rId7578" Type="http://schemas.openxmlformats.org/officeDocument/2006/relationships/hyperlink" Target="http://www.linkedin.com/in/lucasgonzalez" TargetMode="External"/><Relationship Id="rId6230" Type="http://schemas.openxmlformats.org/officeDocument/2006/relationships/hyperlink" Target="http://www.linkedin.com/in/melinamartinez" TargetMode="External"/><Relationship Id="rId7562" Type="http://schemas.openxmlformats.org/officeDocument/2006/relationships/hyperlink" Target="http://ar.linkedin.com/pub/martin-repetto/11/747/27B" TargetMode="External"/><Relationship Id="rId8893" Type="http://schemas.openxmlformats.org/officeDocument/2006/relationships/hyperlink" Target="http://www.linkedin.com/in/capuzzo" TargetMode="External"/><Relationship Id="rId6231" Type="http://schemas.openxmlformats.org/officeDocument/2006/relationships/hyperlink" Target="http://www.linkedin.com/pub/luis-maria-cravino/23/687/aa2" TargetMode="External"/><Relationship Id="rId7561" Type="http://schemas.openxmlformats.org/officeDocument/2006/relationships/hyperlink" Target="http://www.linkedin.com/pub/juan-pablo-dellarroquelle/1/B8B/A62" TargetMode="External"/><Relationship Id="rId8892" Type="http://schemas.openxmlformats.org/officeDocument/2006/relationships/hyperlink" Target="http://www.linkedin.com/pub/mike-russo/0/407/7A7" TargetMode="External"/><Relationship Id="rId7560" Type="http://schemas.openxmlformats.org/officeDocument/2006/relationships/hyperlink" Target="http://ar.linkedin.com/pub/sergio-dos-santos/4/319/86B" TargetMode="External"/><Relationship Id="rId8891" Type="http://schemas.openxmlformats.org/officeDocument/2006/relationships/hyperlink" Target="https://www.linkedin.com/in/eranbarak" TargetMode="External"/><Relationship Id="rId8890" Type="http://schemas.openxmlformats.org/officeDocument/2006/relationships/hyperlink" Target="http://www.linkedin.com/in/jimange" TargetMode="External"/><Relationship Id="rId6234" Type="http://schemas.openxmlformats.org/officeDocument/2006/relationships/hyperlink" Target="http://www.linkedin.com/pub/lino-ribolla/0/34/615" TargetMode="External"/><Relationship Id="rId7566" Type="http://schemas.openxmlformats.org/officeDocument/2006/relationships/hyperlink" Target="http://www.linkedin.com/in/laurakef" TargetMode="External"/><Relationship Id="rId8897" Type="http://schemas.openxmlformats.org/officeDocument/2006/relationships/hyperlink" Target="http://ca.linkedin.com/in/kamrawal" TargetMode="External"/><Relationship Id="rId6235" Type="http://schemas.openxmlformats.org/officeDocument/2006/relationships/hyperlink" Target="http://www.linkedin.com/in/sylviefirestone" TargetMode="External"/><Relationship Id="rId7565" Type="http://schemas.openxmlformats.org/officeDocument/2006/relationships/hyperlink" Target="http://www.linkedin.com/in/gcontestabile" TargetMode="External"/><Relationship Id="rId8896" Type="http://schemas.openxmlformats.org/officeDocument/2006/relationships/hyperlink" Target="https://www.linkedin.com/in/jbarrow" TargetMode="External"/><Relationship Id="rId6232" Type="http://schemas.openxmlformats.org/officeDocument/2006/relationships/hyperlink" Target="http://www.linkedin.com/in/hmonteiro" TargetMode="External"/><Relationship Id="rId7564" Type="http://schemas.openxmlformats.org/officeDocument/2006/relationships/hyperlink" Target="http://www.linkedin.com/in/eugeniop" TargetMode="External"/><Relationship Id="rId8895" Type="http://schemas.openxmlformats.org/officeDocument/2006/relationships/hyperlink" Target="http://www.linkedin.com/in/markyaphe" TargetMode="External"/><Relationship Id="rId6233" Type="http://schemas.openxmlformats.org/officeDocument/2006/relationships/hyperlink" Target="https://www.linkedin.com/pub/javier-mata/27/654/867" TargetMode="External"/><Relationship Id="rId7563" Type="http://schemas.openxmlformats.org/officeDocument/2006/relationships/hyperlink" Target="http://www.linkedin.com/in/vraoprofile" TargetMode="External"/><Relationship Id="rId8894" Type="http://schemas.openxmlformats.org/officeDocument/2006/relationships/hyperlink" Target="http://uk.linkedin.com/pub/david-blume/0/70/9B3" TargetMode="External"/><Relationship Id="rId6238" Type="http://schemas.openxmlformats.org/officeDocument/2006/relationships/hyperlink" Target="http://www.linkedin.com/pub/peter-rivera/1/62/659" TargetMode="External"/><Relationship Id="rId6239" Type="http://schemas.openxmlformats.org/officeDocument/2006/relationships/hyperlink" Target="http://www.linkedin.com/in/dellarda" TargetMode="External"/><Relationship Id="rId7569" Type="http://schemas.openxmlformats.org/officeDocument/2006/relationships/hyperlink" Target="http://www.linkedin.com/in/rockycaamano" TargetMode="External"/><Relationship Id="rId6236" Type="http://schemas.openxmlformats.org/officeDocument/2006/relationships/hyperlink" Target="http://www.linkedin.com/in/marrelli" TargetMode="External"/><Relationship Id="rId7568" Type="http://schemas.openxmlformats.org/officeDocument/2006/relationships/hyperlink" Target="http://www.linkedin.com/pub/ivan-oros/8/4A6/643" TargetMode="External"/><Relationship Id="rId8899" Type="http://schemas.openxmlformats.org/officeDocument/2006/relationships/hyperlink" Target="http://www.linkedin.com/pub/elizabeth-pinkham/0/A/366" TargetMode="External"/><Relationship Id="rId6237" Type="http://schemas.openxmlformats.org/officeDocument/2006/relationships/hyperlink" Target="http://www.linkedin.com/in/honor" TargetMode="External"/><Relationship Id="rId7567" Type="http://schemas.openxmlformats.org/officeDocument/2006/relationships/hyperlink" Target="http://www.linkedin.com/in/reinaldonormand" TargetMode="External"/><Relationship Id="rId8898" Type="http://schemas.openxmlformats.org/officeDocument/2006/relationships/hyperlink" Target="http://www.linkedin.com/in/cyserrano" TargetMode="External"/><Relationship Id="rId7519" Type="http://schemas.openxmlformats.org/officeDocument/2006/relationships/hyperlink" Target="http://www.linkedin.com/pub/john-andrus/0/265/6B8" TargetMode="External"/><Relationship Id="rId7518" Type="http://schemas.openxmlformats.org/officeDocument/2006/relationships/hyperlink" Target="http://ar.linkedin.com/in/hecsa" TargetMode="External"/><Relationship Id="rId8849" Type="http://schemas.openxmlformats.org/officeDocument/2006/relationships/hyperlink" Target="http://www.linkedin.com/in/garyhoke" TargetMode="External"/><Relationship Id="rId7517" Type="http://schemas.openxmlformats.org/officeDocument/2006/relationships/hyperlink" Target="http://www.linkedin.com/in/matiasbagini" TargetMode="External"/><Relationship Id="rId8848" Type="http://schemas.openxmlformats.org/officeDocument/2006/relationships/hyperlink" Target="http://www.linkedin.com/pub/jan-paul-roodbol/0/64/570" TargetMode="External"/><Relationship Id="rId7516" Type="http://schemas.openxmlformats.org/officeDocument/2006/relationships/hyperlink" Target="http://ar.linkedin.com/in/ccrembil" TargetMode="External"/><Relationship Id="rId8847" Type="http://schemas.openxmlformats.org/officeDocument/2006/relationships/hyperlink" Target="http://ca.linkedin.com/pub/paul-bush/0/55/489" TargetMode="External"/><Relationship Id="rId7511" Type="http://schemas.openxmlformats.org/officeDocument/2006/relationships/hyperlink" Target="http://www.linkedin.com/in/diegosternberg" TargetMode="External"/><Relationship Id="rId8842" Type="http://schemas.openxmlformats.org/officeDocument/2006/relationships/hyperlink" Target="http://www.linkedin.com/pub/cindy-andrew-cordell/0/BA/511" TargetMode="External"/><Relationship Id="rId7510" Type="http://schemas.openxmlformats.org/officeDocument/2006/relationships/hyperlink" Target="http://www.linkedin.com/in/nanjichandra" TargetMode="External"/><Relationship Id="rId8841" Type="http://schemas.openxmlformats.org/officeDocument/2006/relationships/hyperlink" Target="http://www.linkedin.com/pub/bill-driest/0/A7/346" TargetMode="External"/><Relationship Id="rId8840" Type="http://schemas.openxmlformats.org/officeDocument/2006/relationships/hyperlink" Target="http://www.linkedin.com/in/tomhortel" TargetMode="External"/><Relationship Id="rId7515" Type="http://schemas.openxmlformats.org/officeDocument/2006/relationships/hyperlink" Target="https://www.linkedin.com/in/rossjmason/" TargetMode="External"/><Relationship Id="rId8846" Type="http://schemas.openxmlformats.org/officeDocument/2006/relationships/hyperlink" Target="http://www.linkedin.com/in/wendellwblack" TargetMode="External"/><Relationship Id="rId7514" Type="http://schemas.openxmlformats.org/officeDocument/2006/relationships/hyperlink" Target="http://www.linkedin.com/in/dpinkus" TargetMode="External"/><Relationship Id="rId8845" Type="http://schemas.openxmlformats.org/officeDocument/2006/relationships/hyperlink" Target="http://www.linkedin.com/in/gregvnielsen" TargetMode="External"/><Relationship Id="rId7513" Type="http://schemas.openxmlformats.org/officeDocument/2006/relationships/hyperlink" Target="http://www.linkedin.com/in/samantasequeira" TargetMode="External"/><Relationship Id="rId8844" Type="http://schemas.openxmlformats.org/officeDocument/2006/relationships/hyperlink" Target="http://www.linkedin.com/in/markgoldstein" TargetMode="External"/><Relationship Id="rId7512" Type="http://schemas.openxmlformats.org/officeDocument/2006/relationships/hyperlink" Target="http://www.linkedin.com/in/javiergagliardo" TargetMode="External"/><Relationship Id="rId8843" Type="http://schemas.openxmlformats.org/officeDocument/2006/relationships/hyperlink" Target="http://www.linkedin.com/pub/ron-resnick/0/189/532" TargetMode="External"/><Relationship Id="rId7508" Type="http://schemas.openxmlformats.org/officeDocument/2006/relationships/hyperlink" Target="http://www.linkedin.com/pub/jorge-de-ezcurra/7/4B3/656" TargetMode="External"/><Relationship Id="rId8839" Type="http://schemas.openxmlformats.org/officeDocument/2006/relationships/hyperlink" Target="http://www.linkedin.com/in/christopherkesler" TargetMode="External"/><Relationship Id="rId7507" Type="http://schemas.openxmlformats.org/officeDocument/2006/relationships/hyperlink" Target="http://www.linkedin.com/pub/marcela-parra/5/B72/A4" TargetMode="External"/><Relationship Id="rId8838" Type="http://schemas.openxmlformats.org/officeDocument/2006/relationships/hyperlink" Target="http://www.linkedin.com/in/dtaylorlinkedin" TargetMode="External"/><Relationship Id="rId7506" Type="http://schemas.openxmlformats.org/officeDocument/2006/relationships/hyperlink" Target="http://www.linkedin.com/pub/ruben-alvo/7/910/533" TargetMode="External"/><Relationship Id="rId8837" Type="http://schemas.openxmlformats.org/officeDocument/2006/relationships/hyperlink" Target="http://www.linkedin.com/pub/david-huryn/1/121/373" TargetMode="External"/><Relationship Id="rId7505" Type="http://schemas.openxmlformats.org/officeDocument/2006/relationships/hyperlink" Target="http://ar.linkedin.com/pub/natalia-scaliter/5/231/425" TargetMode="External"/><Relationship Id="rId8836" Type="http://schemas.openxmlformats.org/officeDocument/2006/relationships/hyperlink" Target="http://www.linkedin.com/pub/john-atkinson/0/B27/136" TargetMode="External"/><Relationship Id="rId7509" Type="http://schemas.openxmlformats.org/officeDocument/2006/relationships/hyperlink" Target="http://www.linkedin.com/pub/mark-nixon/3/44B/289" TargetMode="External"/><Relationship Id="rId7500" Type="http://schemas.openxmlformats.org/officeDocument/2006/relationships/hyperlink" Target="http://www.linkedin.com/pub/kristina-roser/13/790/909" TargetMode="External"/><Relationship Id="rId8831" Type="http://schemas.openxmlformats.org/officeDocument/2006/relationships/hyperlink" Target="http://www.linkedin.com/pub/jim-brown/4/4B7/A79" TargetMode="External"/><Relationship Id="rId8830" Type="http://schemas.openxmlformats.org/officeDocument/2006/relationships/hyperlink" Target="http://www.linkedin.com/in/seanfotoohi" TargetMode="External"/><Relationship Id="rId7504" Type="http://schemas.openxmlformats.org/officeDocument/2006/relationships/hyperlink" Target="http://ar.linkedin.com/pub/adriano-lombardi/24/360/545" TargetMode="External"/><Relationship Id="rId8835" Type="http://schemas.openxmlformats.org/officeDocument/2006/relationships/hyperlink" Target="http://www.linkedin.com/in/paulfrase" TargetMode="External"/><Relationship Id="rId7503" Type="http://schemas.openxmlformats.org/officeDocument/2006/relationships/hyperlink" Target="http://www.linkedin.com/pub/yolette-caldwell-alvarez-/0/A64/67A" TargetMode="External"/><Relationship Id="rId8834" Type="http://schemas.openxmlformats.org/officeDocument/2006/relationships/hyperlink" Target="http://www.linkedin.com/pub/louis-m-morrone-r-t/8/7b9/731" TargetMode="External"/><Relationship Id="rId7502" Type="http://schemas.openxmlformats.org/officeDocument/2006/relationships/hyperlink" Target="http://www.linkedin.com/in/carlossebastianmartins" TargetMode="External"/><Relationship Id="rId8833" Type="http://schemas.openxmlformats.org/officeDocument/2006/relationships/hyperlink" Target="http://www.linkedin.com/in/richardcoy" TargetMode="External"/><Relationship Id="rId7501" Type="http://schemas.openxmlformats.org/officeDocument/2006/relationships/hyperlink" Target="http://www.linkedin.com/in/nicolasvivero" TargetMode="External"/><Relationship Id="rId8832" Type="http://schemas.openxmlformats.org/officeDocument/2006/relationships/hyperlink" Target="https://www.linkedin.com/in/ceferinoggonzalez" TargetMode="External"/><Relationship Id="rId6209" Type="http://schemas.openxmlformats.org/officeDocument/2006/relationships/hyperlink" Target="http://ar.linkedin.com/pub/mariano-ares/21/583/683" TargetMode="External"/><Relationship Id="rId6207" Type="http://schemas.openxmlformats.org/officeDocument/2006/relationships/hyperlink" Target="http://www.linkedin.com/pub/adriana-petrusic/13/435/64" TargetMode="External"/><Relationship Id="rId7539" Type="http://schemas.openxmlformats.org/officeDocument/2006/relationships/hyperlink" Target="http://www.linkedin.com/in/steveflinn" TargetMode="External"/><Relationship Id="rId6208" Type="http://schemas.openxmlformats.org/officeDocument/2006/relationships/hyperlink" Target="http://www.linkedin.com/pub/paula-paris/3/163/8A5" TargetMode="External"/><Relationship Id="rId7538" Type="http://schemas.openxmlformats.org/officeDocument/2006/relationships/hyperlink" Target="http://www.linkedin.com/in/pablogamba" TargetMode="External"/><Relationship Id="rId8869" Type="http://schemas.openxmlformats.org/officeDocument/2006/relationships/hyperlink" Target="http://www.linkedin.com/in/richarddonaldson" TargetMode="External"/><Relationship Id="rId8860" Type="http://schemas.openxmlformats.org/officeDocument/2006/relationships/hyperlink" Target="http://www.linkedin.com/in/timsaumier" TargetMode="External"/><Relationship Id="rId6201" Type="http://schemas.openxmlformats.org/officeDocument/2006/relationships/hyperlink" Target="http://www.linkedin.com/pub/maria-fernanda-yuste/9/672/a2b" TargetMode="External"/><Relationship Id="rId7533" Type="http://schemas.openxmlformats.org/officeDocument/2006/relationships/hyperlink" Target="http://www.linkedin.com/in/rodrigoteijeiro" TargetMode="External"/><Relationship Id="rId8864" Type="http://schemas.openxmlformats.org/officeDocument/2006/relationships/hyperlink" Target="http://www.linkedin.com/pub/aleksandra-darrah/0/534/A22" TargetMode="External"/><Relationship Id="rId6202" Type="http://schemas.openxmlformats.org/officeDocument/2006/relationships/hyperlink" Target="http://www.linkedin.com/pub/pablo-canchelara/2b/2b5/b6b" TargetMode="External"/><Relationship Id="rId7532" Type="http://schemas.openxmlformats.org/officeDocument/2006/relationships/hyperlink" Target="http://www.linkedin.com/in/michaelprestonjohnson" TargetMode="External"/><Relationship Id="rId8863" Type="http://schemas.openxmlformats.org/officeDocument/2006/relationships/hyperlink" Target="http://www.linkedin.com/in/rudychev" TargetMode="External"/><Relationship Id="rId7531" Type="http://schemas.openxmlformats.org/officeDocument/2006/relationships/hyperlink" Target="http://www.linkedin.com/pub/dimitri-boylan/1/131/B5" TargetMode="External"/><Relationship Id="rId8862" Type="http://schemas.openxmlformats.org/officeDocument/2006/relationships/hyperlink" Target="http://www.linkedin.com/in/jerrybowerman" TargetMode="External"/><Relationship Id="rId6200" Type="http://schemas.openxmlformats.org/officeDocument/2006/relationships/hyperlink" Target="http://www.linkedin.com/in/amitgupta12" TargetMode="External"/><Relationship Id="rId7530" Type="http://schemas.openxmlformats.org/officeDocument/2006/relationships/hyperlink" Target="http://ar.linkedin.com/in/gtfunes" TargetMode="External"/><Relationship Id="rId8861" Type="http://schemas.openxmlformats.org/officeDocument/2006/relationships/hyperlink" Target="http://www.linkedin.com/in/vaksambath" TargetMode="External"/><Relationship Id="rId6205" Type="http://schemas.openxmlformats.org/officeDocument/2006/relationships/hyperlink" Target="http://www.linkedin.com/pub/marcel-del-prado/0/2B6/313" TargetMode="External"/><Relationship Id="rId7537" Type="http://schemas.openxmlformats.org/officeDocument/2006/relationships/hyperlink" Target="http://www.linkedin.com/pub/deborah-blomfield/9/959/3B8" TargetMode="External"/><Relationship Id="rId8868" Type="http://schemas.openxmlformats.org/officeDocument/2006/relationships/hyperlink" Target="http://www.linkedin.com/in/itesa" TargetMode="External"/><Relationship Id="rId6206" Type="http://schemas.openxmlformats.org/officeDocument/2006/relationships/hyperlink" Target="http://www.linkedin.com/pub/elvira-medus/0/500/89" TargetMode="External"/><Relationship Id="rId7536" Type="http://schemas.openxmlformats.org/officeDocument/2006/relationships/hyperlink" Target="http://www.linkedin.com/pub/kim-legelis/6/930/A02" TargetMode="External"/><Relationship Id="rId8867" Type="http://schemas.openxmlformats.org/officeDocument/2006/relationships/hyperlink" Target="http://www.linkedin.com/in/gregdewald" TargetMode="External"/><Relationship Id="rId6203" Type="http://schemas.openxmlformats.org/officeDocument/2006/relationships/hyperlink" Target="http://ar.linkedin.com/pub/mauricio-guarrera/5/217/63" TargetMode="External"/><Relationship Id="rId7535" Type="http://schemas.openxmlformats.org/officeDocument/2006/relationships/hyperlink" Target="http://www.linkedin.com/pub/jeffrey-p-vasquez/0/899/649" TargetMode="External"/><Relationship Id="rId8866" Type="http://schemas.openxmlformats.org/officeDocument/2006/relationships/hyperlink" Target="http://www.linkedin.com/pub/nigel-upton/0/18B/666" TargetMode="External"/><Relationship Id="rId6204" Type="http://schemas.openxmlformats.org/officeDocument/2006/relationships/hyperlink" Target="http://www.linkedin.com/in/oscarpozossaldivar" TargetMode="External"/><Relationship Id="rId7534" Type="http://schemas.openxmlformats.org/officeDocument/2006/relationships/hyperlink" Target="http://ar.linkedin.com/in/lucaslain" TargetMode="External"/><Relationship Id="rId8865" Type="http://schemas.openxmlformats.org/officeDocument/2006/relationships/hyperlink" Target="http://www.linkedin.com/in/scottschreiman" TargetMode="External"/><Relationship Id="rId7529" Type="http://schemas.openxmlformats.org/officeDocument/2006/relationships/hyperlink" Target="http://www.linkedin.com/pub/francisco-l%C3%B3pez/3/A07/272" TargetMode="External"/><Relationship Id="rId7528" Type="http://schemas.openxmlformats.org/officeDocument/2006/relationships/hyperlink" Target="http://www.linkedin.com/pub/gerald-gerry-ignatius/2/627/101" TargetMode="External"/><Relationship Id="rId8859" Type="http://schemas.openxmlformats.org/officeDocument/2006/relationships/hyperlink" Target="http://www.linkedin.com/in/lilyyeoh" TargetMode="External"/><Relationship Id="rId7527" Type="http://schemas.openxmlformats.org/officeDocument/2006/relationships/hyperlink" Target="http://www.linkedin.com/pub/german-dyzenchauz/6/90/200?trk=pub-pbmap" TargetMode="External"/><Relationship Id="rId8858" Type="http://schemas.openxmlformats.org/officeDocument/2006/relationships/hyperlink" Target="http://www.linkedin.com/in/jaspermalcolmson" TargetMode="External"/><Relationship Id="rId7522" Type="http://schemas.openxmlformats.org/officeDocument/2006/relationships/hyperlink" Target="http://www.linkedin.com/in/thomashutton" TargetMode="External"/><Relationship Id="rId8853" Type="http://schemas.openxmlformats.org/officeDocument/2006/relationships/hyperlink" Target="http://www.linkedin.com/in/drhagit" TargetMode="External"/><Relationship Id="rId7521" Type="http://schemas.openxmlformats.org/officeDocument/2006/relationships/hyperlink" Target="http://ar.linkedin.com/pub/nicol%C3%A1s-de-la-cruz/9/B21/868" TargetMode="External"/><Relationship Id="rId8852" Type="http://schemas.openxmlformats.org/officeDocument/2006/relationships/hyperlink" Target="http://ca.linkedin.com/in/vrallon" TargetMode="External"/><Relationship Id="rId7520" Type="http://schemas.openxmlformats.org/officeDocument/2006/relationships/hyperlink" Target="http://ar.linkedin.com/in/anibalsanchez" TargetMode="External"/><Relationship Id="rId8851" Type="http://schemas.openxmlformats.org/officeDocument/2006/relationships/hyperlink" Target="http://www.linkedin.com/in/pravirmalik" TargetMode="External"/><Relationship Id="rId8850" Type="http://schemas.openxmlformats.org/officeDocument/2006/relationships/hyperlink" Target="http://www.linkedin.com/pub/nick-groleau/0/14/462" TargetMode="External"/><Relationship Id="rId7526" Type="http://schemas.openxmlformats.org/officeDocument/2006/relationships/hyperlink" Target="http://www.linkedin.com/in/seanflaherty" TargetMode="External"/><Relationship Id="rId8857" Type="http://schemas.openxmlformats.org/officeDocument/2006/relationships/hyperlink" Target="http://www.linkedin.com/in/evancarmichael" TargetMode="External"/><Relationship Id="rId7525" Type="http://schemas.openxmlformats.org/officeDocument/2006/relationships/hyperlink" Target="http://www.linkedin.com/in/leslieborrell" TargetMode="External"/><Relationship Id="rId8856" Type="http://schemas.openxmlformats.org/officeDocument/2006/relationships/hyperlink" Target="http://www.linkedin.com/in/bobmoesta" TargetMode="External"/><Relationship Id="rId7524" Type="http://schemas.openxmlformats.org/officeDocument/2006/relationships/hyperlink" Target="http://ar.linkedin.com/pub/javier-otaegui/0/507/475" TargetMode="External"/><Relationship Id="rId8855" Type="http://schemas.openxmlformats.org/officeDocument/2006/relationships/hyperlink" Target="http://www.linkedin.com/in/osolind" TargetMode="External"/><Relationship Id="rId7523" Type="http://schemas.openxmlformats.org/officeDocument/2006/relationships/hyperlink" Target="http://www.linkedin.com/in/damianp" TargetMode="External"/><Relationship Id="rId8854" Type="http://schemas.openxmlformats.org/officeDocument/2006/relationships/hyperlink" Target="http://www.linkedin.com/in/jimcorbett" TargetMode="External"/><Relationship Id="rId2700" Type="http://schemas.openxmlformats.org/officeDocument/2006/relationships/hyperlink" Target="http://ar.linkedin.com/in/hpetitti" TargetMode="External"/><Relationship Id="rId2701" Type="http://schemas.openxmlformats.org/officeDocument/2006/relationships/hyperlink" Target="http://ar.linkedin.com/in/guadalupe" TargetMode="External"/><Relationship Id="rId2702" Type="http://schemas.openxmlformats.org/officeDocument/2006/relationships/hyperlink" Target="http://ar.linkedin.com/pub/n%C3%A9stor-mart%C3%ADn-romero/17/743/8AA" TargetMode="External"/><Relationship Id="rId2703" Type="http://schemas.openxmlformats.org/officeDocument/2006/relationships/hyperlink" Target="http://ar.linkedin.com/in/jocid" TargetMode="External"/><Relationship Id="rId2704" Type="http://schemas.openxmlformats.org/officeDocument/2006/relationships/hyperlink" Target="http://ar.linkedin.com/pub/jorge-altamura/A/191/B19" TargetMode="External"/><Relationship Id="rId2705" Type="http://schemas.openxmlformats.org/officeDocument/2006/relationships/hyperlink" Target="http://www.linkedin.com/pub/michael-nguyen/1/962/867" TargetMode="External"/><Relationship Id="rId2706" Type="http://schemas.openxmlformats.org/officeDocument/2006/relationships/hyperlink" Target="http://ar.linkedin.com/pub/alex-schrammel/5/377/6AA" TargetMode="External"/><Relationship Id="rId2707" Type="http://schemas.openxmlformats.org/officeDocument/2006/relationships/hyperlink" Target="http://ar.linkedin.com/in/veronicalauraroncoroni" TargetMode="External"/><Relationship Id="rId2708" Type="http://schemas.openxmlformats.org/officeDocument/2006/relationships/hyperlink" Target="http://ar.linkedin.com/pub/alejandra-rodriguez/1/721/546" TargetMode="External"/><Relationship Id="rId2709" Type="http://schemas.openxmlformats.org/officeDocument/2006/relationships/hyperlink" Target="http://ar.linkedin.com/pub/marcelo-seoane/7/56/99" TargetMode="External"/><Relationship Id="rId6292" Type="http://schemas.openxmlformats.org/officeDocument/2006/relationships/hyperlink" Target="http://www.linkedin.com/in/divyasarasan" TargetMode="External"/><Relationship Id="rId6293" Type="http://schemas.openxmlformats.org/officeDocument/2006/relationships/hyperlink" Target="http://www.linkedin.com/in/marianocardoso" TargetMode="External"/><Relationship Id="rId6290" Type="http://schemas.openxmlformats.org/officeDocument/2006/relationships/hyperlink" Target="http://www.linkedin.com/pub/carlos-diuk-wasser/2/7B7/238" TargetMode="External"/><Relationship Id="rId6291" Type="http://schemas.openxmlformats.org/officeDocument/2006/relationships/hyperlink" Target="http://ar.linkedin.com/pub/sergio-peralta/3/A41/521" TargetMode="External"/><Relationship Id="rId6296" Type="http://schemas.openxmlformats.org/officeDocument/2006/relationships/hyperlink" Target="http://ar.linkedin.com/in/dmusolino" TargetMode="External"/><Relationship Id="rId6297" Type="http://schemas.openxmlformats.org/officeDocument/2006/relationships/hyperlink" Target="http://ar.linkedin.com/in/ggmolinari" TargetMode="External"/><Relationship Id="rId6294" Type="http://schemas.openxmlformats.org/officeDocument/2006/relationships/hyperlink" Target="http://ar.linkedin.com/in/alejandracaretto" TargetMode="External"/><Relationship Id="rId6295" Type="http://schemas.openxmlformats.org/officeDocument/2006/relationships/hyperlink" Target="http://www.linkedin.com/in/martinweidemann" TargetMode="External"/><Relationship Id="rId6298" Type="http://schemas.openxmlformats.org/officeDocument/2006/relationships/hyperlink" Target="http://ar.linkedin.com/in/carlosijelchuk" TargetMode="External"/><Relationship Id="rId6299" Type="http://schemas.openxmlformats.org/officeDocument/2006/relationships/hyperlink" Target="http://www.linkedin.com/in/gnarvaja" TargetMode="External"/><Relationship Id="rId2720" Type="http://schemas.openxmlformats.org/officeDocument/2006/relationships/hyperlink" Target="http://www.linkedin.com/in/morganschwartz" TargetMode="External"/><Relationship Id="rId2721" Type="http://schemas.openxmlformats.org/officeDocument/2006/relationships/hyperlink" Target="http://www.linkedin.com/pub/fabricio-gaston-soruco/2b/323/3b7" TargetMode="External"/><Relationship Id="rId2722" Type="http://schemas.openxmlformats.org/officeDocument/2006/relationships/hyperlink" Target="http://ar.linkedin.com/in/lindaschvarzman" TargetMode="External"/><Relationship Id="rId2723" Type="http://schemas.openxmlformats.org/officeDocument/2006/relationships/hyperlink" Target="http://ar.linkedin.com/in/juanmpalma" TargetMode="External"/><Relationship Id="rId2724" Type="http://schemas.openxmlformats.org/officeDocument/2006/relationships/hyperlink" Target="http://ar.linkedin.com/in/vivianaacevedo" TargetMode="External"/><Relationship Id="rId2725" Type="http://schemas.openxmlformats.org/officeDocument/2006/relationships/hyperlink" Target="http://ar.linkedin.com/pub/andres-di-falco/2/644/49" TargetMode="External"/><Relationship Id="rId2726" Type="http://schemas.openxmlformats.org/officeDocument/2006/relationships/hyperlink" Target="http://ar.linkedin.com/in/rodrigoarielochoa" TargetMode="External"/><Relationship Id="rId2727" Type="http://schemas.openxmlformats.org/officeDocument/2006/relationships/hyperlink" Target="http://ar.linkedin.com/in/francocamusso" TargetMode="External"/><Relationship Id="rId2728" Type="http://schemas.openxmlformats.org/officeDocument/2006/relationships/hyperlink" Target="http://ar.linkedin.com/in/pabloperotti" TargetMode="External"/><Relationship Id="rId2729" Type="http://schemas.openxmlformats.org/officeDocument/2006/relationships/hyperlink" Target="http://ar.linkedin.com/pub/magdalena-alvarez/6/B19/62" TargetMode="External"/><Relationship Id="rId2710" Type="http://schemas.openxmlformats.org/officeDocument/2006/relationships/hyperlink" Target="http://ar.linkedin.com/in/olivaresgustavo" TargetMode="External"/><Relationship Id="rId2711" Type="http://schemas.openxmlformats.org/officeDocument/2006/relationships/hyperlink" Target="http://ar.linkedin.com/in/agustinmouso" TargetMode="External"/><Relationship Id="rId2712" Type="http://schemas.openxmlformats.org/officeDocument/2006/relationships/hyperlink" Target="http://ar.linkedin.com/pub/jimena-vidal/1/B50/259" TargetMode="External"/><Relationship Id="rId2713" Type="http://schemas.openxmlformats.org/officeDocument/2006/relationships/hyperlink" Target="http://ar.linkedin.com/in/arieldebernardi" TargetMode="External"/><Relationship Id="rId2714" Type="http://schemas.openxmlformats.org/officeDocument/2006/relationships/hyperlink" Target="http://www.linkedin.com/in/lizk001" TargetMode="External"/><Relationship Id="rId2715" Type="http://schemas.openxmlformats.org/officeDocument/2006/relationships/hyperlink" Target="http://ar.linkedin.com/in/lucialazarte" TargetMode="External"/><Relationship Id="rId2716" Type="http://schemas.openxmlformats.org/officeDocument/2006/relationships/hyperlink" Target="http://ar.linkedin.com/in/laurapaonessa" TargetMode="External"/><Relationship Id="rId2717" Type="http://schemas.openxmlformats.org/officeDocument/2006/relationships/hyperlink" Target="http://uk.linkedin.com/pub/bernadette-brealey/1A/438/A91" TargetMode="External"/><Relationship Id="rId2718" Type="http://schemas.openxmlformats.org/officeDocument/2006/relationships/hyperlink" Target="http://www.linkedin.com/pub/abbie-curd/5/46/bb7" TargetMode="External"/><Relationship Id="rId2719" Type="http://schemas.openxmlformats.org/officeDocument/2006/relationships/hyperlink" Target="http://www.linkedin.com/pub/spencer-chandler/0/8a3/985" TargetMode="External"/><Relationship Id="rId7591" Type="http://schemas.openxmlformats.org/officeDocument/2006/relationships/hyperlink" Target="http://www.linkedin.com/pub/gustavo-viceconti/13/426/831" TargetMode="External"/><Relationship Id="rId6260" Type="http://schemas.openxmlformats.org/officeDocument/2006/relationships/hyperlink" Target="http://ar.linkedin.com/in/fernandojorgefraga" TargetMode="External"/><Relationship Id="rId7590" Type="http://schemas.openxmlformats.org/officeDocument/2006/relationships/hyperlink" Target="http://www.linkedin.com/in/mdaigle" TargetMode="External"/><Relationship Id="rId6263" Type="http://schemas.openxmlformats.org/officeDocument/2006/relationships/hyperlink" Target="http://ar.linkedin.com/pub/fernando-otegui/15/903/12B" TargetMode="External"/><Relationship Id="rId7595" Type="http://schemas.openxmlformats.org/officeDocument/2006/relationships/hyperlink" Target="http://www.linkedin.com/pub/axel-steinman/7/9A1/BB0" TargetMode="External"/><Relationship Id="rId6264" Type="http://schemas.openxmlformats.org/officeDocument/2006/relationships/hyperlink" Target="http://www.linkedin.com/in/bobgnewuch" TargetMode="External"/><Relationship Id="rId7594" Type="http://schemas.openxmlformats.org/officeDocument/2006/relationships/hyperlink" Target="http://www.linkedin.com/pub/wences-casares/0/a0/b3b?trk=biz_employee_pub" TargetMode="External"/><Relationship Id="rId6261" Type="http://schemas.openxmlformats.org/officeDocument/2006/relationships/hyperlink" Target="http://ar.linkedin.com/pub/silvina-gornatti/6/22A/762" TargetMode="External"/><Relationship Id="rId7593" Type="http://schemas.openxmlformats.org/officeDocument/2006/relationships/hyperlink" Target="http://www.linkedin.com/pub/craig-stevens/0/122/A92" TargetMode="External"/><Relationship Id="rId6262" Type="http://schemas.openxmlformats.org/officeDocument/2006/relationships/hyperlink" Target="http://ar.linkedin.com/in/ezequieljadib" TargetMode="External"/><Relationship Id="rId7592" Type="http://schemas.openxmlformats.org/officeDocument/2006/relationships/hyperlink" Target="http://www.linkedin.com/in/afeugene" TargetMode="External"/><Relationship Id="rId6267" Type="http://schemas.openxmlformats.org/officeDocument/2006/relationships/hyperlink" Target="http://www.linkedin.com/in/macozzi" TargetMode="External"/><Relationship Id="rId7599" Type="http://schemas.openxmlformats.org/officeDocument/2006/relationships/hyperlink" Target="http://www.linkedin.com/pub/mike-marcus/12/907/45" TargetMode="External"/><Relationship Id="rId6268" Type="http://schemas.openxmlformats.org/officeDocument/2006/relationships/hyperlink" Target="http://ar.linkedin.com/in/agospiana" TargetMode="External"/><Relationship Id="rId7598" Type="http://schemas.openxmlformats.org/officeDocument/2006/relationships/hyperlink" Target="http://ar.linkedin.com/pub/betina-kindler/A/86A/A16" TargetMode="External"/><Relationship Id="rId6265" Type="http://schemas.openxmlformats.org/officeDocument/2006/relationships/hyperlink" Target="http://www.linkedin.com/pub/michael-frisch/5/200/2B1" TargetMode="External"/><Relationship Id="rId7597" Type="http://schemas.openxmlformats.org/officeDocument/2006/relationships/hyperlink" Target="http://www.linkedin.com/pub/alex-elkin/18/698/719" TargetMode="External"/><Relationship Id="rId6266" Type="http://schemas.openxmlformats.org/officeDocument/2006/relationships/hyperlink" Target="http://www.linkedin.com/in/douglantz" TargetMode="External"/><Relationship Id="rId7596" Type="http://schemas.openxmlformats.org/officeDocument/2006/relationships/hyperlink" Target="http://www.linkedin.com/pub/matt-crye/7/1A6/568" TargetMode="External"/><Relationship Id="rId6269" Type="http://schemas.openxmlformats.org/officeDocument/2006/relationships/hyperlink" Target="http://ar.linkedin.com/pub/martin-galmarino/2A/B20/807" TargetMode="External"/><Relationship Id="rId7580" Type="http://schemas.openxmlformats.org/officeDocument/2006/relationships/hyperlink" Target="http://www.linkedin.com/in/frankphernandez" TargetMode="External"/><Relationship Id="rId6252" Type="http://schemas.openxmlformats.org/officeDocument/2006/relationships/hyperlink" Target="http://www.linkedin.com/in/imransiddiqui" TargetMode="External"/><Relationship Id="rId7584" Type="http://schemas.openxmlformats.org/officeDocument/2006/relationships/hyperlink" Target="http://www.linkedin.com/pub/jaime-valles/6/B73/63" TargetMode="External"/><Relationship Id="rId6253" Type="http://schemas.openxmlformats.org/officeDocument/2006/relationships/hyperlink" Target="http://www.linkedin.com/in/christopherataylor" TargetMode="External"/><Relationship Id="rId7583" Type="http://schemas.openxmlformats.org/officeDocument/2006/relationships/hyperlink" Target="http://www.linkedin.com/in/mauriciovalli" TargetMode="External"/><Relationship Id="rId6250" Type="http://schemas.openxmlformats.org/officeDocument/2006/relationships/hyperlink" Target="http://www.linkedin.com/in/valeriesimpson1" TargetMode="External"/><Relationship Id="rId7582" Type="http://schemas.openxmlformats.org/officeDocument/2006/relationships/hyperlink" Target="http://www.linkedin.com/pub/hilda-garcia/0/343/42" TargetMode="External"/><Relationship Id="rId6251" Type="http://schemas.openxmlformats.org/officeDocument/2006/relationships/hyperlink" Target="http://www.linkedin.com/pub/gil-boas/0/169/631" TargetMode="External"/><Relationship Id="rId7581" Type="http://schemas.openxmlformats.org/officeDocument/2006/relationships/hyperlink" Target="http://www.linkedin.com/pub/gabriel-enzo-gagliardi/13/772/13a" TargetMode="External"/><Relationship Id="rId6256" Type="http://schemas.openxmlformats.org/officeDocument/2006/relationships/hyperlink" Target="http://ar.linkedin.com/pub/cecilia-konig/13/49B/492" TargetMode="External"/><Relationship Id="rId7588" Type="http://schemas.openxmlformats.org/officeDocument/2006/relationships/hyperlink" Target="http://www.linkedin.com/pub/marilyn-ehrhardt/0/2A5/85" TargetMode="External"/><Relationship Id="rId6257" Type="http://schemas.openxmlformats.org/officeDocument/2006/relationships/hyperlink" Target="http://www.linkedin.com/pub/ignacio-tolosa/0/115/964" TargetMode="External"/><Relationship Id="rId7587" Type="http://schemas.openxmlformats.org/officeDocument/2006/relationships/hyperlink" Target="http://www.linkedin.com/in/karenlim5" TargetMode="External"/><Relationship Id="rId6254" Type="http://schemas.openxmlformats.org/officeDocument/2006/relationships/hyperlink" Target="http://www.linkedin.com/pub/mauricio-bellora/0/427/500" TargetMode="External"/><Relationship Id="rId7586" Type="http://schemas.openxmlformats.org/officeDocument/2006/relationships/hyperlink" Target="http://www.linkedin.com/pub/charlie-duren/0/910/150" TargetMode="External"/><Relationship Id="rId6255" Type="http://schemas.openxmlformats.org/officeDocument/2006/relationships/hyperlink" Target="http://ar.linkedin.com/pub/alejandro-pineda/4/120/B13" TargetMode="External"/><Relationship Id="rId7585" Type="http://schemas.openxmlformats.org/officeDocument/2006/relationships/hyperlink" Target="http://ar.linkedin.com/in/jorgegil" TargetMode="External"/><Relationship Id="rId6258" Type="http://schemas.openxmlformats.org/officeDocument/2006/relationships/hyperlink" Target="http://ar.linkedin.com/in/dsanesteban" TargetMode="External"/><Relationship Id="rId6259" Type="http://schemas.openxmlformats.org/officeDocument/2006/relationships/hyperlink" Target="http://ar.linkedin.com/in/pabloroviralta" TargetMode="External"/><Relationship Id="rId7589" Type="http://schemas.openxmlformats.org/officeDocument/2006/relationships/hyperlink" Target="http://www.linkedin.com/in/davidreiling" TargetMode="External"/><Relationship Id="rId6281" Type="http://schemas.openxmlformats.org/officeDocument/2006/relationships/hyperlink" Target="http://www.linkedin.com/pub/guillermo-prados-cba/7/315/b13" TargetMode="External"/><Relationship Id="rId6282" Type="http://schemas.openxmlformats.org/officeDocument/2006/relationships/hyperlink" Target="http://ar.linkedin.com/pub/walter-agustin-campos/22/976/884" TargetMode="External"/><Relationship Id="rId6280" Type="http://schemas.openxmlformats.org/officeDocument/2006/relationships/hyperlink" Target="http://www.linkedin.com/pub/shubh-kaur/3/765/43A" TargetMode="External"/><Relationship Id="rId6285" Type="http://schemas.openxmlformats.org/officeDocument/2006/relationships/hyperlink" Target="http://www.linkedin.com/pub/randy-oxentenko/3/585/AB4" TargetMode="External"/><Relationship Id="rId6286" Type="http://schemas.openxmlformats.org/officeDocument/2006/relationships/hyperlink" Target="http://www.linkedin.com/in/stephenclopp" TargetMode="External"/><Relationship Id="rId6283" Type="http://schemas.openxmlformats.org/officeDocument/2006/relationships/hyperlink" Target="http://ar.linkedin.com/in/anamercado" TargetMode="External"/><Relationship Id="rId6284" Type="http://schemas.openxmlformats.org/officeDocument/2006/relationships/hyperlink" Target="http://www.linkedin.com/in/diegum" TargetMode="External"/><Relationship Id="rId6289" Type="http://schemas.openxmlformats.org/officeDocument/2006/relationships/hyperlink" Target="http://www.linkedin.com/in/frayas" TargetMode="External"/><Relationship Id="rId6287" Type="http://schemas.openxmlformats.org/officeDocument/2006/relationships/hyperlink" Target="http://www.linkedin.com/pub/chandrika-taduri/4/331/452" TargetMode="External"/><Relationship Id="rId6288" Type="http://schemas.openxmlformats.org/officeDocument/2006/relationships/hyperlink" Target="http://www.linkedin.com/in/brendanrankin" TargetMode="External"/><Relationship Id="rId6270" Type="http://schemas.openxmlformats.org/officeDocument/2006/relationships/hyperlink" Target="http://ar.linkedin.com/pub/javier-valletta/1B/33B/A18" TargetMode="External"/><Relationship Id="rId6271" Type="http://schemas.openxmlformats.org/officeDocument/2006/relationships/hyperlink" Target="http://ar.linkedin.com/pub/federico-bisignani/B/802/968" TargetMode="External"/><Relationship Id="rId6274" Type="http://schemas.openxmlformats.org/officeDocument/2006/relationships/hyperlink" Target="http://www.linkedin.com/in/lucianoverger" TargetMode="External"/><Relationship Id="rId6275" Type="http://schemas.openxmlformats.org/officeDocument/2006/relationships/hyperlink" Target="http://www.linkedin.com/pub/adeel-alam/28/125/982" TargetMode="External"/><Relationship Id="rId6272" Type="http://schemas.openxmlformats.org/officeDocument/2006/relationships/hyperlink" Target="http://ar.linkedin.com/in/gustavoferrari" TargetMode="External"/><Relationship Id="rId6273" Type="http://schemas.openxmlformats.org/officeDocument/2006/relationships/hyperlink" Target="http://www.linkedin.com/pub/allison-herrera/6/166/103" TargetMode="External"/><Relationship Id="rId6278" Type="http://schemas.openxmlformats.org/officeDocument/2006/relationships/hyperlink" Target="http://www.linkedin.com/pub/sola-babalola/1/738/217" TargetMode="External"/><Relationship Id="rId6279" Type="http://schemas.openxmlformats.org/officeDocument/2006/relationships/hyperlink" Target="http://www.linkedin.com/in/shaheenva" TargetMode="External"/><Relationship Id="rId6276" Type="http://schemas.openxmlformats.org/officeDocument/2006/relationships/hyperlink" Target="http://www.linkedin.com/pub/murali-bandaru/1/6/2B8" TargetMode="External"/><Relationship Id="rId6277" Type="http://schemas.openxmlformats.org/officeDocument/2006/relationships/hyperlink" Target="http://www.linkedin.com/pub/nouhad-elhassan/0/B41/151" TargetMode="External"/><Relationship Id="rId1455" Type="http://schemas.openxmlformats.org/officeDocument/2006/relationships/hyperlink" Target="http://www.linkedin.com/in/peggyharrington" TargetMode="External"/><Relationship Id="rId2786" Type="http://schemas.openxmlformats.org/officeDocument/2006/relationships/hyperlink" Target="http://www.linkedin.com/pub/alan-toto-molina/1b/422/416" TargetMode="External"/><Relationship Id="rId1456" Type="http://schemas.openxmlformats.org/officeDocument/2006/relationships/hyperlink" Target="http://www.linkedin.com/pub/stephen-finegold/0/78/AA" TargetMode="External"/><Relationship Id="rId2787" Type="http://schemas.openxmlformats.org/officeDocument/2006/relationships/hyperlink" Target="http://ar.linkedin.com/in/pablocroci" TargetMode="External"/><Relationship Id="rId1457" Type="http://schemas.openxmlformats.org/officeDocument/2006/relationships/hyperlink" Target="http://www.linkedin.com/pub/niva-vilela/0/16a/aa4" TargetMode="External"/><Relationship Id="rId2788" Type="http://schemas.openxmlformats.org/officeDocument/2006/relationships/hyperlink" Target="http://ar.linkedin.com/pub/mar%C3%ADa-bel%C3%A9n-fourcade/1A/290/868" TargetMode="External"/><Relationship Id="rId1458" Type="http://schemas.openxmlformats.org/officeDocument/2006/relationships/hyperlink" Target="http://www.linkedin.com/pub/laufran-wosniak/0/a33/135" TargetMode="External"/><Relationship Id="rId2789" Type="http://schemas.openxmlformats.org/officeDocument/2006/relationships/hyperlink" Target="http://ar.linkedin.com/in/milagrosdemattei" TargetMode="External"/><Relationship Id="rId1459" Type="http://schemas.openxmlformats.org/officeDocument/2006/relationships/hyperlink" Target="https://www.linkedin.com/in/trevorohara" TargetMode="External"/><Relationship Id="rId629" Type="http://schemas.openxmlformats.org/officeDocument/2006/relationships/hyperlink" Target="http://uk.linkedin.com/in/globalwealth" TargetMode="External"/><Relationship Id="rId624" Type="http://schemas.openxmlformats.org/officeDocument/2006/relationships/hyperlink" Target="http://www.linkedin.com/in/gauravzibbu" TargetMode="External"/><Relationship Id="rId623" Type="http://schemas.openxmlformats.org/officeDocument/2006/relationships/hyperlink" Target="http://uk.linkedin.com/pub/stuart-wilson/21/A25/204" TargetMode="External"/><Relationship Id="rId622" Type="http://schemas.openxmlformats.org/officeDocument/2006/relationships/hyperlink" Target="http://www.linkedin.com/in/marilyncarpenter" TargetMode="External"/><Relationship Id="rId621" Type="http://schemas.openxmlformats.org/officeDocument/2006/relationships/hyperlink" Target="http://www.linkedin.com/in/jaymcbain" TargetMode="External"/><Relationship Id="rId628" Type="http://schemas.openxmlformats.org/officeDocument/2006/relationships/hyperlink" Target="http://www.linkedin.com/in/billschuler" TargetMode="External"/><Relationship Id="rId627" Type="http://schemas.openxmlformats.org/officeDocument/2006/relationships/hyperlink" Target="http://www.linkedin.com/in/tarekelhadidi" TargetMode="External"/><Relationship Id="rId626" Type="http://schemas.openxmlformats.org/officeDocument/2006/relationships/hyperlink" Target="http://www.linkedin.com/pub/seth-tapper/1/3AA/467" TargetMode="External"/><Relationship Id="rId625" Type="http://schemas.openxmlformats.org/officeDocument/2006/relationships/hyperlink" Target="http://uk.linkedin.com/in/dushyant" TargetMode="External"/><Relationship Id="rId2780" Type="http://schemas.openxmlformats.org/officeDocument/2006/relationships/hyperlink" Target="http://ar.linkedin.com/pub/cecilia-hayafuji/3/203/933" TargetMode="External"/><Relationship Id="rId1450" Type="http://schemas.openxmlformats.org/officeDocument/2006/relationships/hyperlink" Target="http://www.linkedin.com/pub/leigh-byblow/3/431/512" TargetMode="External"/><Relationship Id="rId2781" Type="http://schemas.openxmlformats.org/officeDocument/2006/relationships/hyperlink" Target="http://ar.linkedin.com/pub/maximiliano-ponton/1/B88/772" TargetMode="External"/><Relationship Id="rId620" Type="http://schemas.openxmlformats.org/officeDocument/2006/relationships/hyperlink" Target="http://www.linkedin.com/in/jasoncoyle" TargetMode="External"/><Relationship Id="rId1451" Type="http://schemas.openxmlformats.org/officeDocument/2006/relationships/hyperlink" Target="http://uk.linkedin.com/in/philipemsley" TargetMode="External"/><Relationship Id="rId2782" Type="http://schemas.openxmlformats.org/officeDocument/2006/relationships/hyperlink" Target="http://www.linkedin.com/in/wilsongrava" TargetMode="External"/><Relationship Id="rId1452" Type="http://schemas.openxmlformats.org/officeDocument/2006/relationships/hyperlink" Target="http://uk.linkedin.com/pub/michael-foster/13/92A/B9B" TargetMode="External"/><Relationship Id="rId2783" Type="http://schemas.openxmlformats.org/officeDocument/2006/relationships/hyperlink" Target="http://ar.linkedin.com/in/sfranchi" TargetMode="External"/><Relationship Id="rId1453" Type="http://schemas.openxmlformats.org/officeDocument/2006/relationships/hyperlink" Target="http://fr.linkedin.com/pub/bruno-bouygues/0/A4/8B2" TargetMode="External"/><Relationship Id="rId2784" Type="http://schemas.openxmlformats.org/officeDocument/2006/relationships/hyperlink" Target="http://ar.linkedin.com/pub/claudio-revere/22/126/937" TargetMode="External"/><Relationship Id="rId1454" Type="http://schemas.openxmlformats.org/officeDocument/2006/relationships/hyperlink" Target="http://www.linkedin.com/in/chrisulrich" TargetMode="External"/><Relationship Id="rId2785" Type="http://schemas.openxmlformats.org/officeDocument/2006/relationships/hyperlink" Target="http://ar.linkedin.com/pub/ricardo-palmieri/0/492/B04" TargetMode="External"/><Relationship Id="rId1444" Type="http://schemas.openxmlformats.org/officeDocument/2006/relationships/hyperlink" Target="http://www.linkedin.com/in/singareddy" TargetMode="External"/><Relationship Id="rId2775" Type="http://schemas.openxmlformats.org/officeDocument/2006/relationships/hyperlink" Target="http://ar.linkedin.com/pub/fernando-soubeste/4/217/B78" TargetMode="External"/><Relationship Id="rId1445" Type="http://schemas.openxmlformats.org/officeDocument/2006/relationships/hyperlink" Target="http://www.linkedin.com/pub/otto-seijas/29/A5B/817" TargetMode="External"/><Relationship Id="rId2776" Type="http://schemas.openxmlformats.org/officeDocument/2006/relationships/hyperlink" Target="http://ar.linkedin.com/pub/martin-mayor/3/550/82B" TargetMode="External"/><Relationship Id="rId1446" Type="http://schemas.openxmlformats.org/officeDocument/2006/relationships/hyperlink" Target="http://br.linkedin.com/pub/marcelo-panteri-martins-dos-santos/29/B51/8A" TargetMode="External"/><Relationship Id="rId2777" Type="http://schemas.openxmlformats.org/officeDocument/2006/relationships/hyperlink" Target="http://ar.linkedin.com/pub/carlos-maddalena/1/A94/805" TargetMode="External"/><Relationship Id="rId1447" Type="http://schemas.openxmlformats.org/officeDocument/2006/relationships/hyperlink" Target="http://uk.linkedin.com/pub/stewart-clark/3/26/547" TargetMode="External"/><Relationship Id="rId2778" Type="http://schemas.openxmlformats.org/officeDocument/2006/relationships/hyperlink" Target="http://ar.linkedin.com/in/maximilianosastre" TargetMode="External"/><Relationship Id="rId1448" Type="http://schemas.openxmlformats.org/officeDocument/2006/relationships/hyperlink" Target="http://uk.linkedin.com/in/darrencoomer" TargetMode="External"/><Relationship Id="rId2779" Type="http://schemas.openxmlformats.org/officeDocument/2006/relationships/hyperlink" Target="http://ar.linkedin.com/pub/alejandro-saj-n/0/236/170" TargetMode="External"/><Relationship Id="rId1449" Type="http://schemas.openxmlformats.org/officeDocument/2006/relationships/hyperlink" Target="http://www.linkedin.com/pub/fern-bassow/4/3A9/2B8" TargetMode="External"/><Relationship Id="rId619" Type="http://schemas.openxmlformats.org/officeDocument/2006/relationships/hyperlink" Target="http://www.linkedin.com/in/shashionip" TargetMode="External"/><Relationship Id="rId618" Type="http://schemas.openxmlformats.org/officeDocument/2006/relationships/hyperlink" Target="http://uk.linkedin.com/in/johnwrightlinkedinprofile" TargetMode="External"/><Relationship Id="rId613" Type="http://schemas.openxmlformats.org/officeDocument/2006/relationships/hyperlink" Target="http://www.linkedin.com/in/residualife" TargetMode="External"/><Relationship Id="rId612" Type="http://schemas.openxmlformats.org/officeDocument/2006/relationships/hyperlink" Target="http://www.linkedin.com/pub/michael-najera/1/901/6A8" TargetMode="External"/><Relationship Id="rId611" Type="http://schemas.openxmlformats.org/officeDocument/2006/relationships/hyperlink" Target="http://www.linkedin.com/in/scottburkett" TargetMode="External"/><Relationship Id="rId610" Type="http://schemas.openxmlformats.org/officeDocument/2006/relationships/hyperlink" Target="http://www.linkedin.com/pub/hal-stitt/1/856/AAA" TargetMode="External"/><Relationship Id="rId617" Type="http://schemas.openxmlformats.org/officeDocument/2006/relationships/hyperlink" Target="http://www.linkedin.com/in/paulpak" TargetMode="External"/><Relationship Id="rId616" Type="http://schemas.openxmlformats.org/officeDocument/2006/relationships/hyperlink" Target="http://www.linkedin.com/pub/marie-rourke/1/1A5/700" TargetMode="External"/><Relationship Id="rId615" Type="http://schemas.openxmlformats.org/officeDocument/2006/relationships/hyperlink" Target="http://www.linkedin.com/in/pyrello" TargetMode="External"/><Relationship Id="rId614" Type="http://schemas.openxmlformats.org/officeDocument/2006/relationships/hyperlink" Target="http://www.linkedin.com/pub/erik-buice/1/159/A04" TargetMode="External"/><Relationship Id="rId2770" Type="http://schemas.openxmlformats.org/officeDocument/2006/relationships/hyperlink" Target="http://www.linkedin.com/pub/diego-a-labrador-a/22/96b/911" TargetMode="External"/><Relationship Id="rId1440" Type="http://schemas.openxmlformats.org/officeDocument/2006/relationships/hyperlink" Target="http://it.linkedin.com/pub/antonella-de-cristofaro/7/A85/29A" TargetMode="External"/><Relationship Id="rId2771" Type="http://schemas.openxmlformats.org/officeDocument/2006/relationships/hyperlink" Target="http://ar.linkedin.com/pub/alejandra-caceres/11/2B3/A95" TargetMode="External"/><Relationship Id="rId1441" Type="http://schemas.openxmlformats.org/officeDocument/2006/relationships/hyperlink" Target="http://br.linkedin.com/pub/evaldo-kuiava/29/940/4AA" TargetMode="External"/><Relationship Id="rId2772" Type="http://schemas.openxmlformats.org/officeDocument/2006/relationships/hyperlink" Target="http://www.linkedin.com/pub/silvia-valeria-henrion/22/b08/b42" TargetMode="External"/><Relationship Id="rId1442" Type="http://schemas.openxmlformats.org/officeDocument/2006/relationships/hyperlink" Target="http://br.linkedin.com/pub/beatriz-savastano/29/987/492" TargetMode="External"/><Relationship Id="rId2773" Type="http://schemas.openxmlformats.org/officeDocument/2006/relationships/hyperlink" Target="http://ar.linkedin.com/in/arruag" TargetMode="External"/><Relationship Id="rId1443" Type="http://schemas.openxmlformats.org/officeDocument/2006/relationships/hyperlink" Target="http://br.linkedin.com/pub/julio-abdala/29/98A/64" TargetMode="External"/><Relationship Id="rId2774" Type="http://schemas.openxmlformats.org/officeDocument/2006/relationships/hyperlink" Target="http://www.linkedin.com/pub/romina-borgonovo/7/973/922" TargetMode="External"/><Relationship Id="rId1477" Type="http://schemas.openxmlformats.org/officeDocument/2006/relationships/hyperlink" Target="http://www.linkedin.com/pub/jim-spaloss/5/A3A/637" TargetMode="External"/><Relationship Id="rId1478" Type="http://schemas.openxmlformats.org/officeDocument/2006/relationships/hyperlink" Target="http://www.linkedin.com/in/elizabethwilmott" TargetMode="External"/><Relationship Id="rId1479" Type="http://schemas.openxmlformats.org/officeDocument/2006/relationships/hyperlink" Target="http://www.linkedin.com/pub/ken-morse/0/716/23A" TargetMode="External"/><Relationship Id="rId646" Type="http://schemas.openxmlformats.org/officeDocument/2006/relationships/hyperlink" Target="http://www.linkedin.com/pub/rupesh-shah/0/93/497" TargetMode="External"/><Relationship Id="rId645" Type="http://schemas.openxmlformats.org/officeDocument/2006/relationships/hyperlink" Target="http://www.linkedin.com/in/donato" TargetMode="External"/><Relationship Id="rId644" Type="http://schemas.openxmlformats.org/officeDocument/2006/relationships/hyperlink" Target="http://www.linkedin.com/pub/sean-bredin/0/39/79" TargetMode="External"/><Relationship Id="rId643" Type="http://schemas.openxmlformats.org/officeDocument/2006/relationships/hyperlink" Target="http://www.linkedin.com/in/fhougard" TargetMode="External"/><Relationship Id="rId649" Type="http://schemas.openxmlformats.org/officeDocument/2006/relationships/hyperlink" Target="http://www.linkedin.com/pub/alexandre-falsarella-ricoy/1/411/9b6" TargetMode="External"/><Relationship Id="rId648" Type="http://schemas.openxmlformats.org/officeDocument/2006/relationships/hyperlink" Target="http://www.linkedin.com/pub/walter-l-caudill/11/905/123" TargetMode="External"/><Relationship Id="rId647" Type="http://schemas.openxmlformats.org/officeDocument/2006/relationships/hyperlink" Target="http://www.linkedin.com/in/marissakg" TargetMode="External"/><Relationship Id="rId1470" Type="http://schemas.openxmlformats.org/officeDocument/2006/relationships/hyperlink" Target="http://uk.linkedin.com/in/waltervandenbosch" TargetMode="External"/><Relationship Id="rId1471" Type="http://schemas.openxmlformats.org/officeDocument/2006/relationships/hyperlink" Target="http://ca.linkedin.com/pub/steve-brennan/0/216/36B" TargetMode="External"/><Relationship Id="rId1472" Type="http://schemas.openxmlformats.org/officeDocument/2006/relationships/hyperlink" Target="http://www.linkedin.com/in/jkrochalis" TargetMode="External"/><Relationship Id="rId642" Type="http://schemas.openxmlformats.org/officeDocument/2006/relationships/hyperlink" Target="http://www.linkedin.com/in/christinacheney" TargetMode="External"/><Relationship Id="rId1473" Type="http://schemas.openxmlformats.org/officeDocument/2006/relationships/hyperlink" Target="http://www.linkedin.com/pub/mark-barmettler/13/507/850" TargetMode="External"/><Relationship Id="rId641" Type="http://schemas.openxmlformats.org/officeDocument/2006/relationships/hyperlink" Target="http://www.linkedin.com/in/sureshmadhavan" TargetMode="External"/><Relationship Id="rId1474" Type="http://schemas.openxmlformats.org/officeDocument/2006/relationships/hyperlink" Target="http://www.linkedin.com/pub/mike-senior/0/742/40" TargetMode="External"/><Relationship Id="rId640" Type="http://schemas.openxmlformats.org/officeDocument/2006/relationships/hyperlink" Target="http://www.linkedin.com/in/borisb07" TargetMode="External"/><Relationship Id="rId1475" Type="http://schemas.openxmlformats.org/officeDocument/2006/relationships/hyperlink" Target="http://www.linkedin.com/pub/federico-diprima/18/733/999" TargetMode="External"/><Relationship Id="rId1476" Type="http://schemas.openxmlformats.org/officeDocument/2006/relationships/hyperlink" Target="http://www.linkedin.com/pub/andre-lomonaco/3/195/990" TargetMode="External"/><Relationship Id="rId1466" Type="http://schemas.openxmlformats.org/officeDocument/2006/relationships/hyperlink" Target="http://ca.linkedin.com/pub/rahul-petkar/1/594/34B" TargetMode="External"/><Relationship Id="rId2797" Type="http://schemas.openxmlformats.org/officeDocument/2006/relationships/hyperlink" Target="http://www.linkedin.com/pub/carolina-rocchio/2/533/7b0" TargetMode="External"/><Relationship Id="rId1467" Type="http://schemas.openxmlformats.org/officeDocument/2006/relationships/hyperlink" Target="http://www.linkedin.com/in/roblauer" TargetMode="External"/><Relationship Id="rId2798" Type="http://schemas.openxmlformats.org/officeDocument/2006/relationships/hyperlink" Target="http://ar.linkedin.com/in/juanpablobresciani" TargetMode="External"/><Relationship Id="rId1468" Type="http://schemas.openxmlformats.org/officeDocument/2006/relationships/hyperlink" Target="http://www.linkedin.com/in/edwindejonge" TargetMode="External"/><Relationship Id="rId2799" Type="http://schemas.openxmlformats.org/officeDocument/2006/relationships/hyperlink" Target="http://www.linkedin.com/pub/sebastian-rohdenburg/6/633/249" TargetMode="External"/><Relationship Id="rId1469" Type="http://schemas.openxmlformats.org/officeDocument/2006/relationships/hyperlink" Target="http://www.linkedin.com/in/anubhutis" TargetMode="External"/><Relationship Id="rId635" Type="http://schemas.openxmlformats.org/officeDocument/2006/relationships/hyperlink" Target="http://www.linkedin.com/in/markcavender" TargetMode="External"/><Relationship Id="rId634" Type="http://schemas.openxmlformats.org/officeDocument/2006/relationships/hyperlink" Target="http://www.linkedin.com/in/jeffreyneilfox" TargetMode="External"/><Relationship Id="rId633" Type="http://schemas.openxmlformats.org/officeDocument/2006/relationships/hyperlink" Target="http://www.linkedin.com/in/singhsamir" TargetMode="External"/><Relationship Id="rId632" Type="http://schemas.openxmlformats.org/officeDocument/2006/relationships/hyperlink" Target="http://www.linkedin.com/pub/nic-alicandri/0/942/126" TargetMode="External"/><Relationship Id="rId639" Type="http://schemas.openxmlformats.org/officeDocument/2006/relationships/hyperlink" Target="http://www.linkedin.com/in/shandu123" TargetMode="External"/><Relationship Id="rId638" Type="http://schemas.openxmlformats.org/officeDocument/2006/relationships/hyperlink" Target="http://www.linkedin.com/pub/ryan-eliason/0/15/3A1" TargetMode="External"/><Relationship Id="rId637" Type="http://schemas.openxmlformats.org/officeDocument/2006/relationships/hyperlink" Target="http://www.linkedin.com/in/iramarks" TargetMode="External"/><Relationship Id="rId636" Type="http://schemas.openxmlformats.org/officeDocument/2006/relationships/hyperlink" Target="http://www.linkedin.com/in/klanders" TargetMode="External"/><Relationship Id="rId2790" Type="http://schemas.openxmlformats.org/officeDocument/2006/relationships/hyperlink" Target="http://ar.linkedin.com/pub/alex-di-leo/2A/309/386" TargetMode="External"/><Relationship Id="rId1460" Type="http://schemas.openxmlformats.org/officeDocument/2006/relationships/hyperlink" Target="http://www.linkedin.com/in/christinembergey" TargetMode="External"/><Relationship Id="rId2791" Type="http://schemas.openxmlformats.org/officeDocument/2006/relationships/hyperlink" Target="http://ar.linkedin.com/pub/adrian-broin/3/37A/AA5" TargetMode="External"/><Relationship Id="rId1461" Type="http://schemas.openxmlformats.org/officeDocument/2006/relationships/hyperlink" Target="http://in.linkedin.com/pub/anil-valluri/0/6B8/504" TargetMode="External"/><Relationship Id="rId2792" Type="http://schemas.openxmlformats.org/officeDocument/2006/relationships/hyperlink" Target="http://ar.linkedin.com/pub/alejo-avalos/1/120/A9B" TargetMode="External"/><Relationship Id="rId631" Type="http://schemas.openxmlformats.org/officeDocument/2006/relationships/hyperlink" Target="https://www.linkedin.com/in/scissons" TargetMode="External"/><Relationship Id="rId1462" Type="http://schemas.openxmlformats.org/officeDocument/2006/relationships/hyperlink" Target="http://www.linkedin.com/pub/ben-gross-bgross-hitechteam-com/0/56A/69A" TargetMode="External"/><Relationship Id="rId2793" Type="http://schemas.openxmlformats.org/officeDocument/2006/relationships/hyperlink" Target="http://www.linkedin.com/pub/leonardo-helman/2a/374/91a" TargetMode="External"/><Relationship Id="rId630" Type="http://schemas.openxmlformats.org/officeDocument/2006/relationships/hyperlink" Target="https://www.linkedin.com/in/pujalakhlani" TargetMode="External"/><Relationship Id="rId1463" Type="http://schemas.openxmlformats.org/officeDocument/2006/relationships/hyperlink" Target="http://www.linkedin.com/in/edwardsprg" TargetMode="External"/><Relationship Id="rId2794" Type="http://schemas.openxmlformats.org/officeDocument/2006/relationships/hyperlink" Target="http://www.linkedin.com/in/joanharris" TargetMode="External"/><Relationship Id="rId1464" Type="http://schemas.openxmlformats.org/officeDocument/2006/relationships/hyperlink" Target="http://www.linkedin.com/in/markaverskog" TargetMode="External"/><Relationship Id="rId2795" Type="http://schemas.openxmlformats.org/officeDocument/2006/relationships/hyperlink" Target="http://www.linkedin.com/in/marcoheuer" TargetMode="External"/><Relationship Id="rId1465" Type="http://schemas.openxmlformats.org/officeDocument/2006/relationships/hyperlink" Target="http://www.linkedin.com/in/toddkosik" TargetMode="External"/><Relationship Id="rId2796" Type="http://schemas.openxmlformats.org/officeDocument/2006/relationships/hyperlink" Target="http://www.linkedin.com/pub/mariano-geuzi-karaian/1/808/b6" TargetMode="External"/><Relationship Id="rId1411" Type="http://schemas.openxmlformats.org/officeDocument/2006/relationships/hyperlink" Target="http://www.linkedin.com/pub/james-dillion/23/2A5/B81" TargetMode="External"/><Relationship Id="rId2742" Type="http://schemas.openxmlformats.org/officeDocument/2006/relationships/hyperlink" Target="http://ar.linkedin.com/pub/susana-paola-riera/24/791/4BA" TargetMode="External"/><Relationship Id="rId1412" Type="http://schemas.openxmlformats.org/officeDocument/2006/relationships/hyperlink" Target="http://www.linkedin.com/pub/naishou-varazslo/1/A44/880" TargetMode="External"/><Relationship Id="rId2743" Type="http://schemas.openxmlformats.org/officeDocument/2006/relationships/hyperlink" Target="http://www.linkedin.com/in/brucecahan" TargetMode="External"/><Relationship Id="rId1413" Type="http://schemas.openxmlformats.org/officeDocument/2006/relationships/hyperlink" Target="http://www.linkedin.com/in/wendyhong" TargetMode="External"/><Relationship Id="rId2744" Type="http://schemas.openxmlformats.org/officeDocument/2006/relationships/hyperlink" Target="http://ar.linkedin.com/pub/mar-a-florencia-p-rez-dimitri/30/7B7/9A5" TargetMode="External"/><Relationship Id="rId1414" Type="http://schemas.openxmlformats.org/officeDocument/2006/relationships/hyperlink" Target="http://www.linkedin.com/pub/vinayak-joshi/24/10B/A13" TargetMode="External"/><Relationship Id="rId2745" Type="http://schemas.openxmlformats.org/officeDocument/2006/relationships/hyperlink" Target="http://ar.linkedin.com/pub/emiliano-bizzari/3/92B/344" TargetMode="External"/><Relationship Id="rId1415" Type="http://schemas.openxmlformats.org/officeDocument/2006/relationships/hyperlink" Target="http://www.linkedin.com/pub/kumar-shah/B/4/819" TargetMode="External"/><Relationship Id="rId2746" Type="http://schemas.openxmlformats.org/officeDocument/2006/relationships/hyperlink" Target="http://ar.linkedin.com/in/lauracolpachi" TargetMode="External"/><Relationship Id="rId1416" Type="http://schemas.openxmlformats.org/officeDocument/2006/relationships/hyperlink" Target="http://mx.linkedin.com/pub/manuel-fragoso/24/995/926" TargetMode="External"/><Relationship Id="rId2747" Type="http://schemas.openxmlformats.org/officeDocument/2006/relationships/hyperlink" Target="http://ar.linkedin.com/in/hernangonzalez" TargetMode="External"/><Relationship Id="rId1417" Type="http://schemas.openxmlformats.org/officeDocument/2006/relationships/hyperlink" Target="http://es.linkedin.com/in/davidsanchez71" TargetMode="External"/><Relationship Id="rId2748" Type="http://schemas.openxmlformats.org/officeDocument/2006/relationships/hyperlink" Target="http://ar.linkedin.com/pub/marcelo-fern-ndez-cort-s/11/B42/0" TargetMode="External"/><Relationship Id="rId1418" Type="http://schemas.openxmlformats.org/officeDocument/2006/relationships/hyperlink" Target="http://www.linkedin.com/in/rlegatie" TargetMode="External"/><Relationship Id="rId2749" Type="http://schemas.openxmlformats.org/officeDocument/2006/relationships/hyperlink" Target="http://ar.linkedin.com/pub/soledad-caceres/A/507/AB0" TargetMode="External"/><Relationship Id="rId1419" Type="http://schemas.openxmlformats.org/officeDocument/2006/relationships/hyperlink" Target="http://www.linkedin.com/pub/anderson-tadeu/24/878/572" TargetMode="External"/><Relationship Id="rId2740" Type="http://schemas.openxmlformats.org/officeDocument/2006/relationships/hyperlink" Target="http://www.linkedin.com/pub/maximiliano-roitman/24/988/950" TargetMode="External"/><Relationship Id="rId1410" Type="http://schemas.openxmlformats.org/officeDocument/2006/relationships/hyperlink" Target="http://uk.linkedin.com/in/nicolasladoucette" TargetMode="External"/><Relationship Id="rId2741" Type="http://schemas.openxmlformats.org/officeDocument/2006/relationships/hyperlink" Target="http://www.linkedin.com/pub/kevin-bomar/2/154/BA" TargetMode="External"/><Relationship Id="rId1400" Type="http://schemas.openxmlformats.org/officeDocument/2006/relationships/hyperlink" Target="http://www.linkedin.com/in/sashafroyland" TargetMode="External"/><Relationship Id="rId2731" Type="http://schemas.openxmlformats.org/officeDocument/2006/relationships/hyperlink" Target="http://uk.linkedin.com/pub/mike-pilsbury/1/834/229" TargetMode="External"/><Relationship Id="rId1401" Type="http://schemas.openxmlformats.org/officeDocument/2006/relationships/hyperlink" Target="http://www.linkedin.com/in/sebastiangiordano" TargetMode="External"/><Relationship Id="rId2732" Type="http://schemas.openxmlformats.org/officeDocument/2006/relationships/hyperlink" Target="http://uk.linkedin.com/pub/steve-kerridge/1/834/B67" TargetMode="External"/><Relationship Id="rId1402" Type="http://schemas.openxmlformats.org/officeDocument/2006/relationships/hyperlink" Target="http://www.linkedin.com/pub/bill-dunn/3/74A/648" TargetMode="External"/><Relationship Id="rId2733" Type="http://schemas.openxmlformats.org/officeDocument/2006/relationships/hyperlink" Target="http://ar.linkedin.com/pub/juan-ignacio-estevez/9/744/437" TargetMode="External"/><Relationship Id="rId1403" Type="http://schemas.openxmlformats.org/officeDocument/2006/relationships/hyperlink" Target="http://www.linkedin.com/pub/marc-weiss/1/3B4/232" TargetMode="External"/><Relationship Id="rId2734" Type="http://schemas.openxmlformats.org/officeDocument/2006/relationships/hyperlink" Target="http://www.linkedin.com/in/alejandroromero" TargetMode="External"/><Relationship Id="rId1404" Type="http://schemas.openxmlformats.org/officeDocument/2006/relationships/hyperlink" Target="http://ph.linkedin.com/in/jayarenas" TargetMode="External"/><Relationship Id="rId2735" Type="http://schemas.openxmlformats.org/officeDocument/2006/relationships/hyperlink" Target="http://ar.linkedin.com/in/ignacio" TargetMode="External"/><Relationship Id="rId1405" Type="http://schemas.openxmlformats.org/officeDocument/2006/relationships/hyperlink" Target="https://www.linkedin.com/in/barclaymcfadden" TargetMode="External"/><Relationship Id="rId2736" Type="http://schemas.openxmlformats.org/officeDocument/2006/relationships/hyperlink" Target="http://ar.linkedin.com/pub/rodrigo-pelorosso/21/156/A65" TargetMode="External"/><Relationship Id="rId1406" Type="http://schemas.openxmlformats.org/officeDocument/2006/relationships/hyperlink" Target="http://www.linkedin.com/in/daniellescherman" TargetMode="External"/><Relationship Id="rId2737" Type="http://schemas.openxmlformats.org/officeDocument/2006/relationships/hyperlink" Target="http://www.linkedin.com/in/hugomora" TargetMode="External"/><Relationship Id="rId1407" Type="http://schemas.openxmlformats.org/officeDocument/2006/relationships/hyperlink" Target="http://www.linkedin.com/pub/peter-chiboucas/3/AB1/B61" TargetMode="External"/><Relationship Id="rId2738" Type="http://schemas.openxmlformats.org/officeDocument/2006/relationships/hyperlink" Target="http://www.linkedin.com/pub/ariel-szarfsztejn/4/5B7/577" TargetMode="External"/><Relationship Id="rId1408" Type="http://schemas.openxmlformats.org/officeDocument/2006/relationships/hyperlink" Target="http://www.linkedin.com/pub/don-sloan/0/B6/824" TargetMode="External"/><Relationship Id="rId2739" Type="http://schemas.openxmlformats.org/officeDocument/2006/relationships/hyperlink" Target="http://www.linkedin.com/pub/diego-gunset/1/414/b90" TargetMode="External"/><Relationship Id="rId1409" Type="http://schemas.openxmlformats.org/officeDocument/2006/relationships/hyperlink" Target="http://www.linkedin.com/pub/tom-martin-tomburchmartin-gmail-com/1/98/347" TargetMode="External"/><Relationship Id="rId2730" Type="http://schemas.openxmlformats.org/officeDocument/2006/relationships/hyperlink" Target="http://ar.linkedin.com/pub/fernando-fasano/8/2B3/B84" TargetMode="External"/><Relationship Id="rId1433" Type="http://schemas.openxmlformats.org/officeDocument/2006/relationships/hyperlink" Target="http://www.linkedin.com/in/jfalcigno" TargetMode="External"/><Relationship Id="rId2764" Type="http://schemas.openxmlformats.org/officeDocument/2006/relationships/hyperlink" Target="http://ar.linkedin.com/pub/jorge-adri-n-velurtas/13/2B1/B03" TargetMode="External"/><Relationship Id="rId1434" Type="http://schemas.openxmlformats.org/officeDocument/2006/relationships/hyperlink" Target="http://uk.linkedin.com/in/mjslater" TargetMode="External"/><Relationship Id="rId2765" Type="http://schemas.openxmlformats.org/officeDocument/2006/relationships/hyperlink" Target="http://www.linkedin.com/pub/pamela-chamula/3/629/21" TargetMode="External"/><Relationship Id="rId1435" Type="http://schemas.openxmlformats.org/officeDocument/2006/relationships/hyperlink" Target="http://www.linkedin.com/in/tracyobrien" TargetMode="External"/><Relationship Id="rId2766" Type="http://schemas.openxmlformats.org/officeDocument/2006/relationships/hyperlink" Target="http://ar.linkedin.com/pub/pablo-alcaraz/20/672/92" TargetMode="External"/><Relationship Id="rId1436" Type="http://schemas.openxmlformats.org/officeDocument/2006/relationships/hyperlink" Target="http://br.linkedin.com/pub/ana-viviane-freire-de-s-/29/1B2/B22" TargetMode="External"/><Relationship Id="rId2767" Type="http://schemas.openxmlformats.org/officeDocument/2006/relationships/hyperlink" Target="http://ar.linkedin.com/pub/sebastian-betti/4/65B/758" TargetMode="External"/><Relationship Id="rId1437" Type="http://schemas.openxmlformats.org/officeDocument/2006/relationships/hyperlink" Target="http://www.linkedin.com/pub/andrea-fennewald/2/919/66B" TargetMode="External"/><Relationship Id="rId2768" Type="http://schemas.openxmlformats.org/officeDocument/2006/relationships/hyperlink" Target="http://ar.linkedin.com/in/ramogninij" TargetMode="External"/><Relationship Id="rId1438" Type="http://schemas.openxmlformats.org/officeDocument/2006/relationships/hyperlink" Target="http://www.linkedin.com/pub/stephanie-staiano/B/779/551" TargetMode="External"/><Relationship Id="rId2769" Type="http://schemas.openxmlformats.org/officeDocument/2006/relationships/hyperlink" Target="http://ar.linkedin.com/in/nicolascavallo" TargetMode="External"/><Relationship Id="rId1439" Type="http://schemas.openxmlformats.org/officeDocument/2006/relationships/hyperlink" Target="https://www.linkedin.com/in/joelburger" TargetMode="External"/><Relationship Id="rId609" Type="http://schemas.openxmlformats.org/officeDocument/2006/relationships/hyperlink" Target="http://ca.linkedin.com/in/stevenkader" TargetMode="External"/><Relationship Id="rId608" Type="http://schemas.openxmlformats.org/officeDocument/2006/relationships/hyperlink" Target="http://www.linkedin.com/pub/christine-a-wright-mba/0/72/a96" TargetMode="External"/><Relationship Id="rId607" Type="http://schemas.openxmlformats.org/officeDocument/2006/relationships/hyperlink" Target="http://www.linkedin.com/pub/darrell-arne/0/B15/575" TargetMode="External"/><Relationship Id="rId602" Type="http://schemas.openxmlformats.org/officeDocument/2006/relationships/hyperlink" Target="http://linkedinglobalgids.com" TargetMode="External"/><Relationship Id="rId601" Type="http://schemas.openxmlformats.org/officeDocument/2006/relationships/hyperlink" Target="http://www.linkedin.com/pub/megan-o-malley-hasak/4/227/179" TargetMode="External"/><Relationship Id="rId600" Type="http://schemas.openxmlformats.org/officeDocument/2006/relationships/hyperlink" Target="http://uk.linkedin.com/pub/tony-newman/0/4BA/B74" TargetMode="External"/><Relationship Id="rId606" Type="http://schemas.openxmlformats.org/officeDocument/2006/relationships/hyperlink" Target="http://www.linkedin.com/pub/mark-elliott/0/B10/99" TargetMode="External"/><Relationship Id="rId605" Type="http://schemas.openxmlformats.org/officeDocument/2006/relationships/hyperlink" Target="http://in.linkedin.com/in/sandeepmalviya001" TargetMode="External"/><Relationship Id="rId604" Type="http://schemas.openxmlformats.org/officeDocument/2006/relationships/hyperlink" Target="http://ca.linkedin.com/pub/mark-kiddell/0/744/B1B" TargetMode="External"/><Relationship Id="rId603" Type="http://schemas.openxmlformats.org/officeDocument/2006/relationships/hyperlink" Target="http://www.linkedin.com/in/nashn" TargetMode="External"/><Relationship Id="rId2760" Type="http://schemas.openxmlformats.org/officeDocument/2006/relationships/hyperlink" Target="http://www.linkedin.com/in/arielbattini" TargetMode="External"/><Relationship Id="rId1430" Type="http://schemas.openxmlformats.org/officeDocument/2006/relationships/hyperlink" Target="http://www.linkedin.com/pub/artem-orange-cfa/3/850/B63" TargetMode="External"/><Relationship Id="rId2761" Type="http://schemas.openxmlformats.org/officeDocument/2006/relationships/hyperlink" Target="http://ar.linkedin.com/in/ccondo" TargetMode="External"/><Relationship Id="rId1431" Type="http://schemas.openxmlformats.org/officeDocument/2006/relationships/hyperlink" Target="http://www.linkedin.com/in/bshydlo" TargetMode="External"/><Relationship Id="rId2762" Type="http://schemas.openxmlformats.org/officeDocument/2006/relationships/hyperlink" Target="http://ar.linkedin.com/pub/romero-edgardo-exequiel/8/1AB/5B6" TargetMode="External"/><Relationship Id="rId1432" Type="http://schemas.openxmlformats.org/officeDocument/2006/relationships/hyperlink" Target="http://www.linkedin.com/in/sndawson68" TargetMode="External"/><Relationship Id="rId2763" Type="http://schemas.openxmlformats.org/officeDocument/2006/relationships/hyperlink" Target="http://ar.linkedin.com/in/jrabuch" TargetMode="External"/><Relationship Id="rId1422" Type="http://schemas.openxmlformats.org/officeDocument/2006/relationships/hyperlink" Target="http://www.linkedin.com/pub/kellee-vernon/26/855/B83" TargetMode="External"/><Relationship Id="rId2753" Type="http://schemas.openxmlformats.org/officeDocument/2006/relationships/hyperlink" Target="http://ar.linkedin.com/pub/mario-pingaro/9/972/B84" TargetMode="External"/><Relationship Id="rId1423" Type="http://schemas.openxmlformats.org/officeDocument/2006/relationships/hyperlink" Target="http://www.linkedin.com/in/skybasu" TargetMode="External"/><Relationship Id="rId2754" Type="http://schemas.openxmlformats.org/officeDocument/2006/relationships/hyperlink" Target="http://ar.linkedin.com/in/nataliabellaquero" TargetMode="External"/><Relationship Id="rId1424" Type="http://schemas.openxmlformats.org/officeDocument/2006/relationships/hyperlink" Target="http://www.linkedin.com/pub/dan-gentile/0/A45/168" TargetMode="External"/><Relationship Id="rId2755" Type="http://schemas.openxmlformats.org/officeDocument/2006/relationships/hyperlink" Target="http://ar.linkedin.com/pub/monica-marambio-duran/9/9A5/BB3" TargetMode="External"/><Relationship Id="rId1425" Type="http://schemas.openxmlformats.org/officeDocument/2006/relationships/hyperlink" Target="http://www.linkedin.com/pub/jeff-jarvis/2/106/708" TargetMode="External"/><Relationship Id="rId2756" Type="http://schemas.openxmlformats.org/officeDocument/2006/relationships/hyperlink" Target="http://www.linkedin.com/pub/diego-pire/16/591/42" TargetMode="External"/><Relationship Id="rId1426" Type="http://schemas.openxmlformats.org/officeDocument/2006/relationships/hyperlink" Target="http://www.linkedin.com/pub/hugh-hayman/A/129/773" TargetMode="External"/><Relationship Id="rId2757" Type="http://schemas.openxmlformats.org/officeDocument/2006/relationships/hyperlink" Target="http://ar.linkedin.com/pub/santiago-guimerans/9/74B/67A" TargetMode="External"/><Relationship Id="rId1427" Type="http://schemas.openxmlformats.org/officeDocument/2006/relationships/hyperlink" Target="http://www.linkedin.com/in/rebeccamilkey" TargetMode="External"/><Relationship Id="rId2758" Type="http://schemas.openxmlformats.org/officeDocument/2006/relationships/hyperlink" Target="http://ar.linkedin.com/pub/marcelo-cohen/1/12/81" TargetMode="External"/><Relationship Id="rId1428" Type="http://schemas.openxmlformats.org/officeDocument/2006/relationships/hyperlink" Target="http://nl.linkedin.com/in/harmrietmeijer" TargetMode="External"/><Relationship Id="rId2759" Type="http://schemas.openxmlformats.org/officeDocument/2006/relationships/hyperlink" Target="http://www.linkedin.com/pub/leonardo-omar-sailer/1/a/665" TargetMode="External"/><Relationship Id="rId1429" Type="http://schemas.openxmlformats.org/officeDocument/2006/relationships/hyperlink" Target="http://www.linkedin.com/in/caseybridgeford" TargetMode="External"/><Relationship Id="rId2750" Type="http://schemas.openxmlformats.org/officeDocument/2006/relationships/hyperlink" Target="http://ar.linkedin.com/pub/juan-germano/1/884/6B0" TargetMode="External"/><Relationship Id="rId1420" Type="http://schemas.openxmlformats.org/officeDocument/2006/relationships/hyperlink" Target="http://www.linkedin.com/in/caryburch" TargetMode="External"/><Relationship Id="rId2751" Type="http://schemas.openxmlformats.org/officeDocument/2006/relationships/hyperlink" Target="http://ar.linkedin.com/in/leandrosk" TargetMode="External"/><Relationship Id="rId1421" Type="http://schemas.openxmlformats.org/officeDocument/2006/relationships/hyperlink" Target="http://www.linkedin.com/pub/michael-heinstein/0/4/68" TargetMode="External"/><Relationship Id="rId2752" Type="http://schemas.openxmlformats.org/officeDocument/2006/relationships/hyperlink" Target="http://www.linkedin.com/pub/evangelina-suarez/4/557/942" TargetMode="External"/><Relationship Id="rId8927" Type="http://schemas.openxmlformats.org/officeDocument/2006/relationships/hyperlink" Target="http://www.linkedin.com/in/wstargardt" TargetMode="External"/><Relationship Id="rId8926" Type="http://schemas.openxmlformats.org/officeDocument/2006/relationships/hyperlink" Target="http://www.linkedin.com/pub/john-bourne/0/42/6A0" TargetMode="External"/><Relationship Id="rId8925" Type="http://schemas.openxmlformats.org/officeDocument/2006/relationships/hyperlink" Target="http://www.linkedin.com/in/clarkdong" TargetMode="External"/><Relationship Id="rId8924" Type="http://schemas.openxmlformats.org/officeDocument/2006/relationships/hyperlink" Target="http://www.linkedin.com/pub/austin-cooke/0/143/890?trk=pub-pbmap" TargetMode="External"/><Relationship Id="rId8929" Type="http://schemas.openxmlformats.org/officeDocument/2006/relationships/hyperlink" Target="http://www.linkedin.com/in/ronharrison09" TargetMode="External"/><Relationship Id="rId8928" Type="http://schemas.openxmlformats.org/officeDocument/2006/relationships/hyperlink" Target="http://www.linkedin.com/in/doravell" TargetMode="External"/><Relationship Id="rId8923" Type="http://schemas.openxmlformats.org/officeDocument/2006/relationships/hyperlink" Target="http://www.linkedin.com/in/billsequeira" TargetMode="External"/><Relationship Id="rId8922" Type="http://schemas.openxmlformats.org/officeDocument/2006/relationships/hyperlink" Target="http://www.linkedin.com/in/geelan" TargetMode="External"/><Relationship Id="rId8921" Type="http://schemas.openxmlformats.org/officeDocument/2006/relationships/hyperlink" Target="http://www.linkedin.com/in/lbrock" TargetMode="External"/><Relationship Id="rId8920" Type="http://schemas.openxmlformats.org/officeDocument/2006/relationships/hyperlink" Target="http://www.linkedin.com/in/pablogrodnitzky" TargetMode="External"/><Relationship Id="rId8916" Type="http://schemas.openxmlformats.org/officeDocument/2006/relationships/hyperlink" Target="http://www.linkedin.com/in/burtsalop" TargetMode="External"/><Relationship Id="rId8915" Type="http://schemas.openxmlformats.org/officeDocument/2006/relationships/hyperlink" Target="http://www.linkedin.com/in/ronjonnag" TargetMode="External"/><Relationship Id="rId8914" Type="http://schemas.openxmlformats.org/officeDocument/2006/relationships/hyperlink" Target="http://www.linkedin.com/in/ronshulkin" TargetMode="External"/><Relationship Id="rId8913" Type="http://schemas.openxmlformats.org/officeDocument/2006/relationships/hyperlink" Target="http://www.linkedin.com/pub/mike-rogers/0/2A/95A" TargetMode="External"/><Relationship Id="rId8919" Type="http://schemas.openxmlformats.org/officeDocument/2006/relationships/hyperlink" Target="http://www.linkedin.com/in/igorplotnikov" TargetMode="External"/><Relationship Id="rId8918" Type="http://schemas.openxmlformats.org/officeDocument/2006/relationships/hyperlink" Target="http://www.linkedin.com/in/westerhuizen" TargetMode="External"/><Relationship Id="rId8917" Type="http://schemas.openxmlformats.org/officeDocument/2006/relationships/hyperlink" Target="http://www.linkedin.com/in/tcorcoran" TargetMode="External"/><Relationship Id="rId699" Type="http://schemas.openxmlformats.org/officeDocument/2006/relationships/hyperlink" Target="http://www.linkedin.com/in/sardhaz" TargetMode="External"/><Relationship Id="rId698" Type="http://schemas.openxmlformats.org/officeDocument/2006/relationships/hyperlink" Target="http://www.linkedin.com/pub/pat-goetz/0/AA4/A79" TargetMode="External"/><Relationship Id="rId693" Type="http://schemas.openxmlformats.org/officeDocument/2006/relationships/hyperlink" Target="http://www.linkedin.com/in/jansilverman" TargetMode="External"/><Relationship Id="rId692" Type="http://schemas.openxmlformats.org/officeDocument/2006/relationships/hyperlink" Target="http://in.linkedin.com/in/rahulbhangay" TargetMode="External"/><Relationship Id="rId691" Type="http://schemas.openxmlformats.org/officeDocument/2006/relationships/hyperlink" Target="http://www.linkedin.com/in/ingridkellyowens" TargetMode="External"/><Relationship Id="rId690" Type="http://schemas.openxmlformats.org/officeDocument/2006/relationships/hyperlink" Target="http://www.linkedin.com/in/lucyjacobs" TargetMode="External"/><Relationship Id="rId697" Type="http://schemas.openxmlformats.org/officeDocument/2006/relationships/hyperlink" Target="http://br.linkedin.com/pub/s%C3%A9rgio-teixeira/19/160/85A" TargetMode="External"/><Relationship Id="rId8912" Type="http://schemas.openxmlformats.org/officeDocument/2006/relationships/hyperlink" Target="http://www.linkedin.com/in/skarritt" TargetMode="External"/><Relationship Id="rId696" Type="http://schemas.openxmlformats.org/officeDocument/2006/relationships/hyperlink" Target="http://www.linkedin.com/in/stevensteinfeld" TargetMode="External"/><Relationship Id="rId8911" Type="http://schemas.openxmlformats.org/officeDocument/2006/relationships/hyperlink" Target="http://www.linkedin.com/in/seanpkearney" TargetMode="External"/><Relationship Id="rId695" Type="http://schemas.openxmlformats.org/officeDocument/2006/relationships/hyperlink" Target="http://www.linkedin.com/pub/aya-yamaura-timms/8/119/647" TargetMode="External"/><Relationship Id="rId8910" Type="http://schemas.openxmlformats.org/officeDocument/2006/relationships/hyperlink" Target="http://www.linkedin.com/in/paulmturner3" TargetMode="External"/><Relationship Id="rId694" Type="http://schemas.openxmlformats.org/officeDocument/2006/relationships/hyperlink" Target="http://www.linkedin.com/pub/joe-amadeo/0/900/428" TargetMode="External"/><Relationship Id="rId7618" Type="http://schemas.openxmlformats.org/officeDocument/2006/relationships/hyperlink" Target="http://www.linkedin.com/in/celona" TargetMode="External"/><Relationship Id="rId8949" Type="http://schemas.openxmlformats.org/officeDocument/2006/relationships/hyperlink" Target="http://www.linkedin.com/in/chrisbutcher" TargetMode="External"/><Relationship Id="rId7617" Type="http://schemas.openxmlformats.org/officeDocument/2006/relationships/hyperlink" Target="http://crcelonagmail.com" TargetMode="External"/><Relationship Id="rId8948" Type="http://schemas.openxmlformats.org/officeDocument/2006/relationships/hyperlink" Target="http://www.linkedin.com/in/mxb06" TargetMode="External"/><Relationship Id="rId7616" Type="http://schemas.openxmlformats.org/officeDocument/2006/relationships/hyperlink" Target="http://www.linkedin.com/in/fogeddille" TargetMode="External"/><Relationship Id="rId8947" Type="http://schemas.openxmlformats.org/officeDocument/2006/relationships/hyperlink" Target="http://www.linkedin.com/in/mingfwu" TargetMode="External"/><Relationship Id="rId7615" Type="http://schemas.openxmlformats.org/officeDocument/2006/relationships/hyperlink" Target="http://www.linkedin.com/in/scottmitchellrosenberg" TargetMode="External"/><Relationship Id="rId8946" Type="http://schemas.openxmlformats.org/officeDocument/2006/relationships/hyperlink" Target="http://www.linkedin.com/in/elikalil" TargetMode="External"/><Relationship Id="rId7619" Type="http://schemas.openxmlformats.org/officeDocument/2006/relationships/hyperlink" Target="http://www.linkedin.com/in/jimkaskade" TargetMode="External"/><Relationship Id="rId7610" Type="http://schemas.openxmlformats.org/officeDocument/2006/relationships/hyperlink" Target="http://www.linkedin.com/in/claudiocorlatti" TargetMode="External"/><Relationship Id="rId8941" Type="http://schemas.openxmlformats.org/officeDocument/2006/relationships/hyperlink" Target="http://www.linkedin.com/pub/steve-mersand/0/353/274" TargetMode="External"/><Relationship Id="rId8940" Type="http://schemas.openxmlformats.org/officeDocument/2006/relationships/hyperlink" Target="http://www.linkedin.com/in/georgedolbier" TargetMode="External"/><Relationship Id="rId7614" Type="http://schemas.openxmlformats.org/officeDocument/2006/relationships/hyperlink" Target="http://www.linkedin.com/in/marcgrayson" TargetMode="External"/><Relationship Id="rId8945" Type="http://schemas.openxmlformats.org/officeDocument/2006/relationships/hyperlink" Target="http://www.linkedin.com/pub/amy-gustafson/0/B4/275" TargetMode="External"/><Relationship Id="rId7613" Type="http://schemas.openxmlformats.org/officeDocument/2006/relationships/hyperlink" Target="http://www.linkedin.com/in/gregstuart" TargetMode="External"/><Relationship Id="rId8944" Type="http://schemas.openxmlformats.org/officeDocument/2006/relationships/hyperlink" Target="http://www.linkedin.com/in/guylevyyurista" TargetMode="External"/><Relationship Id="rId7612" Type="http://schemas.openxmlformats.org/officeDocument/2006/relationships/hyperlink" Target="http://www.linkedin.com/pub/david-roberts/25/B16/8A1" TargetMode="External"/><Relationship Id="rId8943" Type="http://schemas.openxmlformats.org/officeDocument/2006/relationships/hyperlink" Target="http://www.linkedin.com/in/glennesposito" TargetMode="External"/><Relationship Id="rId7611" Type="http://schemas.openxmlformats.org/officeDocument/2006/relationships/hyperlink" Target="http://www.linkedin.com/pub/mike-hartman/6/587/570" TargetMode="External"/><Relationship Id="rId8942" Type="http://schemas.openxmlformats.org/officeDocument/2006/relationships/hyperlink" Target="http://www.linkedin.com/pub/matthew-selheimer/0/88/1B3" TargetMode="External"/><Relationship Id="rId7607" Type="http://schemas.openxmlformats.org/officeDocument/2006/relationships/hyperlink" Target="http://www.linkedin.com/pub/peter-stevenson/3/912/B92" TargetMode="External"/><Relationship Id="rId8938" Type="http://schemas.openxmlformats.org/officeDocument/2006/relationships/hyperlink" Target="http://www.linkedin.com/in/ryannichols" TargetMode="External"/><Relationship Id="rId7606" Type="http://schemas.openxmlformats.org/officeDocument/2006/relationships/hyperlink" Target="http://www.linkedin.com/pub/marco-d-cuono/10/504/BA1" TargetMode="External"/><Relationship Id="rId8937" Type="http://schemas.openxmlformats.org/officeDocument/2006/relationships/hyperlink" Target="http://www.linkedin.com/pub/r-woody-daroca/0/2B6/25" TargetMode="External"/><Relationship Id="rId7605" Type="http://schemas.openxmlformats.org/officeDocument/2006/relationships/hyperlink" Target="http://www.linkedin.com/pub/maria-del-rosario-pozo/14/2a3/437" TargetMode="External"/><Relationship Id="rId8936" Type="http://schemas.openxmlformats.org/officeDocument/2006/relationships/hyperlink" Target="http://www.linkedin.com/in/jhaskin" TargetMode="External"/><Relationship Id="rId7604" Type="http://schemas.openxmlformats.org/officeDocument/2006/relationships/hyperlink" Target="http://www.linkedin.com/in/joserenecosta" TargetMode="External"/><Relationship Id="rId8935" Type="http://schemas.openxmlformats.org/officeDocument/2006/relationships/hyperlink" Target="https://www.linkedin.com/in/fkerrest" TargetMode="External"/><Relationship Id="rId7609" Type="http://schemas.openxmlformats.org/officeDocument/2006/relationships/hyperlink" Target="https://www.linkedin.com/in/maximilianleroux" TargetMode="External"/><Relationship Id="rId7608" Type="http://schemas.openxmlformats.org/officeDocument/2006/relationships/hyperlink" Target="http://www.linkedin.com/in/sethschachner" TargetMode="External"/><Relationship Id="rId8939" Type="http://schemas.openxmlformats.org/officeDocument/2006/relationships/hyperlink" Target="http://www.linkedin.com/in/fanning" TargetMode="External"/><Relationship Id="rId8930" Type="http://schemas.openxmlformats.org/officeDocument/2006/relationships/hyperlink" Target="http://www.linkedin.com/in/jimhaviland" TargetMode="External"/><Relationship Id="rId7603" Type="http://schemas.openxmlformats.org/officeDocument/2006/relationships/hyperlink" Target="http://ar.linkedin.com/in/gparadelo" TargetMode="External"/><Relationship Id="rId8934" Type="http://schemas.openxmlformats.org/officeDocument/2006/relationships/hyperlink" Target="http://www.linkedin.com/pub/derek-tumulak/0/277/798" TargetMode="External"/><Relationship Id="rId7602" Type="http://schemas.openxmlformats.org/officeDocument/2006/relationships/hyperlink" Target="http://ar.linkedin.com/in/sergiolepore" TargetMode="External"/><Relationship Id="rId8933" Type="http://schemas.openxmlformats.org/officeDocument/2006/relationships/hyperlink" Target="http://www.linkedin.com/in/mikejimenez" TargetMode="External"/><Relationship Id="rId7601" Type="http://schemas.openxmlformats.org/officeDocument/2006/relationships/hyperlink" Target="http://ar.linkedin.com/pub/daniel-cariati-dcariati-dabrein-com/0/B02/552" TargetMode="External"/><Relationship Id="rId8932" Type="http://schemas.openxmlformats.org/officeDocument/2006/relationships/hyperlink" Target="http://www.linkedin.com/in/chuckreynolds" TargetMode="External"/><Relationship Id="rId7600" Type="http://schemas.openxmlformats.org/officeDocument/2006/relationships/hyperlink" Target="http://ar.linkedin.com/in/juanozcoidi" TargetMode="External"/><Relationship Id="rId8931" Type="http://schemas.openxmlformats.org/officeDocument/2006/relationships/hyperlink" Target="http://www.linkedin.com/in/raffaelemautone" TargetMode="External"/><Relationship Id="rId1499" Type="http://schemas.openxmlformats.org/officeDocument/2006/relationships/hyperlink" Target="http://www.linkedin.com/in/barrybergman" TargetMode="External"/><Relationship Id="rId668" Type="http://schemas.openxmlformats.org/officeDocument/2006/relationships/hyperlink" Target="http://www.linkedin.com/in/claudinevainrub" TargetMode="External"/><Relationship Id="rId667" Type="http://schemas.openxmlformats.org/officeDocument/2006/relationships/hyperlink" Target="http://www.linkedin.com/in/mikediehn" TargetMode="External"/><Relationship Id="rId666" Type="http://schemas.openxmlformats.org/officeDocument/2006/relationships/hyperlink" Target="http://www.linkedin.com/in/strictlyacquisition" TargetMode="External"/><Relationship Id="rId665" Type="http://schemas.openxmlformats.org/officeDocument/2006/relationships/hyperlink" Target="http://www.linkedin.com/pub/tom-stiling/0/85/B34" TargetMode="External"/><Relationship Id="rId669" Type="http://schemas.openxmlformats.org/officeDocument/2006/relationships/hyperlink" Target="http://il.linkedin.com/pub/ehud-rokach/1/819/341" TargetMode="External"/><Relationship Id="rId1490" Type="http://schemas.openxmlformats.org/officeDocument/2006/relationships/hyperlink" Target="http://www.linkedin.com/in/goadvantage" TargetMode="External"/><Relationship Id="rId660" Type="http://schemas.openxmlformats.org/officeDocument/2006/relationships/hyperlink" Target="http://br.linkedin.com/pub/jorge-biesczad-jr-/6/B48/671" TargetMode="External"/><Relationship Id="rId1491" Type="http://schemas.openxmlformats.org/officeDocument/2006/relationships/hyperlink" Target="http://www.linkedin.com/pub/dr-s-said/11/52/B9A" TargetMode="External"/><Relationship Id="rId1492" Type="http://schemas.openxmlformats.org/officeDocument/2006/relationships/hyperlink" Target="http://www.linkedin.com/pub/john-hertel/0/884/145" TargetMode="External"/><Relationship Id="rId1493" Type="http://schemas.openxmlformats.org/officeDocument/2006/relationships/hyperlink" Target="http://www.linkedin.com/in/alexadamsa2" TargetMode="External"/><Relationship Id="rId1494" Type="http://schemas.openxmlformats.org/officeDocument/2006/relationships/hyperlink" Target="http://www.linkedin.com/pub/j-n-pereira/0/51b/846" TargetMode="External"/><Relationship Id="rId664" Type="http://schemas.openxmlformats.org/officeDocument/2006/relationships/hyperlink" Target="http://www.linkedin.com/pub/leonardo-oliveira/27/1B/638" TargetMode="External"/><Relationship Id="rId1495" Type="http://schemas.openxmlformats.org/officeDocument/2006/relationships/hyperlink" Target="http://uk.linkedin.com/in/harveyflather" TargetMode="External"/><Relationship Id="rId663" Type="http://schemas.openxmlformats.org/officeDocument/2006/relationships/hyperlink" Target="http://www.linkedin.com/pub/shiraz-hasan/0/B6A/77" TargetMode="External"/><Relationship Id="rId1496" Type="http://schemas.openxmlformats.org/officeDocument/2006/relationships/hyperlink" Target="http://www.linkedin.com/pub/anurag-chaturvedi/0/312/530" TargetMode="External"/><Relationship Id="rId662" Type="http://schemas.openxmlformats.org/officeDocument/2006/relationships/hyperlink" Target="http://www.linkedin.com/in/dariusdunlap" TargetMode="External"/><Relationship Id="rId1497" Type="http://schemas.openxmlformats.org/officeDocument/2006/relationships/hyperlink" Target="https://www.linkedin.com/in/gbinsfeld" TargetMode="External"/><Relationship Id="rId661" Type="http://schemas.openxmlformats.org/officeDocument/2006/relationships/hyperlink" Target="http://www.linkedin.com/pub/tim-calkins/0/466/90" TargetMode="External"/><Relationship Id="rId1498" Type="http://schemas.openxmlformats.org/officeDocument/2006/relationships/hyperlink" Target="http://uk.linkedin.com/in/nfharvey" TargetMode="External"/><Relationship Id="rId1488" Type="http://schemas.openxmlformats.org/officeDocument/2006/relationships/hyperlink" Target="http://www.linkedin.com/in/michaeljmulcahy" TargetMode="External"/><Relationship Id="rId1489" Type="http://schemas.openxmlformats.org/officeDocument/2006/relationships/hyperlink" Target="http://www.linkedin.com/pub/aisha-chiappetta/1/a4b/754" TargetMode="External"/><Relationship Id="rId657" Type="http://schemas.openxmlformats.org/officeDocument/2006/relationships/hyperlink" Target="http://www.linkedin.com/in/randydavis317" TargetMode="External"/><Relationship Id="rId656" Type="http://schemas.openxmlformats.org/officeDocument/2006/relationships/hyperlink" Target="http://www.linkedin.com/pub/konain-moore-mk-rebels-gmail-com-/9/118/BB4" TargetMode="External"/><Relationship Id="rId655" Type="http://schemas.openxmlformats.org/officeDocument/2006/relationships/hyperlink" Target="http://www.linkedin.com/in/chrislhardin" TargetMode="External"/><Relationship Id="rId654" Type="http://schemas.openxmlformats.org/officeDocument/2006/relationships/hyperlink" Target="http://www.linkedin.com/in/afunnell" TargetMode="External"/><Relationship Id="rId659" Type="http://schemas.openxmlformats.org/officeDocument/2006/relationships/hyperlink" Target="http://www.linkedin.com/in/jamietre" TargetMode="External"/><Relationship Id="rId658" Type="http://schemas.openxmlformats.org/officeDocument/2006/relationships/hyperlink" Target="http://www.linkedin.com/pub/jack-myers/0/7A4/377" TargetMode="External"/><Relationship Id="rId1480" Type="http://schemas.openxmlformats.org/officeDocument/2006/relationships/hyperlink" Target="http://www.linkedin.com/in/jamiesonduston" TargetMode="External"/><Relationship Id="rId1481" Type="http://schemas.openxmlformats.org/officeDocument/2006/relationships/hyperlink" Target="http://www.linkedin.com/in/michaelpallatta" TargetMode="External"/><Relationship Id="rId1482" Type="http://schemas.openxmlformats.org/officeDocument/2006/relationships/hyperlink" Target="http://uk.linkedin.com/in/barryhutton" TargetMode="External"/><Relationship Id="rId1483" Type="http://schemas.openxmlformats.org/officeDocument/2006/relationships/hyperlink" Target="http://www.linkedin.com/in/edward2006" TargetMode="External"/><Relationship Id="rId653" Type="http://schemas.openxmlformats.org/officeDocument/2006/relationships/hyperlink" Target="http://www.linkedin.com/pub/david-davoudzadeh/0/744/B4" TargetMode="External"/><Relationship Id="rId1484" Type="http://schemas.openxmlformats.org/officeDocument/2006/relationships/hyperlink" Target="http://www.linkedin.com/in/frankdiaz1" TargetMode="External"/><Relationship Id="rId652" Type="http://schemas.openxmlformats.org/officeDocument/2006/relationships/hyperlink" Target="http://www.linkedin.com/in/mioffe" TargetMode="External"/><Relationship Id="rId1485" Type="http://schemas.openxmlformats.org/officeDocument/2006/relationships/hyperlink" Target="http://uk.linkedin.com/in/gregday" TargetMode="External"/><Relationship Id="rId651" Type="http://schemas.openxmlformats.org/officeDocument/2006/relationships/hyperlink" Target="https://www.linkedin.com/in/sylvialuneau" TargetMode="External"/><Relationship Id="rId1486" Type="http://schemas.openxmlformats.org/officeDocument/2006/relationships/hyperlink" Target="http://www.linkedin.com/pub/steve-fusek/21/817/A9" TargetMode="External"/><Relationship Id="rId650" Type="http://schemas.openxmlformats.org/officeDocument/2006/relationships/hyperlink" Target="http://www.linkedin.com/in/omergotlieb" TargetMode="External"/><Relationship Id="rId1487" Type="http://schemas.openxmlformats.org/officeDocument/2006/relationships/hyperlink" Target="http://in.linkedin.com/pub/rajasekhar-bhavaraju/6/5B3/233" TargetMode="External"/><Relationship Id="rId8905" Type="http://schemas.openxmlformats.org/officeDocument/2006/relationships/hyperlink" Target="http://www.linkedin.com/in/finesolutions" TargetMode="External"/><Relationship Id="rId8904" Type="http://schemas.openxmlformats.org/officeDocument/2006/relationships/hyperlink" Target="http://www.linkedin.com/in/markbbutler" TargetMode="External"/><Relationship Id="rId8903" Type="http://schemas.openxmlformats.org/officeDocument/2006/relationships/hyperlink" Target="http://www.linkedin.com/in/elfort" TargetMode="External"/><Relationship Id="rId8902" Type="http://schemas.openxmlformats.org/officeDocument/2006/relationships/hyperlink" Target="http://www.linkedin.com/in/employeetalent" TargetMode="External"/><Relationship Id="rId8909" Type="http://schemas.openxmlformats.org/officeDocument/2006/relationships/hyperlink" Target="http://www.linkedin.com/in/daviddaleroberts" TargetMode="External"/><Relationship Id="rId8908" Type="http://schemas.openxmlformats.org/officeDocument/2006/relationships/hyperlink" Target="http://www.linkedin.com/pub/amir-assar/0/17/388" TargetMode="External"/><Relationship Id="rId8907" Type="http://schemas.openxmlformats.org/officeDocument/2006/relationships/hyperlink" Target="http://www.linkedin.com/in/stephenwsmith" TargetMode="External"/><Relationship Id="rId8906" Type="http://schemas.openxmlformats.org/officeDocument/2006/relationships/hyperlink" Target="http://www.linkedin.com/in/craigsilverman" TargetMode="External"/><Relationship Id="rId689" Type="http://schemas.openxmlformats.org/officeDocument/2006/relationships/hyperlink" Target="http://www.linkedin.com/in/terranceknecht" TargetMode="External"/><Relationship Id="rId688" Type="http://schemas.openxmlformats.org/officeDocument/2006/relationships/hyperlink" Target="http://br.linkedin.com/pub/marcos-morato/3/997/428" TargetMode="External"/><Relationship Id="rId687" Type="http://schemas.openxmlformats.org/officeDocument/2006/relationships/hyperlink" Target="http://www.linkedin.com/in/johnkellyblackstone" TargetMode="External"/><Relationship Id="rId682" Type="http://schemas.openxmlformats.org/officeDocument/2006/relationships/hyperlink" Target="http://www.linkedin.com/pub/john-murry/4/8/323" TargetMode="External"/><Relationship Id="rId681" Type="http://schemas.openxmlformats.org/officeDocument/2006/relationships/hyperlink" Target="http://www.linkedin.com/in/michaelworkman" TargetMode="External"/><Relationship Id="rId680" Type="http://schemas.openxmlformats.org/officeDocument/2006/relationships/hyperlink" Target="http://www.linkedin.com/in/adamboettiger" TargetMode="External"/><Relationship Id="rId686" Type="http://schemas.openxmlformats.org/officeDocument/2006/relationships/hyperlink" Target="http://www.linkedin.com/in/markfelderallen" TargetMode="External"/><Relationship Id="rId8901" Type="http://schemas.openxmlformats.org/officeDocument/2006/relationships/hyperlink" Target="http://www.linkedin.com/pub/jeff-preece/0/150/942" TargetMode="External"/><Relationship Id="rId685" Type="http://schemas.openxmlformats.org/officeDocument/2006/relationships/hyperlink" Target="http://ca.linkedin.com/in/michelledavies" TargetMode="External"/><Relationship Id="rId8900" Type="http://schemas.openxmlformats.org/officeDocument/2006/relationships/hyperlink" Target="http://www.linkedin.com/in/holladay" TargetMode="External"/><Relationship Id="rId684" Type="http://schemas.openxmlformats.org/officeDocument/2006/relationships/hyperlink" Target="http://www.linkedin.com/pub/mercy-acosta/5/282/128" TargetMode="External"/><Relationship Id="rId683" Type="http://schemas.openxmlformats.org/officeDocument/2006/relationships/hyperlink" Target="http://www.linkedin.com/in/tonyalessandra" TargetMode="External"/><Relationship Id="rId679" Type="http://schemas.openxmlformats.org/officeDocument/2006/relationships/hyperlink" Target="http://www.linkedin.com/in/larrybruce" TargetMode="External"/><Relationship Id="rId678" Type="http://schemas.openxmlformats.org/officeDocument/2006/relationships/hyperlink" Target="http://www.linkedin.com/in/markbenton" TargetMode="External"/><Relationship Id="rId677" Type="http://schemas.openxmlformats.org/officeDocument/2006/relationships/hyperlink" Target="http://www.linkedin.com/pub/eric-koefoot/0/91/89" TargetMode="External"/><Relationship Id="rId676" Type="http://schemas.openxmlformats.org/officeDocument/2006/relationships/hyperlink" Target="http://www.linkedin.com/in/matthieuchereau" TargetMode="External"/><Relationship Id="rId671" Type="http://schemas.openxmlformats.org/officeDocument/2006/relationships/hyperlink" Target="http://www.linkedin.com/in/brianmallorysurgicalconsultant" TargetMode="External"/><Relationship Id="rId670" Type="http://schemas.openxmlformats.org/officeDocument/2006/relationships/hyperlink" Target="http://www.linkedin.com/in/tirupatur" TargetMode="External"/><Relationship Id="rId675" Type="http://schemas.openxmlformats.org/officeDocument/2006/relationships/hyperlink" Target="http://www.linkedin.com/in/danfeldman" TargetMode="External"/><Relationship Id="rId674" Type="http://schemas.openxmlformats.org/officeDocument/2006/relationships/hyperlink" Target="https://www.linkedin.com/in/niravchhatrapati" TargetMode="External"/><Relationship Id="rId673" Type="http://schemas.openxmlformats.org/officeDocument/2006/relationships/hyperlink" Target="http://eg.linkedin.com/in/karimmajid" TargetMode="External"/><Relationship Id="rId672" Type="http://schemas.openxmlformats.org/officeDocument/2006/relationships/hyperlink" Target="http://www.linkedin.com/in/beyda" TargetMode="External"/><Relationship Id="rId5019" Type="http://schemas.openxmlformats.org/officeDocument/2006/relationships/hyperlink" Target="http://www.linkedin.com/in/martincoronado" TargetMode="External"/><Relationship Id="rId6340" Type="http://schemas.openxmlformats.org/officeDocument/2006/relationships/hyperlink" Target="http://www.linkedin.com/pub/barbara-reyes/0/855/31" TargetMode="External"/><Relationship Id="rId7672" Type="http://schemas.openxmlformats.org/officeDocument/2006/relationships/hyperlink" Target="http://www.linkedin.com/in/philipcwilliams" TargetMode="External"/><Relationship Id="rId5010" Type="http://schemas.openxmlformats.org/officeDocument/2006/relationships/hyperlink" Target="http://www.linkedin.com/in/estebanroblesluna" TargetMode="External"/><Relationship Id="rId6341" Type="http://schemas.openxmlformats.org/officeDocument/2006/relationships/hyperlink" Target="http://www.linkedin.com/pub/gonzalo-manuppella/b/22a/10a" TargetMode="External"/><Relationship Id="rId7671" Type="http://schemas.openxmlformats.org/officeDocument/2006/relationships/hyperlink" Target="http://uk.linkedin.com/pub/william-excell/2/40A/593" TargetMode="External"/><Relationship Id="rId7670" Type="http://schemas.openxmlformats.org/officeDocument/2006/relationships/hyperlink" Target="https://www.linkedin.com/pub/albano-laiuppa/28/267/157" TargetMode="External"/><Relationship Id="rId5013" Type="http://schemas.openxmlformats.org/officeDocument/2006/relationships/hyperlink" Target="http://www.linkedin.com/pub/alex-goldstein/3/443/A21" TargetMode="External"/><Relationship Id="rId6344" Type="http://schemas.openxmlformats.org/officeDocument/2006/relationships/hyperlink" Target="http://ar.linkedin.com/pub/marsha-schlesinger/17/9AB/B50" TargetMode="External"/><Relationship Id="rId7676" Type="http://schemas.openxmlformats.org/officeDocument/2006/relationships/hyperlink" Target="http://www.linkedin.com/in/hiramm" TargetMode="External"/><Relationship Id="rId5014" Type="http://schemas.openxmlformats.org/officeDocument/2006/relationships/hyperlink" Target="http://www.linkedin.com/in/danielkuperstein" TargetMode="External"/><Relationship Id="rId6345" Type="http://schemas.openxmlformats.org/officeDocument/2006/relationships/hyperlink" Target="http://www.linkedin.com/pub/paola-arroyave/2B/759/699" TargetMode="External"/><Relationship Id="rId7675" Type="http://schemas.openxmlformats.org/officeDocument/2006/relationships/hyperlink" Target="http://www.linkedin.com/in/dickraman" TargetMode="External"/><Relationship Id="rId5011" Type="http://schemas.openxmlformats.org/officeDocument/2006/relationships/hyperlink" Target="https://ar.linkedin.com/in/mcsee" TargetMode="External"/><Relationship Id="rId6342" Type="http://schemas.openxmlformats.org/officeDocument/2006/relationships/hyperlink" Target="http://ar.linkedin.com/pub/pedro-javier-acosta/21/519/689" TargetMode="External"/><Relationship Id="rId7674" Type="http://schemas.openxmlformats.org/officeDocument/2006/relationships/hyperlink" Target="http://www.linkedin.com/in/benmahan" TargetMode="External"/><Relationship Id="rId5012" Type="http://schemas.openxmlformats.org/officeDocument/2006/relationships/hyperlink" Target="http://www.linkedin.com/pub/raul-latashen/3/546/719" TargetMode="External"/><Relationship Id="rId6343" Type="http://schemas.openxmlformats.org/officeDocument/2006/relationships/hyperlink" Target="http://ar.linkedin.com/in/rubenbarbieri" TargetMode="External"/><Relationship Id="rId7673" Type="http://schemas.openxmlformats.org/officeDocument/2006/relationships/hyperlink" Target="http://ar.linkedin.com/in/gerardozir" TargetMode="External"/><Relationship Id="rId5017" Type="http://schemas.openxmlformats.org/officeDocument/2006/relationships/hyperlink" Target="http://ar.linkedin.com/in/fabiosottile" TargetMode="External"/><Relationship Id="rId6348" Type="http://schemas.openxmlformats.org/officeDocument/2006/relationships/hyperlink" Target="http://www.linkedin.com/pub/barbara-whitehouse/9/244/A04" TargetMode="External"/><Relationship Id="rId5018" Type="http://schemas.openxmlformats.org/officeDocument/2006/relationships/hyperlink" Target="http://www.linkedin.com/pub/martin-garcia-dietrich/5/92b/314" TargetMode="External"/><Relationship Id="rId6349" Type="http://schemas.openxmlformats.org/officeDocument/2006/relationships/hyperlink" Target="http://www.linkedin.com/pub/prashanth-morishetty/1A/786/610" TargetMode="External"/><Relationship Id="rId7679" Type="http://schemas.openxmlformats.org/officeDocument/2006/relationships/hyperlink" Target="https://www.linkedin.com/in/saarp" TargetMode="External"/><Relationship Id="rId5015" Type="http://schemas.openxmlformats.org/officeDocument/2006/relationships/hyperlink" Target="http://www.linkedin.com/pub/sandeep-reddy-c/0/771/319" TargetMode="External"/><Relationship Id="rId6346" Type="http://schemas.openxmlformats.org/officeDocument/2006/relationships/hyperlink" Target="http://www.linkedin.com/pub/sandra-rodriguez/10/8B3/290" TargetMode="External"/><Relationship Id="rId7678" Type="http://schemas.openxmlformats.org/officeDocument/2006/relationships/hyperlink" Target="http://www.linkedin.com/in/paulcimino" TargetMode="External"/><Relationship Id="rId5016" Type="http://schemas.openxmlformats.org/officeDocument/2006/relationships/hyperlink" Target="http://ar.linkedin.com/pub/eduardo-peroni/7/6B4/927" TargetMode="External"/><Relationship Id="rId6347" Type="http://schemas.openxmlformats.org/officeDocument/2006/relationships/hyperlink" Target="http://www.linkedin.com/in/mattcookct" TargetMode="External"/><Relationship Id="rId7677" Type="http://schemas.openxmlformats.org/officeDocument/2006/relationships/hyperlink" Target="http://www.linkedin.com/in/christophecremault" TargetMode="External"/><Relationship Id="rId5008" Type="http://schemas.openxmlformats.org/officeDocument/2006/relationships/hyperlink" Target="http://www.linkedin.com/pub/diego-berlocq/25/124/4a2" TargetMode="External"/><Relationship Id="rId6339" Type="http://schemas.openxmlformats.org/officeDocument/2006/relationships/hyperlink" Target="http://ar.linkedin.com/pub/luciana-paez/23/596/560" TargetMode="External"/><Relationship Id="rId5009" Type="http://schemas.openxmlformats.org/officeDocument/2006/relationships/hyperlink" Target="http://ar.linkedin.com/pub/f-lix-manuel-jerez/28/280/877" TargetMode="External"/><Relationship Id="rId7661" Type="http://schemas.openxmlformats.org/officeDocument/2006/relationships/hyperlink" Target="http://www.linkedin.com/in/matheo" TargetMode="External"/><Relationship Id="rId8992" Type="http://schemas.openxmlformats.org/officeDocument/2006/relationships/hyperlink" Target="http://www.linkedin.com/in/jasonbaim" TargetMode="External"/><Relationship Id="rId6330" Type="http://schemas.openxmlformats.org/officeDocument/2006/relationships/hyperlink" Target="http://www.linkedin.com/pub/carlos-arias/0/A41/678" TargetMode="External"/><Relationship Id="rId7660" Type="http://schemas.openxmlformats.org/officeDocument/2006/relationships/hyperlink" Target="http://www.linkedin.com/in/gfox88" TargetMode="External"/><Relationship Id="rId8991" Type="http://schemas.openxmlformats.org/officeDocument/2006/relationships/hyperlink" Target="http://www.linkedin.com/pub/charlie-evans/0/312/204" TargetMode="External"/><Relationship Id="rId8990" Type="http://schemas.openxmlformats.org/officeDocument/2006/relationships/hyperlink" Target="http://www.linkedin.com/in/petedarnell" TargetMode="External"/><Relationship Id="rId5002" Type="http://schemas.openxmlformats.org/officeDocument/2006/relationships/hyperlink" Target="http://ar.linkedin.com/pub/diego-di-natale/21/333/A08" TargetMode="External"/><Relationship Id="rId6333" Type="http://schemas.openxmlformats.org/officeDocument/2006/relationships/hyperlink" Target="http://www.linkedin.com/in/mloureiro0906" TargetMode="External"/><Relationship Id="rId7665" Type="http://schemas.openxmlformats.org/officeDocument/2006/relationships/hyperlink" Target="http://www.linkedin.com/in/adrianocaetano" TargetMode="External"/><Relationship Id="rId8996" Type="http://schemas.openxmlformats.org/officeDocument/2006/relationships/hyperlink" Target="http://www.linkedin.com/in/securerecruiting" TargetMode="External"/><Relationship Id="rId5003" Type="http://schemas.openxmlformats.org/officeDocument/2006/relationships/hyperlink" Target="http://ar.linkedin.com/pub/juan-pablo-flammini/12/18/3BB" TargetMode="External"/><Relationship Id="rId6334" Type="http://schemas.openxmlformats.org/officeDocument/2006/relationships/hyperlink" Target="http://ar.linkedin.com/pub/matias-salmeri/29/222/129" TargetMode="External"/><Relationship Id="rId7664" Type="http://schemas.openxmlformats.org/officeDocument/2006/relationships/hyperlink" Target="http://www.linkedin.com/pub/mariana-krym/0/425/39" TargetMode="External"/><Relationship Id="rId8995" Type="http://schemas.openxmlformats.org/officeDocument/2006/relationships/hyperlink" Target="http://www.linkedin.com/pub/tim-dowling/0/44/5B5" TargetMode="External"/><Relationship Id="rId5000" Type="http://schemas.openxmlformats.org/officeDocument/2006/relationships/hyperlink" Target="http://www.linkedin.com/pub/fernanda-perez-cometto/0/476/b93" TargetMode="External"/><Relationship Id="rId6331" Type="http://schemas.openxmlformats.org/officeDocument/2006/relationships/hyperlink" Target="http://www.linkedin.com/pub/jose-roberto-morgero-gon%C3%A7alves/0/409/401" TargetMode="External"/><Relationship Id="rId7663" Type="http://schemas.openxmlformats.org/officeDocument/2006/relationships/hyperlink" Target="http://www.linkedin.com/in/carlomantica" TargetMode="External"/><Relationship Id="rId8994" Type="http://schemas.openxmlformats.org/officeDocument/2006/relationships/hyperlink" Target="http://www.linkedin.com/in/danielhallac" TargetMode="External"/><Relationship Id="rId5001" Type="http://schemas.openxmlformats.org/officeDocument/2006/relationships/hyperlink" Target="http://ar.linkedin.com/pub/florencia-bustos/17/BB8/B03" TargetMode="External"/><Relationship Id="rId6332" Type="http://schemas.openxmlformats.org/officeDocument/2006/relationships/hyperlink" Target="http://www.linkedin.com/pub/luke-downs/0/157/8A3" TargetMode="External"/><Relationship Id="rId7662" Type="http://schemas.openxmlformats.org/officeDocument/2006/relationships/hyperlink" Target="http://www.linkedin.com/in/viriatoleao" TargetMode="External"/><Relationship Id="rId8993" Type="http://schemas.openxmlformats.org/officeDocument/2006/relationships/hyperlink" Target="http://www.linkedin.com/pub/ed-barry/0/323/606" TargetMode="External"/><Relationship Id="rId5006" Type="http://schemas.openxmlformats.org/officeDocument/2006/relationships/hyperlink" Target="http://www.linkedin.com/pub/rafael-olarra/24/bbb/852" TargetMode="External"/><Relationship Id="rId6337" Type="http://schemas.openxmlformats.org/officeDocument/2006/relationships/hyperlink" Target="http://www.linkedin.com/pub/dario-stawski/4/314/321" TargetMode="External"/><Relationship Id="rId7669" Type="http://schemas.openxmlformats.org/officeDocument/2006/relationships/hyperlink" Target="http://www.linkedin.com/in/bryanhogan" TargetMode="External"/><Relationship Id="rId5007" Type="http://schemas.openxmlformats.org/officeDocument/2006/relationships/hyperlink" Target="http://ar.linkedin.com/in/fiorellabiaggio" TargetMode="External"/><Relationship Id="rId6338" Type="http://schemas.openxmlformats.org/officeDocument/2006/relationships/hyperlink" Target="http://ar.linkedin.com/pub/marcelo-simonian/4/189/956" TargetMode="External"/><Relationship Id="rId7668" Type="http://schemas.openxmlformats.org/officeDocument/2006/relationships/hyperlink" Target="http://www.linkedin.com/pub/raul-gonzalez/14/5A7/909" TargetMode="External"/><Relationship Id="rId8999" Type="http://schemas.openxmlformats.org/officeDocument/2006/relationships/hyperlink" Target="http://www.linkedin.com/in/jimkukral" TargetMode="External"/><Relationship Id="rId5004" Type="http://schemas.openxmlformats.org/officeDocument/2006/relationships/hyperlink" Target="http://www.linkedin.com/pub/maria-mora-lang/24/485/398" TargetMode="External"/><Relationship Id="rId6335" Type="http://schemas.openxmlformats.org/officeDocument/2006/relationships/hyperlink" Target="http://www.linkedin.com/pub/mariano-due%C3%B1az/12/368/66a" TargetMode="External"/><Relationship Id="rId7667" Type="http://schemas.openxmlformats.org/officeDocument/2006/relationships/hyperlink" Target="http://www.linkedin.com/pub/gil-boas/16/239/5B6" TargetMode="External"/><Relationship Id="rId8998" Type="http://schemas.openxmlformats.org/officeDocument/2006/relationships/hyperlink" Target="http://www.linkedin.com/in/nedsahin" TargetMode="External"/><Relationship Id="rId5005" Type="http://schemas.openxmlformats.org/officeDocument/2006/relationships/hyperlink" Target="http://ar.linkedin.com/pub/claudia-n%C3%B3bilo/22/B95/373" TargetMode="External"/><Relationship Id="rId6336" Type="http://schemas.openxmlformats.org/officeDocument/2006/relationships/hyperlink" Target="http://ar.linkedin.com/pub/ezequiel-rizzo/28/53B/9A9" TargetMode="External"/><Relationship Id="rId7666" Type="http://schemas.openxmlformats.org/officeDocument/2006/relationships/hyperlink" Target="http://www.linkedin.com/in/carolinesucaet" TargetMode="External"/><Relationship Id="rId8997" Type="http://schemas.openxmlformats.org/officeDocument/2006/relationships/hyperlink" Target="http://www.linkedin.com/pub/jay-link/0/359/A13" TargetMode="External"/><Relationship Id="rId7690" Type="http://schemas.openxmlformats.org/officeDocument/2006/relationships/hyperlink" Target="http://www.linkedin.com/pub/scott-bennion/0/10/B5" TargetMode="External"/><Relationship Id="rId5031" Type="http://schemas.openxmlformats.org/officeDocument/2006/relationships/hyperlink" Target="http://ar.linkedin.com/in/fcaballero" TargetMode="External"/><Relationship Id="rId6362" Type="http://schemas.openxmlformats.org/officeDocument/2006/relationships/hyperlink" Target="http://www.linkedin.com/pub/maximiliano-stankovic/12/b55/340" TargetMode="External"/><Relationship Id="rId7694" Type="http://schemas.openxmlformats.org/officeDocument/2006/relationships/hyperlink" Target="http://www.linkedin.com/in/erikbullen" TargetMode="External"/><Relationship Id="rId5032" Type="http://schemas.openxmlformats.org/officeDocument/2006/relationships/hyperlink" Target="http://uk.linkedin.com/pub/richard-ashby/3/A93/431" TargetMode="External"/><Relationship Id="rId6363" Type="http://schemas.openxmlformats.org/officeDocument/2006/relationships/hyperlink" Target="http://ar.linkedin.com/in/scerrato" TargetMode="External"/><Relationship Id="rId7693" Type="http://schemas.openxmlformats.org/officeDocument/2006/relationships/hyperlink" Target="http://www.linkedin.com/pub/diane-oflaherty/1B/77A/371" TargetMode="External"/><Relationship Id="rId6360" Type="http://schemas.openxmlformats.org/officeDocument/2006/relationships/hyperlink" Target="http://ar.linkedin.com/pub/milagros-noriega-benedit/9/30/345" TargetMode="External"/><Relationship Id="rId7692" Type="http://schemas.openxmlformats.org/officeDocument/2006/relationships/hyperlink" Target="http://www.linkedin.com/in/ronturner" TargetMode="External"/><Relationship Id="rId5030" Type="http://schemas.openxmlformats.org/officeDocument/2006/relationships/hyperlink" Target="http://www.linkedin.com/in/qcho86" TargetMode="External"/><Relationship Id="rId6361" Type="http://schemas.openxmlformats.org/officeDocument/2006/relationships/hyperlink" Target="http://www.linkedin.com/pub/ricardo-rothman/0/124/331" TargetMode="External"/><Relationship Id="rId7691" Type="http://schemas.openxmlformats.org/officeDocument/2006/relationships/hyperlink" Target="http://www.linkedin.com/pub/jose-morales/0/138/388" TargetMode="External"/><Relationship Id="rId5035" Type="http://schemas.openxmlformats.org/officeDocument/2006/relationships/hyperlink" Target="http://www.linkedin.com/pub/james-miller/4/37/A77" TargetMode="External"/><Relationship Id="rId6366" Type="http://schemas.openxmlformats.org/officeDocument/2006/relationships/hyperlink" Target="http://www.linkedin.com/in/spereyro" TargetMode="External"/><Relationship Id="rId7698" Type="http://schemas.openxmlformats.org/officeDocument/2006/relationships/hyperlink" Target="http://www.linkedin.com/in/catherinebogin" TargetMode="External"/><Relationship Id="rId5036" Type="http://schemas.openxmlformats.org/officeDocument/2006/relationships/hyperlink" Target="http://www.linkedin.com/in/pablomcuomo" TargetMode="External"/><Relationship Id="rId6367" Type="http://schemas.openxmlformats.org/officeDocument/2006/relationships/hyperlink" Target="http://ar.linkedin.com/in/marceloacosta" TargetMode="External"/><Relationship Id="rId7697" Type="http://schemas.openxmlformats.org/officeDocument/2006/relationships/hyperlink" Target="http://www.linkedin.com/in/gunnarostergren/" TargetMode="External"/><Relationship Id="rId5033" Type="http://schemas.openxmlformats.org/officeDocument/2006/relationships/hyperlink" Target="http://ar.linkedin.com/pub/ingrid-becker/2/513/71A" TargetMode="External"/><Relationship Id="rId6364" Type="http://schemas.openxmlformats.org/officeDocument/2006/relationships/hyperlink" Target="http://ar.linkedin.com/in/sebastianrossi" TargetMode="External"/><Relationship Id="rId7696" Type="http://schemas.openxmlformats.org/officeDocument/2006/relationships/hyperlink" Target="http://www.linkedin.com/in/michaeldowning" TargetMode="External"/><Relationship Id="rId5034" Type="http://schemas.openxmlformats.org/officeDocument/2006/relationships/hyperlink" Target="https://www.linkedin.com/pub/eugenia-zapata/a/351/667" TargetMode="External"/><Relationship Id="rId6365" Type="http://schemas.openxmlformats.org/officeDocument/2006/relationships/hyperlink" Target="http://www.linkedin.com/in/mwrichardson" TargetMode="External"/><Relationship Id="rId7695" Type="http://schemas.openxmlformats.org/officeDocument/2006/relationships/hyperlink" Target="http://www.linkedin.com/in/mikemccready" TargetMode="External"/><Relationship Id="rId5039" Type="http://schemas.openxmlformats.org/officeDocument/2006/relationships/hyperlink" Target="http://ar.linkedin.com/in/fernandozunino" TargetMode="External"/><Relationship Id="rId5037" Type="http://schemas.openxmlformats.org/officeDocument/2006/relationships/hyperlink" Target="http://www.linkedin.com/pub/santiago-montero/6/90b/ba8" TargetMode="External"/><Relationship Id="rId6368" Type="http://schemas.openxmlformats.org/officeDocument/2006/relationships/hyperlink" Target="http://www.linkedin.com/pub/john-harper/2/B29/B8A" TargetMode="External"/><Relationship Id="rId5038" Type="http://schemas.openxmlformats.org/officeDocument/2006/relationships/hyperlink" Target="http://ar.linkedin.com/in/mcortesi" TargetMode="External"/><Relationship Id="rId6369" Type="http://schemas.openxmlformats.org/officeDocument/2006/relationships/hyperlink" Target="http://ar.linkedin.com/pub/gonzalo-erro/21/A9A/948" TargetMode="External"/><Relationship Id="rId7699" Type="http://schemas.openxmlformats.org/officeDocument/2006/relationships/hyperlink" Target="http://www.linkedin.com/in/kellirichards" TargetMode="External"/><Relationship Id="rId5020" Type="http://schemas.openxmlformats.org/officeDocument/2006/relationships/hyperlink" Target="http://ar.linkedin.com/pub/durval-sebasti%C3%A1n-korssj%C3%B6en/B/49B/4A8" TargetMode="External"/><Relationship Id="rId6351" Type="http://schemas.openxmlformats.org/officeDocument/2006/relationships/hyperlink" Target="http://ar.linkedin.com/in/danielceillan" TargetMode="External"/><Relationship Id="rId7683" Type="http://schemas.openxmlformats.org/officeDocument/2006/relationships/hyperlink" Target="http://www.linkedin.com/in/pavelkrapivin" TargetMode="External"/><Relationship Id="rId5021" Type="http://schemas.openxmlformats.org/officeDocument/2006/relationships/hyperlink" Target="http://ar.linkedin.com/in/foriozabala" TargetMode="External"/><Relationship Id="rId6352" Type="http://schemas.openxmlformats.org/officeDocument/2006/relationships/hyperlink" Target="http://ar.linkedin.com/in/martinzugnoni" TargetMode="External"/><Relationship Id="rId7682" Type="http://schemas.openxmlformats.org/officeDocument/2006/relationships/hyperlink" Target="http://www.linkedin.com/pub/christopher-johnson/23/507/A" TargetMode="External"/><Relationship Id="rId7681" Type="http://schemas.openxmlformats.org/officeDocument/2006/relationships/hyperlink" Target="http://www.linkedin.com/pub/mitchell-kreuch/0/386/683" TargetMode="External"/><Relationship Id="rId6350" Type="http://schemas.openxmlformats.org/officeDocument/2006/relationships/hyperlink" Target="http://www.linkedin.com/pub/tina-hall-booher/5/658/7A7" TargetMode="External"/><Relationship Id="rId7680" Type="http://schemas.openxmlformats.org/officeDocument/2006/relationships/hyperlink" Target="http://www.linkedin.com/in/shawngunn" TargetMode="External"/><Relationship Id="rId5024" Type="http://schemas.openxmlformats.org/officeDocument/2006/relationships/hyperlink" Target="http://ar.linkedin.com/in/arielfrodriguez" TargetMode="External"/><Relationship Id="rId6355" Type="http://schemas.openxmlformats.org/officeDocument/2006/relationships/hyperlink" Target="http://www.linkedin.com/pub/jake-brown/0/590/24" TargetMode="External"/><Relationship Id="rId7687" Type="http://schemas.openxmlformats.org/officeDocument/2006/relationships/hyperlink" Target="http://www.linkedin.com/pub/tyson-verstraete/5/553/122" TargetMode="External"/><Relationship Id="rId5025" Type="http://schemas.openxmlformats.org/officeDocument/2006/relationships/hyperlink" Target="http://www.linkedin.com/in/weycheng" TargetMode="External"/><Relationship Id="rId6356" Type="http://schemas.openxmlformats.org/officeDocument/2006/relationships/hyperlink" Target="http://ar.linkedin.com/in/pablobiagioli" TargetMode="External"/><Relationship Id="rId7686" Type="http://schemas.openxmlformats.org/officeDocument/2006/relationships/hyperlink" Target="http://www.linkedin.com/in/mbram" TargetMode="External"/><Relationship Id="rId5022" Type="http://schemas.openxmlformats.org/officeDocument/2006/relationships/hyperlink" Target="http://www.linkedin.com/pub/linda-lowitz/1/605/894" TargetMode="External"/><Relationship Id="rId6353" Type="http://schemas.openxmlformats.org/officeDocument/2006/relationships/hyperlink" Target="http://www.linkedin.com/in/michaelxml" TargetMode="External"/><Relationship Id="rId7685" Type="http://schemas.openxmlformats.org/officeDocument/2006/relationships/hyperlink" Target="http://www.linkedin.com/pub/mike-wald/A/207/838" TargetMode="External"/><Relationship Id="rId5023" Type="http://schemas.openxmlformats.org/officeDocument/2006/relationships/hyperlink" Target="http://ar.linkedin.com/in/nahuel" TargetMode="External"/><Relationship Id="rId6354" Type="http://schemas.openxmlformats.org/officeDocument/2006/relationships/hyperlink" Target="http://www.linkedin.com/in/russellgrin" TargetMode="External"/><Relationship Id="rId7684" Type="http://schemas.openxmlformats.org/officeDocument/2006/relationships/hyperlink" Target="http://www.linkedin.com/in/sbohn" TargetMode="External"/><Relationship Id="rId5028" Type="http://schemas.openxmlformats.org/officeDocument/2006/relationships/hyperlink" Target="http://www.linkedin.com/pub/rachel-pilgrim/2/38B/730" TargetMode="External"/><Relationship Id="rId6359" Type="http://schemas.openxmlformats.org/officeDocument/2006/relationships/hyperlink" Target="http://ar.linkedin.com/pub/lic-virginia-cuesta-cardoso/21/372/73" TargetMode="External"/><Relationship Id="rId5029" Type="http://schemas.openxmlformats.org/officeDocument/2006/relationships/hyperlink" Target="http://www.linkedin.com/pub/mariano-wahlmann/8/379/4a9" TargetMode="External"/><Relationship Id="rId5026" Type="http://schemas.openxmlformats.org/officeDocument/2006/relationships/hyperlink" Target="https://www.linkedin.com/in/tpbrown" TargetMode="External"/><Relationship Id="rId6357" Type="http://schemas.openxmlformats.org/officeDocument/2006/relationships/hyperlink" Target="http://ar.linkedin.com/in/juanferreyra" TargetMode="External"/><Relationship Id="rId7689" Type="http://schemas.openxmlformats.org/officeDocument/2006/relationships/hyperlink" Target="http://uk.linkedin.com/pub/pedro-nassif/12/716/331" TargetMode="External"/><Relationship Id="rId5027" Type="http://schemas.openxmlformats.org/officeDocument/2006/relationships/hyperlink" Target="http://www.linkedin.com/in/troymagennis" TargetMode="External"/><Relationship Id="rId6358" Type="http://schemas.openxmlformats.org/officeDocument/2006/relationships/hyperlink" Target="http://ar.linkedin.com/pub/milka-ercegovic/17/8AB/BA" TargetMode="External"/><Relationship Id="rId7688" Type="http://schemas.openxmlformats.org/officeDocument/2006/relationships/hyperlink" Target="http://www.linkedin.com/pub/john-kelly/4/793/841" TargetMode="External"/><Relationship Id="rId6308" Type="http://schemas.openxmlformats.org/officeDocument/2006/relationships/hyperlink" Target="http://www.linkedin.com/pub/tila-enser/0/11B/111" TargetMode="External"/><Relationship Id="rId6309" Type="http://schemas.openxmlformats.org/officeDocument/2006/relationships/hyperlink" Target="http://www.linkedin.com/in/fmemoria" TargetMode="External"/><Relationship Id="rId7639" Type="http://schemas.openxmlformats.org/officeDocument/2006/relationships/hyperlink" Target="http://www.linkedin.com/in/davidpmeyer" TargetMode="External"/><Relationship Id="rId6306" Type="http://schemas.openxmlformats.org/officeDocument/2006/relationships/hyperlink" Target="http://www.linkedin.com/in/koljareiss" TargetMode="External"/><Relationship Id="rId7638" Type="http://schemas.openxmlformats.org/officeDocument/2006/relationships/hyperlink" Target="http://www.linkedin.com/in/felixracca" TargetMode="External"/><Relationship Id="rId8969" Type="http://schemas.openxmlformats.org/officeDocument/2006/relationships/hyperlink" Target="http://www.linkedin.com/pub/justin-sanger/0/915/A76" TargetMode="External"/><Relationship Id="rId6307" Type="http://schemas.openxmlformats.org/officeDocument/2006/relationships/hyperlink" Target="http://www.linkedin.com/pub/shakil-haroon/1/953/B42" TargetMode="External"/><Relationship Id="rId7637" Type="http://schemas.openxmlformats.org/officeDocument/2006/relationships/hyperlink" Target="http://www.linkedin.com/pub/enrique-gorzelany/a/190/427" TargetMode="External"/><Relationship Id="rId8968" Type="http://schemas.openxmlformats.org/officeDocument/2006/relationships/hyperlink" Target="http://www.linkedin.com/in/donforte" TargetMode="External"/><Relationship Id="rId6300" Type="http://schemas.openxmlformats.org/officeDocument/2006/relationships/hyperlink" Target="http://ar.linkedin.com/in/federicomz" TargetMode="External"/><Relationship Id="rId7632" Type="http://schemas.openxmlformats.org/officeDocument/2006/relationships/hyperlink" Target="http://www.linkedin.com/in/simonhmorris" TargetMode="External"/><Relationship Id="rId8963" Type="http://schemas.openxmlformats.org/officeDocument/2006/relationships/hyperlink" Target="http://www.linkedin.com/in/datastorage" TargetMode="External"/><Relationship Id="rId6301" Type="http://schemas.openxmlformats.org/officeDocument/2006/relationships/hyperlink" Target="http://www.linkedin.com/in/stuartgwood" TargetMode="External"/><Relationship Id="rId7631" Type="http://schemas.openxmlformats.org/officeDocument/2006/relationships/hyperlink" Target="https://www.linkedin.com/in/bobewald" TargetMode="External"/><Relationship Id="rId8962" Type="http://schemas.openxmlformats.org/officeDocument/2006/relationships/hyperlink" Target="http://www.linkedin.com/in/kenwelch00" TargetMode="External"/><Relationship Id="rId7630" Type="http://schemas.openxmlformats.org/officeDocument/2006/relationships/hyperlink" Target="http://www.linkedin.com/in/clabruna" TargetMode="External"/><Relationship Id="rId8961" Type="http://schemas.openxmlformats.org/officeDocument/2006/relationships/hyperlink" Target="http://www.linkedin.com/in/mbergelson" TargetMode="External"/><Relationship Id="rId8960" Type="http://schemas.openxmlformats.org/officeDocument/2006/relationships/hyperlink" Target="http://www.linkedin.com/in/jhporte" TargetMode="External"/><Relationship Id="rId6304" Type="http://schemas.openxmlformats.org/officeDocument/2006/relationships/hyperlink" Target="http://www.linkedin.com/in/mrathjen" TargetMode="External"/><Relationship Id="rId7636" Type="http://schemas.openxmlformats.org/officeDocument/2006/relationships/hyperlink" Target="http://www.linkedin.com/in/dinomunoz" TargetMode="External"/><Relationship Id="rId8967" Type="http://schemas.openxmlformats.org/officeDocument/2006/relationships/hyperlink" Target="http://www.linkedin.com/pub/nanci-appleman-vassil-ma-ncc/0/911/935" TargetMode="External"/><Relationship Id="rId6305" Type="http://schemas.openxmlformats.org/officeDocument/2006/relationships/hyperlink" Target="http://www.linkedin.com/pub/jim-jaquet/0/502/48B" TargetMode="External"/><Relationship Id="rId7635" Type="http://schemas.openxmlformats.org/officeDocument/2006/relationships/hyperlink" Target="https://www.linkedin.com/in/tomracca" TargetMode="External"/><Relationship Id="rId8966" Type="http://schemas.openxmlformats.org/officeDocument/2006/relationships/hyperlink" Target="http://www.linkedin.com/in/mattlehman" TargetMode="External"/><Relationship Id="rId6302" Type="http://schemas.openxmlformats.org/officeDocument/2006/relationships/hyperlink" Target="http://www.linkedin.com/in/luisfranco00" TargetMode="External"/><Relationship Id="rId7634" Type="http://schemas.openxmlformats.org/officeDocument/2006/relationships/hyperlink" Target="http://www.linkedin.com/in/anandvenkataraman" TargetMode="External"/><Relationship Id="rId8965" Type="http://schemas.openxmlformats.org/officeDocument/2006/relationships/hyperlink" Target="http://www.linkedin.com/in/pharmagenie" TargetMode="External"/><Relationship Id="rId6303" Type="http://schemas.openxmlformats.org/officeDocument/2006/relationships/hyperlink" Target="http://www.linkedin.com/pub/nathan-rupert/30/B24/295" TargetMode="External"/><Relationship Id="rId7633" Type="http://schemas.openxmlformats.org/officeDocument/2006/relationships/hyperlink" Target="http://www.linkedin.com/in/mariotapia" TargetMode="External"/><Relationship Id="rId8964" Type="http://schemas.openxmlformats.org/officeDocument/2006/relationships/hyperlink" Target="http://www.linkedin.com/in/waynearvidson" TargetMode="External"/><Relationship Id="rId7629" Type="http://schemas.openxmlformats.org/officeDocument/2006/relationships/hyperlink" Target="http://www.linkedin.com/pub/darren-cross/0/673/50" TargetMode="External"/><Relationship Id="rId7628" Type="http://schemas.openxmlformats.org/officeDocument/2006/relationships/hyperlink" Target="http://www.linkedin.com/in/deglinkenealy" TargetMode="External"/><Relationship Id="rId8959" Type="http://schemas.openxmlformats.org/officeDocument/2006/relationships/hyperlink" Target="https://www.linkedin.com/in/michaelmaziarz" TargetMode="External"/><Relationship Id="rId7627" Type="http://schemas.openxmlformats.org/officeDocument/2006/relationships/hyperlink" Target="http://www.linkedin.com/in/arthurkeller" TargetMode="External"/><Relationship Id="rId8958" Type="http://schemas.openxmlformats.org/officeDocument/2006/relationships/hyperlink" Target="http://www.linkedin.com/in/robertjblack" TargetMode="External"/><Relationship Id="rId7626" Type="http://schemas.openxmlformats.org/officeDocument/2006/relationships/hyperlink" Target="http://www.linkedin.com/in/ptrowe" TargetMode="External"/><Relationship Id="rId8957" Type="http://schemas.openxmlformats.org/officeDocument/2006/relationships/hyperlink" Target="http://www.linkedin.com/pub/randy-bogue/0/118/409" TargetMode="External"/><Relationship Id="rId7621" Type="http://schemas.openxmlformats.org/officeDocument/2006/relationships/hyperlink" Target="http://www.linkedin.com/in/joehurd" TargetMode="External"/><Relationship Id="rId8952" Type="http://schemas.openxmlformats.org/officeDocument/2006/relationships/hyperlink" Target="http://www.linkedin.com/pub/carlos-delatorre/0/172/38" TargetMode="External"/><Relationship Id="rId7620" Type="http://schemas.openxmlformats.org/officeDocument/2006/relationships/hyperlink" Target="http://www.linkedin.com/in/patriciadao" TargetMode="External"/><Relationship Id="rId8951" Type="http://schemas.openxmlformats.org/officeDocument/2006/relationships/hyperlink" Target="http://www.linkedin.com/pub/david-tennant/0/75/570" TargetMode="External"/><Relationship Id="rId8950" Type="http://schemas.openxmlformats.org/officeDocument/2006/relationships/hyperlink" Target="http://www.linkedin.com/in/javedhasan" TargetMode="External"/><Relationship Id="rId7625" Type="http://schemas.openxmlformats.org/officeDocument/2006/relationships/hyperlink" Target="http://www.linkedin.com/in/dlivings" TargetMode="External"/><Relationship Id="rId8956" Type="http://schemas.openxmlformats.org/officeDocument/2006/relationships/hyperlink" Target="http://www.linkedin.com/pub/mike-sheffey/0/157/289" TargetMode="External"/><Relationship Id="rId7624" Type="http://schemas.openxmlformats.org/officeDocument/2006/relationships/hyperlink" Target="http://www.linkedin.com/pub/raj-ray/0/A1/251" TargetMode="External"/><Relationship Id="rId8955" Type="http://schemas.openxmlformats.org/officeDocument/2006/relationships/hyperlink" Target="http://www.linkedin.com/pub/brad-taylor/0/358/772" TargetMode="External"/><Relationship Id="rId7623" Type="http://schemas.openxmlformats.org/officeDocument/2006/relationships/hyperlink" Target="http://www.linkedin.com/in/emaggini" TargetMode="External"/><Relationship Id="rId8954" Type="http://schemas.openxmlformats.org/officeDocument/2006/relationships/hyperlink" Target="http://www.linkedin.com/in/jlawlor" TargetMode="External"/><Relationship Id="rId7622" Type="http://schemas.openxmlformats.org/officeDocument/2006/relationships/hyperlink" Target="http://www.linkedin.com/pub/janice-clark/0/8A/A49" TargetMode="External"/><Relationship Id="rId8953" Type="http://schemas.openxmlformats.org/officeDocument/2006/relationships/hyperlink" Target="http://www.linkedin.com/in/barrynperkins" TargetMode="External"/><Relationship Id="rId6328" Type="http://schemas.openxmlformats.org/officeDocument/2006/relationships/hyperlink" Target="http://www.linkedin.com/in/morsela" TargetMode="External"/><Relationship Id="rId6329" Type="http://schemas.openxmlformats.org/officeDocument/2006/relationships/hyperlink" Target="http://www.linkedin.com/in/ilanreiter" TargetMode="External"/><Relationship Id="rId7659" Type="http://schemas.openxmlformats.org/officeDocument/2006/relationships/hyperlink" Target="http://www.linkedin.com/pub/matthias-thiele/17/77/7A3" TargetMode="External"/><Relationship Id="rId7650" Type="http://schemas.openxmlformats.org/officeDocument/2006/relationships/hyperlink" Target="http://ar.linkedin.com/in/nriccitelli" TargetMode="External"/><Relationship Id="rId8981" Type="http://schemas.openxmlformats.org/officeDocument/2006/relationships/hyperlink" Target="http://www.linkedin.com/in/anthonysoohoo" TargetMode="External"/><Relationship Id="rId8980" Type="http://schemas.openxmlformats.org/officeDocument/2006/relationships/hyperlink" Target="http://www.linkedin.com/in/phillodico" TargetMode="External"/><Relationship Id="rId6322" Type="http://schemas.openxmlformats.org/officeDocument/2006/relationships/hyperlink" Target="http://www.linkedin.com/pub/carrie-kelly/0/8A2/435" TargetMode="External"/><Relationship Id="rId7654" Type="http://schemas.openxmlformats.org/officeDocument/2006/relationships/hyperlink" Target="http://ar.linkedin.com/pub/marcelo-liberini/0/387/58B" TargetMode="External"/><Relationship Id="rId8985" Type="http://schemas.openxmlformats.org/officeDocument/2006/relationships/hyperlink" Target="http://www.linkedin.com/in/robertjmoreau" TargetMode="External"/><Relationship Id="rId6323" Type="http://schemas.openxmlformats.org/officeDocument/2006/relationships/hyperlink" Target="http://www.linkedin.com/in/brettmedellin" TargetMode="External"/><Relationship Id="rId7653" Type="http://schemas.openxmlformats.org/officeDocument/2006/relationships/hyperlink" Target="http://www.linkedin.com/in/alejandrateran" TargetMode="External"/><Relationship Id="rId8984" Type="http://schemas.openxmlformats.org/officeDocument/2006/relationships/hyperlink" Target="http://www.linkedin.com/in/taglass" TargetMode="External"/><Relationship Id="rId6320" Type="http://schemas.openxmlformats.org/officeDocument/2006/relationships/hyperlink" Target="http://www.linkedin.com/pub/nick-johnson/0/280/A89" TargetMode="External"/><Relationship Id="rId7652" Type="http://schemas.openxmlformats.org/officeDocument/2006/relationships/hyperlink" Target="http://www.linkedin.com/pub/john-jackson/10/312/465" TargetMode="External"/><Relationship Id="rId8983" Type="http://schemas.openxmlformats.org/officeDocument/2006/relationships/hyperlink" Target="http://www.linkedin.com/in/ajayramachandran" TargetMode="External"/><Relationship Id="rId6321" Type="http://schemas.openxmlformats.org/officeDocument/2006/relationships/hyperlink" Target="http://www.linkedin.com/in/loralesage" TargetMode="External"/><Relationship Id="rId7651" Type="http://schemas.openxmlformats.org/officeDocument/2006/relationships/hyperlink" Target="http://www.linkedin.com/in/joshbochner" TargetMode="External"/><Relationship Id="rId8982" Type="http://schemas.openxmlformats.org/officeDocument/2006/relationships/hyperlink" Target="http://www.linkedin.com/in/bretnewman" TargetMode="External"/><Relationship Id="rId6326" Type="http://schemas.openxmlformats.org/officeDocument/2006/relationships/hyperlink" Target="http://www.linkedin.com/pub/mario-venta/0/B0/749" TargetMode="External"/><Relationship Id="rId7658" Type="http://schemas.openxmlformats.org/officeDocument/2006/relationships/hyperlink" Target="http://www.linkedin.com/in/markbielecki" TargetMode="External"/><Relationship Id="rId8989" Type="http://schemas.openxmlformats.org/officeDocument/2006/relationships/hyperlink" Target="http://www.linkedin.com/in/jbedser" TargetMode="External"/><Relationship Id="rId6327" Type="http://schemas.openxmlformats.org/officeDocument/2006/relationships/hyperlink" Target="http://www.linkedin.com/pub/bailey-allard/0/315/130" TargetMode="External"/><Relationship Id="rId7657" Type="http://schemas.openxmlformats.org/officeDocument/2006/relationships/hyperlink" Target="http://www.linkedin.com/in/ramonwinemberg" TargetMode="External"/><Relationship Id="rId8988" Type="http://schemas.openxmlformats.org/officeDocument/2006/relationships/hyperlink" Target="http://www.linkedin.com/in/michaelheffner" TargetMode="External"/><Relationship Id="rId6324" Type="http://schemas.openxmlformats.org/officeDocument/2006/relationships/hyperlink" Target="http://www.linkedin.com/in/tunctanin" TargetMode="External"/><Relationship Id="rId7656" Type="http://schemas.openxmlformats.org/officeDocument/2006/relationships/hyperlink" Target="http://www.linkedin.com/pub/jason-duval/6/125/966" TargetMode="External"/><Relationship Id="rId8987" Type="http://schemas.openxmlformats.org/officeDocument/2006/relationships/hyperlink" Target="http://www.linkedin.com/in/ristohaukioja" TargetMode="External"/><Relationship Id="rId6325" Type="http://schemas.openxmlformats.org/officeDocument/2006/relationships/hyperlink" Target="http://www.linkedin.com/pub/vicente-ramirez/0/155/55" TargetMode="External"/><Relationship Id="rId7655" Type="http://schemas.openxmlformats.org/officeDocument/2006/relationships/hyperlink" Target="http://www.linkedin.com/in/mickgiles" TargetMode="External"/><Relationship Id="rId8986" Type="http://schemas.openxmlformats.org/officeDocument/2006/relationships/hyperlink" Target="http://www.linkedin.com/pub/laurens-eckelboom/0/180/63" TargetMode="External"/><Relationship Id="rId6319" Type="http://schemas.openxmlformats.org/officeDocument/2006/relationships/hyperlink" Target="http://www.linkedin.com/in/terifoley" TargetMode="External"/><Relationship Id="rId6317" Type="http://schemas.openxmlformats.org/officeDocument/2006/relationships/hyperlink" Target="http://www.linkedin.com/in/nadavgeft" TargetMode="External"/><Relationship Id="rId7649" Type="http://schemas.openxmlformats.org/officeDocument/2006/relationships/hyperlink" Target="http://www.linkedin.com/in/brianfyork" TargetMode="External"/><Relationship Id="rId6318" Type="http://schemas.openxmlformats.org/officeDocument/2006/relationships/hyperlink" Target="http://www.linkedin.com/pub/adam-felenstein/1/5B/524" TargetMode="External"/><Relationship Id="rId7648" Type="http://schemas.openxmlformats.org/officeDocument/2006/relationships/hyperlink" Target="http://www.linkedin.com/pub/gilberto-mendoza/2B/811/A0" TargetMode="External"/><Relationship Id="rId8979" Type="http://schemas.openxmlformats.org/officeDocument/2006/relationships/hyperlink" Target="http://www.linkedin.com/in/joeldouglaspub" TargetMode="External"/><Relationship Id="rId8970" Type="http://schemas.openxmlformats.org/officeDocument/2006/relationships/hyperlink" Target="http://www.linkedin.com/pub/stephen-balint/6/95A/B06" TargetMode="External"/><Relationship Id="rId6311" Type="http://schemas.openxmlformats.org/officeDocument/2006/relationships/hyperlink" Target="http://www.linkedin.com/in/marcelovba" TargetMode="External"/><Relationship Id="rId7643" Type="http://schemas.openxmlformats.org/officeDocument/2006/relationships/hyperlink" Target="http://www.linkedin.com/pub/fernando-dachequi/10/224/701" TargetMode="External"/><Relationship Id="rId8974" Type="http://schemas.openxmlformats.org/officeDocument/2006/relationships/hyperlink" Target="http://www.linkedin.com/pub/diane-m-mcaveeney/4/212/744" TargetMode="External"/><Relationship Id="rId6312" Type="http://schemas.openxmlformats.org/officeDocument/2006/relationships/hyperlink" Target="http://www.linkedin.com/pub/bryan-sorge/5/35A/A26" TargetMode="External"/><Relationship Id="rId7642" Type="http://schemas.openxmlformats.org/officeDocument/2006/relationships/hyperlink" Target="http://www.linkedin.com/in/brandonjdean" TargetMode="External"/><Relationship Id="rId8973" Type="http://schemas.openxmlformats.org/officeDocument/2006/relationships/hyperlink" Target="http://www.linkedin.com/in/jbhobie" TargetMode="External"/><Relationship Id="rId7641" Type="http://schemas.openxmlformats.org/officeDocument/2006/relationships/hyperlink" Target="http://www.linkedin.com/in/garybuffington" TargetMode="External"/><Relationship Id="rId8972" Type="http://schemas.openxmlformats.org/officeDocument/2006/relationships/hyperlink" Target="http://www.linkedin.com/in/larryschroeder" TargetMode="External"/><Relationship Id="rId6310" Type="http://schemas.openxmlformats.org/officeDocument/2006/relationships/hyperlink" Target="http://www.linkedin.com/in/tomdaly" TargetMode="External"/><Relationship Id="rId7640" Type="http://schemas.openxmlformats.org/officeDocument/2006/relationships/hyperlink" Target="http://www.linkedin.com/pub/todd-vancil/0/B6/425" TargetMode="External"/><Relationship Id="rId8971" Type="http://schemas.openxmlformats.org/officeDocument/2006/relationships/hyperlink" Target="http://www.linkedin.com/pub/mark-lynch/18/194/880" TargetMode="External"/><Relationship Id="rId6315" Type="http://schemas.openxmlformats.org/officeDocument/2006/relationships/hyperlink" Target="http://www.linkedin.com/pub/matthew-schulte/0/612/A45" TargetMode="External"/><Relationship Id="rId7647" Type="http://schemas.openxmlformats.org/officeDocument/2006/relationships/hyperlink" Target="http://ar.linkedin.com/pub/silvio-miguel-dotolo/9/29A/961" TargetMode="External"/><Relationship Id="rId8978" Type="http://schemas.openxmlformats.org/officeDocument/2006/relationships/hyperlink" Target="http://www.linkedin.com/in/mattweeks1" TargetMode="External"/><Relationship Id="rId6316" Type="http://schemas.openxmlformats.org/officeDocument/2006/relationships/hyperlink" Target="http://www.linkedin.com/pub/michael-saperstein/2/523/787" TargetMode="External"/><Relationship Id="rId7646" Type="http://schemas.openxmlformats.org/officeDocument/2006/relationships/hyperlink" Target="http://www.linkedin.com/pub/fernando-rodriguez/3/B23/71B" TargetMode="External"/><Relationship Id="rId8977" Type="http://schemas.openxmlformats.org/officeDocument/2006/relationships/hyperlink" Target="http://www.linkedin.com/pub/sean-kalkwarf/0/59/a41" TargetMode="External"/><Relationship Id="rId6313" Type="http://schemas.openxmlformats.org/officeDocument/2006/relationships/hyperlink" Target="http://www.linkedin.com/pub/allison-hickey/1/154/21" TargetMode="External"/><Relationship Id="rId7645" Type="http://schemas.openxmlformats.org/officeDocument/2006/relationships/hyperlink" Target="http://www.linkedin.com/pub/marilyn-bochicchio/11/3BA/123" TargetMode="External"/><Relationship Id="rId8976" Type="http://schemas.openxmlformats.org/officeDocument/2006/relationships/hyperlink" Target="http://www.linkedin.com/pub/robert-holler/0/8/711" TargetMode="External"/><Relationship Id="rId6314" Type="http://schemas.openxmlformats.org/officeDocument/2006/relationships/hyperlink" Target="http://www.linkedin.com/in/buckdossey" TargetMode="External"/><Relationship Id="rId7644" Type="http://schemas.openxmlformats.org/officeDocument/2006/relationships/hyperlink" Target="http://www.linkedin.com/pub/rudinei-kalil/6/951/A01" TargetMode="External"/><Relationship Id="rId8975" Type="http://schemas.openxmlformats.org/officeDocument/2006/relationships/hyperlink" Target="http://www.linkedin.com/pub/semmie-taylor-mba/5/46/316" TargetMode="External"/><Relationship Id="rId2820" Type="http://schemas.openxmlformats.org/officeDocument/2006/relationships/hyperlink" Target="http://ar.linkedin.com/pub/giselle-risso/22/372/765" TargetMode="External"/><Relationship Id="rId2821" Type="http://schemas.openxmlformats.org/officeDocument/2006/relationships/hyperlink" Target="http://www.linkedin.com/pub/martin-pablo-schulz/5/1b5/1bb" TargetMode="External"/><Relationship Id="rId2822" Type="http://schemas.openxmlformats.org/officeDocument/2006/relationships/hyperlink" Target="http://www.linkedin.com/pub/lucas-trippi/1a/643/949" TargetMode="External"/><Relationship Id="rId2823" Type="http://schemas.openxmlformats.org/officeDocument/2006/relationships/hyperlink" Target="http://uk.linkedin.com/pub/julie-towers/1/3A5/B29" TargetMode="External"/><Relationship Id="rId2824" Type="http://schemas.openxmlformats.org/officeDocument/2006/relationships/hyperlink" Target="http://uk.linkedin.com/pub/john-quirk/3/55B/4A7" TargetMode="External"/><Relationship Id="rId2825" Type="http://schemas.openxmlformats.org/officeDocument/2006/relationships/hyperlink" Target="http://uk.linkedin.com/pub/nick-vaughan/1A/741/109" TargetMode="External"/><Relationship Id="rId2826" Type="http://schemas.openxmlformats.org/officeDocument/2006/relationships/hyperlink" Target="http://uk.linkedin.com/pub/robbie-o-driscoll/15/8BB/AA3" TargetMode="External"/><Relationship Id="rId2827" Type="http://schemas.openxmlformats.org/officeDocument/2006/relationships/hyperlink" Target="http://uk.linkedin.com/pub/wayne-kavanagh/10/339/B53" TargetMode="External"/><Relationship Id="rId2828" Type="http://schemas.openxmlformats.org/officeDocument/2006/relationships/hyperlink" Target="http://uk.linkedin.com/pub/andy-kreppel/6/233/7B6" TargetMode="External"/><Relationship Id="rId2829" Type="http://schemas.openxmlformats.org/officeDocument/2006/relationships/hyperlink" Target="http://uk.linkedin.com/pub/gail-khan/18/447/48" TargetMode="External"/><Relationship Id="rId5093" Type="http://schemas.openxmlformats.org/officeDocument/2006/relationships/hyperlink" Target="http://www.linkedin.com/pub/fernando-andr%C3%A9s-britos/4/7a8/308" TargetMode="External"/><Relationship Id="rId5094" Type="http://schemas.openxmlformats.org/officeDocument/2006/relationships/hyperlink" Target="http://ar.linkedin.com/pub/luciana-alvarez/5/861/55B" TargetMode="External"/><Relationship Id="rId5091" Type="http://schemas.openxmlformats.org/officeDocument/2006/relationships/hyperlink" Target="http://www.linkedin.com/pub/florez-carolina/0/462/768" TargetMode="External"/><Relationship Id="rId5092" Type="http://schemas.openxmlformats.org/officeDocument/2006/relationships/hyperlink" Target="http://www.linkedin.com/in/sanchezcavalieri" TargetMode="External"/><Relationship Id="rId5097" Type="http://schemas.openxmlformats.org/officeDocument/2006/relationships/hyperlink" Target="http://ar.linkedin.com/pub/nicolas-stefanelli/A/BA6/A56" TargetMode="External"/><Relationship Id="rId5098" Type="http://schemas.openxmlformats.org/officeDocument/2006/relationships/hyperlink" Target="http://ar.linkedin.com/in/sebastianproverbio" TargetMode="External"/><Relationship Id="rId5095" Type="http://schemas.openxmlformats.org/officeDocument/2006/relationships/hyperlink" Target="http://ar.linkedin.com/pub/marianela-portas/A/1A3/745" TargetMode="External"/><Relationship Id="rId5096" Type="http://schemas.openxmlformats.org/officeDocument/2006/relationships/hyperlink" Target="http://ar.linkedin.com/in/facundotolosa" TargetMode="External"/><Relationship Id="rId5099" Type="http://schemas.openxmlformats.org/officeDocument/2006/relationships/hyperlink" Target="http://ar.linkedin.com/in/marianomolina83" TargetMode="External"/><Relationship Id="rId2810" Type="http://schemas.openxmlformats.org/officeDocument/2006/relationships/hyperlink" Target="http://ar.linkedin.com/pub/mariano-guzm%C3%A1n/14/851/BB6" TargetMode="External"/><Relationship Id="rId2811" Type="http://schemas.openxmlformats.org/officeDocument/2006/relationships/hyperlink" Target="http://www.linkedin.com/in/devinhenkel" TargetMode="External"/><Relationship Id="rId2812" Type="http://schemas.openxmlformats.org/officeDocument/2006/relationships/hyperlink" Target="http://www.linkedin.com/in/kevincallihan" TargetMode="External"/><Relationship Id="rId2813" Type="http://schemas.openxmlformats.org/officeDocument/2006/relationships/hyperlink" Target="http://www.linkedin.com/in/inarachern" TargetMode="External"/><Relationship Id="rId2814" Type="http://schemas.openxmlformats.org/officeDocument/2006/relationships/hyperlink" Target="http://www.linkedin.com/pub/jason-fournier/7/1A5/470" TargetMode="External"/><Relationship Id="rId2815" Type="http://schemas.openxmlformats.org/officeDocument/2006/relationships/hyperlink" Target="http://ar.linkedin.com/pub/adri%C3%A1n-russo/5/77/47B" TargetMode="External"/><Relationship Id="rId2816" Type="http://schemas.openxmlformats.org/officeDocument/2006/relationships/hyperlink" Target="http://www.linkedin.com/pub/kevin-hughes/1/43A/775" TargetMode="External"/><Relationship Id="rId2817" Type="http://schemas.openxmlformats.org/officeDocument/2006/relationships/hyperlink" Target="http://ar.linkedin.com/in/fernandovitale" TargetMode="External"/><Relationship Id="rId2818" Type="http://schemas.openxmlformats.org/officeDocument/2006/relationships/hyperlink" Target="http://www.linkedin.com/pub/annette-croci/4/374/2AA" TargetMode="External"/><Relationship Id="rId2819" Type="http://schemas.openxmlformats.org/officeDocument/2006/relationships/hyperlink" Target="http://www.linkedin.com/in/brentjgreen" TargetMode="External"/><Relationship Id="rId5090" Type="http://schemas.openxmlformats.org/officeDocument/2006/relationships/hyperlink" Target="http://www.linkedin.com/in/juanignacioquesada" TargetMode="External"/><Relationship Id="rId5082" Type="http://schemas.openxmlformats.org/officeDocument/2006/relationships/hyperlink" Target="http://ar.linkedin.com/in/hectorpizarro" TargetMode="External"/><Relationship Id="rId5083" Type="http://schemas.openxmlformats.org/officeDocument/2006/relationships/hyperlink" Target="http://uk.linkedin.com/pub/craig-murray/0/929/981" TargetMode="External"/><Relationship Id="rId5080" Type="http://schemas.openxmlformats.org/officeDocument/2006/relationships/hyperlink" Target="http://www.linkedin.com/in/shjthomas" TargetMode="External"/><Relationship Id="rId5081" Type="http://schemas.openxmlformats.org/officeDocument/2006/relationships/hyperlink" Target="http://www.linkedin.com/pub/jim-dziak/11/392/866" TargetMode="External"/><Relationship Id="rId5086" Type="http://schemas.openxmlformats.org/officeDocument/2006/relationships/hyperlink" Target="http://www.linkedin.com/pub/jeff-valadez/0/537/485" TargetMode="External"/><Relationship Id="rId5087" Type="http://schemas.openxmlformats.org/officeDocument/2006/relationships/hyperlink" Target="http://ar.linkedin.com/pub/claudio-tosti/4/784/9A5" TargetMode="External"/><Relationship Id="rId5084" Type="http://schemas.openxmlformats.org/officeDocument/2006/relationships/hyperlink" Target="http://ar.linkedin.com/pub/matias-carazzo/26/252/501" TargetMode="External"/><Relationship Id="rId5085" Type="http://schemas.openxmlformats.org/officeDocument/2006/relationships/hyperlink" Target="http://ar.linkedin.com/in/albertopedretti" TargetMode="External"/><Relationship Id="rId5088" Type="http://schemas.openxmlformats.org/officeDocument/2006/relationships/hyperlink" Target="http://ar.linkedin.com/in/victoriavarau" TargetMode="External"/><Relationship Id="rId5089" Type="http://schemas.openxmlformats.org/officeDocument/2006/relationships/hyperlink" Target="http://ar.linkedin.com/in/gustavovignera" TargetMode="External"/><Relationship Id="rId1510" Type="http://schemas.openxmlformats.org/officeDocument/2006/relationships/hyperlink" Target="http://www.linkedin.com/pub/carrie-talick/4/519/38" TargetMode="External"/><Relationship Id="rId2841" Type="http://schemas.openxmlformats.org/officeDocument/2006/relationships/hyperlink" Target="http://www.linkedin.com/in/luisfngarcia" TargetMode="External"/><Relationship Id="rId1511" Type="http://schemas.openxmlformats.org/officeDocument/2006/relationships/hyperlink" Target="http://uk.linkedin.com/in/chrisledbury" TargetMode="External"/><Relationship Id="rId2842" Type="http://schemas.openxmlformats.org/officeDocument/2006/relationships/hyperlink" Target="http://ar.linkedin.com/pub/adriano-regina/3/6A9/BBB" TargetMode="External"/><Relationship Id="rId1512" Type="http://schemas.openxmlformats.org/officeDocument/2006/relationships/hyperlink" Target="http://ca.linkedin.com/in/bobdelamar" TargetMode="External"/><Relationship Id="rId2843" Type="http://schemas.openxmlformats.org/officeDocument/2006/relationships/hyperlink" Target="http://ar.linkedin.com/in/gonzaloarauz" TargetMode="External"/><Relationship Id="rId1513" Type="http://schemas.openxmlformats.org/officeDocument/2006/relationships/hyperlink" Target="http://ca.linkedin.com/in/lindapinizzotto" TargetMode="External"/><Relationship Id="rId2844" Type="http://schemas.openxmlformats.org/officeDocument/2006/relationships/hyperlink" Target="http://ar.linkedin.com/pub/ximena-grondona/20/4A3/9A8" TargetMode="External"/><Relationship Id="rId1514" Type="http://schemas.openxmlformats.org/officeDocument/2006/relationships/hyperlink" Target="http://www.linkedin.com/pub/rees-morrison/3/364/18B" TargetMode="External"/><Relationship Id="rId2845" Type="http://schemas.openxmlformats.org/officeDocument/2006/relationships/hyperlink" Target="http://www.linkedin.com/in/gonzalowaidattbeck" TargetMode="External"/><Relationship Id="rId1515" Type="http://schemas.openxmlformats.org/officeDocument/2006/relationships/hyperlink" Target="http://www.linkedin.com/pub/pedro-cepeda-herreros/4/765/9bb" TargetMode="External"/><Relationship Id="rId2846" Type="http://schemas.openxmlformats.org/officeDocument/2006/relationships/hyperlink" Target="http://ar.linkedin.com/pub/gustavo-de-martino/26/6B3/56" TargetMode="External"/><Relationship Id="rId1516" Type="http://schemas.openxmlformats.org/officeDocument/2006/relationships/hyperlink" Target="http://pt.linkedin.com/pub/armando-matos/1/460/860" TargetMode="External"/><Relationship Id="rId2847" Type="http://schemas.openxmlformats.org/officeDocument/2006/relationships/hyperlink" Target="http://www.linkedin.com/pub/alejandro-ezequiel-maroni/14/b86/a19" TargetMode="External"/><Relationship Id="rId1517" Type="http://schemas.openxmlformats.org/officeDocument/2006/relationships/hyperlink" Target="http://www.linkedin.com/in/shobhitmohan" TargetMode="External"/><Relationship Id="rId2848" Type="http://schemas.openxmlformats.org/officeDocument/2006/relationships/hyperlink" Target="http://ar.linkedin.com/in/julianabalasini" TargetMode="External"/><Relationship Id="rId1518" Type="http://schemas.openxmlformats.org/officeDocument/2006/relationships/hyperlink" Target="http://www.linkedin.com/in/ddharlan" TargetMode="External"/><Relationship Id="rId2849" Type="http://schemas.openxmlformats.org/officeDocument/2006/relationships/hyperlink" Target="http://www.linkedin.com/pub/daniel-amado-catt%C3%A1neo/1/b36/753" TargetMode="External"/><Relationship Id="rId1519" Type="http://schemas.openxmlformats.org/officeDocument/2006/relationships/hyperlink" Target="http://br.linkedin.com/in/ronaldocaetano" TargetMode="External"/><Relationship Id="rId2840" Type="http://schemas.openxmlformats.org/officeDocument/2006/relationships/hyperlink" Target="http://ar.linkedin.com/pub/constanza-frascaroli/13/702/750" TargetMode="External"/><Relationship Id="rId2830" Type="http://schemas.openxmlformats.org/officeDocument/2006/relationships/hyperlink" Target="http://www.linkedin.com/pub/felix-laguzzi-arduino/0/171/406" TargetMode="External"/><Relationship Id="rId1500" Type="http://schemas.openxmlformats.org/officeDocument/2006/relationships/hyperlink" Target="http://ca.linkedin.com/in/carlmalartre" TargetMode="External"/><Relationship Id="rId2831" Type="http://schemas.openxmlformats.org/officeDocument/2006/relationships/hyperlink" Target="http://ar.linkedin.com/pub/nicol%C3%A1s-gutierrez/26/75A/998" TargetMode="External"/><Relationship Id="rId1501" Type="http://schemas.openxmlformats.org/officeDocument/2006/relationships/hyperlink" Target="http://www.linkedin.com/in/tophero" TargetMode="External"/><Relationship Id="rId2832" Type="http://schemas.openxmlformats.org/officeDocument/2006/relationships/hyperlink" Target="http://ar.linkedin.com/in/pablogastongutierrez" TargetMode="External"/><Relationship Id="rId1502" Type="http://schemas.openxmlformats.org/officeDocument/2006/relationships/hyperlink" Target="http://www.linkedin.com/pub/collin-chan/1/7A3/52" TargetMode="External"/><Relationship Id="rId2833" Type="http://schemas.openxmlformats.org/officeDocument/2006/relationships/hyperlink" Target="http://ar.linkedin.com/in/carloscrovara" TargetMode="External"/><Relationship Id="rId1503" Type="http://schemas.openxmlformats.org/officeDocument/2006/relationships/hyperlink" Target="http://www.linkedin.com/in/lubnamahmad" TargetMode="External"/><Relationship Id="rId2834" Type="http://schemas.openxmlformats.org/officeDocument/2006/relationships/hyperlink" Target="http://ar.linkedin.com/in/walterpachame" TargetMode="External"/><Relationship Id="rId1504" Type="http://schemas.openxmlformats.org/officeDocument/2006/relationships/hyperlink" Target="http://uk.linkedin.com/in/umersheikh" TargetMode="External"/><Relationship Id="rId2835" Type="http://schemas.openxmlformats.org/officeDocument/2006/relationships/hyperlink" Target="http://www.linkedin.com/pub/mar%C3%ADa-lorena-se%C3%B1uk/24/b3b/b95" TargetMode="External"/><Relationship Id="rId1505" Type="http://schemas.openxmlformats.org/officeDocument/2006/relationships/hyperlink" Target="http://www.linkedin.com/pub/liz-friedland/7/199/BB7" TargetMode="External"/><Relationship Id="rId2836" Type="http://schemas.openxmlformats.org/officeDocument/2006/relationships/hyperlink" Target="http://ar.linkedin.com/pub/myriam-cespedes/4/875/A25" TargetMode="External"/><Relationship Id="rId1506" Type="http://schemas.openxmlformats.org/officeDocument/2006/relationships/hyperlink" Target="http://www.linkedin.com/in/julialiptrot" TargetMode="External"/><Relationship Id="rId2837" Type="http://schemas.openxmlformats.org/officeDocument/2006/relationships/hyperlink" Target="http://ar.linkedin.com/in/silboun" TargetMode="External"/><Relationship Id="rId1507" Type="http://schemas.openxmlformats.org/officeDocument/2006/relationships/hyperlink" Target="http://nl.linkedin.com/in/davidsaris" TargetMode="External"/><Relationship Id="rId2838" Type="http://schemas.openxmlformats.org/officeDocument/2006/relationships/hyperlink" Target="http://ar.linkedin.com/pub/matias-papasso/15/8B/371" TargetMode="External"/><Relationship Id="rId1508" Type="http://schemas.openxmlformats.org/officeDocument/2006/relationships/hyperlink" Target="http://www.linkedin.com/in/soringp" TargetMode="External"/><Relationship Id="rId2839" Type="http://schemas.openxmlformats.org/officeDocument/2006/relationships/hyperlink" Target="http://ar.linkedin.com/in/thelmacl" TargetMode="External"/><Relationship Id="rId1509" Type="http://schemas.openxmlformats.org/officeDocument/2006/relationships/hyperlink" Target="http://www.linkedin.com/in/dirkezondagjr" TargetMode="External"/><Relationship Id="rId6380" Type="http://schemas.openxmlformats.org/officeDocument/2006/relationships/hyperlink" Target="http://www.linkedin.com/pub/raul-rodriguez/0/A92/590" TargetMode="External"/><Relationship Id="rId5050" Type="http://schemas.openxmlformats.org/officeDocument/2006/relationships/hyperlink" Target="http://www.linkedin.com/in/splakhin" TargetMode="External"/><Relationship Id="rId6381" Type="http://schemas.openxmlformats.org/officeDocument/2006/relationships/hyperlink" Target="https://www.linkedin.com/in/raulgalofre" TargetMode="External"/><Relationship Id="rId5053" Type="http://schemas.openxmlformats.org/officeDocument/2006/relationships/hyperlink" Target="http://www.linkedin.com/in/markaceves" TargetMode="External"/><Relationship Id="rId6384" Type="http://schemas.openxmlformats.org/officeDocument/2006/relationships/hyperlink" Target="https://www.linkedin.com/pub/francois-depayras/0/27b/b64" TargetMode="External"/><Relationship Id="rId5054" Type="http://schemas.openxmlformats.org/officeDocument/2006/relationships/hyperlink" Target="https://www.linkedin.com/in/ltsiros" TargetMode="External"/><Relationship Id="rId6385" Type="http://schemas.openxmlformats.org/officeDocument/2006/relationships/hyperlink" Target="http://www.linkedin.com/in/davidbarkai" TargetMode="External"/><Relationship Id="rId5051" Type="http://schemas.openxmlformats.org/officeDocument/2006/relationships/hyperlink" Target="http://www.linkedin.com/in/ashtonbach" TargetMode="External"/><Relationship Id="rId6382" Type="http://schemas.openxmlformats.org/officeDocument/2006/relationships/hyperlink" Target="http://www.linkedin.com/in/afdhelaziz" TargetMode="External"/><Relationship Id="rId5052" Type="http://schemas.openxmlformats.org/officeDocument/2006/relationships/hyperlink" Target="http://ar.linkedin.com/in/paulayanuszczyk" TargetMode="External"/><Relationship Id="rId6383" Type="http://schemas.openxmlformats.org/officeDocument/2006/relationships/hyperlink" Target="http://www.linkedin.com/pub/johann-marron/5/447/892" TargetMode="External"/><Relationship Id="rId5057" Type="http://schemas.openxmlformats.org/officeDocument/2006/relationships/hyperlink" Target="http://ar.linkedin.com/pub/sebastian-jacobs/3/A06/480" TargetMode="External"/><Relationship Id="rId6388" Type="http://schemas.openxmlformats.org/officeDocument/2006/relationships/hyperlink" Target="http://www.linkedin.com/in/brunoschirch" TargetMode="External"/><Relationship Id="rId5058" Type="http://schemas.openxmlformats.org/officeDocument/2006/relationships/hyperlink" Target="http://www.linkedin.com/pub/mariano-birnios/4/811/2b7" TargetMode="External"/><Relationship Id="rId6389" Type="http://schemas.openxmlformats.org/officeDocument/2006/relationships/hyperlink" Target="http://www.linkedin.com/pub/michele-edelman/0/3A0/A5A" TargetMode="External"/><Relationship Id="rId5055" Type="http://schemas.openxmlformats.org/officeDocument/2006/relationships/hyperlink" Target="http://ar.linkedin.com/pub/natalia-alimonda/8/9A7/421" TargetMode="External"/><Relationship Id="rId6386" Type="http://schemas.openxmlformats.org/officeDocument/2006/relationships/hyperlink" Target="http://www.linkedin.com/pub/jose-brunheroto/2/54/7B3" TargetMode="External"/><Relationship Id="rId5056" Type="http://schemas.openxmlformats.org/officeDocument/2006/relationships/hyperlink" Target="http://www.linkedin.com/pub/luis-gutman/8/839/801" TargetMode="External"/><Relationship Id="rId6387" Type="http://schemas.openxmlformats.org/officeDocument/2006/relationships/hyperlink" Target="http://www.linkedin.com/pub/gerardo-chavez/0/299/927" TargetMode="External"/><Relationship Id="rId5059" Type="http://schemas.openxmlformats.org/officeDocument/2006/relationships/hyperlink" Target="http://www.linkedin.com/pub/neil-schwan-neil-schwan-gmail-com-/2/30B/1B9" TargetMode="External"/><Relationship Id="rId6370" Type="http://schemas.openxmlformats.org/officeDocument/2006/relationships/hyperlink" Target="http://www.linkedin.com/pub/ignacio-fern%C3%A1ndez-dussaut/7/a24/67" TargetMode="External"/><Relationship Id="rId5042" Type="http://schemas.openxmlformats.org/officeDocument/2006/relationships/hyperlink" Target="http://www.linkedin.com/in/vbhasin" TargetMode="External"/><Relationship Id="rId6373" Type="http://schemas.openxmlformats.org/officeDocument/2006/relationships/hyperlink" Target="http://ar.linkedin.com/in/seguil64" TargetMode="External"/><Relationship Id="rId5043" Type="http://schemas.openxmlformats.org/officeDocument/2006/relationships/hyperlink" Target="http://ar.linkedin.com/in/juanemilioinzaurraga" TargetMode="External"/><Relationship Id="rId6374" Type="http://schemas.openxmlformats.org/officeDocument/2006/relationships/hyperlink" Target="http://www.linkedin.com/pub/anibal-gimenez-konstantinow/b/b99/a46" TargetMode="External"/><Relationship Id="rId5040" Type="http://schemas.openxmlformats.org/officeDocument/2006/relationships/hyperlink" Target="http://www.linkedin.com/pub/luciana-torro/27/80/278" TargetMode="External"/><Relationship Id="rId6371" Type="http://schemas.openxmlformats.org/officeDocument/2006/relationships/hyperlink" Target="http://ar.linkedin.com/pub/maria-mercedes-domenech/5/54/6A1" TargetMode="External"/><Relationship Id="rId5041" Type="http://schemas.openxmlformats.org/officeDocument/2006/relationships/hyperlink" Target="http://ar.linkedin.com/in/clarasiancha" TargetMode="External"/><Relationship Id="rId6372" Type="http://schemas.openxmlformats.org/officeDocument/2006/relationships/hyperlink" Target="http://ar.linkedin.com/pub/javier-corona/14/51A/419" TargetMode="External"/><Relationship Id="rId5046" Type="http://schemas.openxmlformats.org/officeDocument/2006/relationships/hyperlink" Target="http://ar.linkedin.com/in/juliopessolano" TargetMode="External"/><Relationship Id="rId6377" Type="http://schemas.openxmlformats.org/officeDocument/2006/relationships/hyperlink" Target="http://www.linkedin.com/in/brandnewllc" TargetMode="External"/><Relationship Id="rId5047" Type="http://schemas.openxmlformats.org/officeDocument/2006/relationships/hyperlink" Target="http://www.linkedin.com/in/rmcasanova" TargetMode="External"/><Relationship Id="rId6378" Type="http://schemas.openxmlformats.org/officeDocument/2006/relationships/hyperlink" Target="http://www.linkedin.com/pub/kristen-thiede/0/144/886" TargetMode="External"/><Relationship Id="rId5044" Type="http://schemas.openxmlformats.org/officeDocument/2006/relationships/hyperlink" Target="http://ar.linkedin.com/in/diegogregoraz" TargetMode="External"/><Relationship Id="rId6375" Type="http://schemas.openxmlformats.org/officeDocument/2006/relationships/hyperlink" Target="http://www.linkedin.com/pub/pedro-javier-del-rosso/13/279/99a" TargetMode="External"/><Relationship Id="rId5045" Type="http://schemas.openxmlformats.org/officeDocument/2006/relationships/hyperlink" Target="http://ar.linkedin.com/in/gustavoreal" TargetMode="External"/><Relationship Id="rId6376" Type="http://schemas.openxmlformats.org/officeDocument/2006/relationships/hyperlink" Target="http://www.linkedin.com/in/winnievonwerne" TargetMode="External"/><Relationship Id="rId5048" Type="http://schemas.openxmlformats.org/officeDocument/2006/relationships/hyperlink" Target="http://www.linkedin.com/pub/sebastian-failoni/10/244/b1b?trk=pub-pbmap" TargetMode="External"/><Relationship Id="rId6379" Type="http://schemas.openxmlformats.org/officeDocument/2006/relationships/hyperlink" Target="http://www.linkedin.com/pub/micha-hirshman/2/80B/3A1" TargetMode="External"/><Relationship Id="rId5049" Type="http://schemas.openxmlformats.org/officeDocument/2006/relationships/hyperlink" Target="http://www.linkedin.com/pub/annamma-john/5/30B/BA" TargetMode="External"/><Relationship Id="rId2800" Type="http://schemas.openxmlformats.org/officeDocument/2006/relationships/hyperlink" Target="http://ar.linkedin.com/in/ricardomsoler" TargetMode="External"/><Relationship Id="rId2801" Type="http://schemas.openxmlformats.org/officeDocument/2006/relationships/hyperlink" Target="http://www.linkedin.com/pub/jim-kreuser/6/B32/B82" TargetMode="External"/><Relationship Id="rId2802" Type="http://schemas.openxmlformats.org/officeDocument/2006/relationships/hyperlink" Target="http://www.linkedin.com/pub/maria-georgette-p-papic-tellez/1/920/211" TargetMode="External"/><Relationship Id="rId2803" Type="http://schemas.openxmlformats.org/officeDocument/2006/relationships/hyperlink" Target="http://ar.linkedin.com/pub/esteban-zeballos/23/A6/224" TargetMode="External"/><Relationship Id="rId2804" Type="http://schemas.openxmlformats.org/officeDocument/2006/relationships/hyperlink" Target="http://ar.linkedin.com/in/rubenalbertorestuccia" TargetMode="External"/><Relationship Id="rId2805" Type="http://schemas.openxmlformats.org/officeDocument/2006/relationships/hyperlink" Target="http://www.linkedin.com/pub/albertina-meana/0/589/5B7" TargetMode="External"/><Relationship Id="rId2806" Type="http://schemas.openxmlformats.org/officeDocument/2006/relationships/hyperlink" Target="http://ar.linkedin.com/pub/n%C3%A9stor-gerardini/13/8B/276" TargetMode="External"/><Relationship Id="rId2807" Type="http://schemas.openxmlformats.org/officeDocument/2006/relationships/hyperlink" Target="http://ar.linkedin.com/pub/nanci-rinaldi/12/837/399" TargetMode="External"/><Relationship Id="rId2808" Type="http://schemas.openxmlformats.org/officeDocument/2006/relationships/hyperlink" Target="http://ar.linkedin.com/in/carloscastel" TargetMode="External"/><Relationship Id="rId2809" Type="http://schemas.openxmlformats.org/officeDocument/2006/relationships/hyperlink" Target="http://ar.linkedin.com/pub/jeronimo-shannon/28/8B8/79A" TargetMode="External"/><Relationship Id="rId5071" Type="http://schemas.openxmlformats.org/officeDocument/2006/relationships/hyperlink" Target="http://www.linkedin.com/in/jerryjackson" TargetMode="External"/><Relationship Id="rId5072" Type="http://schemas.openxmlformats.org/officeDocument/2006/relationships/hyperlink" Target="http://ar.linkedin.com/pub/hern%C3%A1n-alvarez/18/391/726" TargetMode="External"/><Relationship Id="rId5070" Type="http://schemas.openxmlformats.org/officeDocument/2006/relationships/hyperlink" Target="http://www.linkedin.com/in/judysun" TargetMode="External"/><Relationship Id="rId5075" Type="http://schemas.openxmlformats.org/officeDocument/2006/relationships/hyperlink" Target="http://www.linkedin.com/pub/kevin-gaudio/7/A89/615" TargetMode="External"/><Relationship Id="rId5076" Type="http://schemas.openxmlformats.org/officeDocument/2006/relationships/hyperlink" Target="http://ar.linkedin.com/pub/alejandro-puche/8/12B/729" TargetMode="External"/><Relationship Id="rId5073" Type="http://schemas.openxmlformats.org/officeDocument/2006/relationships/hyperlink" Target="http://www.linkedin.com/pub/dan-diephouse/0/35/44B" TargetMode="External"/><Relationship Id="rId5074" Type="http://schemas.openxmlformats.org/officeDocument/2006/relationships/hyperlink" Target="http://www.linkedin.com/pub/robert-barnes/6/A11/1" TargetMode="External"/><Relationship Id="rId5079" Type="http://schemas.openxmlformats.org/officeDocument/2006/relationships/hyperlink" Target="http://ar.linkedin.com/in/pablohpetrone" TargetMode="External"/><Relationship Id="rId5077" Type="http://schemas.openxmlformats.org/officeDocument/2006/relationships/hyperlink" Target="http://www.linkedin.com/pub/diego-lastorta/2b/5a7/15" TargetMode="External"/><Relationship Id="rId5078" Type="http://schemas.openxmlformats.org/officeDocument/2006/relationships/hyperlink" Target="http://ar.linkedin.com/in/leandrogimeno" TargetMode="External"/><Relationship Id="rId5060" Type="http://schemas.openxmlformats.org/officeDocument/2006/relationships/hyperlink" Target="https://www.linkedin.com/in/vineetsharma" TargetMode="External"/><Relationship Id="rId6391" Type="http://schemas.openxmlformats.org/officeDocument/2006/relationships/hyperlink" Target="http://www.linkedin.com/pub/danny-bolivar/3/785/2A3" TargetMode="External"/><Relationship Id="rId5061" Type="http://schemas.openxmlformats.org/officeDocument/2006/relationships/hyperlink" Target="http://www.linkedin.com/in/raulbajales" TargetMode="External"/><Relationship Id="rId6392" Type="http://schemas.openxmlformats.org/officeDocument/2006/relationships/hyperlink" Target="http://www.linkedin.com/pub/kenneth-bartlett/1/2AA/609" TargetMode="External"/><Relationship Id="rId6390" Type="http://schemas.openxmlformats.org/officeDocument/2006/relationships/hyperlink" Target="http://www.linkedin.com/pub/tom-deluca/0/3AA/A29" TargetMode="External"/><Relationship Id="rId5064" Type="http://schemas.openxmlformats.org/officeDocument/2006/relationships/hyperlink" Target="http://www.linkedin.com/pub/gabriel-guardincerri/1/615/58b" TargetMode="External"/><Relationship Id="rId6395" Type="http://schemas.openxmlformats.org/officeDocument/2006/relationships/hyperlink" Target="http://www.linkedin.com/pub/eric-raney/0/4B7/525" TargetMode="External"/><Relationship Id="rId5065" Type="http://schemas.openxmlformats.org/officeDocument/2006/relationships/hyperlink" Target="http://ar.linkedin.com/pub/jos-antollini/0/696/84B" TargetMode="External"/><Relationship Id="rId6396" Type="http://schemas.openxmlformats.org/officeDocument/2006/relationships/hyperlink" Target="http://www.linkedin.com/pub/cristiano-laux/0/259/4B9" TargetMode="External"/><Relationship Id="rId5062" Type="http://schemas.openxmlformats.org/officeDocument/2006/relationships/hyperlink" Target="http://www.linkedin.com/in/jtubert" TargetMode="External"/><Relationship Id="rId6393" Type="http://schemas.openxmlformats.org/officeDocument/2006/relationships/hyperlink" Target="http://www.linkedin.com/pub/alain-castro/0/242/242" TargetMode="External"/><Relationship Id="rId5063" Type="http://schemas.openxmlformats.org/officeDocument/2006/relationships/hyperlink" Target="http://www.linkedin.com/pub/andres-gonzalez/1/53A/697" TargetMode="External"/><Relationship Id="rId6394" Type="http://schemas.openxmlformats.org/officeDocument/2006/relationships/hyperlink" Target="http://www.linkedin.com/in/robmumby" TargetMode="External"/><Relationship Id="rId5068" Type="http://schemas.openxmlformats.org/officeDocument/2006/relationships/hyperlink" Target="http://www.linkedin.com/in/bkadarsh" TargetMode="External"/><Relationship Id="rId6399" Type="http://schemas.openxmlformats.org/officeDocument/2006/relationships/hyperlink" Target="http://www.linkedin.com/pub/jose-xavier-ferreira/0/284/2A8" TargetMode="External"/><Relationship Id="rId5069" Type="http://schemas.openxmlformats.org/officeDocument/2006/relationships/hyperlink" Target="http://www.linkedin.com/in/billjones9" TargetMode="External"/><Relationship Id="rId5066" Type="http://schemas.openxmlformats.org/officeDocument/2006/relationships/hyperlink" Target="http://ar.linkedin.com/in/ignaciotissera" TargetMode="External"/><Relationship Id="rId6397" Type="http://schemas.openxmlformats.org/officeDocument/2006/relationships/hyperlink" Target="http://www.linkedin.com/in/gprujansky" TargetMode="External"/><Relationship Id="rId5067" Type="http://schemas.openxmlformats.org/officeDocument/2006/relationships/hyperlink" Target="http://www.linkedin.com/pub/rajesh-baskaran/8/4A2/B1A" TargetMode="External"/><Relationship Id="rId6398" Type="http://schemas.openxmlformats.org/officeDocument/2006/relationships/hyperlink" Target="http://www.linkedin.com/pub/george-linardos/0/439/A06" TargetMode="External"/><Relationship Id="rId1576" Type="http://schemas.openxmlformats.org/officeDocument/2006/relationships/hyperlink" Target="http://www.linkedin.com/in/avatarengineeringcorporation" TargetMode="External"/><Relationship Id="rId1577" Type="http://schemas.openxmlformats.org/officeDocument/2006/relationships/hyperlink" Target="http://www.linkedin.com/in/veronicavaughn" TargetMode="External"/><Relationship Id="rId1578" Type="http://schemas.openxmlformats.org/officeDocument/2006/relationships/hyperlink" Target="http://www.linkedin.com/in/datatel360" TargetMode="External"/><Relationship Id="rId1579" Type="http://schemas.openxmlformats.org/officeDocument/2006/relationships/hyperlink" Target="http://www.linkedin.com/in/shellyfrancis" TargetMode="External"/><Relationship Id="rId987" Type="http://schemas.openxmlformats.org/officeDocument/2006/relationships/hyperlink" Target="http://www.linkedin.com/in/ornajackson" TargetMode="External"/><Relationship Id="rId986" Type="http://schemas.openxmlformats.org/officeDocument/2006/relationships/hyperlink" Target="http://uk.linkedin.com/in/raymason" TargetMode="External"/><Relationship Id="rId985" Type="http://schemas.openxmlformats.org/officeDocument/2006/relationships/hyperlink" Target="http://www.linkedin.com/in/asimkairm" TargetMode="External"/><Relationship Id="rId984" Type="http://schemas.openxmlformats.org/officeDocument/2006/relationships/hyperlink" Target="http://www.linkedin.com/in/manishjindal" TargetMode="External"/><Relationship Id="rId989" Type="http://schemas.openxmlformats.org/officeDocument/2006/relationships/hyperlink" Target="http://www.linkedin.com/in/alexandriamelton" TargetMode="External"/><Relationship Id="rId988" Type="http://schemas.openxmlformats.org/officeDocument/2006/relationships/hyperlink" Target="http://www.linkedin.com/in/scottsabins" TargetMode="External"/><Relationship Id="rId1570" Type="http://schemas.openxmlformats.org/officeDocument/2006/relationships/hyperlink" Target="http://www.linkedin.com/pub/james-schofield/5/261/190" TargetMode="External"/><Relationship Id="rId1571" Type="http://schemas.openxmlformats.org/officeDocument/2006/relationships/hyperlink" Target="http://www.linkedin.com/pub/veronica-lovesy/5/33B/2A2" TargetMode="External"/><Relationship Id="rId983" Type="http://schemas.openxmlformats.org/officeDocument/2006/relationships/hyperlink" Target="http://www.linkedin.com/in/davidvaneck" TargetMode="External"/><Relationship Id="rId1572" Type="http://schemas.openxmlformats.org/officeDocument/2006/relationships/hyperlink" Target="http://www.linkedin.com/pub/janet-george/0/36/A31" TargetMode="External"/><Relationship Id="rId982" Type="http://schemas.openxmlformats.org/officeDocument/2006/relationships/hyperlink" Target="http://www.linkedin.com/pub/john-labry/7/BA1/704" TargetMode="External"/><Relationship Id="rId1573" Type="http://schemas.openxmlformats.org/officeDocument/2006/relationships/hyperlink" Target="http://www.linkedin.com/pub/paul-labay/0/157/1A3" TargetMode="External"/><Relationship Id="rId981" Type="http://schemas.openxmlformats.org/officeDocument/2006/relationships/hyperlink" Target="http://www.linkedin.com/in/jessicahlaterpowell" TargetMode="External"/><Relationship Id="rId1574" Type="http://schemas.openxmlformats.org/officeDocument/2006/relationships/hyperlink" Target="http://uk.linkedin.com/in/walkerpaul" TargetMode="External"/><Relationship Id="rId980" Type="http://schemas.openxmlformats.org/officeDocument/2006/relationships/hyperlink" Target="http://www.linkedin.com/pub/scott-mccallum/7/B14/5A1" TargetMode="External"/><Relationship Id="rId1575" Type="http://schemas.openxmlformats.org/officeDocument/2006/relationships/hyperlink" Target="http://www.linkedin.com/in/chandrabodapati" TargetMode="External"/><Relationship Id="rId1565" Type="http://schemas.openxmlformats.org/officeDocument/2006/relationships/hyperlink" Target="http://www.linkedin.com/pub/dirk-r-smet-miod/1/76b/275" TargetMode="External"/><Relationship Id="rId2896" Type="http://schemas.openxmlformats.org/officeDocument/2006/relationships/hyperlink" Target="http://www.linkedin.com/pub/sabina-tobares/28/990/992" TargetMode="External"/><Relationship Id="rId1566" Type="http://schemas.openxmlformats.org/officeDocument/2006/relationships/hyperlink" Target="http://www.linkedin.com/in/teresalussier" TargetMode="External"/><Relationship Id="rId2897" Type="http://schemas.openxmlformats.org/officeDocument/2006/relationships/hyperlink" Target="http://ar.linkedin.com/in/gustavowidmer" TargetMode="External"/><Relationship Id="rId1567" Type="http://schemas.openxmlformats.org/officeDocument/2006/relationships/hyperlink" Target="http://www.linkedin.com/in/internetadvertisingsales" TargetMode="External"/><Relationship Id="rId2898" Type="http://schemas.openxmlformats.org/officeDocument/2006/relationships/hyperlink" Target="http://ar.linkedin.com/pub/gustavo-bugni/0/424/986" TargetMode="External"/><Relationship Id="rId1568" Type="http://schemas.openxmlformats.org/officeDocument/2006/relationships/hyperlink" Target="http://www.linkedin.com/pub/william-blue/5/57/769" TargetMode="External"/><Relationship Id="rId2899" Type="http://schemas.openxmlformats.org/officeDocument/2006/relationships/hyperlink" Target="http://br.linkedin.com/pub/antonio-faoro/0/1B8/91A" TargetMode="External"/><Relationship Id="rId1569" Type="http://schemas.openxmlformats.org/officeDocument/2006/relationships/hyperlink" Target="http://www.linkedin.com/pub/c-michael-croston/9/613/2A6" TargetMode="External"/><Relationship Id="rId976" Type="http://schemas.openxmlformats.org/officeDocument/2006/relationships/hyperlink" Target="http://www.linkedin.com/in/thecarlhall" TargetMode="External"/><Relationship Id="rId975" Type="http://schemas.openxmlformats.org/officeDocument/2006/relationships/hyperlink" Target="http://www.linkedin.com/in/joedvorak" TargetMode="External"/><Relationship Id="rId974" Type="http://schemas.openxmlformats.org/officeDocument/2006/relationships/hyperlink" Target="http://pt.linkedin.com/pub/carlos-leite/2/928/44B" TargetMode="External"/><Relationship Id="rId973" Type="http://schemas.openxmlformats.org/officeDocument/2006/relationships/hyperlink" Target="https://www.linkedin.com/in/londonppcseo" TargetMode="External"/><Relationship Id="rId979" Type="http://schemas.openxmlformats.org/officeDocument/2006/relationships/hyperlink" Target="http://www.linkedin.com/pub/lori-welch/0/8BB/441" TargetMode="External"/><Relationship Id="rId978" Type="http://schemas.openxmlformats.org/officeDocument/2006/relationships/hyperlink" Target="http://in.linkedin.com/pub/shashank-shwet/6/835/89" TargetMode="External"/><Relationship Id="rId977" Type="http://schemas.openxmlformats.org/officeDocument/2006/relationships/hyperlink" Target="http://www.linkedin.com/in/jkonchar" TargetMode="External"/><Relationship Id="rId2890" Type="http://schemas.openxmlformats.org/officeDocument/2006/relationships/hyperlink" Target="http://www.linkedin.com/pub/anibal-capotorto/2/372/833" TargetMode="External"/><Relationship Id="rId1560" Type="http://schemas.openxmlformats.org/officeDocument/2006/relationships/hyperlink" Target="http://www.linkedin.com/pub/steve-roskowski/0/150/49A" TargetMode="External"/><Relationship Id="rId2891" Type="http://schemas.openxmlformats.org/officeDocument/2006/relationships/hyperlink" Target="http://ar.linkedin.com/pub/jorge-sanchez/5/571/229" TargetMode="External"/><Relationship Id="rId972" Type="http://schemas.openxmlformats.org/officeDocument/2006/relationships/hyperlink" Target="http://www.linkedin.com/pub/rebecca-kun-pmp/1/103/728" TargetMode="External"/><Relationship Id="rId1561" Type="http://schemas.openxmlformats.org/officeDocument/2006/relationships/hyperlink" Target="http://www.linkedin.com/in/stevemiddleton74" TargetMode="External"/><Relationship Id="rId2892" Type="http://schemas.openxmlformats.org/officeDocument/2006/relationships/hyperlink" Target="http://www.linkedin.com/pub/marcelo-albajari/0/832/b08" TargetMode="External"/><Relationship Id="rId971" Type="http://schemas.openxmlformats.org/officeDocument/2006/relationships/hyperlink" Target="https://www.linkedin.com/in/lucretiampruitt" TargetMode="External"/><Relationship Id="rId1562" Type="http://schemas.openxmlformats.org/officeDocument/2006/relationships/hyperlink" Target="http://www.linkedin.com/pub/brian-williams/1/483/A46" TargetMode="External"/><Relationship Id="rId2893" Type="http://schemas.openxmlformats.org/officeDocument/2006/relationships/hyperlink" Target="http://ar.linkedin.com/pub/h-patricia-besada/15/18A/593" TargetMode="External"/><Relationship Id="rId970" Type="http://schemas.openxmlformats.org/officeDocument/2006/relationships/hyperlink" Target="http://www.linkedin.com/in/jamieturner60secondmarketer" TargetMode="External"/><Relationship Id="rId1563" Type="http://schemas.openxmlformats.org/officeDocument/2006/relationships/hyperlink" Target="http://www.linkedin.com/in/jefferygoddard" TargetMode="External"/><Relationship Id="rId2894" Type="http://schemas.openxmlformats.org/officeDocument/2006/relationships/hyperlink" Target="http://www.linkedin.com/pub/silvina-lopez-gandolfo/9/b40/856" TargetMode="External"/><Relationship Id="rId1564" Type="http://schemas.openxmlformats.org/officeDocument/2006/relationships/hyperlink" Target="http://tr.linkedin.com/pub/zekeriya-arslan/0/A7B/10" TargetMode="External"/><Relationship Id="rId2895" Type="http://schemas.openxmlformats.org/officeDocument/2006/relationships/hyperlink" Target="http://ar.linkedin.com/pub/claudio-buiatti/5/200/204" TargetMode="External"/><Relationship Id="rId1598" Type="http://schemas.openxmlformats.org/officeDocument/2006/relationships/hyperlink" Target="http://www.linkedin.com/pub/f-trendler/1b/6ab/48b" TargetMode="External"/><Relationship Id="rId1599" Type="http://schemas.openxmlformats.org/officeDocument/2006/relationships/hyperlink" Target="http://www.linkedin.com/pub/steven-stravitz/0/471/569" TargetMode="External"/><Relationship Id="rId1590" Type="http://schemas.openxmlformats.org/officeDocument/2006/relationships/hyperlink" Target="http://www.linkedin.com/pub/jay-prince/2/725/361" TargetMode="External"/><Relationship Id="rId1591" Type="http://schemas.openxmlformats.org/officeDocument/2006/relationships/hyperlink" Target="http://mx.linkedin.com/pub/paulina-del-r%C3%ADo/23/A57/B38" TargetMode="External"/><Relationship Id="rId1592" Type="http://schemas.openxmlformats.org/officeDocument/2006/relationships/hyperlink" Target="http://www.linkedin.com/in/jeffmungo" TargetMode="External"/><Relationship Id="rId1593" Type="http://schemas.openxmlformats.org/officeDocument/2006/relationships/hyperlink" Target="http://www.linkedin.com/in/kentschnepp" TargetMode="External"/><Relationship Id="rId1594" Type="http://schemas.openxmlformats.org/officeDocument/2006/relationships/hyperlink" Target="http://www.linkedin.com/in/asadaftab" TargetMode="External"/><Relationship Id="rId1595" Type="http://schemas.openxmlformats.org/officeDocument/2006/relationships/hyperlink" Target="http://www.linkedin.com/pub/cludia-oliveira/0/530/880" TargetMode="External"/><Relationship Id="rId1596" Type="http://schemas.openxmlformats.org/officeDocument/2006/relationships/hyperlink" Target="http://www.linkedin.com/pub/ron-beilinson/0/328/165" TargetMode="External"/><Relationship Id="rId1597" Type="http://schemas.openxmlformats.org/officeDocument/2006/relationships/hyperlink" Target="http://www.linkedin.com/in/vocalink" TargetMode="External"/><Relationship Id="rId1587" Type="http://schemas.openxmlformats.org/officeDocument/2006/relationships/hyperlink" Target="http://www.linkedin.com/in/cwmercier" TargetMode="External"/><Relationship Id="rId1588" Type="http://schemas.openxmlformats.org/officeDocument/2006/relationships/hyperlink" Target="http://www.linkedin.com/in/johnswords" TargetMode="External"/><Relationship Id="rId1589" Type="http://schemas.openxmlformats.org/officeDocument/2006/relationships/hyperlink" Target="http://www.linkedin.com/in/tinasprague" TargetMode="External"/><Relationship Id="rId998" Type="http://schemas.openxmlformats.org/officeDocument/2006/relationships/hyperlink" Target="http://uk.linkedin.com/in/christianjenkins" TargetMode="External"/><Relationship Id="rId997" Type="http://schemas.openxmlformats.org/officeDocument/2006/relationships/hyperlink" Target="http://www.linkedin.com/in/pegrecruit" TargetMode="External"/><Relationship Id="rId996" Type="http://schemas.openxmlformats.org/officeDocument/2006/relationships/hyperlink" Target="http://www.linkedin.com/pub/jai-menon/0/601/B1" TargetMode="External"/><Relationship Id="rId995" Type="http://schemas.openxmlformats.org/officeDocument/2006/relationships/hyperlink" Target="http://www.linkedin.com/pub/tim-smith/0/64/53B" TargetMode="External"/><Relationship Id="rId999" Type="http://schemas.openxmlformats.org/officeDocument/2006/relationships/hyperlink" Target="http://www.linkedin.com/pub/christopher-ireland/0/70/5B1" TargetMode="External"/><Relationship Id="rId990" Type="http://schemas.openxmlformats.org/officeDocument/2006/relationships/hyperlink" Target="http://www.linkedin.com/pub/coco-brown/0/183/643" TargetMode="External"/><Relationship Id="rId1580" Type="http://schemas.openxmlformats.org/officeDocument/2006/relationships/hyperlink" Target="http://www.linkedin.com/in/markduffey" TargetMode="External"/><Relationship Id="rId1581" Type="http://schemas.openxmlformats.org/officeDocument/2006/relationships/hyperlink" Target="http://www.linkedin.com/pub/mark-tindle/5/521/32B" TargetMode="External"/><Relationship Id="rId1582" Type="http://schemas.openxmlformats.org/officeDocument/2006/relationships/hyperlink" Target="http://www.linkedin.com/in/randykobat" TargetMode="External"/><Relationship Id="rId994" Type="http://schemas.openxmlformats.org/officeDocument/2006/relationships/hyperlink" Target="http://uk.linkedin.com/in/davidcritchley" TargetMode="External"/><Relationship Id="rId1583" Type="http://schemas.openxmlformats.org/officeDocument/2006/relationships/hyperlink" Target="http://www.linkedin.com/pub/gordon-platt/0/50B/40" TargetMode="External"/><Relationship Id="rId993" Type="http://schemas.openxmlformats.org/officeDocument/2006/relationships/hyperlink" Target="http://nl.linkedin.com/in/offerkohen" TargetMode="External"/><Relationship Id="rId1584" Type="http://schemas.openxmlformats.org/officeDocument/2006/relationships/hyperlink" Target="http://www.linkedin.com/pub/tara-beardsley/1B/4A8/848" TargetMode="External"/><Relationship Id="rId992" Type="http://schemas.openxmlformats.org/officeDocument/2006/relationships/hyperlink" Target="http://www.linkedin.com/in/normgraham" TargetMode="External"/><Relationship Id="rId1585" Type="http://schemas.openxmlformats.org/officeDocument/2006/relationships/hyperlink" Target="http://www.linkedin.com/pub/joseph-sela/5/590/B00" TargetMode="External"/><Relationship Id="rId991" Type="http://schemas.openxmlformats.org/officeDocument/2006/relationships/hyperlink" Target="https://www.linkedin.com/in/justinwilson2" TargetMode="External"/><Relationship Id="rId1586" Type="http://schemas.openxmlformats.org/officeDocument/2006/relationships/hyperlink" Target="http://www.linkedin.com/in/fsakhan" TargetMode="External"/><Relationship Id="rId1532" Type="http://schemas.openxmlformats.org/officeDocument/2006/relationships/hyperlink" Target="http://www.linkedin.com/in/jonhigby" TargetMode="External"/><Relationship Id="rId2863" Type="http://schemas.openxmlformats.org/officeDocument/2006/relationships/hyperlink" Target="http://www.linkedin.com/pub/giselda-martinez-cabrero/5/555/b58" TargetMode="External"/><Relationship Id="rId1533" Type="http://schemas.openxmlformats.org/officeDocument/2006/relationships/hyperlink" Target="http://www.linkedin.com/pub/teresa-carter/7/8B7/3BB" TargetMode="External"/><Relationship Id="rId2864" Type="http://schemas.openxmlformats.org/officeDocument/2006/relationships/hyperlink" Target="http://www.linkedin.com/pub/mar%C3%ADa-victoria-ceppi/11/400/954" TargetMode="External"/><Relationship Id="rId1534" Type="http://schemas.openxmlformats.org/officeDocument/2006/relationships/hyperlink" Target="http://fr.linkedin.com/in/muriellelacombled" TargetMode="External"/><Relationship Id="rId2865" Type="http://schemas.openxmlformats.org/officeDocument/2006/relationships/hyperlink" Target="http://ar.linkedin.com/pub/alejandro-mazal/27/2A6/B2B" TargetMode="External"/><Relationship Id="rId1535" Type="http://schemas.openxmlformats.org/officeDocument/2006/relationships/hyperlink" Target="http://www.linkedin.com/in/presentforward" TargetMode="External"/><Relationship Id="rId2866" Type="http://schemas.openxmlformats.org/officeDocument/2006/relationships/hyperlink" Target="http://ar.linkedin.com/pub/barbara-rodriguez/27/A22/512" TargetMode="External"/><Relationship Id="rId1536" Type="http://schemas.openxmlformats.org/officeDocument/2006/relationships/hyperlink" Target="http://www.linkedin.com/in/tedmurphy" TargetMode="External"/><Relationship Id="rId2867" Type="http://schemas.openxmlformats.org/officeDocument/2006/relationships/hyperlink" Target="http://www.linkedin.com/in/mikelotus" TargetMode="External"/><Relationship Id="rId1537" Type="http://schemas.openxmlformats.org/officeDocument/2006/relationships/hyperlink" Target="http://www.linkedin.com/in/andyvick" TargetMode="External"/><Relationship Id="rId2868" Type="http://schemas.openxmlformats.org/officeDocument/2006/relationships/hyperlink" Target="http://ar.linkedin.com/pub/marcela-moreno/15/A95/995" TargetMode="External"/><Relationship Id="rId1538" Type="http://schemas.openxmlformats.org/officeDocument/2006/relationships/hyperlink" Target="http://bd.linkedin.com/pub/naila-chowdhury/1/947/34A" TargetMode="External"/><Relationship Id="rId2869" Type="http://schemas.openxmlformats.org/officeDocument/2006/relationships/hyperlink" Target="http://www.linkedin.com/pub/florencia-bunge-guerrico/1a/2b7/b22" TargetMode="External"/><Relationship Id="rId1539" Type="http://schemas.openxmlformats.org/officeDocument/2006/relationships/hyperlink" Target="http://www.linkedin.com/pub/prof-solival-menezes-ph-d/0/117/8A7" TargetMode="External"/><Relationship Id="rId949" Type="http://schemas.openxmlformats.org/officeDocument/2006/relationships/hyperlink" Target="http://www.linkedin.com/in/mgbunney" TargetMode="External"/><Relationship Id="rId948" Type="http://schemas.openxmlformats.org/officeDocument/2006/relationships/hyperlink" Target="http://pt.linkedin.com/in/gamafranco" TargetMode="External"/><Relationship Id="rId943" Type="http://schemas.openxmlformats.org/officeDocument/2006/relationships/hyperlink" Target="http://mx.linkedin.com/pub/omar-chavez/24/472/263" TargetMode="External"/><Relationship Id="rId942" Type="http://schemas.openxmlformats.org/officeDocument/2006/relationships/hyperlink" Target="http://uk.linkedin.com/pub/richard-harper/0/431/B0" TargetMode="External"/><Relationship Id="rId941" Type="http://schemas.openxmlformats.org/officeDocument/2006/relationships/hyperlink" Target="http://www.linkedin.com/in/robertboroff" TargetMode="External"/><Relationship Id="rId940" Type="http://schemas.openxmlformats.org/officeDocument/2006/relationships/hyperlink" Target="http://uk.linkedin.com/in/alanblythsprofile" TargetMode="External"/><Relationship Id="rId947" Type="http://schemas.openxmlformats.org/officeDocument/2006/relationships/hyperlink" Target="http://www.linkedin.com/in/donbarber" TargetMode="External"/><Relationship Id="rId946" Type="http://schemas.openxmlformats.org/officeDocument/2006/relationships/hyperlink" Target="http://ca.linkedin.com/in/paulvallee" TargetMode="External"/><Relationship Id="rId945" Type="http://schemas.openxmlformats.org/officeDocument/2006/relationships/hyperlink" Target="http://www.linkedin.com/in/annielauriehall" TargetMode="External"/><Relationship Id="rId944" Type="http://schemas.openxmlformats.org/officeDocument/2006/relationships/hyperlink" Target="http://www.linkedin.com/in/francoisrouxengineer" TargetMode="External"/><Relationship Id="rId2860" Type="http://schemas.openxmlformats.org/officeDocument/2006/relationships/hyperlink" Target="http://www.linkedin.com/pub/gustavo-lara-bergese-mba/3/7b7/486" TargetMode="External"/><Relationship Id="rId1530" Type="http://schemas.openxmlformats.org/officeDocument/2006/relationships/hyperlink" Target="http://www.linkedin.com/pub/dawn-coughlin/3/275/28A" TargetMode="External"/><Relationship Id="rId2861" Type="http://schemas.openxmlformats.org/officeDocument/2006/relationships/hyperlink" Target="http://www.linkedin.com/pub/facundo-ezequiel-bodner/22/246/178" TargetMode="External"/><Relationship Id="rId1531" Type="http://schemas.openxmlformats.org/officeDocument/2006/relationships/hyperlink" Target="http://uk.linkedin.com/in/ptyndale" TargetMode="External"/><Relationship Id="rId2862" Type="http://schemas.openxmlformats.org/officeDocument/2006/relationships/hyperlink" Target="http://ar.linkedin.com/pub/paula-santagata/5/349/55B" TargetMode="External"/><Relationship Id="rId1521" Type="http://schemas.openxmlformats.org/officeDocument/2006/relationships/hyperlink" Target="http://ca.linkedin.com/in/terrybrandgetsresults" TargetMode="External"/><Relationship Id="rId2852" Type="http://schemas.openxmlformats.org/officeDocument/2006/relationships/hyperlink" Target="http://www.linkedin.com/pub/maria-eugenia-sulpizio/1a/634/594" TargetMode="External"/><Relationship Id="rId1522" Type="http://schemas.openxmlformats.org/officeDocument/2006/relationships/hyperlink" Target="http://br.linkedin.com/pub/claudio-rogerio-guimaraes/2A/BA7/437" TargetMode="External"/><Relationship Id="rId2853" Type="http://schemas.openxmlformats.org/officeDocument/2006/relationships/hyperlink" Target="http://ar.linkedin.com/pub/marcos-olcese/15/960/642" TargetMode="External"/><Relationship Id="rId1523" Type="http://schemas.openxmlformats.org/officeDocument/2006/relationships/hyperlink" Target="http://www.linkedin.com/in/jillbaldauf" TargetMode="External"/><Relationship Id="rId2854" Type="http://schemas.openxmlformats.org/officeDocument/2006/relationships/hyperlink" Target="http://ar.linkedin.com/pub/alejandro-fodor/15/9B8/B61" TargetMode="External"/><Relationship Id="rId1524" Type="http://schemas.openxmlformats.org/officeDocument/2006/relationships/hyperlink" Target="https://www.linkedin.com/pub/howard-steinberg/9/458/212" TargetMode="External"/><Relationship Id="rId2855" Type="http://schemas.openxmlformats.org/officeDocument/2006/relationships/hyperlink" Target="http://www.linkedin.com/pub/gabriela-levite/18/679/959" TargetMode="External"/><Relationship Id="rId1525" Type="http://schemas.openxmlformats.org/officeDocument/2006/relationships/hyperlink" Target="http://dk.linkedin.com/in/troelssmit" TargetMode="External"/><Relationship Id="rId2856" Type="http://schemas.openxmlformats.org/officeDocument/2006/relationships/hyperlink" Target="http://ar.linkedin.com/in/jmetcheverry" TargetMode="External"/><Relationship Id="rId1526" Type="http://schemas.openxmlformats.org/officeDocument/2006/relationships/hyperlink" Target="http://www.linkedin.com/in/ericmoll" TargetMode="External"/><Relationship Id="rId2857" Type="http://schemas.openxmlformats.org/officeDocument/2006/relationships/hyperlink" Target="http://ar.linkedin.com/in/georginalloyd" TargetMode="External"/><Relationship Id="rId1527" Type="http://schemas.openxmlformats.org/officeDocument/2006/relationships/hyperlink" Target="http://www.linkedin.com/pub/rubens-h-murasse/1/89/820" TargetMode="External"/><Relationship Id="rId2858" Type="http://schemas.openxmlformats.org/officeDocument/2006/relationships/hyperlink" Target="http://ar.linkedin.com/pub/daniel-alvarez/2/B49/14A" TargetMode="External"/><Relationship Id="rId1528" Type="http://schemas.openxmlformats.org/officeDocument/2006/relationships/hyperlink" Target="http://www.linkedin.com/pub/stephanie-demaro/7/806/575" TargetMode="External"/><Relationship Id="rId2859" Type="http://schemas.openxmlformats.org/officeDocument/2006/relationships/hyperlink" Target="http://ar.linkedin.com/in/jsagasti" TargetMode="External"/><Relationship Id="rId1529" Type="http://schemas.openxmlformats.org/officeDocument/2006/relationships/hyperlink" Target="http://www.linkedin.com/pub/hans-mannaert/1/9b/403" TargetMode="External"/><Relationship Id="rId939" Type="http://schemas.openxmlformats.org/officeDocument/2006/relationships/hyperlink" Target="http://www.linkedin.com/pub/lauren-otterman/0/169/264" TargetMode="External"/><Relationship Id="rId938" Type="http://schemas.openxmlformats.org/officeDocument/2006/relationships/hyperlink" Target="http://www.linkedin.com/pub/shameek-basu/0/803/544" TargetMode="External"/><Relationship Id="rId937" Type="http://schemas.openxmlformats.org/officeDocument/2006/relationships/hyperlink" Target="http://www.linkedin.com/in/timbesse" TargetMode="External"/><Relationship Id="rId932" Type="http://schemas.openxmlformats.org/officeDocument/2006/relationships/hyperlink" Target="http://www.linkedin.com/in/rmikeleo" TargetMode="External"/><Relationship Id="rId931" Type="http://schemas.openxmlformats.org/officeDocument/2006/relationships/hyperlink" Target="http://www.linkedin.com/pub/sally-jane-kruger-lion/0/b5/23a" TargetMode="External"/><Relationship Id="rId930" Type="http://schemas.openxmlformats.org/officeDocument/2006/relationships/hyperlink" Target="http://uk.linkedin.com/in/dermottreilly" TargetMode="External"/><Relationship Id="rId936" Type="http://schemas.openxmlformats.org/officeDocument/2006/relationships/hyperlink" Target="http://www.linkedin.com/pub/hans-diehl/0/216/61B" TargetMode="External"/><Relationship Id="rId935" Type="http://schemas.openxmlformats.org/officeDocument/2006/relationships/hyperlink" Target="http://www.linkedin.com/in/showe" TargetMode="External"/><Relationship Id="rId934" Type="http://schemas.openxmlformats.org/officeDocument/2006/relationships/hyperlink" Target="http://pt.linkedin.com/pub/ricardo-machado/0/596/493" TargetMode="External"/><Relationship Id="rId933" Type="http://schemas.openxmlformats.org/officeDocument/2006/relationships/hyperlink" Target="http://uk.linkedin.com/in/kevinhowes" TargetMode="External"/><Relationship Id="rId2850" Type="http://schemas.openxmlformats.org/officeDocument/2006/relationships/hyperlink" Target="http://ar.linkedin.com/in/alencina" TargetMode="External"/><Relationship Id="rId1520" Type="http://schemas.openxmlformats.org/officeDocument/2006/relationships/hyperlink" Target="http://uk.linkedin.com/in/seoprofessionallondon" TargetMode="External"/><Relationship Id="rId2851" Type="http://schemas.openxmlformats.org/officeDocument/2006/relationships/hyperlink" Target="http://www.linkedin.com/pub/marcela-vaccari/20/78b/760" TargetMode="External"/><Relationship Id="rId1554" Type="http://schemas.openxmlformats.org/officeDocument/2006/relationships/hyperlink" Target="http://www.linkedin.com/pub/brian-schwartz/3/B9/11A" TargetMode="External"/><Relationship Id="rId2885" Type="http://schemas.openxmlformats.org/officeDocument/2006/relationships/hyperlink" Target="http://www.linkedin.com/pub/mart%C3%ADn-ybarra/0/8ab/b27" TargetMode="External"/><Relationship Id="rId1555" Type="http://schemas.openxmlformats.org/officeDocument/2006/relationships/hyperlink" Target="http://www.linkedin.com/in/rothbard" TargetMode="External"/><Relationship Id="rId2886" Type="http://schemas.openxmlformats.org/officeDocument/2006/relationships/hyperlink" Target="http://www.linkedin.com/pub/marcelo-kimel/0/69b/414" TargetMode="External"/><Relationship Id="rId1556" Type="http://schemas.openxmlformats.org/officeDocument/2006/relationships/hyperlink" Target="http://www.linkedin.com/pub/michael-dean/0/145/37A" TargetMode="External"/><Relationship Id="rId2887" Type="http://schemas.openxmlformats.org/officeDocument/2006/relationships/hyperlink" Target="http://www.linkedin.com/in/kevinjbradshaw" TargetMode="External"/><Relationship Id="rId1557" Type="http://schemas.openxmlformats.org/officeDocument/2006/relationships/hyperlink" Target="http://www.linkedin.com/in/jkucic" TargetMode="External"/><Relationship Id="rId2888" Type="http://schemas.openxmlformats.org/officeDocument/2006/relationships/hyperlink" Target="http://ar.linkedin.com/in/martinadoue" TargetMode="External"/><Relationship Id="rId1558" Type="http://schemas.openxmlformats.org/officeDocument/2006/relationships/hyperlink" Target="http://www.linkedin.com/in/mandibishop" TargetMode="External"/><Relationship Id="rId2889" Type="http://schemas.openxmlformats.org/officeDocument/2006/relationships/hyperlink" Target="http://uk.linkedin.com/pub/stefan-lacher/0/96/995" TargetMode="External"/><Relationship Id="rId1559" Type="http://schemas.openxmlformats.org/officeDocument/2006/relationships/hyperlink" Target="http://www.linkedin.com/in/printsteals" TargetMode="External"/><Relationship Id="rId965" Type="http://schemas.openxmlformats.org/officeDocument/2006/relationships/hyperlink" Target="http://www.linkedin.com/in/lawrencesuen" TargetMode="External"/><Relationship Id="rId964" Type="http://schemas.openxmlformats.org/officeDocument/2006/relationships/hyperlink" Target="http://www.linkedin.com/pub/chad-m-knauss/6/70B/275" TargetMode="External"/><Relationship Id="rId963" Type="http://schemas.openxmlformats.org/officeDocument/2006/relationships/hyperlink" Target="http://uk.linkedin.com/in/philipringrow" TargetMode="External"/><Relationship Id="rId962" Type="http://schemas.openxmlformats.org/officeDocument/2006/relationships/hyperlink" Target="http://www.linkedin.com/in/tomsaari" TargetMode="External"/><Relationship Id="rId969" Type="http://schemas.openxmlformats.org/officeDocument/2006/relationships/hyperlink" Target="http://www.linkedin.com/pub/bahaudin-mujtaba/11/16B/B3A" TargetMode="External"/><Relationship Id="rId968" Type="http://schemas.openxmlformats.org/officeDocument/2006/relationships/hyperlink" Target="http://www.linkedin.com/in/chudaniel" TargetMode="External"/><Relationship Id="rId967" Type="http://schemas.openxmlformats.org/officeDocument/2006/relationships/hyperlink" Target="http://www.linkedin.com/in/stephengilfus" TargetMode="External"/><Relationship Id="rId966" Type="http://schemas.openxmlformats.org/officeDocument/2006/relationships/hyperlink" Target="http://pt.linkedin.com/in/joselealsilva" TargetMode="External"/><Relationship Id="rId2880" Type="http://schemas.openxmlformats.org/officeDocument/2006/relationships/hyperlink" Target="http://www.linkedin.com/in/jmildenhall" TargetMode="External"/><Relationship Id="rId961" Type="http://schemas.openxmlformats.org/officeDocument/2006/relationships/hyperlink" Target="http://www.linkedin.com/pub/frank-cardaropoli/1/403/BBB" TargetMode="External"/><Relationship Id="rId1550" Type="http://schemas.openxmlformats.org/officeDocument/2006/relationships/hyperlink" Target="http://pl.linkedin.com/in/andybrandt" TargetMode="External"/><Relationship Id="rId2881" Type="http://schemas.openxmlformats.org/officeDocument/2006/relationships/hyperlink" Target="http://www.linkedin.com/in/marianoamor" TargetMode="External"/><Relationship Id="rId960" Type="http://schemas.openxmlformats.org/officeDocument/2006/relationships/hyperlink" Target="http://www.linkedin.com/pub/iuri-andrade/23/219/1A2" TargetMode="External"/><Relationship Id="rId1551" Type="http://schemas.openxmlformats.org/officeDocument/2006/relationships/hyperlink" Target="http://nl.linkedin.com/pub/victor-schmedding/0/215/14A" TargetMode="External"/><Relationship Id="rId2882" Type="http://schemas.openxmlformats.org/officeDocument/2006/relationships/hyperlink" Target="http://ar.linkedin.com/pub/luciana-zurlo/1/B50/367" TargetMode="External"/><Relationship Id="rId1552" Type="http://schemas.openxmlformats.org/officeDocument/2006/relationships/hyperlink" Target="http://www.linkedin.com/in/josesolera" TargetMode="External"/><Relationship Id="rId2883" Type="http://schemas.openxmlformats.org/officeDocument/2006/relationships/hyperlink" Target="http://www.linkedin.com/in/dansbrown" TargetMode="External"/><Relationship Id="rId1553" Type="http://schemas.openxmlformats.org/officeDocument/2006/relationships/hyperlink" Target="http://www.linkedin.com/in/waynebiernacki" TargetMode="External"/><Relationship Id="rId2884" Type="http://schemas.openxmlformats.org/officeDocument/2006/relationships/hyperlink" Target="http://ar.linkedin.com/pub/karina-boedo/8/A98/879" TargetMode="External"/><Relationship Id="rId1543" Type="http://schemas.openxmlformats.org/officeDocument/2006/relationships/hyperlink" Target="http://in.linkedin.com/pub/padmini-giri/1/101/927" TargetMode="External"/><Relationship Id="rId2874" Type="http://schemas.openxmlformats.org/officeDocument/2006/relationships/hyperlink" Target="http://ar.linkedin.com/pub/paola-leanza/30/908/78B" TargetMode="External"/><Relationship Id="rId1544" Type="http://schemas.openxmlformats.org/officeDocument/2006/relationships/hyperlink" Target="http://www.linkedin.com/pub/tom-adams/0/24/B7" TargetMode="External"/><Relationship Id="rId2875" Type="http://schemas.openxmlformats.org/officeDocument/2006/relationships/hyperlink" Target="http://www.linkedin.com/pub/joshua-bright/2/102/941" TargetMode="External"/><Relationship Id="rId1545" Type="http://schemas.openxmlformats.org/officeDocument/2006/relationships/hyperlink" Target="http://in.linkedin.com/in/bhaskardey" TargetMode="External"/><Relationship Id="rId2876" Type="http://schemas.openxmlformats.org/officeDocument/2006/relationships/hyperlink" Target="http://ar.linkedin.com/in/fervaldes" TargetMode="External"/><Relationship Id="rId1546" Type="http://schemas.openxmlformats.org/officeDocument/2006/relationships/hyperlink" Target="http://www.linkedin.com/in/bradloetzremedi" TargetMode="External"/><Relationship Id="rId2877" Type="http://schemas.openxmlformats.org/officeDocument/2006/relationships/hyperlink" Target="http://ar.linkedin.com/in/ignaciovivona" TargetMode="External"/><Relationship Id="rId1547" Type="http://schemas.openxmlformats.org/officeDocument/2006/relationships/hyperlink" Target="http://www.linkedin.com/in/jasonwdunham" TargetMode="External"/><Relationship Id="rId2878" Type="http://schemas.openxmlformats.org/officeDocument/2006/relationships/hyperlink" Target="http://www.linkedin.com/in/bcapriotti" TargetMode="External"/><Relationship Id="rId1548" Type="http://schemas.openxmlformats.org/officeDocument/2006/relationships/hyperlink" Target="http://www.linkedin.com/pub/trey-hoffman/1/B93/7BA" TargetMode="External"/><Relationship Id="rId2879" Type="http://schemas.openxmlformats.org/officeDocument/2006/relationships/hyperlink" Target="http://www.linkedin.com/pub/rebecca-blair/5/6A0/489" TargetMode="External"/><Relationship Id="rId1549" Type="http://schemas.openxmlformats.org/officeDocument/2006/relationships/hyperlink" Target="http://www.linkedin.com/pub/cliff-greenbaum/0/424/AAB" TargetMode="External"/><Relationship Id="rId959" Type="http://schemas.openxmlformats.org/officeDocument/2006/relationships/hyperlink" Target="http://www.linkedin.com/in/randysalars" TargetMode="External"/><Relationship Id="rId954" Type="http://schemas.openxmlformats.org/officeDocument/2006/relationships/hyperlink" Target="http://www.linkedin.com/in/oferoht" TargetMode="External"/><Relationship Id="rId953" Type="http://schemas.openxmlformats.org/officeDocument/2006/relationships/hyperlink" Target="http://www.linkedin.com/in/benprusinski" TargetMode="External"/><Relationship Id="rId952" Type="http://schemas.openxmlformats.org/officeDocument/2006/relationships/hyperlink" Target="http://www.linkedin.com/in/bertmiller" TargetMode="External"/><Relationship Id="rId951" Type="http://schemas.openxmlformats.org/officeDocument/2006/relationships/hyperlink" Target="http://ca.linkedin.com/in/sheldon" TargetMode="External"/><Relationship Id="rId958" Type="http://schemas.openxmlformats.org/officeDocument/2006/relationships/hyperlink" Target="http://www.linkedin.com/in/ac777" TargetMode="External"/><Relationship Id="rId957" Type="http://schemas.openxmlformats.org/officeDocument/2006/relationships/hyperlink" Target="http://www.linkedin.com/in/gregshort" TargetMode="External"/><Relationship Id="rId956" Type="http://schemas.openxmlformats.org/officeDocument/2006/relationships/hyperlink" Target="http://www.linkedin.com/in/rakeshkgupta" TargetMode="External"/><Relationship Id="rId955" Type="http://schemas.openxmlformats.org/officeDocument/2006/relationships/hyperlink" Target="http://uk.linkedin.com/in/markrohan" TargetMode="External"/><Relationship Id="rId950" Type="http://schemas.openxmlformats.org/officeDocument/2006/relationships/hyperlink" Target="http://www.linkedin.com/in/andyohearn" TargetMode="External"/><Relationship Id="rId2870" Type="http://schemas.openxmlformats.org/officeDocument/2006/relationships/hyperlink" Target="http://ar.linkedin.com/in/fabianbarrozo" TargetMode="External"/><Relationship Id="rId1540" Type="http://schemas.openxmlformats.org/officeDocument/2006/relationships/hyperlink" Target="http://www.linkedin.com/pub/steve-smith/7/288/630" TargetMode="External"/><Relationship Id="rId2871" Type="http://schemas.openxmlformats.org/officeDocument/2006/relationships/hyperlink" Target="http://ar.linkedin.com/in/marcelofedeli" TargetMode="External"/><Relationship Id="rId1541" Type="http://schemas.openxmlformats.org/officeDocument/2006/relationships/hyperlink" Target="http://www.linkedin.com/in/bpatnaik" TargetMode="External"/><Relationship Id="rId2872" Type="http://schemas.openxmlformats.org/officeDocument/2006/relationships/hyperlink" Target="http://ar.linkedin.com/pub/ariel-castillo/12/937/46A" TargetMode="External"/><Relationship Id="rId1542" Type="http://schemas.openxmlformats.org/officeDocument/2006/relationships/hyperlink" Target="http://www.linkedin.com/pub/alain-stricker-krongrad/A/582/549" TargetMode="External"/><Relationship Id="rId2873" Type="http://schemas.openxmlformats.org/officeDocument/2006/relationships/hyperlink" Target="http://www.linkedin.com/pub/liliana-candelino/24/332/a27" TargetMode="External"/><Relationship Id="rId7717" Type="http://schemas.openxmlformats.org/officeDocument/2006/relationships/hyperlink" Target="http://www.linkedin.com/in/scottvansickle" TargetMode="External"/><Relationship Id="rId7716" Type="http://schemas.openxmlformats.org/officeDocument/2006/relationships/hyperlink" Target="http://www.linkedin.com/in/ignaciolopez" TargetMode="External"/><Relationship Id="rId7715" Type="http://schemas.openxmlformats.org/officeDocument/2006/relationships/hyperlink" Target="http://www.linkedin.com/in/terryowen01" TargetMode="External"/><Relationship Id="rId7714" Type="http://schemas.openxmlformats.org/officeDocument/2006/relationships/hyperlink" Target="http://www.linkedin.com/in/jadams52" TargetMode="External"/><Relationship Id="rId7719" Type="http://schemas.openxmlformats.org/officeDocument/2006/relationships/hyperlink" Target="http://www.linkedin.com/in/aaronsears" TargetMode="External"/><Relationship Id="rId7718" Type="http://schemas.openxmlformats.org/officeDocument/2006/relationships/hyperlink" Target="http://www.linkedin.com/in/jasonshellen" TargetMode="External"/><Relationship Id="rId7713" Type="http://schemas.openxmlformats.org/officeDocument/2006/relationships/hyperlink" Target="http://www.linkedin.com/in/fbeer" TargetMode="External"/><Relationship Id="rId7712" Type="http://schemas.openxmlformats.org/officeDocument/2006/relationships/hyperlink" Target="http://www.linkedin.com/in/kenkahtava" TargetMode="External"/><Relationship Id="rId7711" Type="http://schemas.openxmlformats.org/officeDocument/2006/relationships/hyperlink" Target="http://ar.linkedin.com/in/connaxis2" TargetMode="External"/><Relationship Id="rId7710" Type="http://schemas.openxmlformats.org/officeDocument/2006/relationships/hyperlink" Target="http://www.linkedin.com/in/maui314159" TargetMode="External"/><Relationship Id="rId7706" Type="http://schemas.openxmlformats.org/officeDocument/2006/relationships/hyperlink" Target="http://ar.linkedin.com/pub/jorge-giacomotti/9/BBB/30" TargetMode="External"/><Relationship Id="rId7705" Type="http://schemas.openxmlformats.org/officeDocument/2006/relationships/hyperlink" Target="http://www.linkedin.com/in/richardbullingtonmcguire" TargetMode="External"/><Relationship Id="rId7704" Type="http://schemas.openxmlformats.org/officeDocument/2006/relationships/hyperlink" Target="http://www.linkedin.com/pub/pedro-gutierrez/10/413/612" TargetMode="External"/><Relationship Id="rId7703" Type="http://schemas.openxmlformats.org/officeDocument/2006/relationships/hyperlink" Target="http://www.linkedin.com/pub/sarah-miller/0/6A/486" TargetMode="External"/><Relationship Id="rId7709" Type="http://schemas.openxmlformats.org/officeDocument/2006/relationships/hyperlink" Target="http://www.linkedin.com/in/keithschellenberger" TargetMode="External"/><Relationship Id="rId7708" Type="http://schemas.openxmlformats.org/officeDocument/2006/relationships/hyperlink" Target="http://www.linkedin.com/in/andrespedraza" TargetMode="External"/><Relationship Id="rId7707" Type="http://schemas.openxmlformats.org/officeDocument/2006/relationships/hyperlink" Target="http://www.linkedin.com/in/shanebreen1" TargetMode="External"/><Relationship Id="rId7702" Type="http://schemas.openxmlformats.org/officeDocument/2006/relationships/hyperlink" Target="http://www.linkedin.com/in/jscheinman" TargetMode="External"/><Relationship Id="rId7701" Type="http://schemas.openxmlformats.org/officeDocument/2006/relationships/hyperlink" Target="http://www.linkedin.com/in/clarkkarenl" TargetMode="External"/><Relationship Id="rId7700" Type="http://schemas.openxmlformats.org/officeDocument/2006/relationships/hyperlink" Target="http://www.linkedin.com/pub/michael-p-rooney-mba/7/954/109" TargetMode="External"/><Relationship Id="rId6407" Type="http://schemas.openxmlformats.org/officeDocument/2006/relationships/hyperlink" Target="http://www.linkedin.com/in/drapkin" TargetMode="External"/><Relationship Id="rId7739" Type="http://schemas.openxmlformats.org/officeDocument/2006/relationships/hyperlink" Target="http://www.linkedin.com/in/sanjaychikarmane" TargetMode="External"/><Relationship Id="rId6408" Type="http://schemas.openxmlformats.org/officeDocument/2006/relationships/hyperlink" Target="http://www.linkedin.com/pub/stephen-klein/0/A68/402" TargetMode="External"/><Relationship Id="rId7738" Type="http://schemas.openxmlformats.org/officeDocument/2006/relationships/hyperlink" Target="http://www.linkedin.com/pub/ryan-mcveigh/0/162/93" TargetMode="External"/><Relationship Id="rId6405" Type="http://schemas.openxmlformats.org/officeDocument/2006/relationships/hyperlink" Target="https://www.linkedin.com/in/brentbaer" TargetMode="External"/><Relationship Id="rId7737" Type="http://schemas.openxmlformats.org/officeDocument/2006/relationships/hyperlink" Target="http://www.linkedin.com/in/kevinjwright" TargetMode="External"/><Relationship Id="rId6406" Type="http://schemas.openxmlformats.org/officeDocument/2006/relationships/hyperlink" Target="http://www.linkedin.com/in/mariansalzman" TargetMode="External"/><Relationship Id="rId7736" Type="http://schemas.openxmlformats.org/officeDocument/2006/relationships/hyperlink" Target="http://www.linkedin.com/in/stanorlowski" TargetMode="External"/><Relationship Id="rId6409" Type="http://schemas.openxmlformats.org/officeDocument/2006/relationships/hyperlink" Target="http://www.linkedin.com/in/dpakman" TargetMode="External"/><Relationship Id="rId7731" Type="http://schemas.openxmlformats.org/officeDocument/2006/relationships/hyperlink" Target="http://ar.linkedin.com/in/waltergueler" TargetMode="External"/><Relationship Id="rId6400" Type="http://schemas.openxmlformats.org/officeDocument/2006/relationships/hyperlink" Target="http://www.linkedin.com/pub/keith-dawson/0/B71/B17" TargetMode="External"/><Relationship Id="rId7730" Type="http://schemas.openxmlformats.org/officeDocument/2006/relationships/hyperlink" Target="http://ar.linkedin.com/pub/gustavo-bessone/15/968/B0" TargetMode="External"/><Relationship Id="rId6403" Type="http://schemas.openxmlformats.org/officeDocument/2006/relationships/hyperlink" Target="http://www.linkedin.com/pub/chris-kelly/3/593/829" TargetMode="External"/><Relationship Id="rId7735" Type="http://schemas.openxmlformats.org/officeDocument/2006/relationships/hyperlink" Target="http://ar.linkedin.com/in/smferro" TargetMode="External"/><Relationship Id="rId6404" Type="http://schemas.openxmlformats.org/officeDocument/2006/relationships/hyperlink" Target="http://www.linkedin.com/in/timothymorey" TargetMode="External"/><Relationship Id="rId7734" Type="http://schemas.openxmlformats.org/officeDocument/2006/relationships/hyperlink" Target="http://www.linkedin.com/in/webrockstar" TargetMode="External"/><Relationship Id="rId6401" Type="http://schemas.openxmlformats.org/officeDocument/2006/relationships/hyperlink" Target="http://ar.linkedin.com/in/lisianeteixeira" TargetMode="External"/><Relationship Id="rId7733" Type="http://schemas.openxmlformats.org/officeDocument/2006/relationships/hyperlink" Target="http://ar.linkedin.com/pub/javier-mogetta/7/15A/157" TargetMode="External"/><Relationship Id="rId6402" Type="http://schemas.openxmlformats.org/officeDocument/2006/relationships/hyperlink" Target="http://www.linkedin.com/pub/charlie-conway/0/614/62A" TargetMode="External"/><Relationship Id="rId7732" Type="http://schemas.openxmlformats.org/officeDocument/2006/relationships/hyperlink" Target="http://www.linkedin.com/pub/samuel-lavery/3/7A8/320" TargetMode="External"/><Relationship Id="rId7728" Type="http://schemas.openxmlformats.org/officeDocument/2006/relationships/hyperlink" Target="http://www.linkedin.com/in/internetleads" TargetMode="External"/><Relationship Id="rId7727" Type="http://schemas.openxmlformats.org/officeDocument/2006/relationships/hyperlink" Target="http://www.linkedin.com/in/brandonbillings7" TargetMode="External"/><Relationship Id="rId7726" Type="http://schemas.openxmlformats.org/officeDocument/2006/relationships/hyperlink" Target="http://www.linkedin.com/pub/karen-goldfarb/7/624/12" TargetMode="External"/><Relationship Id="rId7725" Type="http://schemas.openxmlformats.org/officeDocument/2006/relationships/hyperlink" Target="http://www.linkedin.com/pub/dustin-wolff/9/848/2A6" TargetMode="External"/><Relationship Id="rId7729" Type="http://schemas.openxmlformats.org/officeDocument/2006/relationships/hyperlink" Target="http://www.linkedin.com/in/felipesommer" TargetMode="External"/><Relationship Id="rId7720" Type="http://schemas.openxmlformats.org/officeDocument/2006/relationships/hyperlink" Target="http://www.linkedin.com/in/daveabell" TargetMode="External"/><Relationship Id="rId7724" Type="http://schemas.openxmlformats.org/officeDocument/2006/relationships/hyperlink" Target="http://www.linkedin.com/in/mrtrevorthomas" TargetMode="External"/><Relationship Id="rId7723" Type="http://schemas.openxmlformats.org/officeDocument/2006/relationships/hyperlink" Target="http://www.linkedin.com/in/davidfowler" TargetMode="External"/><Relationship Id="rId7722" Type="http://schemas.openxmlformats.org/officeDocument/2006/relationships/hyperlink" Target="http://www.linkedin.com/in/mbellows" TargetMode="External"/><Relationship Id="rId7721" Type="http://schemas.openxmlformats.org/officeDocument/2006/relationships/hyperlink" Target="http://www.linkedin.com/in/davidcao" TargetMode="External"/><Relationship Id="rId5130" Type="http://schemas.openxmlformats.org/officeDocument/2006/relationships/hyperlink" Target="http://www.linkedin.com/in/fabianporta" TargetMode="External"/><Relationship Id="rId6461" Type="http://schemas.openxmlformats.org/officeDocument/2006/relationships/hyperlink" Target="http://ar.linkedin.com/in/rodrigomendez" TargetMode="External"/><Relationship Id="rId7793" Type="http://schemas.openxmlformats.org/officeDocument/2006/relationships/hyperlink" Target="http://www.linkedin.com/in/marcellobaquero" TargetMode="External"/><Relationship Id="rId5131" Type="http://schemas.openxmlformats.org/officeDocument/2006/relationships/hyperlink" Target="http://www.linkedin.com/in/joubertjj" TargetMode="External"/><Relationship Id="rId6462" Type="http://schemas.openxmlformats.org/officeDocument/2006/relationships/hyperlink" Target="http://ar.linkedin.com/in/adriande" TargetMode="External"/><Relationship Id="rId7792" Type="http://schemas.openxmlformats.org/officeDocument/2006/relationships/hyperlink" Target="http://www.linkedin.com/pub/octavio-cadena/29/525/26A" TargetMode="External"/><Relationship Id="rId7791" Type="http://schemas.openxmlformats.org/officeDocument/2006/relationships/hyperlink" Target="http://www.linkedin.com/in/thomasmcclendon" TargetMode="External"/><Relationship Id="rId6460" Type="http://schemas.openxmlformats.org/officeDocument/2006/relationships/hyperlink" Target="http://www.linkedin.com/pub/tuckey-federico/15/506/432" TargetMode="External"/><Relationship Id="rId7790" Type="http://schemas.openxmlformats.org/officeDocument/2006/relationships/hyperlink" Target="http://www.linkedin.com/pub/ari-lisjak/3/B35/367" TargetMode="External"/><Relationship Id="rId5134" Type="http://schemas.openxmlformats.org/officeDocument/2006/relationships/hyperlink" Target="http://ar.linkedin.com/pub/mauricio-cimino/3/B01/552" TargetMode="External"/><Relationship Id="rId6465" Type="http://schemas.openxmlformats.org/officeDocument/2006/relationships/hyperlink" Target="http://www.linkedin.com/pub/fernando-acenso/24/a59/894" TargetMode="External"/><Relationship Id="rId7797" Type="http://schemas.openxmlformats.org/officeDocument/2006/relationships/hyperlink" Target="https://www.linkedin.com/in/milesjennings" TargetMode="External"/><Relationship Id="rId5135" Type="http://schemas.openxmlformats.org/officeDocument/2006/relationships/hyperlink" Target="http://ar.linkedin.com/in/gamengual" TargetMode="External"/><Relationship Id="rId6466" Type="http://schemas.openxmlformats.org/officeDocument/2006/relationships/hyperlink" Target="http://www.linkedin.com/pub/tami-oquinn-mba-pmp/3/A82/B56" TargetMode="External"/><Relationship Id="rId7796" Type="http://schemas.openxmlformats.org/officeDocument/2006/relationships/hyperlink" Target="http://www.linkedin.com/in/jeffwallace913" TargetMode="External"/><Relationship Id="rId5132" Type="http://schemas.openxmlformats.org/officeDocument/2006/relationships/hyperlink" Target="http://www.linkedin.com/in/fernandoamartin" TargetMode="External"/><Relationship Id="rId6463" Type="http://schemas.openxmlformats.org/officeDocument/2006/relationships/hyperlink" Target="http://ar.linkedin.com/pub/sergio-goldenstein/7/B85/597" TargetMode="External"/><Relationship Id="rId7795" Type="http://schemas.openxmlformats.org/officeDocument/2006/relationships/hyperlink" Target="http://www.linkedin.com/in/stevemcintoshfl" TargetMode="External"/><Relationship Id="rId5133" Type="http://schemas.openxmlformats.org/officeDocument/2006/relationships/hyperlink" Target="http://www.linkedin.com/pub/mar%C3%ADa-cecilia-usich/4/933/286" TargetMode="External"/><Relationship Id="rId6464" Type="http://schemas.openxmlformats.org/officeDocument/2006/relationships/hyperlink" Target="http://ar.linkedin.com/pub/alan-scheinkman/5/871/563" TargetMode="External"/><Relationship Id="rId7794" Type="http://schemas.openxmlformats.org/officeDocument/2006/relationships/hyperlink" Target="http://ar.linkedin.com/pub/juan-pablo-centurion/3/378/889" TargetMode="External"/><Relationship Id="rId5138" Type="http://schemas.openxmlformats.org/officeDocument/2006/relationships/hyperlink" Target="http://www.linkedin.com/pub/adriano-baglioni/1/420/357" TargetMode="External"/><Relationship Id="rId6469" Type="http://schemas.openxmlformats.org/officeDocument/2006/relationships/hyperlink" Target="http://www.linkedin.com/in/davekusek" TargetMode="External"/><Relationship Id="rId5139" Type="http://schemas.openxmlformats.org/officeDocument/2006/relationships/hyperlink" Target="http://www.linkedin.com/pub/horacio-literat/8/73a/907" TargetMode="External"/><Relationship Id="rId5136" Type="http://schemas.openxmlformats.org/officeDocument/2006/relationships/hyperlink" Target="http://ar.linkedin.com/pub/carlos-morales/5/619/502" TargetMode="External"/><Relationship Id="rId6467" Type="http://schemas.openxmlformats.org/officeDocument/2006/relationships/hyperlink" Target="http://www.linkedin.com/pub/john-beezer/0/2BA/232" TargetMode="External"/><Relationship Id="rId7799" Type="http://schemas.openxmlformats.org/officeDocument/2006/relationships/hyperlink" Target="http://www.linkedin.com/pub/robert-dyer/11/508/966" TargetMode="External"/><Relationship Id="rId5137" Type="http://schemas.openxmlformats.org/officeDocument/2006/relationships/hyperlink" Target="http://ar.linkedin.com/pub/ciro-daniele/B/689/752" TargetMode="External"/><Relationship Id="rId6468" Type="http://schemas.openxmlformats.org/officeDocument/2006/relationships/hyperlink" Target="http://www.linkedin.com/in/vicsarjoo" TargetMode="External"/><Relationship Id="rId7798" Type="http://schemas.openxmlformats.org/officeDocument/2006/relationships/hyperlink" Target="http://www.linkedin.com/in/jbehrens" TargetMode="External"/><Relationship Id="rId5129" Type="http://schemas.openxmlformats.org/officeDocument/2006/relationships/hyperlink" Target="http://www.linkedin.com/in/javieri" TargetMode="External"/><Relationship Id="rId6450" Type="http://schemas.openxmlformats.org/officeDocument/2006/relationships/hyperlink" Target="http://ar.linkedin.com/pub/cristian-moure/4/952/197" TargetMode="External"/><Relationship Id="rId7782" Type="http://schemas.openxmlformats.org/officeDocument/2006/relationships/hyperlink" Target="http://www.linkedin.com/in/mattgharegozlou" TargetMode="External"/><Relationship Id="rId5120" Type="http://schemas.openxmlformats.org/officeDocument/2006/relationships/hyperlink" Target="http://www.linkedin.com/pub/craig-kreps/4/B08/5AA" TargetMode="External"/><Relationship Id="rId6451" Type="http://schemas.openxmlformats.org/officeDocument/2006/relationships/hyperlink" Target="http://www.linkedin.com/pub/pablo-mercurio/5/121/394" TargetMode="External"/><Relationship Id="rId7781" Type="http://schemas.openxmlformats.org/officeDocument/2006/relationships/hyperlink" Target="http://www.linkedin.com/pub/gustavo-sarnari/29/654/392" TargetMode="External"/><Relationship Id="rId7780" Type="http://schemas.openxmlformats.org/officeDocument/2006/relationships/hyperlink" Target="http://www.linkedin.com/pub/luca-massasso/1/169/897" TargetMode="External"/><Relationship Id="rId5123" Type="http://schemas.openxmlformats.org/officeDocument/2006/relationships/hyperlink" Target="http://www.linkedin.com/in/dsanz" TargetMode="External"/><Relationship Id="rId6454" Type="http://schemas.openxmlformats.org/officeDocument/2006/relationships/hyperlink" Target="http://www.linkedin.com/pub/diego-fernandez-del-casal/8/692/ba5" TargetMode="External"/><Relationship Id="rId7786" Type="http://schemas.openxmlformats.org/officeDocument/2006/relationships/hyperlink" Target="http://www.linkedin.com/pub/chris-ivory/1/227/B71" TargetMode="External"/><Relationship Id="rId5124" Type="http://schemas.openxmlformats.org/officeDocument/2006/relationships/hyperlink" Target="http://ar.linkedin.com/pub/jorge-schuster/4/964/AA3" TargetMode="External"/><Relationship Id="rId6455" Type="http://schemas.openxmlformats.org/officeDocument/2006/relationships/hyperlink" Target="http://ar.linkedin.com/in/gmarazzita" TargetMode="External"/><Relationship Id="rId7785" Type="http://schemas.openxmlformats.org/officeDocument/2006/relationships/hyperlink" Target="https://www.linkedin.com/in/tomluketich" TargetMode="External"/><Relationship Id="rId5121" Type="http://schemas.openxmlformats.org/officeDocument/2006/relationships/hyperlink" Target="http://www.linkedin.com/in/asegesman" TargetMode="External"/><Relationship Id="rId6452" Type="http://schemas.openxmlformats.org/officeDocument/2006/relationships/hyperlink" Target="http://www.linkedin.com/pub/alejandro-pariz/9/1a7/290" TargetMode="External"/><Relationship Id="rId7784" Type="http://schemas.openxmlformats.org/officeDocument/2006/relationships/hyperlink" Target="http://www.linkedin.com/in/jennifermcclure" TargetMode="External"/><Relationship Id="rId5122" Type="http://schemas.openxmlformats.org/officeDocument/2006/relationships/hyperlink" Target="http://www.linkedin.com/in/pedroavgustin" TargetMode="External"/><Relationship Id="rId6453" Type="http://schemas.openxmlformats.org/officeDocument/2006/relationships/hyperlink" Target="http://www.linkedin.com/pub/julio-de-villasante/4/753/485" TargetMode="External"/><Relationship Id="rId7783" Type="http://schemas.openxmlformats.org/officeDocument/2006/relationships/hyperlink" Target="http://www.linkedin.com/in/jpvillani" TargetMode="External"/><Relationship Id="rId5127" Type="http://schemas.openxmlformats.org/officeDocument/2006/relationships/hyperlink" Target="http://ar.linkedin.com/pub/hugo-hilario/17/547/896" TargetMode="External"/><Relationship Id="rId6458" Type="http://schemas.openxmlformats.org/officeDocument/2006/relationships/hyperlink" Target="http://ar.linkedin.com/in/machadogj" TargetMode="External"/><Relationship Id="rId5128" Type="http://schemas.openxmlformats.org/officeDocument/2006/relationships/hyperlink" Target="http://ar.linkedin.com/in/javiercortijo" TargetMode="External"/><Relationship Id="rId6459" Type="http://schemas.openxmlformats.org/officeDocument/2006/relationships/hyperlink" Target="http://www.linkedin.com/in/alexpomeranz" TargetMode="External"/><Relationship Id="rId7789" Type="http://schemas.openxmlformats.org/officeDocument/2006/relationships/hyperlink" Target="http://www.linkedin.com/pub/marcelo-fumasoni/6/866/7B0" TargetMode="External"/><Relationship Id="rId5125" Type="http://schemas.openxmlformats.org/officeDocument/2006/relationships/hyperlink" Target="http://ar.linkedin.com/in/nelsonperezalonso" TargetMode="External"/><Relationship Id="rId6456" Type="http://schemas.openxmlformats.org/officeDocument/2006/relationships/hyperlink" Target="http://ar.linkedin.com/pub/gabriel-bracamonte/1/A73/302" TargetMode="External"/><Relationship Id="rId7788" Type="http://schemas.openxmlformats.org/officeDocument/2006/relationships/hyperlink" Target="http://www.linkedin.com/in/magolnick" TargetMode="External"/><Relationship Id="rId5126" Type="http://schemas.openxmlformats.org/officeDocument/2006/relationships/hyperlink" Target="http://www.linkedin.com/in/latamdavidryoung" TargetMode="External"/><Relationship Id="rId6457" Type="http://schemas.openxmlformats.org/officeDocument/2006/relationships/hyperlink" Target="http://www.linkedin.com/pub/justin-winder/1/22/690" TargetMode="External"/><Relationship Id="rId7787" Type="http://schemas.openxmlformats.org/officeDocument/2006/relationships/hyperlink" Target="http://www.linkedin.com/pub/michael-dell/8/601/4b0?trk=pub-pbmap" TargetMode="External"/><Relationship Id="rId6480" Type="http://schemas.openxmlformats.org/officeDocument/2006/relationships/hyperlink" Target="http://www.linkedin.com/pub/omar-salvador/2/921/471" TargetMode="External"/><Relationship Id="rId5152" Type="http://schemas.openxmlformats.org/officeDocument/2006/relationships/hyperlink" Target="http://ar.linkedin.com/in/regnicoli" TargetMode="External"/><Relationship Id="rId6483" Type="http://schemas.openxmlformats.org/officeDocument/2006/relationships/hyperlink" Target="http://www.linkedin.com/pub/soledad-holcberg/2/637/495" TargetMode="External"/><Relationship Id="rId5153" Type="http://schemas.openxmlformats.org/officeDocument/2006/relationships/hyperlink" Target="http://www.linkedin.com/pub/dante-panella/19/46a/b33" TargetMode="External"/><Relationship Id="rId6484" Type="http://schemas.openxmlformats.org/officeDocument/2006/relationships/hyperlink" Target="http://ar.linkedin.com/in/sosterc" TargetMode="External"/><Relationship Id="rId5150" Type="http://schemas.openxmlformats.org/officeDocument/2006/relationships/hyperlink" Target="http://ar.linkedin.com/pub/soledad-rusconi-notario/9/A93/A73" TargetMode="External"/><Relationship Id="rId6481" Type="http://schemas.openxmlformats.org/officeDocument/2006/relationships/hyperlink" Target="http://www.linkedin.com/pub/marcelo-cursino/0/29A/749" TargetMode="External"/><Relationship Id="rId5151" Type="http://schemas.openxmlformats.org/officeDocument/2006/relationships/hyperlink" Target="http://www.linkedin.com/pub/guillermo-federico-majchrzak/9/28b/989" TargetMode="External"/><Relationship Id="rId6482" Type="http://schemas.openxmlformats.org/officeDocument/2006/relationships/hyperlink" Target="http://www.linkedin.com/in/andrewjohnford" TargetMode="External"/><Relationship Id="rId5156" Type="http://schemas.openxmlformats.org/officeDocument/2006/relationships/hyperlink" Target="http://www.linkedin.com/pub/roger-paul-rodriguez-salazar/5/a91/533" TargetMode="External"/><Relationship Id="rId6487" Type="http://schemas.openxmlformats.org/officeDocument/2006/relationships/hyperlink" Target="http://ar.linkedin.com/in/gastonlasorsa" TargetMode="External"/><Relationship Id="rId5157" Type="http://schemas.openxmlformats.org/officeDocument/2006/relationships/hyperlink" Target="http://ar.linkedin.com/pub/sofia-liendo/11/252/465" TargetMode="External"/><Relationship Id="rId6488" Type="http://schemas.openxmlformats.org/officeDocument/2006/relationships/hyperlink" Target="http://ar.linkedin.com/pub/gonzalo-vilanova/9/942/208" TargetMode="External"/><Relationship Id="rId5154" Type="http://schemas.openxmlformats.org/officeDocument/2006/relationships/hyperlink" Target="http://ar.linkedin.com/in/juanfa" TargetMode="External"/><Relationship Id="rId6485" Type="http://schemas.openxmlformats.org/officeDocument/2006/relationships/hyperlink" Target="http://www.linkedin.com/pub/lucas-morilla/27/338/6a5" TargetMode="External"/><Relationship Id="rId5155" Type="http://schemas.openxmlformats.org/officeDocument/2006/relationships/hyperlink" Target="http://ar.linkedin.com/in/aforgione" TargetMode="External"/><Relationship Id="rId6486" Type="http://schemas.openxmlformats.org/officeDocument/2006/relationships/hyperlink" Target="http://www.linkedin.com/pub/martin-locurcio/27/a65/b97" TargetMode="External"/><Relationship Id="rId5158" Type="http://schemas.openxmlformats.org/officeDocument/2006/relationships/hyperlink" Target="http://www.linkedin.com/in/marcosriganti" TargetMode="External"/><Relationship Id="rId6489" Type="http://schemas.openxmlformats.org/officeDocument/2006/relationships/hyperlink" Target="http://ar.linkedin.com/in/mdghersini" TargetMode="External"/><Relationship Id="rId5159" Type="http://schemas.openxmlformats.org/officeDocument/2006/relationships/hyperlink" Target="http://ar.linkedin.com/in/ignaciomanzano" TargetMode="External"/><Relationship Id="rId5141" Type="http://schemas.openxmlformats.org/officeDocument/2006/relationships/hyperlink" Target="http://ar.linkedin.com/pub/javier-ocampo/15/AB0/19A" TargetMode="External"/><Relationship Id="rId6472" Type="http://schemas.openxmlformats.org/officeDocument/2006/relationships/hyperlink" Target="http://www.linkedin.com/in/ornellaindonie" TargetMode="External"/><Relationship Id="rId5142" Type="http://schemas.openxmlformats.org/officeDocument/2006/relationships/hyperlink" Target="http://ar.linkedin.com/pub/marcos-moreno/2/8A1/81A" TargetMode="External"/><Relationship Id="rId6473" Type="http://schemas.openxmlformats.org/officeDocument/2006/relationships/hyperlink" Target="http://www.linkedin.com/pub/ernesto-galv%C3%A1n-contreras/9/843/905" TargetMode="External"/><Relationship Id="rId6470" Type="http://schemas.openxmlformats.org/officeDocument/2006/relationships/hyperlink" Target="http://www.linkedin.com/pub/ted-cohen/0/25/650" TargetMode="External"/><Relationship Id="rId5140" Type="http://schemas.openxmlformats.org/officeDocument/2006/relationships/hyperlink" Target="http://ar.linkedin.com/in/pablorodriguezfacal" TargetMode="External"/><Relationship Id="rId6471" Type="http://schemas.openxmlformats.org/officeDocument/2006/relationships/hyperlink" Target="http://www.linkedin.com/pub/pete-ganbarg/1/712/51A" TargetMode="External"/><Relationship Id="rId5145" Type="http://schemas.openxmlformats.org/officeDocument/2006/relationships/hyperlink" Target="http://www.linkedin.com/pub/david-elfi/4/353/221" TargetMode="External"/><Relationship Id="rId6476" Type="http://schemas.openxmlformats.org/officeDocument/2006/relationships/hyperlink" Target="http://www.linkedin.com/pub/william-w-johnson-itil-v3-mba/0/12b/22b" TargetMode="External"/><Relationship Id="rId5146" Type="http://schemas.openxmlformats.org/officeDocument/2006/relationships/hyperlink" Target="http://ar.linkedin.com/in/sergioschvezov" TargetMode="External"/><Relationship Id="rId6477" Type="http://schemas.openxmlformats.org/officeDocument/2006/relationships/hyperlink" Target="http://ar.linkedin.com/in/carlosbastiani" TargetMode="External"/><Relationship Id="rId5143" Type="http://schemas.openxmlformats.org/officeDocument/2006/relationships/hyperlink" Target="http://ar.linkedin.com/in/jfrancisconi" TargetMode="External"/><Relationship Id="rId6474" Type="http://schemas.openxmlformats.org/officeDocument/2006/relationships/hyperlink" Target="http://www.linkedin.com/in/stefanosassu" TargetMode="External"/><Relationship Id="rId5144" Type="http://schemas.openxmlformats.org/officeDocument/2006/relationships/hyperlink" Target="http://ar.linkedin.com/in/gguidolavalle" TargetMode="External"/><Relationship Id="rId6475" Type="http://schemas.openxmlformats.org/officeDocument/2006/relationships/hyperlink" Target="http://www.linkedin.com/in/ericsettton" TargetMode="External"/><Relationship Id="rId5149" Type="http://schemas.openxmlformats.org/officeDocument/2006/relationships/hyperlink" Target="https://www.linkedin.com/in/matiasjacob" TargetMode="External"/><Relationship Id="rId5147" Type="http://schemas.openxmlformats.org/officeDocument/2006/relationships/hyperlink" Target="http://ar.linkedin.com/pub/mat%C3%ADas-urrutia/18/14B/464" TargetMode="External"/><Relationship Id="rId6478" Type="http://schemas.openxmlformats.org/officeDocument/2006/relationships/hyperlink" Target="http://www.linkedin.com/pub/jack-beech/0/8A1/A0" TargetMode="External"/><Relationship Id="rId5148" Type="http://schemas.openxmlformats.org/officeDocument/2006/relationships/hyperlink" Target="http://ar.linkedin.com/in/christianechague" TargetMode="External"/><Relationship Id="rId6479" Type="http://schemas.openxmlformats.org/officeDocument/2006/relationships/hyperlink" Target="http://www.linkedin.com/in/chrisgunn" TargetMode="External"/><Relationship Id="rId6429" Type="http://schemas.openxmlformats.org/officeDocument/2006/relationships/hyperlink" Target="http://www.linkedin.com/pub/amy-d-wang/3/2BB/692" TargetMode="External"/><Relationship Id="rId6427" Type="http://schemas.openxmlformats.org/officeDocument/2006/relationships/hyperlink" Target="http://www.linkedin.com/pub/billy-kirsch/0/91B/B39" TargetMode="External"/><Relationship Id="rId7759" Type="http://schemas.openxmlformats.org/officeDocument/2006/relationships/hyperlink" Target="http://www.linkedin.com/in/heiditucker" TargetMode="External"/><Relationship Id="rId6428" Type="http://schemas.openxmlformats.org/officeDocument/2006/relationships/hyperlink" Target="http://ar.linkedin.com/pub/carlos-castro/23/B93/349" TargetMode="External"/><Relationship Id="rId7758" Type="http://schemas.openxmlformats.org/officeDocument/2006/relationships/hyperlink" Target="http://www.linkedin.com/in/paultran888" TargetMode="External"/><Relationship Id="rId6421" Type="http://schemas.openxmlformats.org/officeDocument/2006/relationships/hyperlink" Target="http://www.linkedin.com/pub/fran%C3%A7ois-bodson/1/86A/212" TargetMode="External"/><Relationship Id="rId7753" Type="http://schemas.openxmlformats.org/officeDocument/2006/relationships/hyperlink" Target="http://www.linkedin.com/in/cstack1recruit4symc" TargetMode="External"/><Relationship Id="rId6422" Type="http://schemas.openxmlformats.org/officeDocument/2006/relationships/hyperlink" Target="http://www.linkedin.com/in/andrescastagna" TargetMode="External"/><Relationship Id="rId7752" Type="http://schemas.openxmlformats.org/officeDocument/2006/relationships/hyperlink" Target="http://www.linkedin.com/pub/amit-kumar-goel/0/481/482" TargetMode="External"/><Relationship Id="rId7751" Type="http://schemas.openxmlformats.org/officeDocument/2006/relationships/hyperlink" Target="http://www.linkedin.com/in/sandyogorman" TargetMode="External"/><Relationship Id="rId6420" Type="http://schemas.openxmlformats.org/officeDocument/2006/relationships/hyperlink" Target="http://ar.linkedin.com/in/lucianovairoli" TargetMode="External"/><Relationship Id="rId7750" Type="http://schemas.openxmlformats.org/officeDocument/2006/relationships/hyperlink" Target="http://www.linkedin.com/in/valeriefrederickson" TargetMode="External"/><Relationship Id="rId6425" Type="http://schemas.openxmlformats.org/officeDocument/2006/relationships/hyperlink" Target="http://ar.linkedin.com/pub/luis-neyra/11/2B3/735" TargetMode="External"/><Relationship Id="rId7757" Type="http://schemas.openxmlformats.org/officeDocument/2006/relationships/hyperlink" Target="http://www.linkedin.com/in/tomcoshow" TargetMode="External"/><Relationship Id="rId6426" Type="http://schemas.openxmlformats.org/officeDocument/2006/relationships/hyperlink" Target="http://www.linkedin.com/pub/pablo-ainciart/2a/962/469" TargetMode="External"/><Relationship Id="rId7756" Type="http://schemas.openxmlformats.org/officeDocument/2006/relationships/hyperlink" Target="http://www.linkedin.com/in/darylheinz" TargetMode="External"/><Relationship Id="rId6423" Type="http://schemas.openxmlformats.org/officeDocument/2006/relationships/hyperlink" Target="http://ar.linkedin.com/in/pablogrande" TargetMode="External"/><Relationship Id="rId7755" Type="http://schemas.openxmlformats.org/officeDocument/2006/relationships/hyperlink" Target="http://www.linkedin.com/pub/steven-defrancesco/0/498/871" TargetMode="External"/><Relationship Id="rId6424" Type="http://schemas.openxmlformats.org/officeDocument/2006/relationships/hyperlink" Target="http://www.linkedin.com/pub/ruben-sessa/0/319/29a" TargetMode="External"/><Relationship Id="rId7754" Type="http://schemas.openxmlformats.org/officeDocument/2006/relationships/hyperlink" Target="http://www.linkedin.com/in/brianscurran" TargetMode="External"/><Relationship Id="rId6418" Type="http://schemas.openxmlformats.org/officeDocument/2006/relationships/hyperlink" Target="http://www.linkedin.com/in/rb8888" TargetMode="External"/><Relationship Id="rId6419" Type="http://schemas.openxmlformats.org/officeDocument/2006/relationships/hyperlink" Target="http://www.linkedin.com/pub/mark-hickey/1/80/745" TargetMode="External"/><Relationship Id="rId7749" Type="http://schemas.openxmlformats.org/officeDocument/2006/relationships/hyperlink" Target="http://www.linkedin.com/in/naveensundararajan" TargetMode="External"/><Relationship Id="rId6416" Type="http://schemas.openxmlformats.org/officeDocument/2006/relationships/hyperlink" Target="http://www.linkedin.com/in/edlarkintexas" TargetMode="External"/><Relationship Id="rId7748" Type="http://schemas.openxmlformats.org/officeDocument/2006/relationships/hyperlink" Target="http://www.linkedin.com/in/kenmaranian" TargetMode="External"/><Relationship Id="rId6417" Type="http://schemas.openxmlformats.org/officeDocument/2006/relationships/hyperlink" Target="http://www.linkedin.com/pub/greg-hammond/0/95B/809" TargetMode="External"/><Relationship Id="rId7747" Type="http://schemas.openxmlformats.org/officeDocument/2006/relationships/hyperlink" Target="http://www.linkedin.com/in/frankva" TargetMode="External"/><Relationship Id="rId6410" Type="http://schemas.openxmlformats.org/officeDocument/2006/relationships/hyperlink" Target="http://www.linkedin.com/in/martintobias" TargetMode="External"/><Relationship Id="rId7742" Type="http://schemas.openxmlformats.org/officeDocument/2006/relationships/hyperlink" Target="http://www.linkedin.com/in/jimalcina" TargetMode="External"/><Relationship Id="rId6411" Type="http://schemas.openxmlformats.org/officeDocument/2006/relationships/hyperlink" Target="http://www.linkedin.com/pub/carina-kuhl/3/25B/298" TargetMode="External"/><Relationship Id="rId7741" Type="http://schemas.openxmlformats.org/officeDocument/2006/relationships/hyperlink" Target="http://www.linkedin.com/in/rowell" TargetMode="External"/><Relationship Id="rId7740" Type="http://schemas.openxmlformats.org/officeDocument/2006/relationships/hyperlink" Target="http://www.linkedin.com/in/cagranda" TargetMode="External"/><Relationship Id="rId6414" Type="http://schemas.openxmlformats.org/officeDocument/2006/relationships/hyperlink" Target="http://ar.linkedin.com/in/josefigueredo" TargetMode="External"/><Relationship Id="rId7746" Type="http://schemas.openxmlformats.org/officeDocument/2006/relationships/hyperlink" Target="http://www.linkedin.com/in/designcarter" TargetMode="External"/><Relationship Id="rId6415" Type="http://schemas.openxmlformats.org/officeDocument/2006/relationships/hyperlink" Target="http://www.linkedin.com/pub/gabriel-vinante/b/4a3/34a" TargetMode="External"/><Relationship Id="rId7745" Type="http://schemas.openxmlformats.org/officeDocument/2006/relationships/hyperlink" Target="http://www.linkedin.com/in/rickschneider1414" TargetMode="External"/><Relationship Id="rId6412" Type="http://schemas.openxmlformats.org/officeDocument/2006/relationships/hyperlink" Target="http://uk.linkedin.com/pub/stephen-navin/3/759/3A3" TargetMode="External"/><Relationship Id="rId7744" Type="http://schemas.openxmlformats.org/officeDocument/2006/relationships/hyperlink" Target="http://ar.linkedin.com/in/leoapiwan" TargetMode="External"/><Relationship Id="rId6413" Type="http://schemas.openxmlformats.org/officeDocument/2006/relationships/hyperlink" Target="http://www.linkedin.com/pub/stephen-hill/0/1/771" TargetMode="External"/><Relationship Id="rId7743" Type="http://schemas.openxmlformats.org/officeDocument/2006/relationships/hyperlink" Target="http://ar.linkedin.com/in/leandror" TargetMode="External"/><Relationship Id="rId5118" Type="http://schemas.openxmlformats.org/officeDocument/2006/relationships/hyperlink" Target="http://ar.linkedin.com/in/ehojenberg" TargetMode="External"/><Relationship Id="rId6449" Type="http://schemas.openxmlformats.org/officeDocument/2006/relationships/hyperlink" Target="http://www.linkedin.com/pub/fernando-milovich/6/599/95" TargetMode="External"/><Relationship Id="rId5119" Type="http://schemas.openxmlformats.org/officeDocument/2006/relationships/hyperlink" Target="http://www.linkedin.com/pub/ryan-hernandez/1/497/2B7" TargetMode="External"/><Relationship Id="rId7771" Type="http://schemas.openxmlformats.org/officeDocument/2006/relationships/hyperlink" Target="http://www.linkedin.com/in/howell" TargetMode="External"/><Relationship Id="rId6440" Type="http://schemas.openxmlformats.org/officeDocument/2006/relationships/hyperlink" Target="http://ar.linkedin.com/in/maximilianovazquez" TargetMode="External"/><Relationship Id="rId7770" Type="http://schemas.openxmlformats.org/officeDocument/2006/relationships/hyperlink" Target="http://www.linkedin.com/in/xensei" TargetMode="External"/><Relationship Id="rId5112" Type="http://schemas.openxmlformats.org/officeDocument/2006/relationships/hyperlink" Target="http://ar.linkedin.com/in/marianogfernandez" TargetMode="External"/><Relationship Id="rId6443" Type="http://schemas.openxmlformats.org/officeDocument/2006/relationships/hyperlink" Target="http://ar.linkedin.com/in/psrodriguez" TargetMode="External"/><Relationship Id="rId7775" Type="http://schemas.openxmlformats.org/officeDocument/2006/relationships/hyperlink" Target="http://ar.linkedin.com/in/varta" TargetMode="External"/><Relationship Id="rId5113" Type="http://schemas.openxmlformats.org/officeDocument/2006/relationships/hyperlink" Target="http://ar.linkedin.com/pub/miguel-armando-nu%C3%B1ez-pmp/7/1B3/18" TargetMode="External"/><Relationship Id="rId6444" Type="http://schemas.openxmlformats.org/officeDocument/2006/relationships/hyperlink" Target="http://ar.linkedin.com/pub/pablo-braconi/B/B87/805" TargetMode="External"/><Relationship Id="rId7774" Type="http://schemas.openxmlformats.org/officeDocument/2006/relationships/hyperlink" Target="http://ar.linkedin.com/pub/matias-ezequiel-garcia/22/892/93A" TargetMode="External"/><Relationship Id="rId5110" Type="http://schemas.openxmlformats.org/officeDocument/2006/relationships/hyperlink" Target="http://ar.linkedin.com/in/sebastiancarnota" TargetMode="External"/><Relationship Id="rId6441" Type="http://schemas.openxmlformats.org/officeDocument/2006/relationships/hyperlink" Target="http://ar.linkedin.com/pub/gustavo-de-francesco/17/6A9/929" TargetMode="External"/><Relationship Id="rId7773" Type="http://schemas.openxmlformats.org/officeDocument/2006/relationships/hyperlink" Target="http://www.linkedin.com/in/pablozuccarino" TargetMode="External"/><Relationship Id="rId5111" Type="http://schemas.openxmlformats.org/officeDocument/2006/relationships/hyperlink" Target="http://www.linkedin.com/pub/gonzalo-estevez-balestra/4/533/5b2" TargetMode="External"/><Relationship Id="rId6442" Type="http://schemas.openxmlformats.org/officeDocument/2006/relationships/hyperlink" Target="http://ar.linkedin.com/in/floressebastian" TargetMode="External"/><Relationship Id="rId7772" Type="http://schemas.openxmlformats.org/officeDocument/2006/relationships/hyperlink" Target="http://www.linkedin.com/in/smoschini" TargetMode="External"/><Relationship Id="rId5116" Type="http://schemas.openxmlformats.org/officeDocument/2006/relationships/hyperlink" Target="http://ar.linkedin.com/pub/diego-fusaro/3/A9B/795" TargetMode="External"/><Relationship Id="rId6447" Type="http://schemas.openxmlformats.org/officeDocument/2006/relationships/hyperlink" Target="http://www.linkedin.com/in/braddweidenbenner" TargetMode="External"/><Relationship Id="rId7779" Type="http://schemas.openxmlformats.org/officeDocument/2006/relationships/hyperlink" Target="http://www.linkedin.com/in/lionelcarrasco" TargetMode="External"/><Relationship Id="rId5117" Type="http://schemas.openxmlformats.org/officeDocument/2006/relationships/hyperlink" Target="http://ar.linkedin.com/pub/laura-marino/7/304/426" TargetMode="External"/><Relationship Id="rId6448" Type="http://schemas.openxmlformats.org/officeDocument/2006/relationships/hyperlink" Target="http://ar.linkedin.com/pub/jorge-luis-bocco/20/379/365" TargetMode="External"/><Relationship Id="rId7778" Type="http://schemas.openxmlformats.org/officeDocument/2006/relationships/hyperlink" Target="http://in.linkedin.com/in/rathidasgupta" TargetMode="External"/><Relationship Id="rId5114" Type="http://schemas.openxmlformats.org/officeDocument/2006/relationships/hyperlink" Target="http://www.linkedin.com/pub/gustavo-r-mendez/18/71b/a92" TargetMode="External"/><Relationship Id="rId6445" Type="http://schemas.openxmlformats.org/officeDocument/2006/relationships/hyperlink" Target="http://www.linkedin.com/in/nunezh" TargetMode="External"/><Relationship Id="rId7777" Type="http://schemas.openxmlformats.org/officeDocument/2006/relationships/hyperlink" Target="http://www.linkedin.com/in/helaniescott" TargetMode="External"/><Relationship Id="rId5115" Type="http://schemas.openxmlformats.org/officeDocument/2006/relationships/hyperlink" Target="http://ar.linkedin.com/in/marianomangiafico" TargetMode="External"/><Relationship Id="rId6446" Type="http://schemas.openxmlformats.org/officeDocument/2006/relationships/hyperlink" Target="http://ar.linkedin.com/pub/rodrigo-donoso/0/A19/B80" TargetMode="External"/><Relationship Id="rId7776" Type="http://schemas.openxmlformats.org/officeDocument/2006/relationships/hyperlink" Target="http://www.linkedin.com/in/bbhatti" TargetMode="External"/><Relationship Id="rId5109" Type="http://schemas.openxmlformats.org/officeDocument/2006/relationships/hyperlink" Target="http://ar.linkedin.com/pub/eduardo-zen/14/271/8B0" TargetMode="External"/><Relationship Id="rId5107" Type="http://schemas.openxmlformats.org/officeDocument/2006/relationships/hyperlink" Target="http://ar.linkedin.com/pub/bettina-gabai/0/B5B/8B8" TargetMode="External"/><Relationship Id="rId6438" Type="http://schemas.openxmlformats.org/officeDocument/2006/relationships/hyperlink" Target="http://www.linkedin.com/in/jpontello" TargetMode="External"/><Relationship Id="rId5108" Type="http://schemas.openxmlformats.org/officeDocument/2006/relationships/hyperlink" Target="http://ar.linkedin.com/pub/mart-n-guridi/9/94A/490" TargetMode="External"/><Relationship Id="rId6439" Type="http://schemas.openxmlformats.org/officeDocument/2006/relationships/hyperlink" Target="http://www.linkedin.com/in/plupals" TargetMode="External"/><Relationship Id="rId7769" Type="http://schemas.openxmlformats.org/officeDocument/2006/relationships/hyperlink" Target="http://www.linkedin.com/in/matiasdetezanos" TargetMode="External"/><Relationship Id="rId7760" Type="http://schemas.openxmlformats.org/officeDocument/2006/relationships/hyperlink" Target="http://www.linkedin.com/in/beatrizinfante" TargetMode="External"/><Relationship Id="rId5101" Type="http://schemas.openxmlformats.org/officeDocument/2006/relationships/hyperlink" Target="http://ar.linkedin.com/in/danielmariovega" TargetMode="External"/><Relationship Id="rId6432" Type="http://schemas.openxmlformats.org/officeDocument/2006/relationships/hyperlink" Target="http://ar.linkedin.com/pub/elina-perez/23/744/B68" TargetMode="External"/><Relationship Id="rId7764" Type="http://schemas.openxmlformats.org/officeDocument/2006/relationships/hyperlink" Target="http://www.linkedin.com/in/michaelwilliams0997" TargetMode="External"/><Relationship Id="rId5102" Type="http://schemas.openxmlformats.org/officeDocument/2006/relationships/hyperlink" Target="http://ar.linkedin.com/in/sebastiancantero" TargetMode="External"/><Relationship Id="rId6433" Type="http://schemas.openxmlformats.org/officeDocument/2006/relationships/hyperlink" Target="http://www.linkedin.com/pub/rodrigo-ezequiel-abadie/1a/4aa/542" TargetMode="External"/><Relationship Id="rId7763" Type="http://schemas.openxmlformats.org/officeDocument/2006/relationships/hyperlink" Target="http://www.linkedin.com/in/salemkhan" TargetMode="External"/><Relationship Id="rId6430" Type="http://schemas.openxmlformats.org/officeDocument/2006/relationships/hyperlink" Target="http://www.linkedin.com/pub/gustavo-curetti/4/a51/789" TargetMode="External"/><Relationship Id="rId7762" Type="http://schemas.openxmlformats.org/officeDocument/2006/relationships/hyperlink" Target="http://www.linkedin.com/in/kenberger" TargetMode="External"/><Relationship Id="rId5100" Type="http://schemas.openxmlformats.org/officeDocument/2006/relationships/hyperlink" Target="http://ar.linkedin.com/in/ptelmo" TargetMode="External"/><Relationship Id="rId6431" Type="http://schemas.openxmlformats.org/officeDocument/2006/relationships/hyperlink" Target="http://www.linkedin.com/pub/anibal-eloy-parallela/10/345/0" TargetMode="External"/><Relationship Id="rId7761" Type="http://schemas.openxmlformats.org/officeDocument/2006/relationships/hyperlink" Target="http://www.linkedin.com/pub/matthew-haley/0/473/105" TargetMode="External"/><Relationship Id="rId5105" Type="http://schemas.openxmlformats.org/officeDocument/2006/relationships/hyperlink" Target="http://www.linkedin.com/pub/gimena-uhrich/20/abb/a44" TargetMode="External"/><Relationship Id="rId6436" Type="http://schemas.openxmlformats.org/officeDocument/2006/relationships/hyperlink" Target="http://ar.linkedin.com/in/asciutto" TargetMode="External"/><Relationship Id="rId7768" Type="http://schemas.openxmlformats.org/officeDocument/2006/relationships/hyperlink" Target="http://www.linkedin.com/in/sajays" TargetMode="External"/><Relationship Id="rId5106" Type="http://schemas.openxmlformats.org/officeDocument/2006/relationships/hyperlink" Target="http://ar.linkedin.com/in/giorgiorondinelli" TargetMode="External"/><Relationship Id="rId6437" Type="http://schemas.openxmlformats.org/officeDocument/2006/relationships/hyperlink" Target="http://ar.linkedin.com/in/jdemauri" TargetMode="External"/><Relationship Id="rId7767" Type="http://schemas.openxmlformats.org/officeDocument/2006/relationships/hyperlink" Target="http://www.linkedin.com/in/dsinha" TargetMode="External"/><Relationship Id="rId5103" Type="http://schemas.openxmlformats.org/officeDocument/2006/relationships/hyperlink" Target="http://ar.linkedin.com/pub/yanina-capettini/8/82B/91A" TargetMode="External"/><Relationship Id="rId6434" Type="http://schemas.openxmlformats.org/officeDocument/2006/relationships/hyperlink" Target="http://ar.linkedin.com/pub/ariel-tarsitano/27/6B0/14A" TargetMode="External"/><Relationship Id="rId7766" Type="http://schemas.openxmlformats.org/officeDocument/2006/relationships/hyperlink" Target="http://www.linkedin.com/in/sramji/" TargetMode="External"/><Relationship Id="rId5104" Type="http://schemas.openxmlformats.org/officeDocument/2006/relationships/hyperlink" Target="http://www.linkedin.com/pub/maria-florencia-berti/b/61/296" TargetMode="External"/><Relationship Id="rId6435" Type="http://schemas.openxmlformats.org/officeDocument/2006/relationships/hyperlink" Target="http://www.linkedin.com/pub/carrie-jones/7/781/76B" TargetMode="External"/><Relationship Id="rId7765" Type="http://schemas.openxmlformats.org/officeDocument/2006/relationships/hyperlink" Target="http://www.linkedin.com/pub/chet-kapoor/4/891/58B" TargetMode="External"/><Relationship Id="rId2940" Type="http://schemas.openxmlformats.org/officeDocument/2006/relationships/hyperlink" Target="http://www.linkedin.com/in/alecdickinson" TargetMode="External"/><Relationship Id="rId1610" Type="http://schemas.openxmlformats.org/officeDocument/2006/relationships/hyperlink" Target="http://www.linkedin.com/pub/steen-e-rahbek/0/130/447" TargetMode="External"/><Relationship Id="rId2941" Type="http://schemas.openxmlformats.org/officeDocument/2006/relationships/hyperlink" Target="http://ar.linkedin.com/pub/guillermo-labatte/2/643/31" TargetMode="External"/><Relationship Id="rId1611" Type="http://schemas.openxmlformats.org/officeDocument/2006/relationships/hyperlink" Target="http://in.linkedin.com/in/devramnane" TargetMode="External"/><Relationship Id="rId2942" Type="http://schemas.openxmlformats.org/officeDocument/2006/relationships/hyperlink" Target="http://ar.linkedin.com/in/hzungri" TargetMode="External"/><Relationship Id="rId1612" Type="http://schemas.openxmlformats.org/officeDocument/2006/relationships/hyperlink" Target="http://www.linkedin.com/pub/michael-a-bonventre/0/705/B5" TargetMode="External"/><Relationship Id="rId2943" Type="http://schemas.openxmlformats.org/officeDocument/2006/relationships/hyperlink" Target="http://ar.linkedin.com/pub/diego-de-marco/4/39/991" TargetMode="External"/><Relationship Id="rId1613" Type="http://schemas.openxmlformats.org/officeDocument/2006/relationships/hyperlink" Target="http://www.linkedin.com/in/samandias" TargetMode="External"/><Relationship Id="rId2944" Type="http://schemas.openxmlformats.org/officeDocument/2006/relationships/hyperlink" Target="http://ar.linkedin.com/pub/adrian-catoraz/4/876/693" TargetMode="External"/><Relationship Id="rId1614" Type="http://schemas.openxmlformats.org/officeDocument/2006/relationships/hyperlink" Target="http://www.linkedin.com/in/mnathan" TargetMode="External"/><Relationship Id="rId2945" Type="http://schemas.openxmlformats.org/officeDocument/2006/relationships/hyperlink" Target="http://ar.linkedin.com/pub/hugo-diorio/1/851/349" TargetMode="External"/><Relationship Id="rId1615" Type="http://schemas.openxmlformats.org/officeDocument/2006/relationships/hyperlink" Target="http://www.linkedin.com/in/kalpeshcollabera" TargetMode="External"/><Relationship Id="rId2946" Type="http://schemas.openxmlformats.org/officeDocument/2006/relationships/hyperlink" Target="http://ar.linkedin.com/in/fabioalexismanso" TargetMode="External"/><Relationship Id="rId1616" Type="http://schemas.openxmlformats.org/officeDocument/2006/relationships/hyperlink" Target="http://www.linkedin.com/in/erikseifert" TargetMode="External"/><Relationship Id="rId2947" Type="http://schemas.openxmlformats.org/officeDocument/2006/relationships/hyperlink" Target="http://ar.linkedin.com/pub/gustavo-juarez/8/904/325" TargetMode="External"/><Relationship Id="rId907" Type="http://schemas.openxmlformats.org/officeDocument/2006/relationships/hyperlink" Target="http://in.linkedin.com/in/kanchanjain" TargetMode="External"/><Relationship Id="rId1617" Type="http://schemas.openxmlformats.org/officeDocument/2006/relationships/hyperlink" Target="http://www.linkedin.com/in/donbrumfield" TargetMode="External"/><Relationship Id="rId2948" Type="http://schemas.openxmlformats.org/officeDocument/2006/relationships/hyperlink" Target="http://ar.linkedin.com/pub/leonardo-duran/5/27B/6B" TargetMode="External"/><Relationship Id="rId906" Type="http://schemas.openxmlformats.org/officeDocument/2006/relationships/hyperlink" Target="http://www.linkedin.com/in/marcelinodesantiago" TargetMode="External"/><Relationship Id="rId1618" Type="http://schemas.openxmlformats.org/officeDocument/2006/relationships/hyperlink" Target="http://www.linkedin.com/pub/sanjay-nimar/1/19/bab" TargetMode="External"/><Relationship Id="rId2949" Type="http://schemas.openxmlformats.org/officeDocument/2006/relationships/hyperlink" Target="http://ar.linkedin.com/pub/florencia-ortiz/18/570/83B" TargetMode="External"/><Relationship Id="rId905" Type="http://schemas.openxmlformats.org/officeDocument/2006/relationships/hyperlink" Target="http://www.linkedin.com/pub/damon-albano/1/770/26B" TargetMode="External"/><Relationship Id="rId1619" Type="http://schemas.openxmlformats.org/officeDocument/2006/relationships/hyperlink" Target="http://in.linkedin.com/pub/brig-arun-sharma/7/B09/152" TargetMode="External"/><Relationship Id="rId904" Type="http://schemas.openxmlformats.org/officeDocument/2006/relationships/hyperlink" Target="http://www.linkedin.com/pub/charlotte-sequeira/17/704/8A1" TargetMode="External"/><Relationship Id="rId909" Type="http://schemas.openxmlformats.org/officeDocument/2006/relationships/hyperlink" Target="http://www.linkedin.com/pub/murray-dennis/0/24/5B4" TargetMode="External"/><Relationship Id="rId908" Type="http://schemas.openxmlformats.org/officeDocument/2006/relationships/hyperlink" Target="http://uk.linkedin.com/pub/stephen-butcher/1/34B/758" TargetMode="External"/><Relationship Id="rId903" Type="http://schemas.openxmlformats.org/officeDocument/2006/relationships/hyperlink" Target="http://www.linkedin.com/in/fredmoonvesliontoplink1328353" TargetMode="External"/><Relationship Id="rId902" Type="http://schemas.openxmlformats.org/officeDocument/2006/relationships/hyperlink" Target="http://www.linkedin.com/in/skp001" TargetMode="External"/><Relationship Id="rId901" Type="http://schemas.openxmlformats.org/officeDocument/2006/relationships/hyperlink" Target="http://www.linkedin.com/in/brissa" TargetMode="External"/><Relationship Id="rId900" Type="http://schemas.openxmlformats.org/officeDocument/2006/relationships/hyperlink" Target="http://www.linkedin.com/pub/gary-dickinson/1/B53/289" TargetMode="External"/><Relationship Id="rId2930" Type="http://schemas.openxmlformats.org/officeDocument/2006/relationships/hyperlink" Target="http://ar.linkedin.com/in/mariaanunez" TargetMode="External"/><Relationship Id="rId1600" Type="http://schemas.openxmlformats.org/officeDocument/2006/relationships/hyperlink" Target="http://www.linkedin.com/in/lesdossey1" TargetMode="External"/><Relationship Id="rId2931" Type="http://schemas.openxmlformats.org/officeDocument/2006/relationships/hyperlink" Target="http://www.linkedin.com/pub/srikanth-pasham/5/552/824" TargetMode="External"/><Relationship Id="rId1601" Type="http://schemas.openxmlformats.org/officeDocument/2006/relationships/hyperlink" Target="http://www.linkedin.com/in/tanyahampton" TargetMode="External"/><Relationship Id="rId2932" Type="http://schemas.openxmlformats.org/officeDocument/2006/relationships/hyperlink" Target="http://www.linkedin.com/pub/andres-schmisser/b/3a/784" TargetMode="External"/><Relationship Id="rId1602" Type="http://schemas.openxmlformats.org/officeDocument/2006/relationships/hyperlink" Target="http://www.linkedin.com/in/danashaw" TargetMode="External"/><Relationship Id="rId2933" Type="http://schemas.openxmlformats.org/officeDocument/2006/relationships/hyperlink" Target="http://ar.linkedin.com/pub/aldo-gianelli/0/608/24B" TargetMode="External"/><Relationship Id="rId1603" Type="http://schemas.openxmlformats.org/officeDocument/2006/relationships/hyperlink" Target="https://www.linkedin.com/in/lonnybardash" TargetMode="External"/><Relationship Id="rId2934" Type="http://schemas.openxmlformats.org/officeDocument/2006/relationships/hyperlink" Target="http://ar.linkedin.com/in/juansanzone" TargetMode="External"/><Relationship Id="rId1604" Type="http://schemas.openxmlformats.org/officeDocument/2006/relationships/hyperlink" Target="http://www.linkedin.com/pub/mike-aquilina/0/113/697" TargetMode="External"/><Relationship Id="rId2935" Type="http://schemas.openxmlformats.org/officeDocument/2006/relationships/hyperlink" Target="http://ar.linkedin.com/in/gustavobrusco" TargetMode="External"/><Relationship Id="rId1605" Type="http://schemas.openxmlformats.org/officeDocument/2006/relationships/hyperlink" Target="http://www.linkedin.com/in/coachharry" TargetMode="External"/><Relationship Id="rId2936" Type="http://schemas.openxmlformats.org/officeDocument/2006/relationships/hyperlink" Target="http://ar.linkedin.com/pub/roberto-arancio/12/933/474" TargetMode="External"/><Relationship Id="rId1606" Type="http://schemas.openxmlformats.org/officeDocument/2006/relationships/hyperlink" Target="http://www.linkedin.com/in/asacox" TargetMode="External"/><Relationship Id="rId2937" Type="http://schemas.openxmlformats.org/officeDocument/2006/relationships/hyperlink" Target="http://www.linkedin.com/pub/shi-juan-chao/6/840/522" TargetMode="External"/><Relationship Id="rId1607" Type="http://schemas.openxmlformats.org/officeDocument/2006/relationships/hyperlink" Target="http://www.linkedin.com/in/andrewive" TargetMode="External"/><Relationship Id="rId2938" Type="http://schemas.openxmlformats.org/officeDocument/2006/relationships/hyperlink" Target="http://ar.linkedin.com/pub/leonardo-flores/3/214/222" TargetMode="External"/><Relationship Id="rId1608" Type="http://schemas.openxmlformats.org/officeDocument/2006/relationships/hyperlink" Target="http://www.linkedin.com/in/stevetownes" TargetMode="External"/><Relationship Id="rId2939" Type="http://schemas.openxmlformats.org/officeDocument/2006/relationships/hyperlink" Target="http://ar.linkedin.com/pub/pablo-sojo/5/65A/B11" TargetMode="External"/><Relationship Id="rId1609" Type="http://schemas.openxmlformats.org/officeDocument/2006/relationships/hyperlink" Target="http://uk.linkedin.com/in/davoring" TargetMode="External"/><Relationship Id="rId1631" Type="http://schemas.openxmlformats.org/officeDocument/2006/relationships/hyperlink" Target="http://www.linkedin.com/pub/steven/27/33/605" TargetMode="External"/><Relationship Id="rId2962" Type="http://schemas.openxmlformats.org/officeDocument/2006/relationships/hyperlink" Target="http://www.linkedin.com/pub/luis-carlos-berruezo/9/8a0/686" TargetMode="External"/><Relationship Id="rId1632" Type="http://schemas.openxmlformats.org/officeDocument/2006/relationships/hyperlink" Target="http://www.linkedin.com/pub/kevin-hunter/0/95A/B8" TargetMode="External"/><Relationship Id="rId2963" Type="http://schemas.openxmlformats.org/officeDocument/2006/relationships/hyperlink" Target="http://ar.linkedin.com/pub/soledad-raimondo/3/1A8/A77" TargetMode="External"/><Relationship Id="rId1633" Type="http://schemas.openxmlformats.org/officeDocument/2006/relationships/hyperlink" Target="http://www.linkedin.com/pub/zak-krusemark/25/1B4/892" TargetMode="External"/><Relationship Id="rId2964" Type="http://schemas.openxmlformats.org/officeDocument/2006/relationships/hyperlink" Target="http://ar.linkedin.com/in/mcapuzzi" TargetMode="External"/><Relationship Id="rId1634" Type="http://schemas.openxmlformats.org/officeDocument/2006/relationships/hyperlink" Target="http://www.linkedin.com/pub/roger-fragua/28/62/4B8" TargetMode="External"/><Relationship Id="rId2965" Type="http://schemas.openxmlformats.org/officeDocument/2006/relationships/hyperlink" Target="http://ar.linkedin.com/pub/gustavo-pintelos/0/65A/22A" TargetMode="External"/><Relationship Id="rId1635" Type="http://schemas.openxmlformats.org/officeDocument/2006/relationships/hyperlink" Target="http://se.linkedin.com/in/bartondenny" TargetMode="External"/><Relationship Id="rId2966" Type="http://schemas.openxmlformats.org/officeDocument/2006/relationships/hyperlink" Target="http://ar.linkedin.com/pub/tatiana-ehrman/A/64B/B1" TargetMode="External"/><Relationship Id="rId1636" Type="http://schemas.openxmlformats.org/officeDocument/2006/relationships/hyperlink" Target="http://www.linkedin.com/in/narauz" TargetMode="External"/><Relationship Id="rId2967" Type="http://schemas.openxmlformats.org/officeDocument/2006/relationships/hyperlink" Target="http://ar.linkedin.com/pub/mariano-lezcano/30/832/869" TargetMode="External"/><Relationship Id="rId1637" Type="http://schemas.openxmlformats.org/officeDocument/2006/relationships/hyperlink" Target="http://www.linkedin.com/in/aydas" TargetMode="External"/><Relationship Id="rId2968" Type="http://schemas.openxmlformats.org/officeDocument/2006/relationships/hyperlink" Target="http://ar.linkedin.com/pub/roberto-bernstein/15/559/214" TargetMode="External"/><Relationship Id="rId1638" Type="http://schemas.openxmlformats.org/officeDocument/2006/relationships/hyperlink" Target="http://www.linkedin.com/pub/tony-lopez/3/740/7B2" TargetMode="External"/><Relationship Id="rId2969" Type="http://schemas.openxmlformats.org/officeDocument/2006/relationships/hyperlink" Target="http://ar.linkedin.com/in/zanardi" TargetMode="External"/><Relationship Id="rId929" Type="http://schemas.openxmlformats.org/officeDocument/2006/relationships/hyperlink" Target="http://pk.linkedin.com/in/naazishlutfi" TargetMode="External"/><Relationship Id="rId1639" Type="http://schemas.openxmlformats.org/officeDocument/2006/relationships/hyperlink" Target="http://www.linkedin.com/pub/wendy-kokkonis/0/b47/15" TargetMode="External"/><Relationship Id="rId928" Type="http://schemas.openxmlformats.org/officeDocument/2006/relationships/hyperlink" Target="http://www.linkedin.com/in/roddyrodstein" TargetMode="External"/><Relationship Id="rId927" Type="http://schemas.openxmlformats.org/officeDocument/2006/relationships/hyperlink" Target="http://www.linkedin.com/in/brazinha" TargetMode="External"/><Relationship Id="rId926" Type="http://schemas.openxmlformats.org/officeDocument/2006/relationships/hyperlink" Target="http://www.linkedin.com/in/jiteshmadhwani" TargetMode="External"/><Relationship Id="rId921" Type="http://schemas.openxmlformats.org/officeDocument/2006/relationships/hyperlink" Target="http://www.linkedin.com/in/davidrottmayer" TargetMode="External"/><Relationship Id="rId920" Type="http://schemas.openxmlformats.org/officeDocument/2006/relationships/hyperlink" Target="http://www.linkedin.com/pub/dennis-rojas/3/643/14A" TargetMode="External"/><Relationship Id="rId925" Type="http://schemas.openxmlformats.org/officeDocument/2006/relationships/hyperlink" Target="http://www.linkedin.com/in/bretwinholtz" TargetMode="External"/><Relationship Id="rId924" Type="http://schemas.openxmlformats.org/officeDocument/2006/relationships/hyperlink" Target="http://www.linkedin.com/pub/ron-r-browning/0/2B6/208" TargetMode="External"/><Relationship Id="rId923" Type="http://schemas.openxmlformats.org/officeDocument/2006/relationships/hyperlink" Target="http://uk.linkedin.com/pub/manish-gupta/0/82/944" TargetMode="External"/><Relationship Id="rId922" Type="http://schemas.openxmlformats.org/officeDocument/2006/relationships/hyperlink" Target="http://br.linkedin.com/pub/anderson-silva/29/A60/183" TargetMode="External"/><Relationship Id="rId2960" Type="http://schemas.openxmlformats.org/officeDocument/2006/relationships/hyperlink" Target="http://ar.linkedin.com/pub/luisa-cerar/0/13B/39" TargetMode="External"/><Relationship Id="rId1630" Type="http://schemas.openxmlformats.org/officeDocument/2006/relationships/hyperlink" Target="http://www.linkedin.com/in/massimilianosquillace" TargetMode="External"/><Relationship Id="rId2961" Type="http://schemas.openxmlformats.org/officeDocument/2006/relationships/hyperlink" Target="http://ar.linkedin.com/pub/natalia-kanefsck/10/360/934" TargetMode="External"/><Relationship Id="rId1620" Type="http://schemas.openxmlformats.org/officeDocument/2006/relationships/hyperlink" Target="http://www.linkedin.com/pub/sivaprashanth-danturthy/8/208/118" TargetMode="External"/><Relationship Id="rId2951" Type="http://schemas.openxmlformats.org/officeDocument/2006/relationships/hyperlink" Target="http://ar.linkedin.com/in/juanmanuelbandeira" TargetMode="External"/><Relationship Id="rId1621" Type="http://schemas.openxmlformats.org/officeDocument/2006/relationships/hyperlink" Target="http://www.linkedin.com/in/larendee" TargetMode="External"/><Relationship Id="rId2952" Type="http://schemas.openxmlformats.org/officeDocument/2006/relationships/hyperlink" Target="http://ar.linkedin.com/pub/ariel-lomonaco/4/66B/ABA" TargetMode="External"/><Relationship Id="rId1622" Type="http://schemas.openxmlformats.org/officeDocument/2006/relationships/hyperlink" Target="http://www.linkedin.com/in/swiszcz" TargetMode="External"/><Relationship Id="rId2953" Type="http://schemas.openxmlformats.org/officeDocument/2006/relationships/hyperlink" Target="http://www.linkedin.com/pub/doug-snitker/B/71B/156" TargetMode="External"/><Relationship Id="rId1623" Type="http://schemas.openxmlformats.org/officeDocument/2006/relationships/hyperlink" Target="http://www.linkedin.com/pub/bob-worsley/24/AB5/8B1" TargetMode="External"/><Relationship Id="rId2954" Type="http://schemas.openxmlformats.org/officeDocument/2006/relationships/hyperlink" Target="http://www.linkedin.com/in/imedina" TargetMode="External"/><Relationship Id="rId1624" Type="http://schemas.openxmlformats.org/officeDocument/2006/relationships/hyperlink" Target="http://www.linkedin.com/in/lindasimms" TargetMode="External"/><Relationship Id="rId2955" Type="http://schemas.openxmlformats.org/officeDocument/2006/relationships/hyperlink" Target="http://www.linkedin.com/pub/silvia-carradore/6/aa3/1a4" TargetMode="External"/><Relationship Id="rId1625" Type="http://schemas.openxmlformats.org/officeDocument/2006/relationships/hyperlink" Target="http://www.linkedin.com/in/bobalberson" TargetMode="External"/><Relationship Id="rId2956" Type="http://schemas.openxmlformats.org/officeDocument/2006/relationships/hyperlink" Target="http://ar.linkedin.com/pub/nicol%C3%A1s-alejandro-padin-paez/10/192/770" TargetMode="External"/><Relationship Id="rId1626" Type="http://schemas.openxmlformats.org/officeDocument/2006/relationships/hyperlink" Target="http://www.linkedin.com/in/vonchurch" TargetMode="External"/><Relationship Id="rId2957" Type="http://schemas.openxmlformats.org/officeDocument/2006/relationships/hyperlink" Target="http://www.linkedin.com/pub/diego-salle-mato/11/209/796" TargetMode="External"/><Relationship Id="rId1627" Type="http://schemas.openxmlformats.org/officeDocument/2006/relationships/hyperlink" Target="http://uk.linkedin.com/pub/ian-evans/0/324/B00" TargetMode="External"/><Relationship Id="rId2958" Type="http://schemas.openxmlformats.org/officeDocument/2006/relationships/hyperlink" Target="http://ar.linkedin.com/in/spartnoy" TargetMode="External"/><Relationship Id="rId918" Type="http://schemas.openxmlformats.org/officeDocument/2006/relationships/hyperlink" Target="http://www.linkedin.com/pub/eran-gefen/0/43/28B" TargetMode="External"/><Relationship Id="rId1628" Type="http://schemas.openxmlformats.org/officeDocument/2006/relationships/hyperlink" Target="http://www.linkedin.com/pub/lorella-pedinotti/0/803/933?trk=pub-pbmap" TargetMode="External"/><Relationship Id="rId2959" Type="http://schemas.openxmlformats.org/officeDocument/2006/relationships/hyperlink" Target="http://ar.linkedin.com/in/jharan" TargetMode="External"/><Relationship Id="rId917" Type="http://schemas.openxmlformats.org/officeDocument/2006/relationships/hyperlink" Target="http://www.linkedin.com/in/douglasharr" TargetMode="External"/><Relationship Id="rId1629" Type="http://schemas.openxmlformats.org/officeDocument/2006/relationships/hyperlink" Target="http://www.linkedin.com/in/johnraffetto" TargetMode="External"/><Relationship Id="rId916" Type="http://schemas.openxmlformats.org/officeDocument/2006/relationships/hyperlink" Target="http://www.linkedin.com/pub/vito-bialla/0/45/83B" TargetMode="External"/><Relationship Id="rId915" Type="http://schemas.openxmlformats.org/officeDocument/2006/relationships/hyperlink" Target="http://www.linkedin.com/pub/michael-w-karlowicz/3/836/889" TargetMode="External"/><Relationship Id="rId919" Type="http://schemas.openxmlformats.org/officeDocument/2006/relationships/hyperlink" Target="http://www.linkedin.com/pub/evelin-urena/10/B95/86B" TargetMode="External"/><Relationship Id="rId910" Type="http://schemas.openxmlformats.org/officeDocument/2006/relationships/hyperlink" Target="http://www.linkedin.com/in/jimfox" TargetMode="External"/><Relationship Id="rId914" Type="http://schemas.openxmlformats.org/officeDocument/2006/relationships/hyperlink" Target="http://www.linkedin.com/pub/camila-stelzer/26/A07/314" TargetMode="External"/><Relationship Id="rId913" Type="http://schemas.openxmlformats.org/officeDocument/2006/relationships/hyperlink" Target="http://www.linkedin.com/pub/john-triscoli/1/895/18B" TargetMode="External"/><Relationship Id="rId912" Type="http://schemas.openxmlformats.org/officeDocument/2006/relationships/hyperlink" Target="http://www.linkedin.com/pub/terrel-transtrum/0/109/500" TargetMode="External"/><Relationship Id="rId911" Type="http://schemas.openxmlformats.org/officeDocument/2006/relationships/hyperlink" Target="http://www.linkedin.com/in/lalitaamos" TargetMode="External"/><Relationship Id="rId2950" Type="http://schemas.openxmlformats.org/officeDocument/2006/relationships/hyperlink" Target="http://ar.linkedin.com/pub/patricio-veltri/20/A11/54B" TargetMode="External"/><Relationship Id="rId2900" Type="http://schemas.openxmlformats.org/officeDocument/2006/relationships/hyperlink" Target="http://ar.linkedin.com/in/ibernini" TargetMode="External"/><Relationship Id="rId2901" Type="http://schemas.openxmlformats.org/officeDocument/2006/relationships/hyperlink" Target="http://ar.linkedin.com/pub/pablo-boza/B/18B/B3B" TargetMode="External"/><Relationship Id="rId2902" Type="http://schemas.openxmlformats.org/officeDocument/2006/relationships/hyperlink" Target="http://www.linkedin.com/in/eriklaurenceau" TargetMode="External"/><Relationship Id="rId2903" Type="http://schemas.openxmlformats.org/officeDocument/2006/relationships/hyperlink" Target="http://ar.linkedin.com/in/gonzalomendezfilleul" TargetMode="External"/><Relationship Id="rId2904" Type="http://schemas.openxmlformats.org/officeDocument/2006/relationships/hyperlink" Target="http://ar.linkedin.com/pub/cristian-gonzalez/8/BA3/50" TargetMode="External"/><Relationship Id="rId2905" Type="http://schemas.openxmlformats.org/officeDocument/2006/relationships/hyperlink" Target="http://ar.linkedin.com/in/ortegagerardo" TargetMode="External"/><Relationship Id="rId2906" Type="http://schemas.openxmlformats.org/officeDocument/2006/relationships/hyperlink" Target="http://ar.linkedin.com/pub/matias-richards/15/BB/131" TargetMode="External"/><Relationship Id="rId2907" Type="http://schemas.openxmlformats.org/officeDocument/2006/relationships/hyperlink" Target="http://ar.linkedin.com/in/federicocalvino78" TargetMode="External"/><Relationship Id="rId2908" Type="http://schemas.openxmlformats.org/officeDocument/2006/relationships/hyperlink" Target="http://ar.linkedin.com/in/arielcascallares" TargetMode="External"/><Relationship Id="rId2909" Type="http://schemas.openxmlformats.org/officeDocument/2006/relationships/hyperlink" Target="http://ar.linkedin.com/pub/enrique-esteban-barrionuevo/1A/2B/643" TargetMode="External"/><Relationship Id="rId5170" Type="http://schemas.openxmlformats.org/officeDocument/2006/relationships/hyperlink" Target="http://www.linkedin.com/pub/tim-shaffer/2/419/71A" TargetMode="External"/><Relationship Id="rId5171" Type="http://schemas.openxmlformats.org/officeDocument/2006/relationships/hyperlink" Target="http://www.linkedin.com/in/manijonnalagadda" TargetMode="External"/><Relationship Id="rId5174" Type="http://schemas.openxmlformats.org/officeDocument/2006/relationships/hyperlink" Target="http://www.linkedin.com/in/bryanpower" TargetMode="External"/><Relationship Id="rId5175" Type="http://schemas.openxmlformats.org/officeDocument/2006/relationships/hyperlink" Target="https://www.linkedin.com/in/mtraverso" TargetMode="External"/><Relationship Id="rId5172" Type="http://schemas.openxmlformats.org/officeDocument/2006/relationships/hyperlink" Target="http://www.linkedin.com/in/mohankreddy" TargetMode="External"/><Relationship Id="rId5173" Type="http://schemas.openxmlformats.org/officeDocument/2006/relationships/hyperlink" Target="http://ar.linkedin.com/in/sebastianbeltramini" TargetMode="External"/><Relationship Id="rId5178" Type="http://schemas.openxmlformats.org/officeDocument/2006/relationships/hyperlink" Target="http://www.linkedin.com/in/chrispurpura" TargetMode="External"/><Relationship Id="rId5179" Type="http://schemas.openxmlformats.org/officeDocument/2006/relationships/hyperlink" Target="http://www.linkedin.com/pub/greg-schott/0/416/B27" TargetMode="External"/><Relationship Id="rId5176" Type="http://schemas.openxmlformats.org/officeDocument/2006/relationships/hyperlink" Target="http://www.linkedin.com/pub/andrew-clark/0/13/B90" TargetMode="External"/><Relationship Id="rId5177" Type="http://schemas.openxmlformats.org/officeDocument/2006/relationships/hyperlink" Target="http://www.linkedin.com/pub/jason-brittain/1/269/323" TargetMode="External"/><Relationship Id="rId6490" Type="http://schemas.openxmlformats.org/officeDocument/2006/relationships/hyperlink" Target="http://ar.linkedin.com/in/schneebergerqa" TargetMode="External"/><Relationship Id="rId5160" Type="http://schemas.openxmlformats.org/officeDocument/2006/relationships/hyperlink" Target="http://ar.linkedin.com/in/alejandrafrisoni" TargetMode="External"/><Relationship Id="rId6491" Type="http://schemas.openxmlformats.org/officeDocument/2006/relationships/hyperlink" Target="http://www.linkedin.com/pub/lucas-pedemonte/9/0/413" TargetMode="External"/><Relationship Id="rId5163" Type="http://schemas.openxmlformats.org/officeDocument/2006/relationships/hyperlink" Target="http://ar.linkedin.com/in/surrizola" TargetMode="External"/><Relationship Id="rId6494" Type="http://schemas.openxmlformats.org/officeDocument/2006/relationships/hyperlink" Target="http://ar.linkedin.com/in/juliabidegain" TargetMode="External"/><Relationship Id="rId5164" Type="http://schemas.openxmlformats.org/officeDocument/2006/relationships/hyperlink" Target="http://ar.linkedin.com/in/mvetrano" TargetMode="External"/><Relationship Id="rId6495" Type="http://schemas.openxmlformats.org/officeDocument/2006/relationships/hyperlink" Target="http://www.linkedin.com/pub/david-brantley/11/643/52" TargetMode="External"/><Relationship Id="rId5161" Type="http://schemas.openxmlformats.org/officeDocument/2006/relationships/hyperlink" Target="http://ar.linkedin.com/in/anselmoabadia" TargetMode="External"/><Relationship Id="rId6492" Type="http://schemas.openxmlformats.org/officeDocument/2006/relationships/hyperlink" Target="http://ar.linkedin.com/in/sergiou" TargetMode="External"/><Relationship Id="rId5162" Type="http://schemas.openxmlformats.org/officeDocument/2006/relationships/hyperlink" Target="http://ar.linkedin.com/pub/dan-hughes/10/268/333" TargetMode="External"/><Relationship Id="rId6493" Type="http://schemas.openxmlformats.org/officeDocument/2006/relationships/hyperlink" Target="http://www.linkedin.com/pub/nathaly-schwed/1/B06/685" TargetMode="External"/><Relationship Id="rId5167" Type="http://schemas.openxmlformats.org/officeDocument/2006/relationships/hyperlink" Target="http://www.linkedin.com/pub/daniel-unrein/5/278/995" TargetMode="External"/><Relationship Id="rId6498" Type="http://schemas.openxmlformats.org/officeDocument/2006/relationships/hyperlink" Target="http://ar.linkedin.com/pub/ricardo-ehrenb%C3%B6ck/1B/689/107" TargetMode="External"/><Relationship Id="rId5168" Type="http://schemas.openxmlformats.org/officeDocument/2006/relationships/hyperlink" Target="http://ar.linkedin.com/in/marcelocarugo" TargetMode="External"/><Relationship Id="rId6499" Type="http://schemas.openxmlformats.org/officeDocument/2006/relationships/hyperlink" Target="http://ar.linkedin.com/pub/tomas-ota%C3%B1o/8/857/7B8" TargetMode="External"/><Relationship Id="rId5165" Type="http://schemas.openxmlformats.org/officeDocument/2006/relationships/hyperlink" Target="http://ar.linkedin.com/in/joesys" TargetMode="External"/><Relationship Id="rId6496" Type="http://schemas.openxmlformats.org/officeDocument/2006/relationships/hyperlink" Target="http://ar.linkedin.com/in/mnarvaja" TargetMode="External"/><Relationship Id="rId5166" Type="http://schemas.openxmlformats.org/officeDocument/2006/relationships/hyperlink" Target="http://www.linkedin.com/pub/ema-martin/0/348/99A" TargetMode="External"/><Relationship Id="rId6497" Type="http://schemas.openxmlformats.org/officeDocument/2006/relationships/hyperlink" Target="http://www.linkedin.com/pub/erik-holling/0/27A/8A2" TargetMode="External"/><Relationship Id="rId5169" Type="http://schemas.openxmlformats.org/officeDocument/2006/relationships/hyperlink" Target="http://ar.linkedin.com/in/mariarenee" TargetMode="External"/><Relationship Id="rId2920" Type="http://schemas.openxmlformats.org/officeDocument/2006/relationships/hyperlink" Target="http://uk.linkedin.com/pub/elaine-haines/10/7AA/AA3" TargetMode="External"/><Relationship Id="rId2921" Type="http://schemas.openxmlformats.org/officeDocument/2006/relationships/hyperlink" Target="http://ar.linkedin.com/in/rodroduran" TargetMode="External"/><Relationship Id="rId2922" Type="http://schemas.openxmlformats.org/officeDocument/2006/relationships/hyperlink" Target="http://www.linkedin.com/in/miguelcintron" TargetMode="External"/><Relationship Id="rId2923" Type="http://schemas.openxmlformats.org/officeDocument/2006/relationships/hyperlink" Target="http://www.linkedin.com/in/serpa" TargetMode="External"/><Relationship Id="rId2924" Type="http://schemas.openxmlformats.org/officeDocument/2006/relationships/hyperlink" Target="http://www.linkedin.com/in/jillcarter" TargetMode="External"/><Relationship Id="rId2925" Type="http://schemas.openxmlformats.org/officeDocument/2006/relationships/hyperlink" Target="http://ar.linkedin.com/pub/lucas-pujol/4/15/7AA" TargetMode="External"/><Relationship Id="rId2926" Type="http://schemas.openxmlformats.org/officeDocument/2006/relationships/hyperlink" Target="http://www.linkedin.com/in/kennethknapp" TargetMode="External"/><Relationship Id="rId2927" Type="http://schemas.openxmlformats.org/officeDocument/2006/relationships/hyperlink" Target="http://ar.linkedin.com/pub/eber-mor-n/27/55/919" TargetMode="External"/><Relationship Id="rId2928" Type="http://schemas.openxmlformats.org/officeDocument/2006/relationships/hyperlink" Target="http://ar.linkedin.com/pub/sebastian-pagano/2/54B/563" TargetMode="External"/><Relationship Id="rId2929" Type="http://schemas.openxmlformats.org/officeDocument/2006/relationships/hyperlink" Target="http://ar.linkedin.com/pub/rosana-novoa/5/502/150" TargetMode="External"/><Relationship Id="rId5192" Type="http://schemas.openxmlformats.org/officeDocument/2006/relationships/hyperlink" Target="http://ar.linkedin.com/in/matiassulzberger" TargetMode="External"/><Relationship Id="rId5193" Type="http://schemas.openxmlformats.org/officeDocument/2006/relationships/hyperlink" Target="http://ar.linkedin.com/in/luthychan" TargetMode="External"/><Relationship Id="rId5190" Type="http://schemas.openxmlformats.org/officeDocument/2006/relationships/hyperlink" Target="http://ar.linkedin.com/in/marduh" TargetMode="External"/><Relationship Id="rId5191" Type="http://schemas.openxmlformats.org/officeDocument/2006/relationships/hyperlink" Target="https://www.linkedin.com/in/nicolasmondada" TargetMode="External"/><Relationship Id="rId5196" Type="http://schemas.openxmlformats.org/officeDocument/2006/relationships/hyperlink" Target="http://ar.linkedin.com/in/nicoglp" TargetMode="External"/><Relationship Id="rId5197" Type="http://schemas.openxmlformats.org/officeDocument/2006/relationships/hyperlink" Target="http://www.linkedin.com/in/karanmg" TargetMode="External"/><Relationship Id="rId5194" Type="http://schemas.openxmlformats.org/officeDocument/2006/relationships/hyperlink" Target="http://www.linkedin.com/pub/ma-florencia-tarantola/22/b22/475?trk=pub-pbmap" TargetMode="External"/><Relationship Id="rId5195" Type="http://schemas.openxmlformats.org/officeDocument/2006/relationships/hyperlink" Target="http://www.linkedin.com/pub/gabriel-schvarstein/6/9a7/835" TargetMode="External"/><Relationship Id="rId5198" Type="http://schemas.openxmlformats.org/officeDocument/2006/relationships/hyperlink" Target="http://www.linkedin.com/pub/tony-tseng/1/2A2/A77" TargetMode="External"/><Relationship Id="rId5199" Type="http://schemas.openxmlformats.org/officeDocument/2006/relationships/hyperlink" Target="http://ar.linkedin.com/in/adrianfernandez" TargetMode="External"/><Relationship Id="rId2910" Type="http://schemas.openxmlformats.org/officeDocument/2006/relationships/hyperlink" Target="http://ar.linkedin.com/pub/roberto-blanco/2A/643/9B8" TargetMode="External"/><Relationship Id="rId2911" Type="http://schemas.openxmlformats.org/officeDocument/2006/relationships/hyperlink" Target="http://ar.linkedin.com/pub/adri%C3%A1n-zungri/19/736/120" TargetMode="External"/><Relationship Id="rId2912" Type="http://schemas.openxmlformats.org/officeDocument/2006/relationships/hyperlink" Target="http://ar.linkedin.com/pub/daniel-miravalle/0/675/9A7" TargetMode="External"/><Relationship Id="rId2913" Type="http://schemas.openxmlformats.org/officeDocument/2006/relationships/hyperlink" Target="http://ar.linkedin.com/pub/carlos-andr%C3%A9s-del%C3%BA/3/A01/A7A" TargetMode="External"/><Relationship Id="rId2914" Type="http://schemas.openxmlformats.org/officeDocument/2006/relationships/hyperlink" Target="http://ar.linkedin.com/in/josensaha" TargetMode="External"/><Relationship Id="rId2915" Type="http://schemas.openxmlformats.org/officeDocument/2006/relationships/hyperlink" Target="http://ar.linkedin.com/in/franciscoamieiro" TargetMode="External"/><Relationship Id="rId2916" Type="http://schemas.openxmlformats.org/officeDocument/2006/relationships/hyperlink" Target="http://www.linkedin.com/pub/gabriel-alejandro-dominguez/12/241/744" TargetMode="External"/><Relationship Id="rId2917" Type="http://schemas.openxmlformats.org/officeDocument/2006/relationships/hyperlink" Target="http://www.linkedin.com/pub/juan-pablo-bruzzo/2/77b/688" TargetMode="External"/><Relationship Id="rId2918" Type="http://schemas.openxmlformats.org/officeDocument/2006/relationships/hyperlink" Target="http://ar.linkedin.com/pub/lucia-lopina/17/568/360" TargetMode="External"/><Relationship Id="rId2919" Type="http://schemas.openxmlformats.org/officeDocument/2006/relationships/hyperlink" Target="http://ar.linkedin.com/in/andreafarino" TargetMode="External"/><Relationship Id="rId5181" Type="http://schemas.openxmlformats.org/officeDocument/2006/relationships/hyperlink" Target="http://www.linkedin.com/pub/eugene-berman/1/617/3" TargetMode="External"/><Relationship Id="rId5182" Type="http://schemas.openxmlformats.org/officeDocument/2006/relationships/hyperlink" Target="http://www.linkedin.com/pub/anoop-gopalakrishnan/8/804/587" TargetMode="External"/><Relationship Id="rId5180" Type="http://schemas.openxmlformats.org/officeDocument/2006/relationships/hyperlink" Target="http://www.linkedin.com/in/wguan" TargetMode="External"/><Relationship Id="rId5185" Type="http://schemas.openxmlformats.org/officeDocument/2006/relationships/hyperlink" Target="http://www.linkedin.com/in/eduardochiocconi" TargetMode="External"/><Relationship Id="rId5186" Type="http://schemas.openxmlformats.org/officeDocument/2006/relationships/hyperlink" Target="http://www.linkedin.com/in/kunalrshah" TargetMode="External"/><Relationship Id="rId5183" Type="http://schemas.openxmlformats.org/officeDocument/2006/relationships/hyperlink" Target="http://www.linkedin.com/in/jaskiratbhatia" TargetMode="External"/><Relationship Id="rId5184" Type="http://schemas.openxmlformats.org/officeDocument/2006/relationships/hyperlink" Target="http://www.linkedin.com/pub/sorbo-bagchi/13/AA2/27A" TargetMode="External"/><Relationship Id="rId5189" Type="http://schemas.openxmlformats.org/officeDocument/2006/relationships/hyperlink" Target="http://ar.linkedin.com/pub/david-kotlirevsky/9/566/701" TargetMode="External"/><Relationship Id="rId5187" Type="http://schemas.openxmlformats.org/officeDocument/2006/relationships/hyperlink" Target="http://www.linkedin.com/in/alextoussaint" TargetMode="External"/><Relationship Id="rId5188" Type="http://schemas.openxmlformats.org/officeDocument/2006/relationships/hyperlink" Target="http://www.linkedin.com/pub/paul-davidian/8/772/7BB" TargetMode="External"/><Relationship Id="rId1697" Type="http://schemas.openxmlformats.org/officeDocument/2006/relationships/hyperlink" Target="http://www.linkedin.com/in/ryanbuchanan" TargetMode="External"/><Relationship Id="rId1698" Type="http://schemas.openxmlformats.org/officeDocument/2006/relationships/hyperlink" Target="http://br.linkedin.com/pub/graham-wallis/0/235/79A" TargetMode="External"/><Relationship Id="rId1699" Type="http://schemas.openxmlformats.org/officeDocument/2006/relationships/hyperlink" Target="http://www.linkedin.com/in/piotrkozlowski" TargetMode="External"/><Relationship Id="rId866" Type="http://schemas.openxmlformats.org/officeDocument/2006/relationships/hyperlink" Target="http://www.linkedin.com/pub/betty-chomel-betty-chomel-yahoo-com/0/B15/510" TargetMode="External"/><Relationship Id="rId865" Type="http://schemas.openxmlformats.org/officeDocument/2006/relationships/hyperlink" Target="http://www.linkedin.com/pub/j-t-erickson/0/BA4/B10" TargetMode="External"/><Relationship Id="rId864" Type="http://schemas.openxmlformats.org/officeDocument/2006/relationships/hyperlink" Target="http://www.linkedin.com/pub/dave-gibson/A/834/498" TargetMode="External"/><Relationship Id="rId863" Type="http://schemas.openxmlformats.org/officeDocument/2006/relationships/hyperlink" Target="http://www.linkedin.com/in/petermojica/en" TargetMode="External"/><Relationship Id="rId869" Type="http://schemas.openxmlformats.org/officeDocument/2006/relationships/hyperlink" Target="http://www.linkedin.com/in/christophercbadger" TargetMode="External"/><Relationship Id="rId868" Type="http://schemas.openxmlformats.org/officeDocument/2006/relationships/hyperlink" Target="http://ca.linkedin.com/in/sarahthomson" TargetMode="External"/><Relationship Id="rId867" Type="http://schemas.openxmlformats.org/officeDocument/2006/relationships/hyperlink" Target="http://ca.linkedin.com/pub/fred-sarkari/6/603/119" TargetMode="External"/><Relationship Id="rId1690" Type="http://schemas.openxmlformats.org/officeDocument/2006/relationships/hyperlink" Target="http://www.linkedin.com/pub/jim-vales/2/234/990" TargetMode="External"/><Relationship Id="rId1691" Type="http://schemas.openxmlformats.org/officeDocument/2006/relationships/hyperlink" Target="http://www.linkedin.com/in/mikemabunay" TargetMode="External"/><Relationship Id="rId1692" Type="http://schemas.openxmlformats.org/officeDocument/2006/relationships/hyperlink" Target="http://www.linkedin.com/pub/mike-snyder/1/6BB/923" TargetMode="External"/><Relationship Id="rId862" Type="http://schemas.openxmlformats.org/officeDocument/2006/relationships/hyperlink" Target="http://www.linkedin.com/in/samsethi" TargetMode="External"/><Relationship Id="rId1693" Type="http://schemas.openxmlformats.org/officeDocument/2006/relationships/hyperlink" Target="http://www.linkedin.com/pub/tom-bauhan/6/5BB/28" TargetMode="External"/><Relationship Id="rId861" Type="http://schemas.openxmlformats.org/officeDocument/2006/relationships/hyperlink" Target="http://www.linkedin.com/in/stephanchehab" TargetMode="External"/><Relationship Id="rId1694" Type="http://schemas.openxmlformats.org/officeDocument/2006/relationships/hyperlink" Target="http://www.linkedin.com/in/labibaboyd" TargetMode="External"/><Relationship Id="rId860" Type="http://schemas.openxmlformats.org/officeDocument/2006/relationships/hyperlink" Target="http://www.linkedin.com/pub/bruno-muniz-de-almeida/0/88b/238" TargetMode="External"/><Relationship Id="rId1695" Type="http://schemas.openxmlformats.org/officeDocument/2006/relationships/hyperlink" Target="http://au.linkedin.com/in/scottstewartcio" TargetMode="External"/><Relationship Id="rId1696" Type="http://schemas.openxmlformats.org/officeDocument/2006/relationships/hyperlink" Target="http://www.linkedin.com/pub/barbara-farnsworth/0/147/3BA" TargetMode="External"/><Relationship Id="rId1686" Type="http://schemas.openxmlformats.org/officeDocument/2006/relationships/hyperlink" Target="http://www.linkedin.com/pub/mitch-manning/1/BB2/362" TargetMode="External"/><Relationship Id="rId1687" Type="http://schemas.openxmlformats.org/officeDocument/2006/relationships/hyperlink" Target="http://www.linkedin.com/pub/cindy-gately-hall/6/4AB/904" TargetMode="External"/><Relationship Id="rId1688" Type="http://schemas.openxmlformats.org/officeDocument/2006/relationships/hyperlink" Target="http://ca.linkedin.com/in/christophermarko" TargetMode="External"/><Relationship Id="rId1689" Type="http://schemas.openxmlformats.org/officeDocument/2006/relationships/hyperlink" Target="http://mx.linkedin.com/pub/pedro-machado-solorzano/23/913/968" TargetMode="External"/><Relationship Id="rId855" Type="http://schemas.openxmlformats.org/officeDocument/2006/relationships/hyperlink" Target="http://ca.linkedin.com/in/jamesreyespicknell" TargetMode="External"/><Relationship Id="rId854" Type="http://schemas.openxmlformats.org/officeDocument/2006/relationships/hyperlink" Target="http://au.linkedin.com/pub/michael-lappen/1/8B0/412" TargetMode="External"/><Relationship Id="rId853" Type="http://schemas.openxmlformats.org/officeDocument/2006/relationships/hyperlink" Target="http://www.linkedin.com/in/garykho" TargetMode="External"/><Relationship Id="rId852" Type="http://schemas.openxmlformats.org/officeDocument/2006/relationships/hyperlink" Target="http://www.linkedin.com/in/marissalopezdonatt" TargetMode="External"/><Relationship Id="rId859" Type="http://schemas.openxmlformats.org/officeDocument/2006/relationships/hyperlink" Target="http://www.linkedin.com/in/gloriagordon" TargetMode="External"/><Relationship Id="rId858" Type="http://schemas.openxmlformats.org/officeDocument/2006/relationships/hyperlink" Target="http://uk.linkedin.com/in/adamgrahamsmith" TargetMode="External"/><Relationship Id="rId857" Type="http://schemas.openxmlformats.org/officeDocument/2006/relationships/hyperlink" Target="https://www.linkedin.com/in/paulolemgruber" TargetMode="External"/><Relationship Id="rId856" Type="http://schemas.openxmlformats.org/officeDocument/2006/relationships/hyperlink" Target="http://www.linkedin.com/in/ethansimon" TargetMode="External"/><Relationship Id="rId1680" Type="http://schemas.openxmlformats.org/officeDocument/2006/relationships/hyperlink" Target="http://www.linkedin.com/pub/ravi-kant-sharma/6/635/975?trk=pub-pbmap" TargetMode="External"/><Relationship Id="rId1681" Type="http://schemas.openxmlformats.org/officeDocument/2006/relationships/hyperlink" Target="http://www.linkedin.com/pub/asoka-ranaweera/2/945/266" TargetMode="External"/><Relationship Id="rId851" Type="http://schemas.openxmlformats.org/officeDocument/2006/relationships/hyperlink" Target="http://www.linkedin.com/pub/miles-braffett/0/A4/383" TargetMode="External"/><Relationship Id="rId1682" Type="http://schemas.openxmlformats.org/officeDocument/2006/relationships/hyperlink" Target="http://www.linkedin.com/pub/eddie-milla/6/700/2AB" TargetMode="External"/><Relationship Id="rId850" Type="http://schemas.openxmlformats.org/officeDocument/2006/relationships/hyperlink" Target="http://www.linkedin.com/in/jonathanvqpho" TargetMode="External"/><Relationship Id="rId1683" Type="http://schemas.openxmlformats.org/officeDocument/2006/relationships/hyperlink" Target="http://www.linkedin.com/in/tishawnb" TargetMode="External"/><Relationship Id="rId1684" Type="http://schemas.openxmlformats.org/officeDocument/2006/relationships/hyperlink" Target="http://www.linkedin.com/pub/toschin-aquino/3/842/A38" TargetMode="External"/><Relationship Id="rId1685" Type="http://schemas.openxmlformats.org/officeDocument/2006/relationships/hyperlink" Target="http://www.linkedin.com/pub/wes-bailey/8/1b8/111" TargetMode="External"/><Relationship Id="rId888" Type="http://schemas.openxmlformats.org/officeDocument/2006/relationships/hyperlink" Target="http://ca.linkedin.com/in/jjgauvin" TargetMode="External"/><Relationship Id="rId887" Type="http://schemas.openxmlformats.org/officeDocument/2006/relationships/hyperlink" Target="http://www.linkedin.com/pub/bill-docherty/2/520/AA6" TargetMode="External"/><Relationship Id="rId886" Type="http://schemas.openxmlformats.org/officeDocument/2006/relationships/hyperlink" Target="http://www.linkedin.com/pub/vincent-howard/1/3B0/9A4" TargetMode="External"/><Relationship Id="rId885" Type="http://schemas.openxmlformats.org/officeDocument/2006/relationships/hyperlink" Target="http://uk.linkedin.com/in/adriancho" TargetMode="External"/><Relationship Id="rId889" Type="http://schemas.openxmlformats.org/officeDocument/2006/relationships/hyperlink" Target="http://www.linkedin.com/pub/greg-stremlaw/2/2a6/975" TargetMode="External"/><Relationship Id="rId880" Type="http://schemas.openxmlformats.org/officeDocument/2006/relationships/hyperlink" Target="http://www.linkedin.com/in/shawnpacelypmp" TargetMode="External"/><Relationship Id="rId884" Type="http://schemas.openxmlformats.org/officeDocument/2006/relationships/hyperlink" Target="http://www.linkedin.com/pub/eric-jamieson/1/391/18" TargetMode="External"/><Relationship Id="rId883" Type="http://schemas.openxmlformats.org/officeDocument/2006/relationships/hyperlink" Target="http://www.linkedin.com/pub/jenna-fleming/3/97A/8B3" TargetMode="External"/><Relationship Id="rId882" Type="http://schemas.openxmlformats.org/officeDocument/2006/relationships/hyperlink" Target="http://www.linkedin.com/in/rawatshefali" TargetMode="External"/><Relationship Id="rId881" Type="http://schemas.openxmlformats.org/officeDocument/2006/relationships/hyperlink" Target="http://www.linkedin.com/in/landonjohnson" TargetMode="External"/><Relationship Id="rId877" Type="http://schemas.openxmlformats.org/officeDocument/2006/relationships/hyperlink" Target="http://www.linkedin.com/pub/venkata-chekka/11/649/8A0" TargetMode="External"/><Relationship Id="rId876" Type="http://schemas.openxmlformats.org/officeDocument/2006/relationships/hyperlink" Target="http://www.linkedin.com/pub/major-general-erika-steuterman-usaf-ret/1/2b1/a74" TargetMode="External"/><Relationship Id="rId875" Type="http://schemas.openxmlformats.org/officeDocument/2006/relationships/hyperlink" Target="http://www.linkedin.com/pub/tarundeep-kaur/11/216/A0" TargetMode="External"/><Relationship Id="rId874" Type="http://schemas.openxmlformats.org/officeDocument/2006/relationships/hyperlink" Target="http://www.linkedin.com/in/helenfuller" TargetMode="External"/><Relationship Id="rId879" Type="http://schemas.openxmlformats.org/officeDocument/2006/relationships/hyperlink" Target="http://www.linkedin.com/pub/filiz-tumer-rcic/3/933/52" TargetMode="External"/><Relationship Id="rId878" Type="http://schemas.openxmlformats.org/officeDocument/2006/relationships/hyperlink" Target="http://www.linkedin.com/pub/chris-johnson/0/93B/298" TargetMode="External"/><Relationship Id="rId873" Type="http://schemas.openxmlformats.org/officeDocument/2006/relationships/hyperlink" Target="http://www.linkedin.com/pub/m-cannelli/6/564/636" TargetMode="External"/><Relationship Id="rId872" Type="http://schemas.openxmlformats.org/officeDocument/2006/relationships/hyperlink" Target="http://www.linkedin.com/in/venkyvm" TargetMode="External"/><Relationship Id="rId871" Type="http://schemas.openxmlformats.org/officeDocument/2006/relationships/hyperlink" Target="http://ca.linkedin.com/pub/cheryl-wilcox-etzel/10/429/600" TargetMode="External"/><Relationship Id="rId870" Type="http://schemas.openxmlformats.org/officeDocument/2006/relationships/hyperlink" Target="http://www.linkedin.com/in/briangarrison" TargetMode="External"/><Relationship Id="rId1653" Type="http://schemas.openxmlformats.org/officeDocument/2006/relationships/hyperlink" Target="http://www.linkedin.com/in/atoshdutt" TargetMode="External"/><Relationship Id="rId2984" Type="http://schemas.openxmlformats.org/officeDocument/2006/relationships/hyperlink" Target="http://www.linkedin.com/pub/gabriel-rodrigo-gonzalez/3/575/622" TargetMode="External"/><Relationship Id="rId1654" Type="http://schemas.openxmlformats.org/officeDocument/2006/relationships/hyperlink" Target="http://www.linkedin.com/pub/michael-kassuhn/3/74B/188" TargetMode="External"/><Relationship Id="rId2985" Type="http://schemas.openxmlformats.org/officeDocument/2006/relationships/hyperlink" Target="http://ar.linkedin.com/pub/ariel-alonso/0/A38/215" TargetMode="External"/><Relationship Id="rId1655" Type="http://schemas.openxmlformats.org/officeDocument/2006/relationships/hyperlink" Target="http://www.linkedin.com/in/georgeelliott" TargetMode="External"/><Relationship Id="rId2986" Type="http://schemas.openxmlformats.org/officeDocument/2006/relationships/hyperlink" Target="http://www.linkedin.com/pub/carlos-hern%C3%A1n-laschera/27/598/961" TargetMode="External"/><Relationship Id="rId1656" Type="http://schemas.openxmlformats.org/officeDocument/2006/relationships/hyperlink" Target="http://www.linkedin.com/in/toddzierten" TargetMode="External"/><Relationship Id="rId2987" Type="http://schemas.openxmlformats.org/officeDocument/2006/relationships/hyperlink" Target="http://www.linkedin.com/pub/marcos-p%C3%A9r%C3%A8s/13/445/b8a" TargetMode="External"/><Relationship Id="rId1657" Type="http://schemas.openxmlformats.org/officeDocument/2006/relationships/hyperlink" Target="http://uk.linkedin.com/in/nilayparikh" TargetMode="External"/><Relationship Id="rId2988" Type="http://schemas.openxmlformats.org/officeDocument/2006/relationships/hyperlink" Target="http://ar.linkedin.com/in/santiagofriedenthal" TargetMode="External"/><Relationship Id="rId1658" Type="http://schemas.openxmlformats.org/officeDocument/2006/relationships/hyperlink" Target="http://www.linkedin.com/in/svajian" TargetMode="External"/><Relationship Id="rId2989" Type="http://schemas.openxmlformats.org/officeDocument/2006/relationships/hyperlink" Target="http://www.linkedin.com/pub/emiliano-javier-gonzalez-benedossi/20/196/285" TargetMode="External"/><Relationship Id="rId1659" Type="http://schemas.openxmlformats.org/officeDocument/2006/relationships/hyperlink" Target="http://www.linkedin.com/pub/jeremy-moncur/7/2B2/425" TargetMode="External"/><Relationship Id="rId829" Type="http://schemas.openxmlformats.org/officeDocument/2006/relationships/hyperlink" Target="http://www.linkedin.com/in/gaufire" TargetMode="External"/><Relationship Id="rId828" Type="http://schemas.openxmlformats.org/officeDocument/2006/relationships/hyperlink" Target="http://uk.linkedin.com/in/arvmishra" TargetMode="External"/><Relationship Id="rId827" Type="http://schemas.openxmlformats.org/officeDocument/2006/relationships/hyperlink" Target="http://www.linkedin.com/pub/harish-sarma/0/B53/623" TargetMode="External"/><Relationship Id="rId822" Type="http://schemas.openxmlformats.org/officeDocument/2006/relationships/hyperlink" Target="http://www.linkedin.com/in/michaelwilsonideas" TargetMode="External"/><Relationship Id="rId821" Type="http://schemas.openxmlformats.org/officeDocument/2006/relationships/hyperlink" Target="http://www.linkedin.com/in/cesargarcia74" TargetMode="External"/><Relationship Id="rId820" Type="http://schemas.openxmlformats.org/officeDocument/2006/relationships/hyperlink" Target="http://www.linkedin.com/pub/sekhar-bhattacharjee/6/46/567" TargetMode="External"/><Relationship Id="rId826" Type="http://schemas.openxmlformats.org/officeDocument/2006/relationships/hyperlink" Target="http://www.linkedin.com/in/dyckjd" TargetMode="External"/><Relationship Id="rId825" Type="http://schemas.openxmlformats.org/officeDocument/2006/relationships/hyperlink" Target="http://www.linkedin.com/pub/michelle-abbey/2/212/490" TargetMode="External"/><Relationship Id="rId824" Type="http://schemas.openxmlformats.org/officeDocument/2006/relationships/hyperlink" Target="http://www.linkedin.com/pub/yoav-shaham/3/43B/5A9" TargetMode="External"/><Relationship Id="rId823" Type="http://schemas.openxmlformats.org/officeDocument/2006/relationships/hyperlink" Target="http://www.linkedin.com/in/lomauro" TargetMode="External"/><Relationship Id="rId2980" Type="http://schemas.openxmlformats.org/officeDocument/2006/relationships/hyperlink" Target="http://uk.linkedin.com/pub/harry-panton/4/599/998" TargetMode="External"/><Relationship Id="rId1650" Type="http://schemas.openxmlformats.org/officeDocument/2006/relationships/hyperlink" Target="http://br.linkedin.com/pub/marcia-cubas/17/219/B95" TargetMode="External"/><Relationship Id="rId2981" Type="http://schemas.openxmlformats.org/officeDocument/2006/relationships/hyperlink" Target="http://uk.linkedin.com/pub/emma-lovatt/3/A2B/309" TargetMode="External"/><Relationship Id="rId1651" Type="http://schemas.openxmlformats.org/officeDocument/2006/relationships/hyperlink" Target="http://www.linkedin.com/in/mikeb360" TargetMode="External"/><Relationship Id="rId2982" Type="http://schemas.openxmlformats.org/officeDocument/2006/relationships/hyperlink" Target="http://ar.linkedin.com/pub/beatriz-campos/0/2B3/846" TargetMode="External"/><Relationship Id="rId1652" Type="http://schemas.openxmlformats.org/officeDocument/2006/relationships/hyperlink" Target="http://www.linkedin.com/in/waderobertson" TargetMode="External"/><Relationship Id="rId2983" Type="http://schemas.openxmlformats.org/officeDocument/2006/relationships/hyperlink" Target="http://ar.linkedin.com/pub/diego-iturbide/12/805/68" TargetMode="External"/><Relationship Id="rId1642" Type="http://schemas.openxmlformats.org/officeDocument/2006/relationships/hyperlink" Target="http://www.linkedin.com/pub/jeff-rorick/1/96/10A" TargetMode="External"/><Relationship Id="rId2973" Type="http://schemas.openxmlformats.org/officeDocument/2006/relationships/hyperlink" Target="http://ar.linkedin.com/pub/sebasti%C3%A1n-bord%C3%B3n/3/300/897" TargetMode="External"/><Relationship Id="rId1643" Type="http://schemas.openxmlformats.org/officeDocument/2006/relationships/hyperlink" Target="http://www.linkedin.com/pub/chuck-copin-%22leadership-driving-sustainable-growth%22/0/774/40?trk=pub-pbmap" TargetMode="External"/><Relationship Id="rId2974" Type="http://schemas.openxmlformats.org/officeDocument/2006/relationships/hyperlink" Target="http://ar.linkedin.com/pub/damian-garcia/6/4A3/729" TargetMode="External"/><Relationship Id="rId1644" Type="http://schemas.openxmlformats.org/officeDocument/2006/relationships/hyperlink" Target="http://www.linkedin.com/in/daveguerra" TargetMode="External"/><Relationship Id="rId2975" Type="http://schemas.openxmlformats.org/officeDocument/2006/relationships/hyperlink" Target="http://www.linkedin.com/pub/pablo-ernesto-vascello/8/908/247" TargetMode="External"/><Relationship Id="rId1645" Type="http://schemas.openxmlformats.org/officeDocument/2006/relationships/hyperlink" Target="http://br.linkedin.com/pub/marcia-gamba/29/1BA/B73" TargetMode="External"/><Relationship Id="rId2976" Type="http://schemas.openxmlformats.org/officeDocument/2006/relationships/hyperlink" Target="http://ar.linkedin.com/pub/german-pacio/25/579/29A" TargetMode="External"/><Relationship Id="rId1646" Type="http://schemas.openxmlformats.org/officeDocument/2006/relationships/hyperlink" Target="http://www.linkedin.com/pub/bill-vancuren/1/6B6/3A7" TargetMode="External"/><Relationship Id="rId2977" Type="http://schemas.openxmlformats.org/officeDocument/2006/relationships/hyperlink" Target="http://br.linkedin.com/pub/jose-antonio-fechio/0/146/B51" TargetMode="External"/><Relationship Id="rId1647" Type="http://schemas.openxmlformats.org/officeDocument/2006/relationships/hyperlink" Target="http://www.linkedin.com/pub/ron-kinney/1/337/407" TargetMode="External"/><Relationship Id="rId2978" Type="http://schemas.openxmlformats.org/officeDocument/2006/relationships/hyperlink" Target="http://www.linkedin.com/in/nhuch" TargetMode="External"/><Relationship Id="rId1648" Type="http://schemas.openxmlformats.org/officeDocument/2006/relationships/hyperlink" Target="http://www.linkedin.com/pub/jay-martin/1/366/62" TargetMode="External"/><Relationship Id="rId2979" Type="http://schemas.openxmlformats.org/officeDocument/2006/relationships/hyperlink" Target="http://www.linkedin.com/pub/anders-hakfelt/0/2b/4b8" TargetMode="External"/><Relationship Id="rId1649" Type="http://schemas.openxmlformats.org/officeDocument/2006/relationships/hyperlink" Target="http://www.linkedin.com/pub/seth-rupp/1/518/A74" TargetMode="External"/><Relationship Id="rId819" Type="http://schemas.openxmlformats.org/officeDocument/2006/relationships/hyperlink" Target="http://www.linkedin.com/in/sterner" TargetMode="External"/><Relationship Id="rId818" Type="http://schemas.openxmlformats.org/officeDocument/2006/relationships/hyperlink" Target="http://www.linkedin.com/pub/tom-buiocchi/6/150/10A" TargetMode="External"/><Relationship Id="rId817" Type="http://schemas.openxmlformats.org/officeDocument/2006/relationships/hyperlink" Target="http://www.linkedin.com/in/lukevancleave" TargetMode="External"/><Relationship Id="rId816" Type="http://schemas.openxmlformats.org/officeDocument/2006/relationships/hyperlink" Target="http://www.linkedin.com/in/reskridge" TargetMode="External"/><Relationship Id="rId811" Type="http://schemas.openxmlformats.org/officeDocument/2006/relationships/hyperlink" Target="http://www.linkedin.com/in/manjurao" TargetMode="External"/><Relationship Id="rId810" Type="http://schemas.openxmlformats.org/officeDocument/2006/relationships/hyperlink" Target="http://www.linkedin.com/pub/jim-dvorkin/0/511/B08" TargetMode="External"/><Relationship Id="rId815" Type="http://schemas.openxmlformats.org/officeDocument/2006/relationships/hyperlink" Target="http://www.linkedin.com/in/leahyoung" TargetMode="External"/><Relationship Id="rId814" Type="http://schemas.openxmlformats.org/officeDocument/2006/relationships/hyperlink" Target="http://www.linkedin.com/in/jpfoehn" TargetMode="External"/><Relationship Id="rId813" Type="http://schemas.openxmlformats.org/officeDocument/2006/relationships/hyperlink" Target="http://www.linkedin.com/pub/vikram-pisal/4/694/518" TargetMode="External"/><Relationship Id="rId812" Type="http://schemas.openxmlformats.org/officeDocument/2006/relationships/hyperlink" Target="http://www.linkedin.com/in/donnaamos" TargetMode="External"/><Relationship Id="rId2970" Type="http://schemas.openxmlformats.org/officeDocument/2006/relationships/hyperlink" Target="http://www.linkedin.com/pub/patrick-feeney/17/618/493" TargetMode="External"/><Relationship Id="rId1640" Type="http://schemas.openxmlformats.org/officeDocument/2006/relationships/hyperlink" Target="http://www.linkedin.com/in/yanchow" TargetMode="External"/><Relationship Id="rId2971" Type="http://schemas.openxmlformats.org/officeDocument/2006/relationships/hyperlink" Target="http://ar.linkedin.com/pub/emiliano-bottazzi/10/106/88" TargetMode="External"/><Relationship Id="rId1641" Type="http://schemas.openxmlformats.org/officeDocument/2006/relationships/hyperlink" Target="http://www.linkedin.com/pub/yara-matsuyama/27/1A8/939" TargetMode="External"/><Relationship Id="rId2972" Type="http://schemas.openxmlformats.org/officeDocument/2006/relationships/hyperlink" Target="http://uk.linkedin.com/pub/manish-chaudhari/2/A03/277" TargetMode="External"/><Relationship Id="rId1675" Type="http://schemas.openxmlformats.org/officeDocument/2006/relationships/hyperlink" Target="http://www.linkedin.com/pub/bigang-min/6/541/8B8" TargetMode="External"/><Relationship Id="rId1676" Type="http://schemas.openxmlformats.org/officeDocument/2006/relationships/hyperlink" Target="http://www.linkedin.com/in/chadschneller" TargetMode="External"/><Relationship Id="rId1677" Type="http://schemas.openxmlformats.org/officeDocument/2006/relationships/hyperlink" Target="http://www.linkedin.com/in/bernsmark" TargetMode="External"/><Relationship Id="rId1678" Type="http://schemas.openxmlformats.org/officeDocument/2006/relationships/hyperlink" Target="http://www.linkedin.com/pub/mark-brunette/6/374/B21" TargetMode="External"/><Relationship Id="rId1679" Type="http://schemas.openxmlformats.org/officeDocument/2006/relationships/hyperlink" Target="http://www.linkedin.com/in/andrewhalbeck" TargetMode="External"/><Relationship Id="rId849" Type="http://schemas.openxmlformats.org/officeDocument/2006/relationships/hyperlink" Target="http://www.linkedin.com/pub/dave-kocsis/0/223/65" TargetMode="External"/><Relationship Id="rId844" Type="http://schemas.openxmlformats.org/officeDocument/2006/relationships/hyperlink" Target="http://www.linkedin.com/pub/jaime-levit-mcdonald/2/A83/288" TargetMode="External"/><Relationship Id="rId843" Type="http://schemas.openxmlformats.org/officeDocument/2006/relationships/hyperlink" Target="http://www.linkedin.com/pub/rajeev-kak/0/217/491" TargetMode="External"/><Relationship Id="rId842" Type="http://schemas.openxmlformats.org/officeDocument/2006/relationships/hyperlink" Target="http://www.linkedin.com/pub/mohamed-abuaita/0/154/6A3" TargetMode="External"/><Relationship Id="rId841" Type="http://schemas.openxmlformats.org/officeDocument/2006/relationships/hyperlink" Target="http://www.linkedin.com/pub/amy-anson/0/3A3/B4" TargetMode="External"/><Relationship Id="rId848" Type="http://schemas.openxmlformats.org/officeDocument/2006/relationships/hyperlink" Target="http://ca.linkedin.com/in/billbateswins" TargetMode="External"/><Relationship Id="rId847" Type="http://schemas.openxmlformats.org/officeDocument/2006/relationships/hyperlink" Target="http://www.linkedin.com/in/careyllowrey" TargetMode="External"/><Relationship Id="rId846" Type="http://schemas.openxmlformats.org/officeDocument/2006/relationships/hyperlink" Target="http://www.linkedin.com/in/gigumathew" TargetMode="External"/><Relationship Id="rId845" Type="http://schemas.openxmlformats.org/officeDocument/2006/relationships/hyperlink" Target="http://www.linkedin.com/pub/khauled-tahhan/0/733/925" TargetMode="External"/><Relationship Id="rId1670" Type="http://schemas.openxmlformats.org/officeDocument/2006/relationships/hyperlink" Target="http://www.linkedin.com/pub/jim-weddell/2/891/722" TargetMode="External"/><Relationship Id="rId840" Type="http://schemas.openxmlformats.org/officeDocument/2006/relationships/hyperlink" Target="http://www.linkedin.com/pub/jim-barthold/0/A3/6B2" TargetMode="External"/><Relationship Id="rId1671" Type="http://schemas.openxmlformats.org/officeDocument/2006/relationships/hyperlink" Target="http://www.linkedin.com/in/heidisehrt" TargetMode="External"/><Relationship Id="rId1672" Type="http://schemas.openxmlformats.org/officeDocument/2006/relationships/hyperlink" Target="http://www.linkedin.com/pub/tom-whittle/6/2A5/3A1" TargetMode="External"/><Relationship Id="rId1673" Type="http://schemas.openxmlformats.org/officeDocument/2006/relationships/hyperlink" Target="http://www.linkedin.com/pub/chuck-call/0/33/769" TargetMode="External"/><Relationship Id="rId1674" Type="http://schemas.openxmlformats.org/officeDocument/2006/relationships/hyperlink" Target="http://www.linkedin.com/in/kelleybrock" TargetMode="External"/><Relationship Id="rId1664" Type="http://schemas.openxmlformats.org/officeDocument/2006/relationships/hyperlink" Target="http://www.linkedin.com/pub/travis-butler/B/191/34" TargetMode="External"/><Relationship Id="rId2995" Type="http://schemas.openxmlformats.org/officeDocument/2006/relationships/hyperlink" Target="http://ar.linkedin.com/pub/fernando-andina/26/962/5B6" TargetMode="External"/><Relationship Id="rId1665" Type="http://schemas.openxmlformats.org/officeDocument/2006/relationships/hyperlink" Target="http://www.linkedin.com/in/jeremyreymer" TargetMode="External"/><Relationship Id="rId2996" Type="http://schemas.openxmlformats.org/officeDocument/2006/relationships/hyperlink" Target="http://ar.linkedin.com/in/eloycasin" TargetMode="External"/><Relationship Id="rId1666" Type="http://schemas.openxmlformats.org/officeDocument/2006/relationships/hyperlink" Target="http://www.linkedin.com/in/josephruizjr" TargetMode="External"/><Relationship Id="rId2997" Type="http://schemas.openxmlformats.org/officeDocument/2006/relationships/hyperlink" Target="http://ar.linkedin.com/pub/carlos-sirino/3/207/3B8" TargetMode="External"/><Relationship Id="rId1667" Type="http://schemas.openxmlformats.org/officeDocument/2006/relationships/hyperlink" Target="http://www.linkedin.com/pub/agnes-galecka/1/6A2/3A1" TargetMode="External"/><Relationship Id="rId2998" Type="http://schemas.openxmlformats.org/officeDocument/2006/relationships/hyperlink" Target="http://ar.linkedin.com/pub/daniel-debello/A/67B/88" TargetMode="External"/><Relationship Id="rId1668" Type="http://schemas.openxmlformats.org/officeDocument/2006/relationships/hyperlink" Target="https://www.linkedin.com/in/jonguidi" TargetMode="External"/><Relationship Id="rId2999" Type="http://schemas.openxmlformats.org/officeDocument/2006/relationships/hyperlink" Target="http://ar.linkedin.com/pub/claudia-alvarez/6/630/538" TargetMode="External"/><Relationship Id="rId1669" Type="http://schemas.openxmlformats.org/officeDocument/2006/relationships/hyperlink" Target="http://www.linkedin.com/pub/frank-gordon/6/29B/50" TargetMode="External"/><Relationship Id="rId839" Type="http://schemas.openxmlformats.org/officeDocument/2006/relationships/hyperlink" Target="http://dk.linkedin.com/in/skjoenaa" TargetMode="External"/><Relationship Id="rId838" Type="http://schemas.openxmlformats.org/officeDocument/2006/relationships/hyperlink" Target="http://www.linkedin.com/in/renesiegel" TargetMode="External"/><Relationship Id="rId833" Type="http://schemas.openxmlformats.org/officeDocument/2006/relationships/hyperlink" Target="http://www.linkedin.com/in/sanjeevsahni" TargetMode="External"/><Relationship Id="rId832" Type="http://schemas.openxmlformats.org/officeDocument/2006/relationships/hyperlink" Target="http://www.linkedin.com/pub/avery-lyford/0/A5/788" TargetMode="External"/><Relationship Id="rId831" Type="http://schemas.openxmlformats.org/officeDocument/2006/relationships/hyperlink" Target="http://it.linkedin.com/in/damianoairoldi" TargetMode="External"/><Relationship Id="rId830" Type="http://schemas.openxmlformats.org/officeDocument/2006/relationships/hyperlink" Target="http://www.linkedin.com/in/davidnason" TargetMode="External"/><Relationship Id="rId837" Type="http://schemas.openxmlformats.org/officeDocument/2006/relationships/hyperlink" Target="http://www.linkedin.com/in/jhoward15" TargetMode="External"/><Relationship Id="rId836" Type="http://schemas.openxmlformats.org/officeDocument/2006/relationships/hyperlink" Target="http://www.linkedin.com/in/websitemarketing" TargetMode="External"/><Relationship Id="rId835" Type="http://schemas.openxmlformats.org/officeDocument/2006/relationships/hyperlink" Target="http://www.linkedin.com/in/maheshuh" TargetMode="External"/><Relationship Id="rId834" Type="http://schemas.openxmlformats.org/officeDocument/2006/relationships/hyperlink" Target="http://in.linkedin.com/in/prasaddbartakke" TargetMode="External"/><Relationship Id="rId2990" Type="http://schemas.openxmlformats.org/officeDocument/2006/relationships/hyperlink" Target="http://ar.linkedin.com/in/enriqueblinder" TargetMode="External"/><Relationship Id="rId1660" Type="http://schemas.openxmlformats.org/officeDocument/2006/relationships/hyperlink" Target="http://www.linkedin.com/in/hedianj" TargetMode="External"/><Relationship Id="rId2991" Type="http://schemas.openxmlformats.org/officeDocument/2006/relationships/hyperlink" Target="http://ar.linkedin.com/pub/javier-omar-tempestelli/20/689/810" TargetMode="External"/><Relationship Id="rId1661" Type="http://schemas.openxmlformats.org/officeDocument/2006/relationships/hyperlink" Target="http://www.linkedin.com/pub/jaya-gali/2/45/575" TargetMode="External"/><Relationship Id="rId2992" Type="http://schemas.openxmlformats.org/officeDocument/2006/relationships/hyperlink" Target="http://ar.linkedin.com/pub/diego-melo/11/98/B78" TargetMode="External"/><Relationship Id="rId1662" Type="http://schemas.openxmlformats.org/officeDocument/2006/relationships/hyperlink" Target="http://uk.linkedin.com/pub/steve-wainwright/0/5AB/22" TargetMode="External"/><Relationship Id="rId2993" Type="http://schemas.openxmlformats.org/officeDocument/2006/relationships/hyperlink" Target="http://ar.linkedin.com/in/marcelodanielmarino" TargetMode="External"/><Relationship Id="rId1663" Type="http://schemas.openxmlformats.org/officeDocument/2006/relationships/hyperlink" Target="http://www.linkedin.com/pub/steve-elson/2/330/B7" TargetMode="External"/><Relationship Id="rId2994" Type="http://schemas.openxmlformats.org/officeDocument/2006/relationships/hyperlink" Target="http://ar.linkedin.com/pub/fabian-descalzo/A/A15/8A6" TargetMode="External"/><Relationship Id="rId6506" Type="http://schemas.openxmlformats.org/officeDocument/2006/relationships/hyperlink" Target="http://www.linkedin.com/in/christophermantin" TargetMode="External"/><Relationship Id="rId7838" Type="http://schemas.openxmlformats.org/officeDocument/2006/relationships/hyperlink" Target="http://www.linkedin.com/in/philrosenberg" TargetMode="External"/><Relationship Id="rId6507" Type="http://schemas.openxmlformats.org/officeDocument/2006/relationships/hyperlink" Target="http://ar.linkedin.com/pub/matias-sanchez/27/350/402" TargetMode="External"/><Relationship Id="rId7837" Type="http://schemas.openxmlformats.org/officeDocument/2006/relationships/hyperlink" Target="http://www.linkedin.com/in/josefigueroa112" TargetMode="External"/><Relationship Id="rId6504" Type="http://schemas.openxmlformats.org/officeDocument/2006/relationships/hyperlink" Target="http://ar.linkedin.com/in/mbedrinan" TargetMode="External"/><Relationship Id="rId7836" Type="http://schemas.openxmlformats.org/officeDocument/2006/relationships/hyperlink" Target="http://www.linkedin.com/pub/diego-lopez-casanello/10/300/b85" TargetMode="External"/><Relationship Id="rId6505" Type="http://schemas.openxmlformats.org/officeDocument/2006/relationships/hyperlink" Target="http://www.linkedin.com/pub/tiahna-mcdowell/13/B25/7B8" TargetMode="External"/><Relationship Id="rId7835" Type="http://schemas.openxmlformats.org/officeDocument/2006/relationships/hyperlink" Target="http://www.linkedin.com/pub/ludwig-haderer/1A/44A/A8A" TargetMode="External"/><Relationship Id="rId6508" Type="http://schemas.openxmlformats.org/officeDocument/2006/relationships/hyperlink" Target="http://ar.linkedin.com/pub/daniel-spinatto/9/48B/641" TargetMode="External"/><Relationship Id="rId6509" Type="http://schemas.openxmlformats.org/officeDocument/2006/relationships/hyperlink" Target="http://www.linkedin.com/in/irabinovitch" TargetMode="External"/><Relationship Id="rId7839" Type="http://schemas.openxmlformats.org/officeDocument/2006/relationships/hyperlink" Target="http://www.linkedin.com/pub/amaury-gallisa/0/11B/B56" TargetMode="External"/><Relationship Id="rId7830" Type="http://schemas.openxmlformats.org/officeDocument/2006/relationships/hyperlink" Target="http://www.linkedin.com/in/michaelobrochta" TargetMode="External"/><Relationship Id="rId6502" Type="http://schemas.openxmlformats.org/officeDocument/2006/relationships/hyperlink" Target="http://ar.linkedin.com/in/frodino" TargetMode="External"/><Relationship Id="rId7834" Type="http://schemas.openxmlformats.org/officeDocument/2006/relationships/hyperlink" Target="http://uk.linkedin.com/pub/adam-deane/1B/5B/2A6" TargetMode="External"/><Relationship Id="rId6503" Type="http://schemas.openxmlformats.org/officeDocument/2006/relationships/hyperlink" Target="http://ar.linkedin.com/pub/mario-rebuffi/25/4A4/958" TargetMode="External"/><Relationship Id="rId7833" Type="http://schemas.openxmlformats.org/officeDocument/2006/relationships/hyperlink" Target="http://www.linkedin.com/in/maurogarcia" TargetMode="External"/><Relationship Id="rId6500" Type="http://schemas.openxmlformats.org/officeDocument/2006/relationships/hyperlink" Target="http://www.linkedin.com/in/johnduval" TargetMode="External"/><Relationship Id="rId7832" Type="http://schemas.openxmlformats.org/officeDocument/2006/relationships/hyperlink" Target="http://www.linkedin.com/pub/mariano-j-doble/1/163/B75" TargetMode="External"/><Relationship Id="rId6501" Type="http://schemas.openxmlformats.org/officeDocument/2006/relationships/hyperlink" Target="http://ar.linkedin.com/in/alecesetti" TargetMode="External"/><Relationship Id="rId7831" Type="http://schemas.openxmlformats.org/officeDocument/2006/relationships/hyperlink" Target="http://www.linkedin.com/pub/michael-ditchfield/8/22A/63B" TargetMode="External"/><Relationship Id="rId7827" Type="http://schemas.openxmlformats.org/officeDocument/2006/relationships/hyperlink" Target="http://www.linkedin.com/in/rickamorris" TargetMode="External"/><Relationship Id="rId7826" Type="http://schemas.openxmlformats.org/officeDocument/2006/relationships/hyperlink" Target="http://www.linkedin.com/pub/julie-parrish/0/6A1/116" TargetMode="External"/><Relationship Id="rId7825" Type="http://schemas.openxmlformats.org/officeDocument/2006/relationships/hyperlink" Target="http://www.linkedin.com/in/mariajoseezquerra" TargetMode="External"/><Relationship Id="rId7824" Type="http://schemas.openxmlformats.org/officeDocument/2006/relationships/hyperlink" Target="http://www.linkedin.com/in/juano23" TargetMode="External"/><Relationship Id="rId7829" Type="http://schemas.openxmlformats.org/officeDocument/2006/relationships/hyperlink" Target="http://www.linkedin.com/pub/gustavo-merchan/4/497/A0B" TargetMode="External"/><Relationship Id="rId7828" Type="http://schemas.openxmlformats.org/officeDocument/2006/relationships/hyperlink" Target="http://www.linkedin.com/pub/lourdes-godfrey/3/B66/832" TargetMode="External"/><Relationship Id="rId7823" Type="http://schemas.openxmlformats.org/officeDocument/2006/relationships/hyperlink" Target="http://ar.linkedin.com/in/gabrielmiller" TargetMode="External"/><Relationship Id="rId7822" Type="http://schemas.openxmlformats.org/officeDocument/2006/relationships/hyperlink" Target="http://www.linkedin.com/in/danielserra" TargetMode="External"/><Relationship Id="rId7821" Type="http://schemas.openxmlformats.org/officeDocument/2006/relationships/hyperlink" Target="http://www.linkedin.com/in/peterwalshxj8" TargetMode="External"/><Relationship Id="rId7820" Type="http://schemas.openxmlformats.org/officeDocument/2006/relationships/hyperlink" Target="https://www.linkedin.com/in/fonolla" TargetMode="External"/><Relationship Id="rId6528" Type="http://schemas.openxmlformats.org/officeDocument/2006/relationships/hyperlink" Target="http://ar.linkedin.com/pub/daniela-s%C3%A1nchez/B/779/27" TargetMode="External"/><Relationship Id="rId6529" Type="http://schemas.openxmlformats.org/officeDocument/2006/relationships/hyperlink" Target="http://www.linkedin.com/in/sarahwimer" TargetMode="External"/><Relationship Id="rId7859" Type="http://schemas.openxmlformats.org/officeDocument/2006/relationships/hyperlink" Target="http://www.linkedin.com/pub/fred-pinkett/1/22/843" TargetMode="External"/><Relationship Id="rId6526" Type="http://schemas.openxmlformats.org/officeDocument/2006/relationships/hyperlink" Target="http://www.linkedin.com/in/ryanligon" TargetMode="External"/><Relationship Id="rId7858" Type="http://schemas.openxmlformats.org/officeDocument/2006/relationships/hyperlink" Target="http://www.linkedin.com/in/stevepace60" TargetMode="External"/><Relationship Id="rId6527" Type="http://schemas.openxmlformats.org/officeDocument/2006/relationships/hyperlink" Target="http://www.linkedin.com/pub/yingjie-he/10/334/398" TargetMode="External"/><Relationship Id="rId7857" Type="http://schemas.openxmlformats.org/officeDocument/2006/relationships/hyperlink" Target="http://ca.linkedin.com/in/stevebateman" TargetMode="External"/><Relationship Id="rId6520" Type="http://schemas.openxmlformats.org/officeDocument/2006/relationships/hyperlink" Target="http://ar.linkedin.com/in/juanpablorealini" TargetMode="External"/><Relationship Id="rId7852" Type="http://schemas.openxmlformats.org/officeDocument/2006/relationships/hyperlink" Target="http://www.linkedin.com/in/eduardoconrado" TargetMode="External"/><Relationship Id="rId6521" Type="http://schemas.openxmlformats.org/officeDocument/2006/relationships/hyperlink" Target="http://ar.linkedin.com/in/santiycr" TargetMode="External"/><Relationship Id="rId7851" Type="http://schemas.openxmlformats.org/officeDocument/2006/relationships/hyperlink" Target="http://www.linkedin.com/in/acarges" TargetMode="External"/><Relationship Id="rId7850" Type="http://schemas.openxmlformats.org/officeDocument/2006/relationships/hyperlink" Target="http://www.linkedin.com/in/tonyk" TargetMode="External"/><Relationship Id="rId6524" Type="http://schemas.openxmlformats.org/officeDocument/2006/relationships/hyperlink" Target="http://www.linkedin.com/pub/mario-e-munich/1/909/548" TargetMode="External"/><Relationship Id="rId7856" Type="http://schemas.openxmlformats.org/officeDocument/2006/relationships/hyperlink" Target="http://www.linkedin.com/in/aleinwand" TargetMode="External"/><Relationship Id="rId6525" Type="http://schemas.openxmlformats.org/officeDocument/2006/relationships/hyperlink" Target="http://www.linkedin.com/in/appinsight" TargetMode="External"/><Relationship Id="rId7855" Type="http://schemas.openxmlformats.org/officeDocument/2006/relationships/hyperlink" Target="http://www.linkedin.com/in/jimsinur" TargetMode="External"/><Relationship Id="rId6522" Type="http://schemas.openxmlformats.org/officeDocument/2006/relationships/hyperlink" Target="https://www.linkedin.com/in/sergioweinmann" TargetMode="External"/><Relationship Id="rId7854" Type="http://schemas.openxmlformats.org/officeDocument/2006/relationships/hyperlink" Target="http://ar.linkedin.com/pub/alberto-morelli/8/848/222" TargetMode="External"/><Relationship Id="rId6523" Type="http://schemas.openxmlformats.org/officeDocument/2006/relationships/hyperlink" Target="http://ar.linkedin.com/pub/ramiro-schillagi/2B/77/1BA" TargetMode="External"/><Relationship Id="rId7853" Type="http://schemas.openxmlformats.org/officeDocument/2006/relationships/hyperlink" Target="http://www.linkedin.com/pub/romina-cavanna/24/9ab/336" TargetMode="External"/><Relationship Id="rId6517" Type="http://schemas.openxmlformats.org/officeDocument/2006/relationships/hyperlink" Target="http://www.linkedin.com/pub/pomin-chuang/15/720/981" TargetMode="External"/><Relationship Id="rId7849" Type="http://schemas.openxmlformats.org/officeDocument/2006/relationships/hyperlink" Target="http://www.linkedin.com/in/chrislawsonelidanielgroup" TargetMode="External"/><Relationship Id="rId6518" Type="http://schemas.openxmlformats.org/officeDocument/2006/relationships/hyperlink" Target="http://ar.linkedin.com/in/sebastianscotti" TargetMode="External"/><Relationship Id="rId7848" Type="http://schemas.openxmlformats.org/officeDocument/2006/relationships/hyperlink" Target="http://www.linkedin.com/in/zetsui" TargetMode="External"/><Relationship Id="rId6515" Type="http://schemas.openxmlformats.org/officeDocument/2006/relationships/hyperlink" Target="http://www.linkedin.com/pub/facundo-colella/26/502/74b" TargetMode="External"/><Relationship Id="rId7847" Type="http://schemas.openxmlformats.org/officeDocument/2006/relationships/hyperlink" Target="http://at.linkedin.com/in/michaelhaschek" TargetMode="External"/><Relationship Id="rId6516" Type="http://schemas.openxmlformats.org/officeDocument/2006/relationships/hyperlink" Target="http://ar.linkedin.com/pub/emanuel-jos-granados/26/A87/A25" TargetMode="External"/><Relationship Id="rId7846" Type="http://schemas.openxmlformats.org/officeDocument/2006/relationships/hyperlink" Target="http://www.linkedin.com/in/bobgetz" TargetMode="External"/><Relationship Id="rId6519" Type="http://schemas.openxmlformats.org/officeDocument/2006/relationships/hyperlink" Target="http://www.linkedin.com/in/manojsnair" TargetMode="External"/><Relationship Id="rId7841" Type="http://schemas.openxmlformats.org/officeDocument/2006/relationships/hyperlink" Target="http://www.linkedin.com/in/jonwilliamson" TargetMode="External"/><Relationship Id="rId6510" Type="http://schemas.openxmlformats.org/officeDocument/2006/relationships/hyperlink" Target="http://ar.linkedin.com/in/gustavoprillo" TargetMode="External"/><Relationship Id="rId7840" Type="http://schemas.openxmlformats.org/officeDocument/2006/relationships/hyperlink" Target="http://www.linkedin.com/in/williamgiba" TargetMode="External"/><Relationship Id="rId6513" Type="http://schemas.openxmlformats.org/officeDocument/2006/relationships/hyperlink" Target="http://ar.linkedin.com/in/jvagliat" TargetMode="External"/><Relationship Id="rId7845" Type="http://schemas.openxmlformats.org/officeDocument/2006/relationships/hyperlink" Target="http://uk.linkedin.com/pub/colin-pickering/26/4B2/B21" TargetMode="External"/><Relationship Id="rId6514" Type="http://schemas.openxmlformats.org/officeDocument/2006/relationships/hyperlink" Target="http://www.linkedin.com/in/guidocrego" TargetMode="External"/><Relationship Id="rId7844" Type="http://schemas.openxmlformats.org/officeDocument/2006/relationships/hyperlink" Target="http://www.linkedin.com/in/edroberson" TargetMode="External"/><Relationship Id="rId6511" Type="http://schemas.openxmlformats.org/officeDocument/2006/relationships/hyperlink" Target="http://www.linkedin.com/in/carolschulien" TargetMode="External"/><Relationship Id="rId7843" Type="http://schemas.openxmlformats.org/officeDocument/2006/relationships/hyperlink" Target="http://ar.linkedin.com/in/eestigarribia" TargetMode="External"/><Relationship Id="rId6512" Type="http://schemas.openxmlformats.org/officeDocument/2006/relationships/hyperlink" Target="http://www.linkedin.com/in/staceyzur" TargetMode="External"/><Relationship Id="rId7842" Type="http://schemas.openxmlformats.org/officeDocument/2006/relationships/hyperlink" Target="http://ar.linkedin.com/in/diegorucci" TargetMode="External"/><Relationship Id="rId899" Type="http://schemas.openxmlformats.org/officeDocument/2006/relationships/hyperlink" Target="http://www.linkedin.com/pub/bhanu-gottipati/1/929/579" TargetMode="External"/><Relationship Id="rId898" Type="http://schemas.openxmlformats.org/officeDocument/2006/relationships/hyperlink" Target="http://www.linkedin.com/pub/andrew-cline/1/814/109" TargetMode="External"/><Relationship Id="rId897" Type="http://schemas.openxmlformats.org/officeDocument/2006/relationships/hyperlink" Target="http://www.linkedin.com/in/dbbarnes" TargetMode="External"/><Relationship Id="rId896" Type="http://schemas.openxmlformats.org/officeDocument/2006/relationships/hyperlink" Target="http://www.linkedin.com/in/rafkeustermans" TargetMode="External"/><Relationship Id="rId891" Type="http://schemas.openxmlformats.org/officeDocument/2006/relationships/hyperlink" Target="http://www.linkedin.com/pub/osmar-bmw-junior/20/AB3/90A" TargetMode="External"/><Relationship Id="rId890" Type="http://schemas.openxmlformats.org/officeDocument/2006/relationships/hyperlink" Target="http://www.linkedin.com/pub/laura-brown/0/7B3/32A" TargetMode="External"/><Relationship Id="rId895" Type="http://schemas.openxmlformats.org/officeDocument/2006/relationships/hyperlink" Target="http://www.linkedin.com/in/kurtconrath" TargetMode="External"/><Relationship Id="rId894" Type="http://schemas.openxmlformats.org/officeDocument/2006/relationships/hyperlink" Target="http://www.linkedin.com/in/tienwong" TargetMode="External"/><Relationship Id="rId893" Type="http://schemas.openxmlformats.org/officeDocument/2006/relationships/hyperlink" Target="http://www.linkedin.com/in/nicholaspritchett" TargetMode="External"/><Relationship Id="rId892" Type="http://schemas.openxmlformats.org/officeDocument/2006/relationships/hyperlink" Target="http://www.linkedin.com/in/beckydesouza" TargetMode="External"/><Relationship Id="rId7816" Type="http://schemas.openxmlformats.org/officeDocument/2006/relationships/hyperlink" Target="http://www.linkedin.com/in/bsantoshkumar" TargetMode="External"/><Relationship Id="rId7815" Type="http://schemas.openxmlformats.org/officeDocument/2006/relationships/hyperlink" Target="http://www.linkedin.com/pub/leonardo-rubinstein/8/a29/946" TargetMode="External"/><Relationship Id="rId7814" Type="http://schemas.openxmlformats.org/officeDocument/2006/relationships/hyperlink" Target="http://ar.linkedin.com/pub/carlos-matias-baglieri/25/B49/7A4" TargetMode="External"/><Relationship Id="rId7813" Type="http://schemas.openxmlformats.org/officeDocument/2006/relationships/hyperlink" Target="http://www.linkedin.com/in/emilianatorrens" TargetMode="External"/><Relationship Id="rId7819" Type="http://schemas.openxmlformats.org/officeDocument/2006/relationships/hyperlink" Target="http://www.linkedin.com/in/juanfranco" TargetMode="External"/><Relationship Id="rId7818" Type="http://schemas.openxmlformats.org/officeDocument/2006/relationships/hyperlink" Target="http://www.linkedin.com/in/hamiltonjones" TargetMode="External"/><Relationship Id="rId7817" Type="http://schemas.openxmlformats.org/officeDocument/2006/relationships/hyperlink" Target="http://www.linkedin.com/in/juansotuyo" TargetMode="External"/><Relationship Id="rId7812" Type="http://schemas.openxmlformats.org/officeDocument/2006/relationships/hyperlink" Target="http://www.linkedin.com/in/ghalimi" TargetMode="External"/><Relationship Id="rId7811" Type="http://schemas.openxmlformats.org/officeDocument/2006/relationships/hyperlink" Target="http://www.linkedin.com/in/danielbaudino" TargetMode="External"/><Relationship Id="rId7810" Type="http://schemas.openxmlformats.org/officeDocument/2006/relationships/hyperlink" Target="http://www.linkedin.com/in/sabrinabrt" TargetMode="External"/><Relationship Id="rId7805" Type="http://schemas.openxmlformats.org/officeDocument/2006/relationships/hyperlink" Target="http://www.linkedin.com/in/cynthiacorpuz" TargetMode="External"/><Relationship Id="rId7804" Type="http://schemas.openxmlformats.org/officeDocument/2006/relationships/hyperlink" Target="http://www.linkedin.com/pub/guillermo-tom%C3%A1s-chialvo/6/127/45b" TargetMode="External"/><Relationship Id="rId7803" Type="http://schemas.openxmlformats.org/officeDocument/2006/relationships/hyperlink" Target="http://ca.linkedin.com/in/victorsarmiento" TargetMode="External"/><Relationship Id="rId7802" Type="http://schemas.openxmlformats.org/officeDocument/2006/relationships/hyperlink" Target="http://www.linkedin.com/pub/jorge-goytort%C3%BAa/5/793/A09" TargetMode="External"/><Relationship Id="rId7809" Type="http://schemas.openxmlformats.org/officeDocument/2006/relationships/hyperlink" Target="http://ar.linkedin.com/pub/edgardo-grinblat/12/477/112" TargetMode="External"/><Relationship Id="rId7808" Type="http://schemas.openxmlformats.org/officeDocument/2006/relationships/hyperlink" Target="http://www.linkedin.com/pub/kurt-jackson/0/A96/4B9" TargetMode="External"/><Relationship Id="rId7807" Type="http://schemas.openxmlformats.org/officeDocument/2006/relationships/hyperlink" Target="http://ca.linkedin.com/in/bdwallace" TargetMode="External"/><Relationship Id="rId7806" Type="http://schemas.openxmlformats.org/officeDocument/2006/relationships/hyperlink" Target="http://www.linkedin.com/pub/luiz-meisler/19/A3A/356" TargetMode="External"/><Relationship Id="rId7801" Type="http://schemas.openxmlformats.org/officeDocument/2006/relationships/hyperlink" Target="http://www.linkedin.com/pub/michael-montonen/7/B21/A23" TargetMode="External"/><Relationship Id="rId7800" Type="http://schemas.openxmlformats.org/officeDocument/2006/relationships/hyperlink" Target="http://www.linkedin.com/in/alexinteract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9.0"/>
    <col customWidth="1" min="2" max="3" width="14.43"/>
    <col customWidth="1" min="4" max="4" width="27.29"/>
    <col customWidth="1" min="5" max="5" width="32.71"/>
    <col customWidth="1" min="6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v>9116.0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0.0</v>
      </c>
      <c r="G2" s="2">
        <v>500.0</v>
      </c>
      <c r="H2" s="3" t="str">
        <f>HYPERLINK("https://www.linkedin.com/in/edubrawski","https://www.linkedin.com/in/edubrawski")</f>
        <v>https://www.linkedin.com/in/edubrawski</v>
      </c>
      <c r="I2" s="2" t="s">
        <v>15</v>
      </c>
      <c r="J2" s="2" t="s">
        <v>16</v>
      </c>
      <c r="K2" s="2" t="s">
        <v>17</v>
      </c>
    </row>
    <row r="3" ht="15.75" customHeight="1">
      <c r="A3" s="2">
        <v>14430.0</v>
      </c>
      <c r="B3" s="2" t="s">
        <v>18</v>
      </c>
      <c r="C3" s="2" t="s">
        <v>19</v>
      </c>
      <c r="D3" s="2" t="s">
        <v>13</v>
      </c>
      <c r="E3" s="2" t="s">
        <v>20</v>
      </c>
      <c r="F3" s="2">
        <v>0.0</v>
      </c>
      <c r="G3" s="2">
        <v>500.0</v>
      </c>
      <c r="H3" s="3" t="str">
        <f>HYPERLINK("http://www.linkedin.com/pub/mauricio-spinetti/5/867/19","http://www.linkedin.com/pub/mauricio-spinetti/5/867/19")</f>
        <v>http://www.linkedin.com/pub/mauricio-spinetti/5/867/19</v>
      </c>
      <c r="I3" s="2" t="s">
        <v>15</v>
      </c>
      <c r="J3" s="2" t="s">
        <v>21</v>
      </c>
      <c r="K3" s="2" t="s">
        <v>22</v>
      </c>
    </row>
    <row r="4" ht="15.75" customHeight="1">
      <c r="A4" s="2">
        <v>15467.0</v>
      </c>
      <c r="B4" s="2" t="s">
        <v>23</v>
      </c>
      <c r="C4" s="2" t="s">
        <v>24</v>
      </c>
      <c r="D4" s="2" t="s">
        <v>25</v>
      </c>
      <c r="E4" s="2" t="s">
        <v>26</v>
      </c>
      <c r="F4" s="2">
        <v>1.0</v>
      </c>
      <c r="G4" s="2">
        <v>156.0</v>
      </c>
      <c r="H4" s="3" t="str">
        <f>HYPERLINK("http://www.linkedin.com/pub/julio-cepeda/14/345/649","http://www.linkedin.com/pub/julio-cepeda/14/345/649")</f>
        <v>http://www.linkedin.com/pub/julio-cepeda/14/345/649</v>
      </c>
      <c r="I4" s="2" t="s">
        <v>27</v>
      </c>
      <c r="J4" s="2" t="s">
        <v>28</v>
      </c>
      <c r="K4" s="2" t="s">
        <v>29</v>
      </c>
    </row>
    <row r="5" ht="15.75" customHeight="1">
      <c r="A5" s="2">
        <v>15495.0</v>
      </c>
      <c r="B5" s="2" t="s">
        <v>30</v>
      </c>
      <c r="C5" s="2" t="s">
        <v>31</v>
      </c>
      <c r="D5" s="2" t="s">
        <v>32</v>
      </c>
      <c r="E5" s="2" t="s">
        <v>33</v>
      </c>
      <c r="F5" s="2">
        <v>11.0</v>
      </c>
      <c r="G5" s="2">
        <v>500.0</v>
      </c>
      <c r="H5" s="3" t="str">
        <f>HYPERLINK("http://br.linkedin.com/pub/delson-silveira/0/366/9AA","http://br.linkedin.com/pub/delson-silveira/0/366/9AA")</f>
        <v>http://br.linkedin.com/pub/delson-silveira/0/366/9AA</v>
      </c>
      <c r="I5" s="2" t="s">
        <v>15</v>
      </c>
      <c r="J5" s="2" t="s">
        <v>34</v>
      </c>
      <c r="K5" s="2" t="s">
        <v>35</v>
      </c>
    </row>
    <row r="6" ht="15.75" customHeight="1">
      <c r="A6" s="2">
        <v>22242.0</v>
      </c>
      <c r="B6" s="2" t="s">
        <v>36</v>
      </c>
      <c r="C6" s="2" t="s">
        <v>37</v>
      </c>
      <c r="D6" s="2" t="s">
        <v>38</v>
      </c>
      <c r="E6" s="2" t="s">
        <v>39</v>
      </c>
      <c r="F6" s="2" t="s">
        <v>13</v>
      </c>
      <c r="G6" s="2">
        <v>500.0</v>
      </c>
      <c r="H6" s="3" t="str">
        <f>HYPERLINK("http://br.linkedin.com/in/adrianaesmeraldo","http://br.linkedin.com/in/adrianaesmeraldo")</f>
        <v>http://br.linkedin.com/in/adrianaesmeraldo</v>
      </c>
      <c r="I6" s="2" t="s">
        <v>15</v>
      </c>
      <c r="J6" s="2" t="s">
        <v>34</v>
      </c>
      <c r="K6" s="2" t="s">
        <v>35</v>
      </c>
    </row>
    <row r="7" ht="15.75" customHeight="1">
      <c r="A7" s="2">
        <v>22377.0</v>
      </c>
      <c r="B7" s="2" t="s">
        <v>40</v>
      </c>
      <c r="C7" s="2" t="s">
        <v>41</v>
      </c>
      <c r="D7" s="2" t="s">
        <v>42</v>
      </c>
      <c r="E7" s="2" t="s">
        <v>43</v>
      </c>
      <c r="F7" s="2">
        <v>4.0</v>
      </c>
      <c r="G7" s="2">
        <v>500.0</v>
      </c>
      <c r="H7" s="3" t="str">
        <f>HYPERLINK("http://ca.linkedin.com/in/nowshade","http://ca.linkedin.com/in/nowshade")</f>
        <v>http://ca.linkedin.com/in/nowshade</v>
      </c>
      <c r="I7" s="2" t="s">
        <v>15</v>
      </c>
      <c r="J7" s="2" t="s">
        <v>44</v>
      </c>
      <c r="K7" s="2" t="s">
        <v>35</v>
      </c>
    </row>
    <row r="8" ht="15.75" customHeight="1">
      <c r="A8" s="2">
        <v>22393.0</v>
      </c>
      <c r="B8" s="2" t="s">
        <v>45</v>
      </c>
      <c r="C8" s="2" t="s">
        <v>46</v>
      </c>
      <c r="D8" s="2" t="s">
        <v>47</v>
      </c>
      <c r="E8" s="2" t="s">
        <v>39</v>
      </c>
      <c r="F8" s="2" t="s">
        <v>13</v>
      </c>
      <c r="G8" s="2">
        <v>500.0</v>
      </c>
      <c r="H8" s="3" t="str">
        <f>HYPERLINK("http://br.linkedin.com/in/carlosrocha","http://br.linkedin.com/in/carlosrocha")</f>
        <v>http://br.linkedin.com/in/carlosrocha</v>
      </c>
      <c r="I8" s="2" t="s">
        <v>48</v>
      </c>
      <c r="J8" s="2" t="s">
        <v>34</v>
      </c>
      <c r="K8" s="2" t="s">
        <v>35</v>
      </c>
    </row>
    <row r="9" ht="15.75" customHeight="1">
      <c r="A9" s="2">
        <v>22452.0</v>
      </c>
      <c r="B9" s="2" t="s">
        <v>49</v>
      </c>
      <c r="C9" s="2" t="s">
        <v>50</v>
      </c>
      <c r="D9" s="2" t="s">
        <v>51</v>
      </c>
      <c r="E9" s="2" t="s">
        <v>52</v>
      </c>
      <c r="F9" s="2">
        <v>40.0</v>
      </c>
      <c r="G9" s="2">
        <v>500.0</v>
      </c>
      <c r="H9" s="3" t="str">
        <f>HYPERLINK("http://uk.linkedin.com/in/arnnei","http://uk.linkedin.com/in/arnnei")</f>
        <v>http://uk.linkedin.com/in/arnnei</v>
      </c>
      <c r="I9" s="2" t="s">
        <v>15</v>
      </c>
      <c r="J9" s="2" t="s">
        <v>53</v>
      </c>
      <c r="K9" s="2" t="s">
        <v>35</v>
      </c>
    </row>
    <row r="10" ht="15.75" customHeight="1">
      <c r="A10" s="2">
        <v>22466.0</v>
      </c>
      <c r="B10" s="2" t="s">
        <v>54</v>
      </c>
      <c r="C10" s="2" t="s">
        <v>55</v>
      </c>
      <c r="D10" s="2" t="s">
        <v>13</v>
      </c>
      <c r="E10" s="2" t="s">
        <v>56</v>
      </c>
      <c r="F10" s="2">
        <v>11.0</v>
      </c>
      <c r="G10" s="2">
        <v>500.0</v>
      </c>
      <c r="H10" s="3" t="str">
        <f>HYPERLINK("http://www.linkedin.com/pub/gary-l-melling/0/1a5/264","http://www.linkedin.com/pub/gary-l-melling/0/1a5/264")</f>
        <v>http://www.linkedin.com/pub/gary-l-melling/0/1a5/264</v>
      </c>
      <c r="I10" s="2" t="s">
        <v>57</v>
      </c>
      <c r="J10" s="2" t="s">
        <v>44</v>
      </c>
      <c r="K10" s="2" t="s">
        <v>58</v>
      </c>
    </row>
    <row r="11" ht="15.75" customHeight="1">
      <c r="A11" s="2">
        <v>23991.0</v>
      </c>
      <c r="B11" s="2" t="s">
        <v>59</v>
      </c>
      <c r="C11" s="2" t="s">
        <v>60</v>
      </c>
      <c r="D11" s="2" t="s">
        <v>13</v>
      </c>
      <c r="E11" s="2" t="s">
        <v>20</v>
      </c>
      <c r="F11" s="2">
        <v>11.0</v>
      </c>
      <c r="G11" s="2">
        <v>500.0</v>
      </c>
      <c r="H11" s="3" t="str">
        <f>HYPERLINK("http://www.linkedin.com/pub/martin-kryss/0/b92/7bb","http://www.linkedin.com/pub/martin-kryss/0/b92/7bb")</f>
        <v>http://www.linkedin.com/pub/martin-kryss/0/b92/7bb</v>
      </c>
      <c r="I11" s="2" t="s">
        <v>15</v>
      </c>
      <c r="J11" s="2" t="s">
        <v>21</v>
      </c>
      <c r="K11" s="2" t="s">
        <v>35</v>
      </c>
    </row>
    <row r="12" ht="15.75" customHeight="1">
      <c r="A12" s="2">
        <v>24163.0</v>
      </c>
      <c r="B12" s="2" t="s">
        <v>61</v>
      </c>
      <c r="C12" s="2" t="s">
        <v>62</v>
      </c>
      <c r="D12" s="2" t="s">
        <v>63</v>
      </c>
      <c r="E12" s="2" t="s">
        <v>64</v>
      </c>
      <c r="F12" s="2">
        <v>1.0</v>
      </c>
      <c r="G12" s="2">
        <v>500.0</v>
      </c>
      <c r="H12" s="3" t="str">
        <f>HYPERLINK("http://fr.linkedin.com/pub/abdallah-hitti/0/49/549","http://fr.linkedin.com/pub/abdallah-hitti/0/49/549")</f>
        <v>http://fr.linkedin.com/pub/abdallah-hitti/0/49/549</v>
      </c>
      <c r="I12" s="2" t="s">
        <v>15</v>
      </c>
      <c r="J12" s="2" t="s">
        <v>65</v>
      </c>
      <c r="K12" s="2" t="s">
        <v>35</v>
      </c>
    </row>
    <row r="13" ht="15.75" customHeight="1">
      <c r="A13" s="2">
        <v>24332.0</v>
      </c>
      <c r="B13" s="2" t="s">
        <v>66</v>
      </c>
      <c r="C13" s="2" t="s">
        <v>67</v>
      </c>
      <c r="D13" s="2" t="s">
        <v>68</v>
      </c>
      <c r="E13" s="2" t="s">
        <v>33</v>
      </c>
      <c r="F13" s="2">
        <v>1.0</v>
      </c>
      <c r="G13" s="2">
        <v>500.0</v>
      </c>
      <c r="H13" s="3" t="str">
        <f>HYPERLINK("http://br.linkedin.com/pub/jacques-varaschim/0/1A8/B00","http://br.linkedin.com/pub/jacques-varaschim/0/1A8/B00")</f>
        <v>http://br.linkedin.com/pub/jacques-varaschim/0/1A8/B00</v>
      </c>
      <c r="I13" s="2" t="s">
        <v>69</v>
      </c>
      <c r="J13" s="2" t="s">
        <v>34</v>
      </c>
      <c r="K13" s="2" t="s">
        <v>35</v>
      </c>
    </row>
    <row r="14" ht="15.75" customHeight="1">
      <c r="A14" s="2">
        <v>24345.0</v>
      </c>
      <c r="B14" s="2" t="s">
        <v>70</v>
      </c>
      <c r="C14" s="2" t="s">
        <v>71</v>
      </c>
      <c r="D14" s="2" t="s">
        <v>13</v>
      </c>
      <c r="E14" s="2" t="s">
        <v>72</v>
      </c>
      <c r="F14" s="2">
        <v>53.0</v>
      </c>
      <c r="G14" s="2">
        <v>500.0</v>
      </c>
      <c r="H14" s="3" t="str">
        <f>HYPERLINK("http://www.linkedin.com/pub/gustavo-caetano/0/524/b96?trk=pub-pbmap","http://www.linkedin.com/pub/gustavo-caetano/0/524/b96?trk=pub-pbmap")</f>
        <v>http://www.linkedin.com/pub/gustavo-caetano/0/524/b96?trk=pub-pbmap</v>
      </c>
      <c r="I14" s="2" t="s">
        <v>15</v>
      </c>
      <c r="J14" s="2" t="s">
        <v>34</v>
      </c>
      <c r="K14" s="2" t="s">
        <v>35</v>
      </c>
    </row>
    <row r="15" ht="15.75" customHeight="1">
      <c r="A15" s="2">
        <v>24364.0</v>
      </c>
      <c r="B15" s="2" t="s">
        <v>73</v>
      </c>
      <c r="C15" s="2" t="s">
        <v>74</v>
      </c>
      <c r="D15" s="2" t="s">
        <v>75</v>
      </c>
      <c r="E15" s="2" t="s">
        <v>76</v>
      </c>
      <c r="F15" s="2">
        <v>2.0</v>
      </c>
      <c r="G15" s="2">
        <v>500.0</v>
      </c>
      <c r="H15" s="3" t="str">
        <f>HYPERLINK("http://br.linkedin.com/pub/nivaldo-santana-pmp/9/239/88A","http://br.linkedin.com/pub/nivaldo-santana-pmp/9/239/88A")</f>
        <v>http://br.linkedin.com/pub/nivaldo-santana-pmp/9/239/88A</v>
      </c>
      <c r="I15" s="2" t="s">
        <v>77</v>
      </c>
      <c r="J15" s="2" t="s">
        <v>34</v>
      </c>
      <c r="K15" s="2" t="s">
        <v>78</v>
      </c>
    </row>
    <row r="16" ht="15.75" customHeight="1">
      <c r="A16" s="2">
        <v>24480.0</v>
      </c>
      <c r="B16" s="2" t="s">
        <v>79</v>
      </c>
      <c r="C16" s="2" t="s">
        <v>80</v>
      </c>
      <c r="D16" s="2" t="s">
        <v>81</v>
      </c>
      <c r="E16" s="2" t="s">
        <v>72</v>
      </c>
      <c r="F16" s="2">
        <v>10.0</v>
      </c>
      <c r="G16" s="2">
        <v>500.0</v>
      </c>
      <c r="H16" s="3" t="str">
        <f>HYPERLINK("http://br.linkedin.com/in/tomasduarte","http://br.linkedin.com/in/tomasduarte")</f>
        <v>http://br.linkedin.com/in/tomasduarte</v>
      </c>
      <c r="I16" s="2" t="s">
        <v>69</v>
      </c>
      <c r="J16" s="2" t="s">
        <v>34</v>
      </c>
      <c r="K16" s="2" t="s">
        <v>35</v>
      </c>
    </row>
    <row r="17" ht="15.75" customHeight="1">
      <c r="A17" s="2">
        <v>24924.0</v>
      </c>
      <c r="B17" s="2" t="s">
        <v>82</v>
      </c>
      <c r="C17" s="2" t="s">
        <v>83</v>
      </c>
      <c r="D17" s="2" t="s">
        <v>42</v>
      </c>
      <c r="E17" s="2" t="s">
        <v>33</v>
      </c>
      <c r="F17" s="2" t="s">
        <v>13</v>
      </c>
      <c r="G17" s="2">
        <v>183.0</v>
      </c>
      <c r="H17" s="3" t="str">
        <f>HYPERLINK("http://br.linkedin.com/pub/sonia-nigri/0/534/B87","http://br.linkedin.com/pub/sonia-nigri/0/534/B87")</f>
        <v>http://br.linkedin.com/pub/sonia-nigri/0/534/B87</v>
      </c>
      <c r="I17" s="2" t="s">
        <v>48</v>
      </c>
      <c r="J17" s="2" t="s">
        <v>34</v>
      </c>
      <c r="K17" s="2" t="s">
        <v>35</v>
      </c>
    </row>
    <row r="18" ht="15.75" customHeight="1">
      <c r="A18" s="2">
        <v>26317.0</v>
      </c>
      <c r="B18" s="2" t="s">
        <v>84</v>
      </c>
      <c r="C18" s="2" t="s">
        <v>85</v>
      </c>
      <c r="D18" s="2" t="s">
        <v>47</v>
      </c>
      <c r="E18" s="2" t="s">
        <v>86</v>
      </c>
      <c r="F18" s="2">
        <v>1.0</v>
      </c>
      <c r="G18" s="2">
        <v>500.0</v>
      </c>
      <c r="H18" s="3" t="str">
        <f>HYPERLINK("http://in.linkedin.com/pub/deepak-chandnani/10/11B/308","http://in.linkedin.com/pub/deepak-chandnani/10/11B/308")</f>
        <v>http://in.linkedin.com/pub/deepak-chandnani/10/11B/308</v>
      </c>
      <c r="I18" s="2" t="s">
        <v>15</v>
      </c>
      <c r="J18" s="2" t="s">
        <v>87</v>
      </c>
      <c r="K18" s="2" t="s">
        <v>35</v>
      </c>
    </row>
    <row r="19" ht="15.75" customHeight="1">
      <c r="A19" s="2">
        <v>26684.0</v>
      </c>
      <c r="B19" s="2" t="s">
        <v>88</v>
      </c>
      <c r="C19" s="2" t="s">
        <v>89</v>
      </c>
      <c r="D19" s="2" t="s">
        <v>90</v>
      </c>
      <c r="E19" s="2" t="s">
        <v>91</v>
      </c>
      <c r="F19" s="2">
        <v>2.0</v>
      </c>
      <c r="G19" s="2">
        <v>500.0</v>
      </c>
      <c r="H19" s="3" t="str">
        <f>HYPERLINK("http://br.linkedin.com/pub/luis-filipe-cavalcanti/1/22A/A9B","http://br.linkedin.com/pub/luis-filipe-cavalcanti/1/22A/A9B")</f>
        <v>http://br.linkedin.com/pub/luis-filipe-cavalcanti/1/22A/A9B</v>
      </c>
      <c r="I19" s="2" t="s">
        <v>15</v>
      </c>
      <c r="J19" s="2" t="s">
        <v>34</v>
      </c>
      <c r="K19" s="2" t="s">
        <v>35</v>
      </c>
    </row>
    <row r="20" ht="15.75" customHeight="1">
      <c r="A20" s="2">
        <v>26790.0</v>
      </c>
      <c r="B20" s="2" t="s">
        <v>92</v>
      </c>
      <c r="C20" s="2" t="s">
        <v>93</v>
      </c>
      <c r="D20" s="2" t="s">
        <v>94</v>
      </c>
      <c r="E20" s="2" t="s">
        <v>95</v>
      </c>
      <c r="F20" s="2" t="s">
        <v>13</v>
      </c>
      <c r="G20" s="2">
        <v>54.0</v>
      </c>
      <c r="H20" s="3" t="str">
        <f>HYPERLINK("http://br.linkedin.com/pub/carlos-augusto-oliveira/29/1B8/8B0","http://br.linkedin.com/pub/carlos-augusto-oliveira/29/1B8/8B0")</f>
        <v>http://br.linkedin.com/pub/carlos-augusto-oliveira/29/1B8/8B0</v>
      </c>
      <c r="I20" s="2" t="s">
        <v>96</v>
      </c>
      <c r="J20" s="2" t="s">
        <v>34</v>
      </c>
      <c r="K20" s="2" t="s">
        <v>97</v>
      </c>
    </row>
    <row r="21" ht="15.75" customHeight="1">
      <c r="A21" s="2">
        <v>27425.0</v>
      </c>
      <c r="B21" s="2" t="s">
        <v>98</v>
      </c>
      <c r="C21" s="2" t="s">
        <v>99</v>
      </c>
      <c r="D21" s="2" t="s">
        <v>100</v>
      </c>
      <c r="E21" s="2" t="s">
        <v>101</v>
      </c>
      <c r="F21" s="2">
        <v>1.0</v>
      </c>
      <c r="G21" s="2">
        <v>500.0</v>
      </c>
      <c r="H21" s="3" t="str">
        <f>HYPERLINK("http://www.linkedin.com/pub/annetta-coleman/5/835/7B8","http://www.linkedin.com/pub/annetta-coleman/5/835/7B8")</f>
        <v>http://www.linkedin.com/pub/annetta-coleman/5/835/7B8</v>
      </c>
      <c r="I21" s="2" t="s">
        <v>57</v>
      </c>
      <c r="J21" s="2" t="s">
        <v>102</v>
      </c>
      <c r="K21" s="2" t="s">
        <v>58</v>
      </c>
    </row>
    <row r="22" ht="15.75" customHeight="1">
      <c r="A22" s="2">
        <v>29529.0</v>
      </c>
      <c r="B22" s="2" t="s">
        <v>103</v>
      </c>
      <c r="C22" s="2" t="s">
        <v>104</v>
      </c>
      <c r="D22" s="2" t="s">
        <v>13</v>
      </c>
      <c r="E22" s="2" t="s">
        <v>20</v>
      </c>
      <c r="F22" s="2">
        <v>0.0</v>
      </c>
      <c r="G22" s="2">
        <v>500.0</v>
      </c>
      <c r="H22" s="3" t="str">
        <f>HYPERLINK("http://www.linkedin.com/in/marinamendez","http://www.linkedin.com/in/marinamendez")</f>
        <v>http://www.linkedin.com/in/marinamendez</v>
      </c>
      <c r="I22" s="2" t="s">
        <v>105</v>
      </c>
      <c r="J22" s="2" t="s">
        <v>21</v>
      </c>
      <c r="K22" s="2" t="s">
        <v>58</v>
      </c>
    </row>
    <row r="23" ht="15.75" customHeight="1">
      <c r="A23" s="2">
        <v>30324.0</v>
      </c>
      <c r="B23" s="2" t="s">
        <v>106</v>
      </c>
      <c r="C23" s="2" t="s">
        <v>107</v>
      </c>
      <c r="D23" s="2" t="s">
        <v>108</v>
      </c>
      <c r="E23" s="2" t="s">
        <v>109</v>
      </c>
      <c r="F23" s="2">
        <v>0.0</v>
      </c>
      <c r="G23" s="2">
        <v>140.0</v>
      </c>
      <c r="H23" s="3" t="str">
        <f>HYPERLINK("http://www.linkedin.com/pub/eyal-avner/19/A86/369","http://www.linkedin.com/pub/eyal-avner/19/A86/369")</f>
        <v>http://www.linkedin.com/pub/eyal-avner/19/A86/369</v>
      </c>
      <c r="I23" s="2" t="s">
        <v>77</v>
      </c>
      <c r="J23" s="2" t="s">
        <v>110</v>
      </c>
      <c r="K23" s="2" t="s">
        <v>111</v>
      </c>
    </row>
    <row r="24" ht="15.75" customHeight="1">
      <c r="A24" s="2">
        <v>30328.0</v>
      </c>
      <c r="B24" s="2" t="s">
        <v>106</v>
      </c>
      <c r="C24" s="2" t="s">
        <v>107</v>
      </c>
      <c r="D24" s="2" t="s">
        <v>108</v>
      </c>
      <c r="E24" s="2" t="s">
        <v>109</v>
      </c>
      <c r="F24" s="2">
        <v>0.0</v>
      </c>
      <c r="G24" s="2">
        <v>199.0</v>
      </c>
      <c r="H24" s="3" t="str">
        <f>HYPERLINK("http://www.linkedin.com/pub/eyal-avner/4/A45/4B0","http://www.linkedin.com/pub/eyal-avner/4/A45/4B0")</f>
        <v>http://www.linkedin.com/pub/eyal-avner/4/A45/4B0</v>
      </c>
      <c r="I24" s="2" t="s">
        <v>77</v>
      </c>
      <c r="J24" s="2" t="s">
        <v>110</v>
      </c>
      <c r="K24" s="2" t="s">
        <v>111</v>
      </c>
    </row>
    <row r="25" ht="15.75" customHeight="1">
      <c r="A25" s="2">
        <v>30337.0</v>
      </c>
      <c r="B25" s="2" t="s">
        <v>112</v>
      </c>
      <c r="C25" s="2" t="s">
        <v>113</v>
      </c>
      <c r="D25" s="2" t="s">
        <v>114</v>
      </c>
      <c r="E25" s="2" t="s">
        <v>109</v>
      </c>
      <c r="F25" s="2">
        <v>0.0</v>
      </c>
      <c r="G25" s="2">
        <v>500.0</v>
      </c>
      <c r="H25" s="3" t="str">
        <f>HYPERLINK("http://www.linkedin.com/pub/kopelipa-vieira-dias/22/589/95B","http://www.linkedin.com/pub/kopelipa-vieira-dias/22/589/95B")</f>
        <v>http://www.linkedin.com/pub/kopelipa-vieira-dias/22/589/95B</v>
      </c>
      <c r="I25" s="2" t="s">
        <v>115</v>
      </c>
      <c r="J25" s="2" t="s">
        <v>110</v>
      </c>
      <c r="K25" s="2" t="s">
        <v>97</v>
      </c>
    </row>
    <row r="26" ht="15.75" customHeight="1">
      <c r="A26" s="2">
        <v>30458.0</v>
      </c>
      <c r="B26" s="2" t="s">
        <v>116</v>
      </c>
      <c r="C26" s="2" t="s">
        <v>117</v>
      </c>
      <c r="D26" s="2" t="s">
        <v>118</v>
      </c>
      <c r="E26" s="2" t="s">
        <v>39</v>
      </c>
      <c r="F26" s="2" t="s">
        <v>13</v>
      </c>
      <c r="G26" s="2">
        <v>500.0</v>
      </c>
      <c r="H26" s="3" t="str">
        <f>HYPERLINK("http://br.linkedin.com/pub/alex-szapiro/0/A/355","http://br.linkedin.com/pub/alex-szapiro/0/A/355")</f>
        <v>http://br.linkedin.com/pub/alex-szapiro/0/A/355</v>
      </c>
      <c r="I26" s="2" t="s">
        <v>119</v>
      </c>
      <c r="J26" s="2" t="s">
        <v>34</v>
      </c>
      <c r="K26" s="2" t="s">
        <v>97</v>
      </c>
    </row>
    <row r="27" ht="15.75" customHeight="1">
      <c r="A27" s="2">
        <v>31300.0</v>
      </c>
      <c r="B27" s="2" t="s">
        <v>120</v>
      </c>
      <c r="C27" s="2" t="s">
        <v>121</v>
      </c>
      <c r="D27" s="2" t="s">
        <v>47</v>
      </c>
      <c r="E27" s="2" t="s">
        <v>122</v>
      </c>
      <c r="F27" s="2" t="s">
        <v>13</v>
      </c>
      <c r="G27" s="2">
        <v>241.0</v>
      </c>
      <c r="H27" s="3" t="str">
        <f>HYPERLINK("http://uk.linkedin.com/in/volodymyrnedashkivskyi","http://uk.linkedin.com/in/volodymyrnedashkivskyi")</f>
        <v>http://uk.linkedin.com/in/volodymyrnedashkivskyi</v>
      </c>
      <c r="I27" s="2" t="s">
        <v>48</v>
      </c>
      <c r="J27" s="2" t="s">
        <v>53</v>
      </c>
      <c r="K27" s="2" t="s">
        <v>35</v>
      </c>
    </row>
    <row r="28" ht="15.75" customHeight="1">
      <c r="A28" s="2">
        <v>32364.0</v>
      </c>
      <c r="B28" s="2" t="s">
        <v>123</v>
      </c>
      <c r="C28" s="2" t="s">
        <v>124</v>
      </c>
      <c r="D28" s="2" t="s">
        <v>125</v>
      </c>
      <c r="E28" s="2" t="s">
        <v>91</v>
      </c>
      <c r="F28" s="2">
        <v>49.0</v>
      </c>
      <c r="G28" s="2">
        <v>500.0</v>
      </c>
      <c r="H28" s="3" t="str">
        <f>HYPERLINK("http://br.linkedin.com/pub/m-rcia-primo-costa/0/447/63B","http://br.linkedin.com/pub/m-rcia-primo-costa/0/447/63B")</f>
        <v>http://br.linkedin.com/pub/m-rcia-primo-costa/0/447/63B</v>
      </c>
      <c r="I28" s="2" t="s">
        <v>15</v>
      </c>
      <c r="J28" s="2" t="s">
        <v>34</v>
      </c>
      <c r="K28" s="2" t="s">
        <v>35</v>
      </c>
    </row>
    <row r="29" ht="15.75" customHeight="1">
      <c r="A29" s="2">
        <v>32454.0</v>
      </c>
      <c r="B29" s="2" t="s">
        <v>126</v>
      </c>
      <c r="C29" s="2" t="s">
        <v>127</v>
      </c>
      <c r="D29" s="2" t="s">
        <v>128</v>
      </c>
      <c r="E29" s="2" t="s">
        <v>39</v>
      </c>
      <c r="F29" s="2">
        <v>19.0</v>
      </c>
      <c r="G29" s="2">
        <v>500.0</v>
      </c>
      <c r="H29" s="3" t="str">
        <f>HYPERLINK("http://br.linkedin.com/pub/newton-homem/0/252/164","http://br.linkedin.com/pub/newton-homem/0/252/164")</f>
        <v>http://br.linkedin.com/pub/newton-homem/0/252/164</v>
      </c>
      <c r="I29" s="2" t="s">
        <v>48</v>
      </c>
      <c r="J29" s="2" t="s">
        <v>34</v>
      </c>
      <c r="K29" s="2" t="s">
        <v>35</v>
      </c>
    </row>
    <row r="30" ht="15.75" customHeight="1">
      <c r="A30" s="2">
        <v>32522.0</v>
      </c>
      <c r="B30" s="2" t="s">
        <v>129</v>
      </c>
      <c r="C30" s="2" t="s">
        <v>130</v>
      </c>
      <c r="D30" s="2" t="s">
        <v>131</v>
      </c>
      <c r="E30" s="2" t="s">
        <v>39</v>
      </c>
      <c r="F30" s="2" t="s">
        <v>13</v>
      </c>
      <c r="G30" s="2">
        <v>500.0</v>
      </c>
      <c r="H30" s="3" t="str">
        <f>HYPERLINK("http://br.linkedin.com/in/germanoramlow","http://br.linkedin.com/in/germanoramlow")</f>
        <v>http://br.linkedin.com/in/germanoramlow</v>
      </c>
      <c r="I30" s="2" t="s">
        <v>132</v>
      </c>
      <c r="J30" s="2" t="s">
        <v>34</v>
      </c>
      <c r="K30" s="2" t="s">
        <v>97</v>
      </c>
    </row>
    <row r="31" ht="15.75" customHeight="1">
      <c r="A31" s="2">
        <v>34542.0</v>
      </c>
      <c r="B31" s="2" t="s">
        <v>133</v>
      </c>
      <c r="C31" s="2" t="s">
        <v>134</v>
      </c>
      <c r="D31" s="2" t="s">
        <v>135</v>
      </c>
      <c r="E31" s="2" t="s">
        <v>136</v>
      </c>
      <c r="F31" s="2" t="s">
        <v>13</v>
      </c>
      <c r="G31" s="2">
        <v>500.0</v>
      </c>
      <c r="H31" s="3" t="str">
        <f>HYPERLINK("http://www.linkedin.com/pub/michael-frick/0/131/421","http://www.linkedin.com/pub/michael-frick/0/131/421")</f>
        <v>http://www.linkedin.com/pub/michael-frick/0/131/421</v>
      </c>
      <c r="I31" s="2" t="s">
        <v>137</v>
      </c>
      <c r="J31" s="2" t="s">
        <v>102</v>
      </c>
      <c r="K31" s="2" t="s">
        <v>138</v>
      </c>
    </row>
    <row r="32" ht="15.75" customHeight="1">
      <c r="A32" s="2">
        <v>34687.0</v>
      </c>
      <c r="B32" s="2" t="s">
        <v>139</v>
      </c>
      <c r="C32" s="2" t="s">
        <v>140</v>
      </c>
      <c r="D32" s="2" t="s">
        <v>141</v>
      </c>
      <c r="E32" s="2" t="s">
        <v>142</v>
      </c>
      <c r="F32" s="2">
        <v>43.0</v>
      </c>
      <c r="G32" s="2">
        <v>500.0</v>
      </c>
      <c r="H32" s="3" t="str">
        <f>HYPERLINK("http://www.linkedin.com/in/dargie","http://www.linkedin.com/in/dargie")</f>
        <v>http://www.linkedin.com/in/dargie</v>
      </c>
      <c r="I32" s="2" t="s">
        <v>143</v>
      </c>
      <c r="J32" s="2" t="s">
        <v>144</v>
      </c>
      <c r="K32" s="2" t="s">
        <v>145</v>
      </c>
    </row>
    <row r="33" ht="15.75" customHeight="1">
      <c r="A33" s="2">
        <v>35033.0</v>
      </c>
      <c r="B33" s="2" t="s">
        <v>146</v>
      </c>
      <c r="C33" s="2" t="s">
        <v>147</v>
      </c>
      <c r="D33" s="2" t="s">
        <v>148</v>
      </c>
      <c r="E33" s="2" t="s">
        <v>20</v>
      </c>
      <c r="F33" s="2">
        <v>1.0</v>
      </c>
      <c r="G33" s="2">
        <v>500.0</v>
      </c>
      <c r="H33" s="3" t="str">
        <f>HYPERLINK("http://cl.linkedin.com/pub/enrique-novomisky/1/369/4A","http://cl.linkedin.com/pub/enrique-novomisky/1/369/4A")</f>
        <v>http://cl.linkedin.com/pub/enrique-novomisky/1/369/4A</v>
      </c>
      <c r="I33" s="2" t="s">
        <v>15</v>
      </c>
      <c r="J33" s="2" t="s">
        <v>21</v>
      </c>
      <c r="K33" s="2" t="s">
        <v>35</v>
      </c>
    </row>
    <row r="34" ht="15.75" customHeight="1">
      <c r="A34" s="2">
        <v>35648.0</v>
      </c>
      <c r="B34" s="2" t="s">
        <v>149</v>
      </c>
      <c r="C34" s="2" t="s">
        <v>150</v>
      </c>
      <c r="D34" s="2" t="s">
        <v>151</v>
      </c>
      <c r="E34" s="2" t="s">
        <v>39</v>
      </c>
      <c r="F34" s="2" t="s">
        <v>13</v>
      </c>
      <c r="G34" s="2">
        <v>500.0</v>
      </c>
      <c r="H34" s="3" t="str">
        <f>HYPERLINK("http://br.linkedin.com/pub/eldes-mattiuzzo/0/125/82A","http://br.linkedin.com/pub/eldes-mattiuzzo/0/125/82A")</f>
        <v>http://br.linkedin.com/pub/eldes-mattiuzzo/0/125/82A</v>
      </c>
      <c r="I34" s="2" t="s">
        <v>69</v>
      </c>
      <c r="J34" s="2" t="s">
        <v>34</v>
      </c>
      <c r="K34" s="2" t="s">
        <v>35</v>
      </c>
    </row>
    <row r="35" ht="15.75" customHeight="1">
      <c r="A35" s="2">
        <v>37579.0</v>
      </c>
      <c r="B35" s="2" t="s">
        <v>152</v>
      </c>
      <c r="C35" s="2" t="s">
        <v>153</v>
      </c>
      <c r="D35" s="2" t="s">
        <v>154</v>
      </c>
      <c r="E35" s="2" t="s">
        <v>155</v>
      </c>
      <c r="F35" s="2">
        <v>3.0</v>
      </c>
      <c r="G35" s="2">
        <v>500.0</v>
      </c>
      <c r="H35" s="3" t="str">
        <f>HYPERLINK("http://www.linkedin.com/in/eduardofrias","http://www.linkedin.com/in/eduardofrias")</f>
        <v>http://www.linkedin.com/in/eduardofrias</v>
      </c>
      <c r="I35" s="2" t="s">
        <v>156</v>
      </c>
      <c r="J35" s="2" t="s">
        <v>102</v>
      </c>
      <c r="K35" s="2" t="s">
        <v>58</v>
      </c>
    </row>
    <row r="36" ht="15.75" customHeight="1">
      <c r="A36" s="2">
        <v>37743.0</v>
      </c>
      <c r="B36" s="2" t="s">
        <v>157</v>
      </c>
      <c r="C36" s="2" t="s">
        <v>158</v>
      </c>
      <c r="D36" s="2" t="s">
        <v>13</v>
      </c>
      <c r="E36" s="2" t="s">
        <v>159</v>
      </c>
      <c r="F36" s="2">
        <v>0.0</v>
      </c>
      <c r="G36" s="2">
        <v>160.0</v>
      </c>
      <c r="H36" s="3" t="str">
        <f>HYPERLINK("http://www.linkedin.com/pub/jonathan-coupal-cissp-mcse/5/59B/530","http://www.linkedin.com/pub/jonathan-coupal-cissp-mcse/5/59B/530")</f>
        <v>http://www.linkedin.com/pub/jonathan-coupal-cissp-mcse/5/59B/530</v>
      </c>
      <c r="I36" s="2" t="s">
        <v>160</v>
      </c>
      <c r="J36" s="2" t="s">
        <v>102</v>
      </c>
      <c r="K36" s="2" t="s">
        <v>58</v>
      </c>
    </row>
    <row r="37" ht="15.75" customHeight="1">
      <c r="A37" s="2">
        <v>41042.0</v>
      </c>
      <c r="B37" s="2" t="s">
        <v>161</v>
      </c>
      <c r="C37" s="2" t="s">
        <v>162</v>
      </c>
      <c r="D37" s="2" t="s">
        <v>13</v>
      </c>
      <c r="E37" s="2" t="s">
        <v>20</v>
      </c>
      <c r="F37" s="2">
        <v>0.0</v>
      </c>
      <c r="G37" s="2">
        <v>500.0</v>
      </c>
      <c r="H37" s="3" t="str">
        <f>HYPERLINK("http://www.linkedin.com/pub/damian-alejandro-eiff/14/127/8b","http://www.linkedin.com/pub/damian-alejandro-eiff/14/127/8b")</f>
        <v>http://www.linkedin.com/pub/damian-alejandro-eiff/14/127/8b</v>
      </c>
      <c r="I37" s="2" t="s">
        <v>15</v>
      </c>
      <c r="J37" s="2" t="s">
        <v>21</v>
      </c>
      <c r="K37" s="2" t="s">
        <v>35</v>
      </c>
    </row>
    <row r="38" ht="15.75" customHeight="1">
      <c r="A38" s="2">
        <v>47035.0</v>
      </c>
      <c r="B38" s="2" t="s">
        <v>163</v>
      </c>
      <c r="C38" s="2" t="s">
        <v>164</v>
      </c>
      <c r="D38" s="2" t="s">
        <v>165</v>
      </c>
      <c r="E38" s="2" t="s">
        <v>166</v>
      </c>
      <c r="F38" s="2">
        <v>584.0</v>
      </c>
      <c r="G38" s="2">
        <v>500.0</v>
      </c>
      <c r="H38" s="3" t="str">
        <f>HYPERLINK("http://www.linkedin.com/in/jeffhodgkinson","http://www.linkedin.com/in/jeffhodgkinson")</f>
        <v>http://www.linkedin.com/in/jeffhodgkinson</v>
      </c>
      <c r="I38" s="2" t="s">
        <v>167</v>
      </c>
      <c r="J38" s="2" t="s">
        <v>102</v>
      </c>
      <c r="K38" s="2" t="s">
        <v>168</v>
      </c>
    </row>
    <row r="39" ht="15.75" customHeight="1">
      <c r="A39" s="2">
        <v>48088.0</v>
      </c>
      <c r="B39" s="2" t="s">
        <v>169</v>
      </c>
      <c r="C39" s="2" t="s">
        <v>170</v>
      </c>
      <c r="D39" s="2" t="s">
        <v>171</v>
      </c>
      <c r="E39" s="2" t="s">
        <v>91</v>
      </c>
      <c r="F39" s="2" t="s">
        <v>13</v>
      </c>
      <c r="G39" s="2">
        <v>500.0</v>
      </c>
      <c r="H39" s="3" t="str">
        <f>HYPERLINK("http://br.linkedin.com/in/tsacchetta","http://br.linkedin.com/in/tsacchetta")</f>
        <v>http://br.linkedin.com/in/tsacchetta</v>
      </c>
      <c r="I39" s="2" t="s">
        <v>172</v>
      </c>
      <c r="J39" s="2" t="s">
        <v>34</v>
      </c>
      <c r="K39" s="2" t="s">
        <v>58</v>
      </c>
    </row>
    <row r="40" ht="15.75" customHeight="1">
      <c r="A40" s="2">
        <v>48117.0</v>
      </c>
      <c r="B40" s="2" t="s">
        <v>173</v>
      </c>
      <c r="C40" s="2" t="s">
        <v>174</v>
      </c>
      <c r="D40" s="2" t="s">
        <v>13</v>
      </c>
      <c r="E40" s="2" t="s">
        <v>175</v>
      </c>
      <c r="F40" s="2">
        <v>7.0</v>
      </c>
      <c r="G40" s="2">
        <v>500.0</v>
      </c>
      <c r="H40" s="3" t="str">
        <f>HYPERLINK("http://www.linkedin.com/pub/carlos-roberto-katayama/0/252/7a8","http://www.linkedin.com/pub/carlos-roberto-katayama/0/252/7a8")</f>
        <v>http://www.linkedin.com/pub/carlos-roberto-katayama/0/252/7a8</v>
      </c>
      <c r="I40" s="2" t="s">
        <v>172</v>
      </c>
      <c r="J40" s="2" t="s">
        <v>34</v>
      </c>
      <c r="K40" s="2" t="s">
        <v>58</v>
      </c>
    </row>
    <row r="41" ht="15.75" customHeight="1">
      <c r="A41" s="2">
        <v>48404.0</v>
      </c>
      <c r="B41" s="2" t="s">
        <v>176</v>
      </c>
      <c r="C41" s="2" t="s">
        <v>177</v>
      </c>
      <c r="D41" s="2" t="s">
        <v>114</v>
      </c>
      <c r="E41" s="2" t="s">
        <v>39</v>
      </c>
      <c r="F41" s="2">
        <v>3.0</v>
      </c>
      <c r="G41" s="2">
        <v>500.0</v>
      </c>
      <c r="H41" s="3" t="str">
        <f>HYPERLINK("http://br.linkedin.com/pub/arthur-asnis/0/24A/AA1","http://br.linkedin.com/pub/arthur-asnis/0/24A/AA1")</f>
        <v>http://br.linkedin.com/pub/arthur-asnis/0/24A/AA1</v>
      </c>
      <c r="I41" s="2" t="s">
        <v>48</v>
      </c>
      <c r="J41" s="2" t="s">
        <v>34</v>
      </c>
      <c r="K41" s="2" t="s">
        <v>35</v>
      </c>
    </row>
    <row r="42" ht="15.75" customHeight="1">
      <c r="A42" s="2">
        <v>51489.0</v>
      </c>
      <c r="B42" s="2" t="s">
        <v>178</v>
      </c>
      <c r="C42" s="2" t="s">
        <v>179</v>
      </c>
      <c r="D42" s="2" t="s">
        <v>180</v>
      </c>
      <c r="E42" s="2" t="s">
        <v>181</v>
      </c>
      <c r="F42" s="2">
        <v>2.0</v>
      </c>
      <c r="G42" s="2">
        <v>500.0</v>
      </c>
      <c r="H42" s="3" t="str">
        <f>HYPERLINK("http://www.linkedin.com/in/joerosenbaum","http://www.linkedin.com/in/joerosenbaum")</f>
        <v>http://www.linkedin.com/in/joerosenbaum</v>
      </c>
      <c r="I42" s="2" t="s">
        <v>182</v>
      </c>
      <c r="J42" s="2" t="s">
        <v>102</v>
      </c>
      <c r="K42" s="2" t="s">
        <v>183</v>
      </c>
    </row>
    <row r="43" ht="15.75" customHeight="1">
      <c r="A43" s="2">
        <v>51767.0</v>
      </c>
      <c r="B43" s="2" t="s">
        <v>184</v>
      </c>
      <c r="C43" s="2" t="s">
        <v>185</v>
      </c>
      <c r="D43" s="2" t="s">
        <v>186</v>
      </c>
      <c r="E43" s="2" t="s">
        <v>187</v>
      </c>
      <c r="F43" s="2">
        <v>0.0</v>
      </c>
      <c r="G43" s="2">
        <v>134.0</v>
      </c>
      <c r="H43" s="3" t="str">
        <f>HYPERLINK("http://www.linkedin.com/pub/celso-cenot%C3%A9cnico/27/B6A/6A1","http://www.linkedin.com/pub/celso-cenot%C3%A9cnico/27/B6A/6A1")</f>
        <v>http://www.linkedin.com/pub/celso-cenot%C3%A9cnico/27/B6A/6A1</v>
      </c>
      <c r="I43" s="2" t="s">
        <v>188</v>
      </c>
      <c r="J43" s="2" t="s">
        <v>34</v>
      </c>
      <c r="K43" s="2" t="s">
        <v>22</v>
      </c>
    </row>
    <row r="44" ht="15.75" customHeight="1">
      <c r="A44" s="2">
        <v>53486.0</v>
      </c>
      <c r="B44" s="2" t="s">
        <v>189</v>
      </c>
      <c r="C44" s="2" t="s">
        <v>190</v>
      </c>
      <c r="D44" s="2" t="s">
        <v>191</v>
      </c>
      <c r="E44" s="2" t="s">
        <v>192</v>
      </c>
      <c r="F44" s="2">
        <v>2.0</v>
      </c>
      <c r="G44" s="2">
        <v>500.0</v>
      </c>
      <c r="H44" s="3" t="str">
        <f>HYPERLINK("http://www.linkedin.com/pub/dean-welch-gphr-sphr/0/B00/604","http://www.linkedin.com/pub/dean-welch-gphr-sphr/0/B00/604")</f>
        <v>http://www.linkedin.com/pub/dean-welch-gphr-sphr/0/B00/604</v>
      </c>
      <c r="I44" s="2" t="s">
        <v>15</v>
      </c>
      <c r="J44" s="2" t="s">
        <v>102</v>
      </c>
      <c r="K44" s="2" t="s">
        <v>35</v>
      </c>
    </row>
    <row r="45" ht="15.75" customHeight="1">
      <c r="A45" s="2">
        <v>54214.0</v>
      </c>
      <c r="B45" s="2" t="s">
        <v>193</v>
      </c>
      <c r="C45" s="2" t="s">
        <v>194</v>
      </c>
      <c r="D45" s="2" t="s">
        <v>13</v>
      </c>
      <c r="E45" s="2" t="s">
        <v>20</v>
      </c>
      <c r="F45" s="2">
        <v>0.0</v>
      </c>
      <c r="G45" s="2">
        <v>500.0</v>
      </c>
      <c r="H45" s="3" t="str">
        <f>HYPERLINK("http://www.linkedin.com/pub/guillermo-pizzolo/5/45/baa","http://www.linkedin.com/pub/guillermo-pizzolo/5/45/baa")</f>
        <v>http://www.linkedin.com/pub/guillermo-pizzolo/5/45/baa</v>
      </c>
      <c r="I45" s="2" t="s">
        <v>195</v>
      </c>
      <c r="J45" s="2" t="s">
        <v>21</v>
      </c>
      <c r="K45" s="2" t="s">
        <v>196</v>
      </c>
    </row>
    <row r="46" ht="15.75" customHeight="1">
      <c r="A46" s="2">
        <v>54954.0</v>
      </c>
      <c r="B46" s="2" t="s">
        <v>197</v>
      </c>
      <c r="C46" s="2" t="s">
        <v>198</v>
      </c>
      <c r="D46" s="2" t="s">
        <v>13</v>
      </c>
      <c r="E46" s="2" t="s">
        <v>199</v>
      </c>
      <c r="F46" s="2">
        <v>0.0</v>
      </c>
      <c r="G46" s="2">
        <v>500.0</v>
      </c>
      <c r="H46" s="3" t="str">
        <f>HYPERLINK("http://www.linkedin.com/pub/hector-bajac/1/24a/59","http://www.linkedin.com/pub/hector-bajac/1/24a/59")</f>
        <v>http://www.linkedin.com/pub/hector-bajac/1/24a/59</v>
      </c>
      <c r="I46" s="2" t="s">
        <v>105</v>
      </c>
      <c r="J46" s="2" t="s">
        <v>200</v>
      </c>
      <c r="K46" s="2" t="s">
        <v>58</v>
      </c>
    </row>
    <row r="47" ht="15.75" customHeight="1">
      <c r="A47" s="2">
        <v>55336.0</v>
      </c>
      <c r="B47" s="2" t="s">
        <v>201</v>
      </c>
      <c r="C47" s="2" t="s">
        <v>202</v>
      </c>
      <c r="D47" s="2" t="s">
        <v>203</v>
      </c>
      <c r="E47" s="2" t="s">
        <v>204</v>
      </c>
      <c r="F47" s="2">
        <v>7.0</v>
      </c>
      <c r="G47" s="2">
        <v>411.0</v>
      </c>
      <c r="H47" s="3" t="str">
        <f>HYPERLINK("http://ar.linkedin.com/in/nataliagonzalezamato","http://ar.linkedin.com/in/nataliagonzalezamato")</f>
        <v>http://ar.linkedin.com/in/nataliagonzalezamato</v>
      </c>
      <c r="I47" s="2" t="s">
        <v>105</v>
      </c>
      <c r="J47" s="2" t="s">
        <v>28</v>
      </c>
      <c r="K47" s="2" t="s">
        <v>168</v>
      </c>
    </row>
    <row r="48" ht="15.75" customHeight="1">
      <c r="A48" s="2">
        <v>55509.0</v>
      </c>
      <c r="B48" s="2" t="s">
        <v>205</v>
      </c>
      <c r="C48" s="2" t="s">
        <v>206</v>
      </c>
      <c r="D48" s="2" t="s">
        <v>47</v>
      </c>
      <c r="E48" s="2" t="s">
        <v>207</v>
      </c>
      <c r="F48" s="2">
        <v>39.0</v>
      </c>
      <c r="G48" s="2">
        <v>500.0</v>
      </c>
      <c r="H48" s="3" t="str">
        <f>HYPERLINK("http://www.linkedin.com/in/fagarcia","http://www.linkedin.com/in/fagarcia")</f>
        <v>http://www.linkedin.com/in/fagarcia</v>
      </c>
      <c r="I48" s="2" t="s">
        <v>15</v>
      </c>
      <c r="J48" s="2" t="s">
        <v>34</v>
      </c>
      <c r="K48" s="2" t="s">
        <v>35</v>
      </c>
    </row>
    <row r="49" ht="15.75" customHeight="1">
      <c r="A49" s="2">
        <v>55622.0</v>
      </c>
      <c r="B49" s="2" t="s">
        <v>208</v>
      </c>
      <c r="C49" s="2" t="s">
        <v>209</v>
      </c>
      <c r="D49" s="2" t="s">
        <v>210</v>
      </c>
      <c r="E49" s="2" t="s">
        <v>39</v>
      </c>
      <c r="F49" s="2">
        <v>62.0</v>
      </c>
      <c r="G49" s="2">
        <v>500.0</v>
      </c>
      <c r="H49" s="3" t="str">
        <f>HYPERLINK("http://br.linkedin.com/in/raulparada","http://br.linkedin.com/in/raulparada")</f>
        <v>http://br.linkedin.com/in/raulparada</v>
      </c>
      <c r="I49" s="2" t="s">
        <v>77</v>
      </c>
      <c r="J49" s="2" t="s">
        <v>34</v>
      </c>
      <c r="K49" s="2" t="s">
        <v>97</v>
      </c>
    </row>
    <row r="50" ht="15.75" customHeight="1">
      <c r="A50" s="2">
        <v>55836.0</v>
      </c>
      <c r="B50" s="2" t="s">
        <v>211</v>
      </c>
      <c r="C50" s="2" t="s">
        <v>212</v>
      </c>
      <c r="D50" s="2" t="s">
        <v>213</v>
      </c>
      <c r="E50" s="2" t="s">
        <v>214</v>
      </c>
      <c r="F50" s="2">
        <v>26.0</v>
      </c>
      <c r="G50" s="2">
        <v>500.0</v>
      </c>
      <c r="H50" s="3" t="str">
        <f>HYPERLINK("http://www.linkedin.com/in/sppencer18","http://www.linkedin.com/in/sppencer18")</f>
        <v>http://www.linkedin.com/in/sppencer18</v>
      </c>
      <c r="I50" s="2" t="s">
        <v>48</v>
      </c>
      <c r="J50" s="2" t="s">
        <v>102</v>
      </c>
      <c r="K50" s="2" t="s">
        <v>35</v>
      </c>
    </row>
    <row r="51" ht="15.75" customHeight="1">
      <c r="A51" s="2">
        <v>56026.0</v>
      </c>
      <c r="B51" s="2" t="s">
        <v>215</v>
      </c>
      <c r="C51" s="2" t="s">
        <v>216</v>
      </c>
      <c r="D51" s="2" t="s">
        <v>13</v>
      </c>
      <c r="E51" s="2" t="s">
        <v>20</v>
      </c>
      <c r="F51" s="2">
        <v>0.0</v>
      </c>
      <c r="G51" s="2">
        <v>500.0</v>
      </c>
      <c r="H51" s="3" t="str">
        <f>HYPERLINK("http://www.linkedin.com/pub/anabella-billece/8/bb2/31a","http://www.linkedin.com/pub/anabella-billece/8/bb2/31a")</f>
        <v>http://www.linkedin.com/pub/anabella-billece/8/bb2/31a</v>
      </c>
      <c r="I51" s="2" t="s">
        <v>15</v>
      </c>
      <c r="J51" s="2" t="s">
        <v>21</v>
      </c>
      <c r="K51" s="2" t="s">
        <v>35</v>
      </c>
    </row>
    <row r="52" ht="15.75" customHeight="1">
      <c r="A52" s="2">
        <v>56582.0</v>
      </c>
      <c r="B52" s="2" t="s">
        <v>217</v>
      </c>
      <c r="C52" s="2" t="s">
        <v>218</v>
      </c>
      <c r="D52" s="2" t="s">
        <v>13</v>
      </c>
      <c r="E52" s="2" t="s">
        <v>219</v>
      </c>
      <c r="F52" s="2">
        <v>0.0</v>
      </c>
      <c r="G52" s="2">
        <v>500.0</v>
      </c>
      <c r="H52" s="3" t="str">
        <f>HYPERLINK("http://www.linkedin.com/pub/josep-m%C2%AA-cos-i-riera/2/241/418","http://www.linkedin.com/pub/josep-m%C2%AA-cos-i-riera/2/241/418")</f>
        <v>http://www.linkedin.com/pub/josep-m%C2%AA-cos-i-riera/2/241/418</v>
      </c>
      <c r="I52" s="2" t="s">
        <v>15</v>
      </c>
      <c r="J52" s="2" t="s">
        <v>220</v>
      </c>
      <c r="K52" s="2" t="s">
        <v>35</v>
      </c>
    </row>
    <row r="53" ht="15.75" customHeight="1">
      <c r="A53" s="2">
        <v>56969.0</v>
      </c>
      <c r="B53" s="2" t="s">
        <v>221</v>
      </c>
      <c r="C53" s="2" t="s">
        <v>222</v>
      </c>
      <c r="D53" s="2" t="s">
        <v>223</v>
      </c>
      <c r="E53" s="2" t="s">
        <v>224</v>
      </c>
      <c r="F53" s="2">
        <v>0.0</v>
      </c>
      <c r="G53" s="2">
        <v>322.0</v>
      </c>
      <c r="H53" s="3" t="str">
        <f>HYPERLINK("http://uk.linkedin.com/pub/miguel-herschberg/B/2A/905","http://uk.linkedin.com/pub/miguel-herschberg/B/2A/905")</f>
        <v>http://uk.linkedin.com/pub/miguel-herschberg/B/2A/905</v>
      </c>
      <c r="I53" s="2" t="s">
        <v>225</v>
      </c>
      <c r="J53" s="2" t="s">
        <v>16</v>
      </c>
      <c r="K53" s="2" t="s">
        <v>226</v>
      </c>
    </row>
    <row r="54" ht="15.75" customHeight="1">
      <c r="A54" s="2">
        <v>57684.0</v>
      </c>
      <c r="B54" s="2" t="s">
        <v>227</v>
      </c>
      <c r="C54" s="2" t="s">
        <v>228</v>
      </c>
      <c r="D54" s="2" t="s">
        <v>229</v>
      </c>
      <c r="E54" s="2" t="s">
        <v>230</v>
      </c>
      <c r="F54" s="2" t="s">
        <v>13</v>
      </c>
      <c r="G54" s="2">
        <v>284.0</v>
      </c>
      <c r="H54" s="3" t="str">
        <f>HYPERLINK("http://mx.linkedin.com/pub/jorge-facio/27/BB3/43","http://mx.linkedin.com/pub/jorge-facio/27/BB3/43")</f>
        <v>http://mx.linkedin.com/pub/jorge-facio/27/BB3/43</v>
      </c>
      <c r="I54" s="2" t="s">
        <v>231</v>
      </c>
      <c r="J54" s="2" t="s">
        <v>28</v>
      </c>
      <c r="K54" s="2" t="s">
        <v>35</v>
      </c>
    </row>
    <row r="55" ht="15.75" customHeight="1">
      <c r="A55" s="2">
        <v>57834.0</v>
      </c>
      <c r="B55" s="2" t="s">
        <v>232</v>
      </c>
      <c r="C55" s="2" t="s">
        <v>233</v>
      </c>
      <c r="D55" s="2" t="s">
        <v>234</v>
      </c>
      <c r="E55" s="2" t="s">
        <v>235</v>
      </c>
      <c r="F55" s="2">
        <v>6.0</v>
      </c>
      <c r="G55" s="2">
        <v>500.0</v>
      </c>
      <c r="H55" s="3" t="str">
        <f>HYPERLINK("http://www.linkedin.com/in/garthknudson","http://www.linkedin.com/in/garthknudson")</f>
        <v>http://www.linkedin.com/in/garthknudson</v>
      </c>
      <c r="I55" s="2" t="s">
        <v>15</v>
      </c>
      <c r="J55" s="2" t="s">
        <v>102</v>
      </c>
      <c r="K55" s="2" t="s">
        <v>35</v>
      </c>
    </row>
    <row r="56" ht="15.75" customHeight="1">
      <c r="A56" s="2">
        <v>57886.0</v>
      </c>
      <c r="B56" s="2" t="s">
        <v>236</v>
      </c>
      <c r="C56" s="2" t="s">
        <v>237</v>
      </c>
      <c r="D56" s="2" t="s">
        <v>42</v>
      </c>
      <c r="E56" s="2" t="s">
        <v>39</v>
      </c>
      <c r="F56" s="2">
        <v>4.0</v>
      </c>
      <c r="G56" s="2">
        <v>500.0</v>
      </c>
      <c r="H56" s="3" t="str">
        <f>HYPERLINK("http://ca.linkedin.com/pub/delto-ribeiro/0/359/4B9","http://ca.linkedin.com/pub/delto-ribeiro/0/359/4B9")</f>
        <v>http://ca.linkedin.com/pub/delto-ribeiro/0/359/4B9</v>
      </c>
      <c r="I56" s="2" t="s">
        <v>15</v>
      </c>
      <c r="J56" s="2" t="s">
        <v>34</v>
      </c>
      <c r="K56" s="2" t="s">
        <v>35</v>
      </c>
    </row>
    <row r="57" ht="15.75" customHeight="1">
      <c r="A57" s="2">
        <v>58781.0</v>
      </c>
      <c r="B57" s="2" t="s">
        <v>238</v>
      </c>
      <c r="C57" s="2" t="s">
        <v>239</v>
      </c>
      <c r="D57" s="2" t="s">
        <v>13</v>
      </c>
      <c r="E57" s="2" t="s">
        <v>20</v>
      </c>
      <c r="F57" s="2">
        <v>0.0</v>
      </c>
      <c r="G57" s="2">
        <v>500.0</v>
      </c>
      <c r="H57" s="3" t="str">
        <f>HYPERLINK("http://www.linkedin.com/pub/juan-pedro-hecht/16/525/a6b","http://www.linkedin.com/pub/juan-pedro-hecht/16/525/a6b")</f>
        <v>http://www.linkedin.com/pub/juan-pedro-hecht/16/525/a6b</v>
      </c>
      <c r="I57" s="2" t="s">
        <v>240</v>
      </c>
      <c r="J57" s="2" t="s">
        <v>21</v>
      </c>
      <c r="K57" s="2" t="s">
        <v>241</v>
      </c>
    </row>
    <row r="58" ht="15.75" customHeight="1">
      <c r="A58" s="2">
        <v>58839.0</v>
      </c>
      <c r="B58" s="2" t="s">
        <v>242</v>
      </c>
      <c r="C58" s="2" t="s">
        <v>243</v>
      </c>
      <c r="D58" s="2" t="s">
        <v>244</v>
      </c>
      <c r="E58" s="2" t="s">
        <v>136</v>
      </c>
      <c r="F58" s="2">
        <v>34.0</v>
      </c>
      <c r="G58" s="2">
        <v>500.0</v>
      </c>
      <c r="H58" s="3" t="str">
        <f>HYPERLINK("http://www.linkedin.com/in/annanschlegel","http://www.linkedin.com/in/annanschlegel")</f>
        <v>http://www.linkedin.com/in/annanschlegel</v>
      </c>
      <c r="I58" s="2" t="s">
        <v>48</v>
      </c>
      <c r="J58" s="2" t="s">
        <v>102</v>
      </c>
      <c r="K58" s="2" t="s">
        <v>35</v>
      </c>
    </row>
    <row r="59" ht="15.75" customHeight="1">
      <c r="A59" s="2">
        <v>60868.0</v>
      </c>
      <c r="B59" s="2" t="s">
        <v>245</v>
      </c>
      <c r="C59" s="2" t="s">
        <v>246</v>
      </c>
      <c r="D59" s="2" t="s">
        <v>114</v>
      </c>
      <c r="E59" s="2" t="s">
        <v>247</v>
      </c>
      <c r="F59" s="2">
        <v>22.0</v>
      </c>
      <c r="G59" s="2">
        <v>500.0</v>
      </c>
      <c r="H59" s="3" t="str">
        <f>HYPERLINK("http://ca.linkedin.com/in/talentxfactor","http://ca.linkedin.com/in/talentxfactor")</f>
        <v>http://ca.linkedin.com/in/talentxfactor</v>
      </c>
      <c r="I59" s="2" t="s">
        <v>248</v>
      </c>
      <c r="J59" s="2" t="s">
        <v>44</v>
      </c>
      <c r="K59" s="2" t="s">
        <v>196</v>
      </c>
    </row>
    <row r="60" ht="15.75" customHeight="1">
      <c r="A60" s="2">
        <v>61675.0</v>
      </c>
      <c r="B60" s="2" t="s">
        <v>249</v>
      </c>
      <c r="C60" s="2" t="s">
        <v>250</v>
      </c>
      <c r="D60" s="2" t="s">
        <v>47</v>
      </c>
      <c r="E60" s="2" t="s">
        <v>251</v>
      </c>
      <c r="F60" s="2">
        <v>8.0</v>
      </c>
      <c r="G60" s="2">
        <v>500.0</v>
      </c>
      <c r="H60" s="3" t="str">
        <f>HYPERLINK("http://kw.linkedin.com/pub/melinda-gonzalez-sandlin/9/58A/876","http://kw.linkedin.com/pub/melinda-gonzalez-sandlin/9/58A/876")</f>
        <v>http://kw.linkedin.com/pub/melinda-gonzalez-sandlin/9/58A/876</v>
      </c>
      <c r="I60" s="2" t="s">
        <v>252</v>
      </c>
      <c r="J60" s="2" t="s">
        <v>102</v>
      </c>
      <c r="K60" s="2" t="s">
        <v>58</v>
      </c>
    </row>
    <row r="61" ht="15.75" customHeight="1">
      <c r="A61" s="2">
        <v>61982.0</v>
      </c>
      <c r="B61" s="2" t="s">
        <v>253</v>
      </c>
      <c r="C61" s="2" t="s">
        <v>206</v>
      </c>
      <c r="D61" s="2" t="s">
        <v>254</v>
      </c>
      <c r="E61" s="2" t="s">
        <v>255</v>
      </c>
      <c r="F61" s="2" t="s">
        <v>13</v>
      </c>
      <c r="G61" s="2">
        <v>500.0</v>
      </c>
      <c r="H61" s="3" t="str">
        <f>HYPERLINK("http://www.linkedin.com/in/fgverdejo","http://www.linkedin.com/in/fgverdejo")</f>
        <v>http://www.linkedin.com/in/fgverdejo</v>
      </c>
      <c r="I61" s="2" t="s">
        <v>15</v>
      </c>
      <c r="J61" s="2" t="s">
        <v>102</v>
      </c>
      <c r="K61" s="2" t="s">
        <v>35</v>
      </c>
    </row>
    <row r="62" ht="15.75" customHeight="1">
      <c r="A62" s="2">
        <v>62365.0</v>
      </c>
      <c r="B62" s="2" t="s">
        <v>256</v>
      </c>
      <c r="C62" s="2" t="s">
        <v>257</v>
      </c>
      <c r="D62" s="2" t="s">
        <v>258</v>
      </c>
      <c r="E62" s="2" t="s">
        <v>259</v>
      </c>
      <c r="F62" s="2">
        <v>31.0</v>
      </c>
      <c r="G62" s="2">
        <v>500.0</v>
      </c>
      <c r="H62" s="3" t="str">
        <f>HYPERLINK("http://www.linkedin.com/in/thubten","http://www.linkedin.com/in/thubten")</f>
        <v>http://www.linkedin.com/in/thubten</v>
      </c>
      <c r="I62" s="2" t="s">
        <v>105</v>
      </c>
      <c r="J62" s="2" t="s">
        <v>144</v>
      </c>
      <c r="K62" s="2" t="s">
        <v>35</v>
      </c>
    </row>
    <row r="63" ht="15.75" customHeight="1">
      <c r="A63" s="2">
        <v>62993.0</v>
      </c>
      <c r="B63" s="2" t="s">
        <v>260</v>
      </c>
      <c r="C63" s="3" t="str">
        <f>HYPERLINK("http://albertmoreiragmail.com","albertmoreiragmail.com")</f>
        <v>albertmoreiragmail.com</v>
      </c>
      <c r="D63" s="2" t="s">
        <v>13</v>
      </c>
      <c r="E63" s="2" t="s">
        <v>261</v>
      </c>
      <c r="F63" s="2">
        <v>0.0</v>
      </c>
      <c r="G63" s="2">
        <v>500.0</v>
      </c>
      <c r="H63" s="3" t="str">
        <f>HYPERLINK("https://www.linkedin.com/in/albertmoreira","https://www.linkedin.com/in/albertmoreira")</f>
        <v>https://www.linkedin.com/in/albertmoreira</v>
      </c>
      <c r="I63" s="2" t="s">
        <v>15</v>
      </c>
      <c r="J63" s="2" t="s">
        <v>34</v>
      </c>
      <c r="K63" s="2" t="s">
        <v>58</v>
      </c>
    </row>
    <row r="64" ht="15.75" customHeight="1">
      <c r="A64" s="2">
        <v>63265.0</v>
      </c>
      <c r="B64" s="2" t="s">
        <v>262</v>
      </c>
      <c r="C64" s="2" t="s">
        <v>13</v>
      </c>
      <c r="D64" s="2" t="s">
        <v>13</v>
      </c>
      <c r="E64" s="2" t="s">
        <v>263</v>
      </c>
      <c r="F64" s="2">
        <v>0.0</v>
      </c>
      <c r="G64" s="2">
        <v>500.0</v>
      </c>
      <c r="H64" s="3" t="str">
        <f>HYPERLINK("https://www.linkedin.com/in/tomdebourcy","https://www.linkedin.com/in/tomdebourcy")</f>
        <v>https://www.linkedin.com/in/tomdebourcy</v>
      </c>
      <c r="I64" s="2" t="s">
        <v>248</v>
      </c>
      <c r="J64" s="2" t="s">
        <v>102</v>
      </c>
      <c r="K64" s="2" t="s">
        <v>196</v>
      </c>
    </row>
    <row r="65" ht="15.75" customHeight="1">
      <c r="A65" s="2">
        <v>65658.0</v>
      </c>
      <c r="B65" s="2" t="s">
        <v>264</v>
      </c>
      <c r="C65" s="2" t="s">
        <v>265</v>
      </c>
      <c r="D65" s="2" t="s">
        <v>266</v>
      </c>
      <c r="E65" s="2" t="s">
        <v>267</v>
      </c>
      <c r="F65" s="2" t="s">
        <v>13</v>
      </c>
      <c r="G65" s="2">
        <v>20.0</v>
      </c>
      <c r="H65" s="3" t="str">
        <f>HYPERLINK("http://ar.linkedin.com/pub/andres-ruiz/14/49A/649","http://ar.linkedin.com/pub/andres-ruiz/14/49A/649")</f>
        <v>http://ar.linkedin.com/pub/andres-ruiz/14/49A/649</v>
      </c>
      <c r="I65" s="2" t="s">
        <v>268</v>
      </c>
      <c r="J65" s="2" t="s">
        <v>28</v>
      </c>
      <c r="K65" s="2" t="s">
        <v>58</v>
      </c>
    </row>
    <row r="66" ht="15.75" customHeight="1">
      <c r="A66" s="2">
        <v>67316.0</v>
      </c>
      <c r="B66" s="2" t="s">
        <v>269</v>
      </c>
      <c r="C66" s="2" t="s">
        <v>270</v>
      </c>
      <c r="D66" s="2" t="s">
        <v>271</v>
      </c>
      <c r="E66" s="2" t="s">
        <v>272</v>
      </c>
      <c r="F66" s="2">
        <v>14.0</v>
      </c>
      <c r="G66" s="2">
        <v>500.0</v>
      </c>
      <c r="H66" s="3" t="str">
        <f>HYPERLINK("http://www.linkedin.com/in/vikjit","http://www.linkedin.com/in/vikjit")</f>
        <v>http://www.linkedin.com/in/vikjit</v>
      </c>
      <c r="I66" s="2" t="s">
        <v>160</v>
      </c>
      <c r="J66" s="2" t="s">
        <v>273</v>
      </c>
      <c r="K66" s="2" t="s">
        <v>274</v>
      </c>
    </row>
    <row r="67" ht="15.75" customHeight="1">
      <c r="A67" s="2">
        <v>67419.0</v>
      </c>
      <c r="B67" s="2" t="s">
        <v>275</v>
      </c>
      <c r="C67" s="2" t="s">
        <v>276</v>
      </c>
      <c r="D67" s="2" t="s">
        <v>277</v>
      </c>
      <c r="E67" s="2" t="s">
        <v>278</v>
      </c>
      <c r="F67" s="2">
        <v>7.0</v>
      </c>
      <c r="G67" s="2">
        <v>500.0</v>
      </c>
      <c r="H67" s="3" t="str">
        <f>HYPERLINK("http://www.linkedin.com/in/mcoutts","http://www.linkedin.com/in/mcoutts")</f>
        <v>http://www.linkedin.com/in/mcoutts</v>
      </c>
      <c r="I67" s="2" t="s">
        <v>279</v>
      </c>
      <c r="J67" s="2" t="s">
        <v>28</v>
      </c>
      <c r="K67" s="2" t="s">
        <v>35</v>
      </c>
    </row>
    <row r="68" ht="15.75" customHeight="1">
      <c r="A68" s="2">
        <v>67719.0</v>
      </c>
      <c r="B68" s="2" t="s">
        <v>280</v>
      </c>
      <c r="C68" s="2" t="s">
        <v>281</v>
      </c>
      <c r="D68" s="2" t="s">
        <v>282</v>
      </c>
      <c r="E68" s="2" t="s">
        <v>283</v>
      </c>
      <c r="F68" s="2">
        <v>4.0</v>
      </c>
      <c r="G68" s="2">
        <v>500.0</v>
      </c>
      <c r="H68" s="3" t="str">
        <f>HYPERLINK("http://www.linkedin.com/in/ratitandon","http://www.linkedin.com/in/ratitandon")</f>
        <v>http://www.linkedin.com/in/ratitandon</v>
      </c>
      <c r="I68" s="2" t="s">
        <v>248</v>
      </c>
      <c r="J68" s="2" t="s">
        <v>273</v>
      </c>
      <c r="K68" s="2" t="s">
        <v>284</v>
      </c>
    </row>
    <row r="69" ht="15.75" customHeight="1">
      <c r="A69" s="2">
        <v>67756.0</v>
      </c>
      <c r="B69" s="2" t="s">
        <v>285</v>
      </c>
      <c r="C69" s="2" t="s">
        <v>286</v>
      </c>
      <c r="D69" s="2" t="s">
        <v>47</v>
      </c>
      <c r="E69" s="2" t="s">
        <v>136</v>
      </c>
      <c r="F69" s="2">
        <v>5.0</v>
      </c>
      <c r="G69" s="2">
        <v>500.0</v>
      </c>
      <c r="H69" s="3" t="str">
        <f>HYPERLINK("http://www.linkedin.com/in/marcbenioff","http://www.linkedin.com/in/marcbenioff")</f>
        <v>http://www.linkedin.com/in/marcbenioff</v>
      </c>
      <c r="I69" s="2" t="s">
        <v>69</v>
      </c>
      <c r="J69" s="2" t="s">
        <v>102</v>
      </c>
      <c r="K69" s="2" t="s">
        <v>35</v>
      </c>
    </row>
    <row r="70" ht="15.75" customHeight="1">
      <c r="A70" s="2">
        <v>68265.0</v>
      </c>
      <c r="B70" s="2" t="s">
        <v>287</v>
      </c>
      <c r="C70" s="2" t="s">
        <v>288</v>
      </c>
      <c r="D70" s="2" t="s">
        <v>289</v>
      </c>
      <c r="E70" s="2" t="s">
        <v>290</v>
      </c>
      <c r="F70" s="2">
        <v>2.0</v>
      </c>
      <c r="G70" s="2">
        <v>500.0</v>
      </c>
      <c r="H70" s="3" t="str">
        <f>HYPERLINK("http://uk.linkedin.com/pub/paul-davis/0/446/21A","http://uk.linkedin.com/pub/paul-davis/0/446/21A")</f>
        <v>http://uk.linkedin.com/pub/paul-davis/0/446/21A</v>
      </c>
      <c r="I70" s="2" t="s">
        <v>15</v>
      </c>
      <c r="J70" s="2" t="s">
        <v>53</v>
      </c>
      <c r="K70" s="2" t="s">
        <v>35</v>
      </c>
    </row>
    <row r="71" ht="15.75" customHeight="1">
      <c r="A71" s="2">
        <v>68310.0</v>
      </c>
      <c r="B71" s="2" t="s">
        <v>291</v>
      </c>
      <c r="C71" s="2" t="s">
        <v>292</v>
      </c>
      <c r="D71" s="2" t="s">
        <v>293</v>
      </c>
      <c r="E71" s="2" t="s">
        <v>294</v>
      </c>
      <c r="F71" s="2">
        <v>19.0</v>
      </c>
      <c r="G71" s="2">
        <v>500.0</v>
      </c>
      <c r="H71" s="3" t="str">
        <f>HYPERLINK("http://www.linkedin.com/in/optechs","http://www.linkedin.com/in/optechs")</f>
        <v>http://www.linkedin.com/in/optechs</v>
      </c>
      <c r="I71" s="2" t="s">
        <v>57</v>
      </c>
      <c r="J71" s="2" t="s">
        <v>102</v>
      </c>
      <c r="K71" s="2" t="s">
        <v>58</v>
      </c>
    </row>
    <row r="72" ht="15.75" customHeight="1">
      <c r="A72" s="2">
        <v>68744.0</v>
      </c>
      <c r="B72" s="2" t="s">
        <v>295</v>
      </c>
      <c r="C72" s="2" t="s">
        <v>296</v>
      </c>
      <c r="D72" s="2" t="s">
        <v>297</v>
      </c>
      <c r="E72" s="2" t="s">
        <v>235</v>
      </c>
      <c r="F72" s="2">
        <v>19.0</v>
      </c>
      <c r="G72" s="2">
        <v>500.0</v>
      </c>
      <c r="H72" s="3" t="str">
        <f>HYPERLINK("http://www.linkedin.com/in/seandelaney","http://www.linkedin.com/in/seandelaney")</f>
        <v>http://www.linkedin.com/in/seandelaney</v>
      </c>
      <c r="I72" s="2" t="s">
        <v>15</v>
      </c>
      <c r="J72" s="2" t="s">
        <v>102</v>
      </c>
      <c r="K72" s="2" t="s">
        <v>35</v>
      </c>
    </row>
    <row r="73" ht="15.75" customHeight="1">
      <c r="A73" s="2">
        <v>68842.0</v>
      </c>
      <c r="B73" s="2" t="s">
        <v>298</v>
      </c>
      <c r="C73" s="2" t="s">
        <v>299</v>
      </c>
      <c r="D73" s="2" t="s">
        <v>300</v>
      </c>
      <c r="E73" s="2" t="s">
        <v>301</v>
      </c>
      <c r="F73" s="2">
        <v>1.0</v>
      </c>
      <c r="G73" s="2">
        <v>500.0</v>
      </c>
      <c r="H73" s="3" t="str">
        <f>HYPERLINK("http://www.linkedin.com/pub/krishna-dereddy/26/39B/349","http://www.linkedin.com/pub/krishna-dereddy/26/39B/349")</f>
        <v>http://www.linkedin.com/pub/krishna-dereddy/26/39B/349</v>
      </c>
      <c r="I73" s="2" t="s">
        <v>48</v>
      </c>
      <c r="J73" s="2" t="s">
        <v>102</v>
      </c>
      <c r="K73" s="2" t="s">
        <v>35</v>
      </c>
    </row>
    <row r="74" ht="15.75" customHeight="1">
      <c r="A74" s="2">
        <v>69803.0</v>
      </c>
      <c r="B74" s="2" t="s">
        <v>302</v>
      </c>
      <c r="C74" s="2" t="s">
        <v>303</v>
      </c>
      <c r="D74" s="2" t="s">
        <v>304</v>
      </c>
      <c r="E74" s="2" t="s">
        <v>305</v>
      </c>
      <c r="F74" s="2" t="s">
        <v>13</v>
      </c>
      <c r="G74" s="2">
        <v>500.0</v>
      </c>
      <c r="H74" s="3" t="str">
        <f>HYPERLINK("http://www.linkedin.com/in/branstetter","http://www.linkedin.com/in/branstetter")</f>
        <v>http://www.linkedin.com/in/branstetter</v>
      </c>
      <c r="I74" s="2" t="s">
        <v>306</v>
      </c>
      <c r="J74" s="2" t="s">
        <v>102</v>
      </c>
      <c r="K74" s="2" t="s">
        <v>58</v>
      </c>
    </row>
    <row r="75" ht="15.75" customHeight="1">
      <c r="A75" s="2">
        <v>70288.0</v>
      </c>
      <c r="B75" s="2" t="s">
        <v>307</v>
      </c>
      <c r="C75" s="2" t="s">
        <v>308</v>
      </c>
      <c r="D75" s="2" t="s">
        <v>309</v>
      </c>
      <c r="E75" s="2" t="s">
        <v>136</v>
      </c>
      <c r="F75" s="2">
        <v>4.0</v>
      </c>
      <c r="G75" s="2">
        <v>500.0</v>
      </c>
      <c r="H75" s="3" t="str">
        <f>HYPERLINK("http://www.linkedin.com/pub/reena-gupta/1/817/275","http://www.linkedin.com/pub/reena-gupta/1/817/275")</f>
        <v>http://www.linkedin.com/pub/reena-gupta/1/817/275</v>
      </c>
      <c r="I75" s="2" t="s">
        <v>15</v>
      </c>
      <c r="J75" s="2" t="s">
        <v>102</v>
      </c>
      <c r="K75" s="2" t="s">
        <v>35</v>
      </c>
    </row>
    <row r="76" ht="15.75" customHeight="1">
      <c r="A76" s="2">
        <v>70370.0</v>
      </c>
      <c r="B76" s="2" t="s">
        <v>152</v>
      </c>
      <c r="C76" s="2" t="s">
        <v>310</v>
      </c>
      <c r="D76" s="2" t="s">
        <v>311</v>
      </c>
      <c r="E76" s="2" t="s">
        <v>122</v>
      </c>
      <c r="F76" s="2">
        <v>20.0</v>
      </c>
      <c r="G76" s="2">
        <v>500.0</v>
      </c>
      <c r="H76" s="3" t="str">
        <f>HYPERLINK("http://br.linkedin.com/in/eduardorubiano","http://br.linkedin.com/in/eduardorubiano")</f>
        <v>http://br.linkedin.com/in/eduardorubiano</v>
      </c>
      <c r="I76" s="2" t="s">
        <v>15</v>
      </c>
      <c r="J76" s="2" t="s">
        <v>53</v>
      </c>
      <c r="K76" s="2" t="s">
        <v>35</v>
      </c>
    </row>
    <row r="77" ht="15.75" customHeight="1">
      <c r="A77" s="2">
        <v>70854.0</v>
      </c>
      <c r="B77" s="2" t="s">
        <v>312</v>
      </c>
      <c r="C77" s="2" t="s">
        <v>313</v>
      </c>
      <c r="D77" s="2" t="s">
        <v>13</v>
      </c>
      <c r="E77" s="2" t="s">
        <v>136</v>
      </c>
      <c r="F77" s="2">
        <v>0.0</v>
      </c>
      <c r="G77" s="2">
        <v>500.0</v>
      </c>
      <c r="H77" s="3" t="str">
        <f>HYPERLINK("http://www.linkedin.com/in/harrisondlee","http://www.linkedin.com/in/harrisondlee")</f>
        <v>http://www.linkedin.com/in/harrisondlee</v>
      </c>
      <c r="I77" s="2" t="s">
        <v>69</v>
      </c>
      <c r="J77" s="2" t="s">
        <v>102</v>
      </c>
      <c r="K77" s="2" t="s">
        <v>35</v>
      </c>
    </row>
    <row r="78" ht="15.75" customHeight="1">
      <c r="A78" s="2">
        <v>71533.0</v>
      </c>
      <c r="B78" s="2" t="s">
        <v>314</v>
      </c>
      <c r="C78" s="2" t="s">
        <v>315</v>
      </c>
      <c r="D78" s="2" t="s">
        <v>13</v>
      </c>
      <c r="E78" s="2" t="s">
        <v>20</v>
      </c>
      <c r="F78" s="2">
        <v>0.0</v>
      </c>
      <c r="G78" s="2">
        <v>209.0</v>
      </c>
      <c r="H78" s="3" t="str">
        <f>HYPERLINK("http://www.linkedin.com/pub/marcos-garcia-calvi%C3%B1o/10/234/474","http://www.linkedin.com/pub/marcos-garcia-calvi%C3%B1o/10/234/474")</f>
        <v>http://www.linkedin.com/pub/marcos-garcia-calvi%C3%B1o/10/234/474</v>
      </c>
      <c r="I78" s="2" t="s">
        <v>15</v>
      </c>
      <c r="J78" s="2" t="s">
        <v>21</v>
      </c>
      <c r="K78" s="2" t="s">
        <v>35</v>
      </c>
    </row>
    <row r="79" ht="15.75" customHeight="1">
      <c r="A79" s="2">
        <v>72318.0</v>
      </c>
      <c r="B79" s="2" t="s">
        <v>116</v>
      </c>
      <c r="C79" s="2" t="s">
        <v>316</v>
      </c>
      <c r="D79" s="2" t="s">
        <v>47</v>
      </c>
      <c r="E79" s="2" t="s">
        <v>317</v>
      </c>
      <c r="F79" s="2" t="s">
        <v>13</v>
      </c>
      <c r="G79" s="2">
        <v>500.0</v>
      </c>
      <c r="H79" s="3" t="str">
        <f>HYPERLINK("http://www.linkedin.com/in/alexhirschmusic","http://www.linkedin.com/in/alexhirschmusic")</f>
        <v>http://www.linkedin.com/in/alexhirschmusic</v>
      </c>
      <c r="I79" s="2" t="s">
        <v>318</v>
      </c>
      <c r="J79" s="2" t="s">
        <v>102</v>
      </c>
      <c r="K79" s="2" t="s">
        <v>58</v>
      </c>
    </row>
    <row r="80" ht="15.75" customHeight="1">
      <c r="A80" s="2">
        <v>72853.0</v>
      </c>
      <c r="B80" s="2" t="s">
        <v>133</v>
      </c>
      <c r="C80" s="2" t="s">
        <v>319</v>
      </c>
      <c r="D80" s="2" t="s">
        <v>320</v>
      </c>
      <c r="E80" s="2" t="s">
        <v>321</v>
      </c>
      <c r="F80" s="2">
        <v>12.0</v>
      </c>
      <c r="G80" s="2">
        <v>500.0</v>
      </c>
      <c r="H80" s="3" t="str">
        <f>HYPERLINK("http://www.linkedin.com/in/mvalera","http://www.linkedin.com/in/mvalera")</f>
        <v>http://www.linkedin.com/in/mvalera</v>
      </c>
      <c r="I80" s="2" t="s">
        <v>77</v>
      </c>
      <c r="J80" s="2" t="s">
        <v>102</v>
      </c>
      <c r="K80" s="2" t="s">
        <v>35</v>
      </c>
    </row>
    <row r="81" ht="15.75" customHeight="1">
      <c r="A81" s="2">
        <v>73128.0</v>
      </c>
      <c r="B81" s="2" t="s">
        <v>322</v>
      </c>
      <c r="C81" s="2" t="s">
        <v>323</v>
      </c>
      <c r="D81" s="2" t="s">
        <v>324</v>
      </c>
      <c r="E81" s="2" t="s">
        <v>325</v>
      </c>
      <c r="F81" s="2" t="s">
        <v>13</v>
      </c>
      <c r="G81" s="2">
        <v>500.0</v>
      </c>
      <c r="H81" s="3" t="str">
        <f>HYPERLINK("http://www.linkedin.com/in/margorose","http://www.linkedin.com/in/margorose")</f>
        <v>http://www.linkedin.com/in/margorose</v>
      </c>
      <c r="I81" s="2" t="s">
        <v>326</v>
      </c>
      <c r="J81" s="2" t="s">
        <v>102</v>
      </c>
      <c r="K81" s="2" t="s">
        <v>58</v>
      </c>
    </row>
    <row r="82" ht="15.75" customHeight="1">
      <c r="A82" s="2">
        <v>73781.0</v>
      </c>
      <c r="B82" s="2" t="s">
        <v>327</v>
      </c>
      <c r="C82" s="2" t="s">
        <v>328</v>
      </c>
      <c r="D82" s="2" t="s">
        <v>42</v>
      </c>
      <c r="E82" s="2" t="s">
        <v>20</v>
      </c>
      <c r="F82" s="2" t="s">
        <v>13</v>
      </c>
      <c r="G82" s="2">
        <v>500.0</v>
      </c>
      <c r="H82" s="3" t="str">
        <f>HYPERLINK("http://www.linkedin.com/pub/q2-it-quadro-mart%C3%ADn/3/a06/444","http://www.linkedin.com/pub/q2-it-quadro-mart%C3%ADn/3/a06/444")</f>
        <v>http://www.linkedin.com/pub/q2-it-quadro-mart%C3%ADn/3/a06/444</v>
      </c>
      <c r="I82" s="2" t="s">
        <v>15</v>
      </c>
      <c r="J82" s="2" t="s">
        <v>21</v>
      </c>
      <c r="K82" s="2" t="s">
        <v>35</v>
      </c>
    </row>
    <row r="83" ht="15.75" customHeight="1">
      <c r="A83" s="2">
        <v>74873.0</v>
      </c>
      <c r="B83" s="2" t="s">
        <v>329</v>
      </c>
      <c r="C83" s="2" t="s">
        <v>330</v>
      </c>
      <c r="D83" s="2" t="s">
        <v>13</v>
      </c>
      <c r="E83" s="2" t="s">
        <v>331</v>
      </c>
      <c r="F83" s="2">
        <v>0.0</v>
      </c>
      <c r="G83" s="2">
        <v>471.0</v>
      </c>
      <c r="H83" s="3" t="str">
        <f>HYPERLINK("http://www.linkedin.com/pub/juan-pablo-romero-lopez/0/398/99a","http://www.linkedin.com/pub/juan-pablo-romero-lopez/0/398/99a")</f>
        <v>http://www.linkedin.com/pub/juan-pablo-romero-lopez/0/398/99a</v>
      </c>
      <c r="I83" s="2" t="s">
        <v>77</v>
      </c>
      <c r="J83" s="2" t="s">
        <v>332</v>
      </c>
      <c r="K83" s="2" t="s">
        <v>168</v>
      </c>
    </row>
    <row r="84" ht="15.75" customHeight="1">
      <c r="A84" s="2">
        <v>75888.0</v>
      </c>
      <c r="B84" s="2" t="s">
        <v>333</v>
      </c>
      <c r="C84" s="2" t="s">
        <v>334</v>
      </c>
      <c r="D84" s="2" t="s">
        <v>335</v>
      </c>
      <c r="E84" s="2" t="s">
        <v>336</v>
      </c>
      <c r="F84" s="2">
        <v>8.0</v>
      </c>
      <c r="G84" s="2">
        <v>500.0</v>
      </c>
      <c r="H84" s="3" t="str">
        <f>HYPERLINK("http://au.linkedin.com/pub/dominic-dufaur/4/11/1","http://au.linkedin.com/pub/dominic-dufaur/4/11/1")</f>
        <v>http://au.linkedin.com/pub/dominic-dufaur/4/11/1</v>
      </c>
      <c r="I84" s="2" t="s">
        <v>15</v>
      </c>
      <c r="J84" s="2" t="s">
        <v>337</v>
      </c>
      <c r="K84" s="2" t="s">
        <v>35</v>
      </c>
    </row>
    <row r="85" ht="15.75" customHeight="1">
      <c r="A85" s="2">
        <v>76232.0</v>
      </c>
      <c r="B85" s="2" t="s">
        <v>338</v>
      </c>
      <c r="C85" s="2" t="s">
        <v>339</v>
      </c>
      <c r="D85" s="2" t="s">
        <v>340</v>
      </c>
      <c r="E85" s="2" t="s">
        <v>235</v>
      </c>
      <c r="F85" s="2" t="s">
        <v>13</v>
      </c>
      <c r="G85" s="2">
        <v>500.0</v>
      </c>
      <c r="H85" s="3" t="str">
        <f>HYPERLINK("http://www.linkedin.com/in/leenajacob","http://www.linkedin.com/in/leenajacob")</f>
        <v>http://www.linkedin.com/in/leenajacob</v>
      </c>
      <c r="I85" s="2" t="s">
        <v>48</v>
      </c>
      <c r="J85" s="2" t="s">
        <v>102</v>
      </c>
      <c r="K85" s="2" t="s">
        <v>35</v>
      </c>
    </row>
    <row r="86" ht="15.75" customHeight="1">
      <c r="A86" s="2">
        <v>76368.0</v>
      </c>
      <c r="B86" s="2" t="s">
        <v>341</v>
      </c>
      <c r="C86" s="2" t="s">
        <v>342</v>
      </c>
      <c r="D86" s="2" t="s">
        <v>343</v>
      </c>
      <c r="E86" s="2" t="s">
        <v>247</v>
      </c>
      <c r="F86" s="2">
        <v>6.0</v>
      </c>
      <c r="G86" s="2">
        <v>379.0</v>
      </c>
      <c r="H86" s="3" t="str">
        <f>HYPERLINK("http://ca.linkedin.com/in/kjenkins70","http://ca.linkedin.com/in/kjenkins70")</f>
        <v>http://ca.linkedin.com/in/kjenkins70</v>
      </c>
      <c r="I86" s="2" t="s">
        <v>344</v>
      </c>
      <c r="J86" s="2" t="s">
        <v>44</v>
      </c>
      <c r="K86" s="2" t="s">
        <v>58</v>
      </c>
    </row>
    <row r="87" ht="15.75" customHeight="1">
      <c r="A87" s="2">
        <v>76632.0</v>
      </c>
      <c r="B87" s="2" t="s">
        <v>345</v>
      </c>
      <c r="C87" s="2" t="s">
        <v>346</v>
      </c>
      <c r="D87" s="2" t="s">
        <v>347</v>
      </c>
      <c r="E87" s="2" t="s">
        <v>26</v>
      </c>
      <c r="F87" s="2" t="s">
        <v>13</v>
      </c>
      <c r="G87" s="2">
        <v>86.0</v>
      </c>
      <c r="H87" s="3" t="str">
        <f>HYPERLINK("http://mx.linkedin.com/pub/cynthya-m%C3%A9ndez-torres/26/52B/386","http://mx.linkedin.com/pub/cynthya-m%C3%A9ndez-torres/26/52B/386")</f>
        <v>http://mx.linkedin.com/pub/cynthya-m%C3%A9ndez-torres/26/52B/386</v>
      </c>
      <c r="I87" s="2" t="s">
        <v>96</v>
      </c>
      <c r="J87" s="2" t="s">
        <v>28</v>
      </c>
      <c r="K87" s="2" t="s">
        <v>145</v>
      </c>
    </row>
    <row r="88" ht="15.75" customHeight="1">
      <c r="A88" s="2">
        <v>77458.0</v>
      </c>
      <c r="B88" s="2" t="s">
        <v>348</v>
      </c>
      <c r="C88" s="2" t="s">
        <v>349</v>
      </c>
      <c r="D88" s="2" t="s">
        <v>350</v>
      </c>
      <c r="E88" s="2" t="s">
        <v>351</v>
      </c>
      <c r="F88" s="2" t="s">
        <v>13</v>
      </c>
      <c r="G88" s="2">
        <v>500.0</v>
      </c>
      <c r="H88" s="3" t="str">
        <f>HYPERLINK("http://dk.linkedin.com/in/jokerconsulting","http://dk.linkedin.com/in/jokerconsulting")</f>
        <v>http://dk.linkedin.com/in/jokerconsulting</v>
      </c>
      <c r="I88" s="2" t="s">
        <v>48</v>
      </c>
      <c r="J88" s="2" t="s">
        <v>352</v>
      </c>
      <c r="K88" s="2" t="s">
        <v>35</v>
      </c>
    </row>
    <row r="89" ht="15.75" customHeight="1">
      <c r="A89" s="2">
        <v>77820.0</v>
      </c>
      <c r="B89" s="2" t="s">
        <v>353</v>
      </c>
      <c r="C89" s="2" t="s">
        <v>354</v>
      </c>
      <c r="D89" s="2"/>
      <c r="E89" s="2" t="s">
        <v>355</v>
      </c>
      <c r="F89" s="2">
        <v>0.0</v>
      </c>
      <c r="G89" s="2">
        <v>151.0</v>
      </c>
      <c r="H89" s="3" t="str">
        <f>HYPERLINK("http://www.linkedin.com/pub/alejandro-p%C3%BAlito/0/915/643","http://www.linkedin.com/pub/alejandro-p%C3%BAlito/0/915/643")</f>
        <v>http://www.linkedin.com/pub/alejandro-p%C3%BAlito/0/915/643</v>
      </c>
      <c r="I89" s="2" t="s">
        <v>356</v>
      </c>
      <c r="J89" s="2" t="s">
        <v>28</v>
      </c>
      <c r="K89" s="2" t="s">
        <v>357</v>
      </c>
    </row>
    <row r="90" ht="15.75" customHeight="1">
      <c r="A90" s="2">
        <v>78325.0</v>
      </c>
      <c r="B90" s="2" t="s">
        <v>358</v>
      </c>
      <c r="C90" s="2" t="s">
        <v>359</v>
      </c>
      <c r="D90" s="2" t="s">
        <v>13</v>
      </c>
      <c r="E90" s="2" t="s">
        <v>20</v>
      </c>
      <c r="F90" s="2">
        <v>0.0</v>
      </c>
      <c r="G90" s="2">
        <v>500.0</v>
      </c>
      <c r="H90" s="3" t="str">
        <f>HYPERLINK("http://www.linkedin.com/pub/marcelo-ja%C3%B1ez/b/813/a17","http://www.linkedin.com/pub/marcelo-ja%C3%B1ez/b/813/a17")</f>
        <v>http://www.linkedin.com/pub/marcelo-ja%C3%B1ez/b/813/a17</v>
      </c>
      <c r="I90" s="2" t="s">
        <v>15</v>
      </c>
      <c r="J90" s="2" t="s">
        <v>21</v>
      </c>
      <c r="K90" s="2" t="s">
        <v>35</v>
      </c>
    </row>
    <row r="91" ht="15.75" customHeight="1">
      <c r="A91" s="2">
        <v>78337.0</v>
      </c>
      <c r="B91" s="2" t="s">
        <v>360</v>
      </c>
      <c r="C91" s="2" t="s">
        <v>361</v>
      </c>
      <c r="D91" s="2" t="s">
        <v>47</v>
      </c>
      <c r="E91" s="2" t="s">
        <v>39</v>
      </c>
      <c r="F91" s="2">
        <v>7.0</v>
      </c>
      <c r="G91" s="2">
        <v>500.0</v>
      </c>
      <c r="H91" s="3" t="str">
        <f>HYPERLINK("http://br.linkedin.com/pub/orli-machado/0/107/6B5","http://br.linkedin.com/pub/orli-machado/0/107/6B5")</f>
        <v>http://br.linkedin.com/pub/orli-machado/0/107/6B5</v>
      </c>
      <c r="I91" s="2" t="s">
        <v>48</v>
      </c>
      <c r="J91" s="2" t="s">
        <v>34</v>
      </c>
      <c r="K91" s="2" t="s">
        <v>35</v>
      </c>
    </row>
    <row r="92" ht="15.75" customHeight="1">
      <c r="A92" s="2">
        <v>78341.0</v>
      </c>
      <c r="B92" s="2" t="s">
        <v>362</v>
      </c>
      <c r="C92" s="2" t="s">
        <v>363</v>
      </c>
      <c r="D92" s="2" t="s">
        <v>47</v>
      </c>
      <c r="E92" s="2" t="s">
        <v>364</v>
      </c>
      <c r="F92" s="2">
        <v>3.0</v>
      </c>
      <c r="G92" s="2">
        <v>500.0</v>
      </c>
      <c r="H92" s="3" t="str">
        <f>HYPERLINK("http://ar.linkedin.com/pub/javier-michelli/22/8AB/575","http://ar.linkedin.com/pub/javier-michelli/22/8AB/575")</f>
        <v>http://ar.linkedin.com/pub/javier-michelli/22/8AB/575</v>
      </c>
      <c r="I92" s="2" t="s">
        <v>365</v>
      </c>
      <c r="J92" s="2" t="s">
        <v>366</v>
      </c>
      <c r="K92" s="2" t="s">
        <v>367</v>
      </c>
    </row>
    <row r="93" ht="15.75" customHeight="1">
      <c r="A93" s="2">
        <v>78463.0</v>
      </c>
      <c r="B93" s="2" t="s">
        <v>368</v>
      </c>
      <c r="C93" s="2" t="s">
        <v>369</v>
      </c>
      <c r="D93" s="2" t="s">
        <v>370</v>
      </c>
      <c r="E93" s="2" t="s">
        <v>136</v>
      </c>
      <c r="F93" s="2" t="s">
        <v>13</v>
      </c>
      <c r="G93" s="2">
        <v>500.0</v>
      </c>
      <c r="H93" s="3" t="str">
        <f>HYPERLINK("http://www.linkedin.com/in/ankurdsharma","http://www.linkedin.com/in/ankurdsharma")</f>
        <v>http://www.linkedin.com/in/ankurdsharma</v>
      </c>
      <c r="I93" s="2" t="s">
        <v>48</v>
      </c>
      <c r="J93" s="2" t="s">
        <v>102</v>
      </c>
      <c r="K93" s="2" t="s">
        <v>35</v>
      </c>
    </row>
    <row r="94" ht="15.75" customHeight="1">
      <c r="A94" s="2">
        <v>78802.0</v>
      </c>
      <c r="B94" s="2" t="s">
        <v>371</v>
      </c>
      <c r="C94" s="2" t="s">
        <v>372</v>
      </c>
      <c r="D94" s="2" t="s">
        <v>373</v>
      </c>
      <c r="E94" s="2" t="s">
        <v>204</v>
      </c>
      <c r="F94" s="2" t="s">
        <v>13</v>
      </c>
      <c r="G94" s="2">
        <v>500.0</v>
      </c>
      <c r="H94" s="3" t="str">
        <f>HYPERLINK("http://mx.linkedin.com/pub/cristina-torres-raimond-kedilhac/2A/B8A/3B5","http://mx.linkedin.com/pub/cristina-torres-raimond-kedilhac/2A/B8A/3B5")</f>
        <v>http://mx.linkedin.com/pub/cristina-torres-raimond-kedilhac/2A/B8A/3B5</v>
      </c>
      <c r="I94" s="2" t="s">
        <v>374</v>
      </c>
      <c r="J94" s="2" t="s">
        <v>28</v>
      </c>
      <c r="K94" s="2" t="s">
        <v>29</v>
      </c>
    </row>
    <row r="95" ht="15.75" customHeight="1">
      <c r="A95" s="2">
        <v>80180.0</v>
      </c>
      <c r="B95" s="2" t="s">
        <v>375</v>
      </c>
      <c r="C95" s="2" t="s">
        <v>376</v>
      </c>
      <c r="D95" s="2" t="s">
        <v>377</v>
      </c>
      <c r="E95" s="2" t="s">
        <v>301</v>
      </c>
      <c r="F95" s="2" t="s">
        <v>13</v>
      </c>
      <c r="G95" s="2">
        <v>500.0</v>
      </c>
      <c r="H95" s="3" t="str">
        <f>HYPERLINK("http://uk.linkedin.com/in/salahnasri","http://uk.linkedin.com/in/salahnasri")</f>
        <v>http://uk.linkedin.com/in/salahnasri</v>
      </c>
      <c r="I95" s="2" t="s">
        <v>306</v>
      </c>
      <c r="J95" s="2" t="s">
        <v>102</v>
      </c>
      <c r="K95" s="2" t="s">
        <v>58</v>
      </c>
    </row>
    <row r="96" ht="15.75" customHeight="1">
      <c r="A96" s="2">
        <v>84429.0</v>
      </c>
      <c r="B96" s="2" t="s">
        <v>378</v>
      </c>
      <c r="C96" s="2" t="s">
        <v>379</v>
      </c>
      <c r="D96" s="2" t="s">
        <v>380</v>
      </c>
      <c r="E96" s="2" t="s">
        <v>381</v>
      </c>
      <c r="F96" s="2">
        <v>6.0</v>
      </c>
      <c r="G96" s="2">
        <v>500.0</v>
      </c>
      <c r="H96" s="3" t="str">
        <f>HYPERLINK("http://www.linkedin.com/in/jrroman","http://www.linkedin.com/in/jrroman")</f>
        <v>http://www.linkedin.com/in/jrroman</v>
      </c>
      <c r="I96" s="2" t="s">
        <v>382</v>
      </c>
      <c r="J96" s="2" t="s">
        <v>102</v>
      </c>
      <c r="K96" s="2" t="s">
        <v>58</v>
      </c>
    </row>
    <row r="97" ht="15.75" customHeight="1">
      <c r="A97" s="2">
        <v>84992.0</v>
      </c>
      <c r="B97" s="2" t="s">
        <v>383</v>
      </c>
      <c r="C97" s="2" t="s">
        <v>384</v>
      </c>
      <c r="D97" s="2" t="s">
        <v>385</v>
      </c>
      <c r="E97" s="2" t="s">
        <v>386</v>
      </c>
      <c r="F97" s="2">
        <v>24.0</v>
      </c>
      <c r="G97" s="2">
        <v>500.0</v>
      </c>
      <c r="H97" s="3" t="str">
        <f>HYPERLINK("http://uk.linkedin.com/in/marcusdavage","http://uk.linkedin.com/in/marcusdavage")</f>
        <v>http://uk.linkedin.com/in/marcusdavage</v>
      </c>
      <c r="I97" s="2" t="s">
        <v>15</v>
      </c>
      <c r="J97" s="2" t="s">
        <v>53</v>
      </c>
      <c r="K97" s="2" t="s">
        <v>35</v>
      </c>
    </row>
    <row r="98" ht="15.75" customHeight="1">
      <c r="A98" s="2">
        <v>86559.0</v>
      </c>
      <c r="B98" s="2" t="s">
        <v>387</v>
      </c>
      <c r="C98" s="2" t="s">
        <v>388</v>
      </c>
      <c r="D98" s="2" t="s">
        <v>13</v>
      </c>
      <c r="E98" s="2" t="s">
        <v>39</v>
      </c>
      <c r="F98" s="2">
        <v>0.0</v>
      </c>
      <c r="G98" s="2">
        <v>500.0</v>
      </c>
      <c r="H98" s="3" t="str">
        <f>HYPERLINK("http://www.linkedin.com/pub/maria-iracema-alambert/0/40b/979","http://www.linkedin.com/pub/maria-iracema-alambert/0/40b/979")</f>
        <v>http://www.linkedin.com/pub/maria-iracema-alambert/0/40b/979</v>
      </c>
      <c r="I98" s="2" t="s">
        <v>15</v>
      </c>
      <c r="J98" s="2" t="s">
        <v>34</v>
      </c>
      <c r="K98" s="2" t="s">
        <v>35</v>
      </c>
    </row>
    <row r="99" ht="15.75" customHeight="1">
      <c r="A99" s="2">
        <v>87222.0</v>
      </c>
      <c r="B99" s="2" t="s">
        <v>389</v>
      </c>
      <c r="C99" s="2" t="s">
        <v>390</v>
      </c>
      <c r="D99" s="2" t="s">
        <v>391</v>
      </c>
      <c r="E99" s="2" t="s">
        <v>39</v>
      </c>
      <c r="F99" s="2">
        <v>3.0</v>
      </c>
      <c r="G99" s="2">
        <v>500.0</v>
      </c>
      <c r="H99" s="3" t="str">
        <f>HYPERLINK("http://br.linkedin.com/in/jzorzi","http://br.linkedin.com/in/jzorzi")</f>
        <v>http://br.linkedin.com/in/jzorzi</v>
      </c>
      <c r="I99" s="2" t="s">
        <v>15</v>
      </c>
      <c r="J99" s="2" t="s">
        <v>34</v>
      </c>
      <c r="K99" s="2" t="s">
        <v>35</v>
      </c>
    </row>
    <row r="100" ht="15.75" customHeight="1">
      <c r="A100" s="2">
        <v>87348.0</v>
      </c>
      <c r="B100" s="2" t="s">
        <v>392</v>
      </c>
      <c r="C100" s="2" t="s">
        <v>393</v>
      </c>
      <c r="D100" s="2" t="s">
        <v>13</v>
      </c>
      <c r="E100" s="2" t="s">
        <v>136</v>
      </c>
      <c r="F100" s="2">
        <v>0.0</v>
      </c>
      <c r="G100" s="2">
        <v>500.0</v>
      </c>
      <c r="H100" s="3" t="str">
        <f>HYPERLINK("http://www.linkedin.com/in/jesserickson","http://www.linkedin.com/in/jesserickson")</f>
        <v>http://www.linkedin.com/in/jesserickson</v>
      </c>
      <c r="I100" s="2" t="s">
        <v>48</v>
      </c>
      <c r="J100" s="2" t="s">
        <v>102</v>
      </c>
      <c r="K100" s="2" t="s">
        <v>35</v>
      </c>
    </row>
    <row r="101" ht="15.75" customHeight="1">
      <c r="A101" s="2">
        <v>87872.0</v>
      </c>
      <c r="B101" s="2" t="s">
        <v>394</v>
      </c>
      <c r="C101" s="2" t="s">
        <v>395</v>
      </c>
      <c r="D101" s="2" t="s">
        <v>13</v>
      </c>
      <c r="E101" s="2" t="s">
        <v>20</v>
      </c>
      <c r="F101" s="2">
        <v>0.0</v>
      </c>
      <c r="G101" s="2">
        <v>500.0</v>
      </c>
      <c r="H101" s="3" t="str">
        <f>HYPERLINK("http://www.linkedin.com/pub/key-factory-software/40/841/730","http://www.linkedin.com/pub/key-factory-software/40/841/730")</f>
        <v>http://www.linkedin.com/pub/key-factory-software/40/841/730</v>
      </c>
      <c r="I101" s="2" t="s">
        <v>15</v>
      </c>
      <c r="J101" s="2" t="s">
        <v>21</v>
      </c>
      <c r="K101" s="2" t="s">
        <v>35</v>
      </c>
    </row>
    <row r="102" ht="15.75" customHeight="1">
      <c r="A102" s="2">
        <v>88456.0</v>
      </c>
      <c r="B102" s="2" t="s">
        <v>396</v>
      </c>
      <c r="C102" s="2" t="s">
        <v>13</v>
      </c>
      <c r="D102" s="2" t="s">
        <v>13</v>
      </c>
      <c r="E102" s="2" t="s">
        <v>397</v>
      </c>
      <c r="F102" s="2">
        <v>0.0</v>
      </c>
      <c r="G102" s="2">
        <v>500.0</v>
      </c>
      <c r="H102" s="3" t="str">
        <f>HYPERLINK("http://www.linkedin.com/in/socialmedios","http://www.linkedin.com/in/socialmedios")</f>
        <v>http://www.linkedin.com/in/socialmedios</v>
      </c>
      <c r="I102" s="2" t="s">
        <v>326</v>
      </c>
      <c r="J102" s="2" t="s">
        <v>102</v>
      </c>
      <c r="K102" s="2" t="s">
        <v>35</v>
      </c>
    </row>
    <row r="103" ht="15.75" customHeight="1">
      <c r="A103" s="2">
        <v>88795.0</v>
      </c>
      <c r="B103" s="2" t="s">
        <v>398</v>
      </c>
      <c r="C103" s="2" t="s">
        <v>399</v>
      </c>
      <c r="D103" s="2" t="s">
        <v>400</v>
      </c>
      <c r="E103" s="2" t="s">
        <v>142</v>
      </c>
      <c r="F103" s="2" t="s">
        <v>13</v>
      </c>
      <c r="G103" s="2">
        <v>500.0</v>
      </c>
      <c r="H103" s="3" t="str">
        <f>HYPERLINK("http://www.linkedin.com/pub/colin-johnson/1/43B/A37","http://www.linkedin.com/pub/colin-johnson/1/43B/A37")</f>
        <v>http://www.linkedin.com/pub/colin-johnson/1/43B/A37</v>
      </c>
      <c r="I103" s="2" t="s">
        <v>105</v>
      </c>
      <c r="J103" s="2" t="s">
        <v>144</v>
      </c>
      <c r="K103" s="2" t="s">
        <v>29</v>
      </c>
    </row>
    <row r="104" ht="15.75" customHeight="1">
      <c r="A104" s="2">
        <v>89191.0</v>
      </c>
      <c r="B104" s="2" t="s">
        <v>157</v>
      </c>
      <c r="C104" s="2" t="s">
        <v>401</v>
      </c>
      <c r="D104" s="2" t="s">
        <v>114</v>
      </c>
      <c r="E104" s="2" t="s">
        <v>301</v>
      </c>
      <c r="F104" s="2">
        <v>4.0</v>
      </c>
      <c r="G104" s="2">
        <v>500.0</v>
      </c>
      <c r="H104" s="3" t="str">
        <f>HYPERLINK("http://www.linkedin.com/in/jlender","http://www.linkedin.com/in/jlender")</f>
        <v>http://www.linkedin.com/in/jlender</v>
      </c>
      <c r="I104" s="2" t="s">
        <v>326</v>
      </c>
      <c r="J104" s="2" t="s">
        <v>102</v>
      </c>
      <c r="K104" s="2" t="s">
        <v>58</v>
      </c>
    </row>
    <row r="105" ht="15.75" customHeight="1">
      <c r="A105" s="2">
        <v>89591.0</v>
      </c>
      <c r="B105" s="2" t="s">
        <v>275</v>
      </c>
      <c r="C105" s="2" t="s">
        <v>402</v>
      </c>
      <c r="D105" s="2" t="s">
        <v>289</v>
      </c>
      <c r="E105" s="2" t="s">
        <v>403</v>
      </c>
      <c r="F105" s="2">
        <v>4.0</v>
      </c>
      <c r="G105" s="2">
        <v>485.0</v>
      </c>
      <c r="H105" s="3" t="str">
        <f>HYPERLINK("http://ca.linkedin.com/in/markawoolley","http://ca.linkedin.com/in/markawoolley")</f>
        <v>http://ca.linkedin.com/in/markawoolley</v>
      </c>
      <c r="I105" s="2" t="s">
        <v>15</v>
      </c>
      <c r="J105" s="2" t="s">
        <v>44</v>
      </c>
      <c r="K105" s="2" t="s">
        <v>35</v>
      </c>
    </row>
    <row r="106" ht="15.75" customHeight="1">
      <c r="A106" s="2">
        <v>89677.0</v>
      </c>
      <c r="B106" s="2" t="s">
        <v>404</v>
      </c>
      <c r="C106" s="2" t="s">
        <v>405</v>
      </c>
      <c r="D106" s="2" t="s">
        <v>406</v>
      </c>
      <c r="E106" s="2" t="s">
        <v>407</v>
      </c>
      <c r="F106" s="2">
        <v>5.0</v>
      </c>
      <c r="G106" s="2">
        <v>500.0</v>
      </c>
      <c r="H106" s="3" t="str">
        <f>HYPERLINK("http://www.linkedin.com/in/robinzygelman","http://www.linkedin.com/in/robinzygelman")</f>
        <v>http://www.linkedin.com/in/robinzygelman</v>
      </c>
      <c r="I106" s="2" t="s">
        <v>326</v>
      </c>
      <c r="J106" s="2" t="s">
        <v>102</v>
      </c>
      <c r="K106" s="2" t="s">
        <v>58</v>
      </c>
    </row>
    <row r="107" ht="15.75" customHeight="1">
      <c r="A107" s="2">
        <v>89924.0</v>
      </c>
      <c r="B107" s="2" t="s">
        <v>408</v>
      </c>
      <c r="C107" s="2" t="s">
        <v>409</v>
      </c>
      <c r="D107" s="2" t="s">
        <v>410</v>
      </c>
      <c r="E107" s="2" t="s">
        <v>411</v>
      </c>
      <c r="F107" s="2">
        <v>5.0</v>
      </c>
      <c r="G107" s="2">
        <v>500.0</v>
      </c>
      <c r="H107" s="3" t="str">
        <f>HYPERLINK("http://www.linkedin.com/in/ezapolsky","http://www.linkedin.com/in/ezapolsky")</f>
        <v>http://www.linkedin.com/in/ezapolsky</v>
      </c>
      <c r="I107" s="2" t="s">
        <v>306</v>
      </c>
      <c r="J107" s="2" t="s">
        <v>102</v>
      </c>
      <c r="K107" s="2" t="s">
        <v>58</v>
      </c>
    </row>
    <row r="108" ht="15.75" customHeight="1">
      <c r="A108" s="2">
        <v>90096.0</v>
      </c>
      <c r="B108" s="2" t="s">
        <v>412</v>
      </c>
      <c r="C108" s="2" t="s">
        <v>413</v>
      </c>
      <c r="D108" s="2" t="s">
        <v>297</v>
      </c>
      <c r="E108" s="2" t="s">
        <v>235</v>
      </c>
      <c r="F108" s="2">
        <v>14.0</v>
      </c>
      <c r="G108" s="2">
        <v>500.0</v>
      </c>
      <c r="H108" s="3" t="str">
        <f>HYPERLINK("http://www.linkedin.com/in/robertscola","http://www.linkedin.com/in/robertscola")</f>
        <v>http://www.linkedin.com/in/robertscola</v>
      </c>
      <c r="I108" s="2" t="s">
        <v>160</v>
      </c>
      <c r="J108" s="2" t="s">
        <v>102</v>
      </c>
      <c r="K108" s="2" t="s">
        <v>97</v>
      </c>
    </row>
    <row r="109" ht="15.75" customHeight="1">
      <c r="A109" s="2">
        <v>90670.0</v>
      </c>
      <c r="B109" s="2" t="s">
        <v>414</v>
      </c>
      <c r="C109" s="2" t="s">
        <v>415</v>
      </c>
      <c r="D109" s="2" t="s">
        <v>416</v>
      </c>
      <c r="E109" s="2" t="s">
        <v>417</v>
      </c>
      <c r="F109" s="2">
        <v>13.0</v>
      </c>
      <c r="G109" s="2">
        <v>500.0</v>
      </c>
      <c r="H109" s="3" t="str">
        <f>HYPERLINK("http://www.linkedin.com/in/tomturchioe","http://www.linkedin.com/in/tomturchioe")</f>
        <v>http://www.linkedin.com/in/tomturchioe</v>
      </c>
      <c r="I109" s="2" t="s">
        <v>48</v>
      </c>
      <c r="J109" s="2" t="s">
        <v>102</v>
      </c>
      <c r="K109" s="2" t="s">
        <v>35</v>
      </c>
    </row>
    <row r="110" ht="15.75" customHeight="1">
      <c r="A110" s="2">
        <v>92031.0</v>
      </c>
      <c r="B110" s="2" t="s">
        <v>418</v>
      </c>
      <c r="C110" s="2" t="s">
        <v>419</v>
      </c>
      <c r="D110" s="2" t="s">
        <v>420</v>
      </c>
      <c r="E110" s="2" t="s">
        <v>421</v>
      </c>
      <c r="F110" s="2" t="s">
        <v>13</v>
      </c>
      <c r="G110" s="2">
        <v>500.0</v>
      </c>
      <c r="H110" s="3" t="str">
        <f>HYPERLINK("http://ar.linkedin.com/pub/ivan-frutos/14/4B0/634","http://ar.linkedin.com/pub/ivan-frutos/14/4B0/634")</f>
        <v>http://ar.linkedin.com/pub/ivan-frutos/14/4B0/634</v>
      </c>
      <c r="I110" s="2" t="s">
        <v>422</v>
      </c>
      <c r="J110" s="2" t="s">
        <v>21</v>
      </c>
      <c r="K110" s="2" t="s">
        <v>35</v>
      </c>
    </row>
    <row r="111" ht="15.75" customHeight="1">
      <c r="A111" s="2">
        <v>94196.0</v>
      </c>
      <c r="B111" s="2" t="s">
        <v>423</v>
      </c>
      <c r="C111" s="2" t="s">
        <v>424</v>
      </c>
      <c r="D111" s="2" t="s">
        <v>425</v>
      </c>
      <c r="E111" s="2" t="s">
        <v>426</v>
      </c>
      <c r="F111" s="2" t="s">
        <v>13</v>
      </c>
      <c r="G111" s="2">
        <v>500.0</v>
      </c>
      <c r="H111" s="3" t="str">
        <f>HYPERLINK("http://br.linkedin.com/in/carolinaatm","http://br.linkedin.com/in/carolinaatm")</f>
        <v>http://br.linkedin.com/in/carolinaatm</v>
      </c>
      <c r="I111" s="2" t="s">
        <v>15</v>
      </c>
      <c r="J111" s="2" t="s">
        <v>102</v>
      </c>
      <c r="K111" s="2" t="s">
        <v>35</v>
      </c>
    </row>
    <row r="112" ht="15.75" customHeight="1">
      <c r="A112" s="2">
        <v>94215.0</v>
      </c>
      <c r="B112" s="2" t="s">
        <v>221</v>
      </c>
      <c r="C112" s="2" t="s">
        <v>427</v>
      </c>
      <c r="D112" s="2" t="s">
        <v>428</v>
      </c>
      <c r="E112" s="2" t="s">
        <v>429</v>
      </c>
      <c r="F112" s="2">
        <v>2.0</v>
      </c>
      <c r="G112" s="2">
        <v>500.0</v>
      </c>
      <c r="H112" s="3" t="str">
        <f>HYPERLINK("http://www.linkedin.com/pub/miguel-fonseca/1/2AA/7B","http://www.linkedin.com/pub/miguel-fonseca/1/2AA/7B")</f>
        <v>http://www.linkedin.com/pub/miguel-fonseca/1/2AA/7B</v>
      </c>
      <c r="I112" s="2" t="s">
        <v>48</v>
      </c>
      <c r="J112" s="2" t="s">
        <v>430</v>
      </c>
      <c r="K112" s="2" t="s">
        <v>35</v>
      </c>
    </row>
    <row r="113" ht="15.75" customHeight="1">
      <c r="A113" s="2">
        <v>96590.0</v>
      </c>
      <c r="B113" s="2" t="s">
        <v>431</v>
      </c>
      <c r="C113" s="2" t="s">
        <v>432</v>
      </c>
      <c r="D113" s="2" t="s">
        <v>13</v>
      </c>
      <c r="E113" s="2" t="s">
        <v>39</v>
      </c>
      <c r="F113" s="2">
        <v>0.0</v>
      </c>
      <c r="G113" s="2">
        <v>500.0</v>
      </c>
      <c r="H113" s="3" t="str">
        <f>HYPERLINK("http://br.linkedin.com/in/rodrigobyrro","http://br.linkedin.com/in/rodrigobyrro")</f>
        <v>http://br.linkedin.com/in/rodrigobyrro</v>
      </c>
      <c r="I113" s="2" t="s">
        <v>77</v>
      </c>
      <c r="J113" s="2" t="s">
        <v>34</v>
      </c>
      <c r="K113" s="2" t="s">
        <v>97</v>
      </c>
    </row>
    <row r="114" ht="15.75" customHeight="1">
      <c r="A114" s="2">
        <v>96642.0</v>
      </c>
      <c r="B114" s="2" t="s">
        <v>433</v>
      </c>
      <c r="C114" s="2" t="s">
        <v>434</v>
      </c>
      <c r="D114" s="2" t="s">
        <v>435</v>
      </c>
      <c r="E114" s="2" t="s">
        <v>436</v>
      </c>
      <c r="F114" s="2">
        <v>7.0</v>
      </c>
      <c r="G114" s="2">
        <v>500.0</v>
      </c>
      <c r="H114" s="3" t="str">
        <f>HYPERLINK("http://www.linkedin.com/pub/andy-isaac/0/345/4B2","http://www.linkedin.com/pub/andy-isaac/0/345/4B2")</f>
        <v>http://www.linkedin.com/pub/andy-isaac/0/345/4B2</v>
      </c>
      <c r="I114" s="2" t="s">
        <v>374</v>
      </c>
      <c r="J114" s="2" t="s">
        <v>273</v>
      </c>
      <c r="K114" s="2" t="s">
        <v>35</v>
      </c>
    </row>
    <row r="115" ht="15.75" customHeight="1">
      <c r="A115" s="2">
        <v>97085.0</v>
      </c>
      <c r="B115" s="2" t="s">
        <v>314</v>
      </c>
      <c r="C115" s="2" t="s">
        <v>437</v>
      </c>
      <c r="D115" s="2" t="s">
        <v>438</v>
      </c>
      <c r="E115" s="2" t="s">
        <v>439</v>
      </c>
      <c r="F115" s="2">
        <v>4.0</v>
      </c>
      <c r="G115" s="2">
        <v>500.0</v>
      </c>
      <c r="H115" s="3" t="str">
        <f>HYPERLINK("http://br.linkedin.com/in/marcosresende1","http://br.linkedin.com/in/marcosresende1")</f>
        <v>http://br.linkedin.com/in/marcosresende1</v>
      </c>
      <c r="I115" s="2" t="s">
        <v>440</v>
      </c>
      <c r="J115" s="2" t="s">
        <v>34</v>
      </c>
      <c r="K115" s="2" t="s">
        <v>97</v>
      </c>
    </row>
    <row r="116" ht="15.75" customHeight="1">
      <c r="A116" s="2">
        <v>97891.0</v>
      </c>
      <c r="B116" s="2" t="s">
        <v>358</v>
      </c>
      <c r="C116" s="2" t="s">
        <v>441</v>
      </c>
      <c r="D116" s="2" t="s">
        <v>442</v>
      </c>
      <c r="E116" s="2" t="s">
        <v>72</v>
      </c>
      <c r="F116" s="2">
        <v>4.0</v>
      </c>
      <c r="G116" s="2">
        <v>500.0</v>
      </c>
      <c r="H116" s="3" t="str">
        <f>HYPERLINK("http://br.linkedin.com/in/marcelosiffert","http://br.linkedin.com/in/marcelosiffert")</f>
        <v>http://br.linkedin.com/in/marcelosiffert</v>
      </c>
      <c r="I116" s="2" t="s">
        <v>15</v>
      </c>
      <c r="J116" s="2" t="s">
        <v>34</v>
      </c>
      <c r="K116" s="2" t="s">
        <v>35</v>
      </c>
    </row>
    <row r="117" ht="15.75" customHeight="1">
      <c r="A117" s="2">
        <v>98608.0</v>
      </c>
      <c r="B117" s="2" t="s">
        <v>275</v>
      </c>
      <c r="C117" s="2" t="s">
        <v>443</v>
      </c>
      <c r="D117" s="2" t="s">
        <v>444</v>
      </c>
      <c r="E117" s="2" t="s">
        <v>445</v>
      </c>
      <c r="F117" s="2" t="s">
        <v>13</v>
      </c>
      <c r="G117" s="2">
        <v>371.0</v>
      </c>
      <c r="H117" s="3" t="str">
        <f>HYPERLINK("http://www.linkedin.com/in/markeschbacher","http://www.linkedin.com/in/markeschbacher")</f>
        <v>http://www.linkedin.com/in/markeschbacher</v>
      </c>
      <c r="I117" s="2" t="s">
        <v>446</v>
      </c>
      <c r="J117" s="2" t="s">
        <v>273</v>
      </c>
      <c r="K117" s="2" t="s">
        <v>22</v>
      </c>
    </row>
    <row r="118" ht="15.75" customHeight="1">
      <c r="A118" s="2">
        <v>100963.0</v>
      </c>
      <c r="B118" s="2" t="s">
        <v>447</v>
      </c>
      <c r="C118" s="2" t="s">
        <v>448</v>
      </c>
      <c r="D118" s="2" t="s">
        <v>449</v>
      </c>
      <c r="E118" s="2" t="s">
        <v>450</v>
      </c>
      <c r="F118" s="2">
        <v>2.0</v>
      </c>
      <c r="G118" s="2">
        <v>282.0</v>
      </c>
      <c r="H118" s="3" t="str">
        <f>HYPERLINK("http://www.linkedin.com/pub/moira-brown-kutz/3/108/B2B","http://www.linkedin.com/pub/moira-brown-kutz/3/108/B2B")</f>
        <v>http://www.linkedin.com/pub/moira-brown-kutz/3/108/B2B</v>
      </c>
      <c r="I118" s="2" t="s">
        <v>374</v>
      </c>
      <c r="J118" s="2" t="s">
        <v>273</v>
      </c>
      <c r="K118" s="2" t="s">
        <v>35</v>
      </c>
    </row>
    <row r="119" ht="15.75" customHeight="1">
      <c r="A119" s="2">
        <v>101459.0</v>
      </c>
      <c r="B119" s="2" t="s">
        <v>451</v>
      </c>
      <c r="C119" s="2" t="s">
        <v>452</v>
      </c>
      <c r="D119" s="2" t="s">
        <v>453</v>
      </c>
      <c r="E119" s="2" t="s">
        <v>122</v>
      </c>
      <c r="F119" s="2" t="s">
        <v>13</v>
      </c>
      <c r="G119" s="2">
        <v>500.0</v>
      </c>
      <c r="H119" s="3" t="str">
        <f>HYPERLINK("http://uk.linkedin.com/in/robertccopara","http://uk.linkedin.com/in/robertccopara")</f>
        <v>http://uk.linkedin.com/in/robertccopara</v>
      </c>
      <c r="I119" s="2" t="s">
        <v>279</v>
      </c>
      <c r="J119" s="2" t="s">
        <v>53</v>
      </c>
      <c r="K119" s="2" t="s">
        <v>58</v>
      </c>
    </row>
    <row r="120" ht="15.75" customHeight="1">
      <c r="A120" s="2">
        <v>101983.0</v>
      </c>
      <c r="B120" s="2" t="s">
        <v>454</v>
      </c>
      <c r="C120" s="2" t="s">
        <v>455</v>
      </c>
      <c r="D120" s="2" t="s">
        <v>456</v>
      </c>
      <c r="E120" s="2" t="s">
        <v>457</v>
      </c>
      <c r="F120" s="2">
        <v>2.0</v>
      </c>
      <c r="G120" s="2">
        <v>29.0</v>
      </c>
      <c r="H120" s="3" t="str">
        <f>HYPERLINK("http://www.linkedin.com/in/baseemahgaither","http://www.linkedin.com/in/baseemahgaither")</f>
        <v>http://www.linkedin.com/in/baseemahgaither</v>
      </c>
      <c r="I120" s="2" t="s">
        <v>458</v>
      </c>
      <c r="J120" s="2" t="s">
        <v>102</v>
      </c>
      <c r="K120" s="2" t="s">
        <v>459</v>
      </c>
    </row>
    <row r="121" ht="15.75" customHeight="1">
      <c r="A121" s="2">
        <v>102251.0</v>
      </c>
      <c r="B121" s="2" t="s">
        <v>460</v>
      </c>
      <c r="C121" s="2" t="s">
        <v>461</v>
      </c>
      <c r="D121" s="2" t="s">
        <v>462</v>
      </c>
      <c r="E121" s="2" t="s">
        <v>224</v>
      </c>
      <c r="F121" s="2">
        <v>4.0</v>
      </c>
      <c r="G121" s="2">
        <v>500.0</v>
      </c>
      <c r="H121" s="3" t="str">
        <f>HYPERLINK("http://www.linkedin.com/in/jmkllc","http://www.linkedin.com/in/jmkllc")</f>
        <v>http://www.linkedin.com/in/jmkllc</v>
      </c>
      <c r="I121" s="2" t="s">
        <v>344</v>
      </c>
      <c r="J121" s="2" t="s">
        <v>16</v>
      </c>
      <c r="K121" s="2" t="s">
        <v>138</v>
      </c>
    </row>
    <row r="122" ht="15.75" customHeight="1">
      <c r="A122" s="2">
        <v>102631.0</v>
      </c>
      <c r="B122" s="2" t="s">
        <v>463</v>
      </c>
      <c r="C122" s="2" t="s">
        <v>464</v>
      </c>
      <c r="D122" s="2" t="s">
        <v>465</v>
      </c>
      <c r="E122" s="2" t="s">
        <v>20</v>
      </c>
      <c r="F122" s="2">
        <v>2.0</v>
      </c>
      <c r="G122" s="2">
        <v>500.0</v>
      </c>
      <c r="H122" s="3" t="str">
        <f>HYPERLINK("http://pe.linkedin.com/in/manuelaarnedo","http://pe.linkedin.com/in/manuelaarnedo")</f>
        <v>http://pe.linkedin.com/in/manuelaarnedo</v>
      </c>
      <c r="I122" s="2" t="s">
        <v>69</v>
      </c>
      <c r="J122" s="2" t="s">
        <v>21</v>
      </c>
      <c r="K122" s="2" t="s">
        <v>35</v>
      </c>
    </row>
    <row r="123" ht="15.75" customHeight="1">
      <c r="A123" s="2">
        <v>103285.0</v>
      </c>
      <c r="B123" s="2" t="s">
        <v>466</v>
      </c>
      <c r="C123" s="2" t="s">
        <v>467</v>
      </c>
      <c r="D123" s="2" t="s">
        <v>468</v>
      </c>
      <c r="E123" s="2" t="s">
        <v>469</v>
      </c>
      <c r="F123" s="2" t="s">
        <v>13</v>
      </c>
      <c r="G123" s="2">
        <v>445.0</v>
      </c>
      <c r="H123" s="3" t="str">
        <f>HYPERLINK("http://br.linkedin.com/pub/nathalie-zanata/29/783/29","http://br.linkedin.com/pub/nathalie-zanata/29/783/29")</f>
        <v>http://br.linkedin.com/pub/nathalie-zanata/29/783/29</v>
      </c>
      <c r="I123" s="2" t="s">
        <v>470</v>
      </c>
      <c r="J123" s="2" t="s">
        <v>34</v>
      </c>
      <c r="K123" s="2" t="s">
        <v>97</v>
      </c>
    </row>
    <row r="124" ht="15.75" customHeight="1">
      <c r="A124" s="2">
        <v>105044.0</v>
      </c>
      <c r="B124" s="2" t="s">
        <v>471</v>
      </c>
      <c r="C124" s="2" t="s">
        <v>472</v>
      </c>
      <c r="D124" s="2" t="s">
        <v>473</v>
      </c>
      <c r="E124" s="2" t="s">
        <v>474</v>
      </c>
      <c r="F124" s="2">
        <v>0.0</v>
      </c>
      <c r="G124" s="2">
        <v>159.0</v>
      </c>
      <c r="H124" s="3" t="str">
        <f>HYPERLINK("http://www.linkedin.com/pub/dan-stecher/A/83B/677","http://www.linkedin.com/pub/dan-stecher/A/83B/677")</f>
        <v>http://www.linkedin.com/pub/dan-stecher/A/83B/677</v>
      </c>
      <c r="I124" s="2" t="s">
        <v>475</v>
      </c>
      <c r="J124" s="2" t="s">
        <v>273</v>
      </c>
      <c r="K124" s="2" t="s">
        <v>58</v>
      </c>
    </row>
    <row r="125" ht="15.75" customHeight="1">
      <c r="A125" s="2">
        <v>105987.0</v>
      </c>
      <c r="B125" s="2" t="s">
        <v>476</v>
      </c>
      <c r="C125" s="2" t="s">
        <v>477</v>
      </c>
      <c r="D125" s="2" t="s">
        <v>114</v>
      </c>
      <c r="E125" s="2" t="s">
        <v>235</v>
      </c>
      <c r="F125" s="2">
        <v>16.0</v>
      </c>
      <c r="G125" s="2" t="s">
        <v>13</v>
      </c>
      <c r="H125" s="3" t="str">
        <f>HYPERLINK("http://www.linkedin.com/in/rondacampbell","http://www.linkedin.com/in/rondacampbell")</f>
        <v>http://www.linkedin.com/in/rondacampbell</v>
      </c>
      <c r="I125" s="2" t="s">
        <v>248</v>
      </c>
      <c r="J125" s="2" t="s">
        <v>102</v>
      </c>
      <c r="K125" s="2" t="s">
        <v>196</v>
      </c>
    </row>
    <row r="126" ht="15.75" customHeight="1">
      <c r="A126" s="2">
        <v>106220.0</v>
      </c>
      <c r="B126" s="2" t="s">
        <v>478</v>
      </c>
      <c r="C126" s="2" t="s">
        <v>479</v>
      </c>
      <c r="D126" s="2" t="s">
        <v>480</v>
      </c>
      <c r="E126" s="2" t="s">
        <v>204</v>
      </c>
      <c r="F126" s="2">
        <v>4.0</v>
      </c>
      <c r="G126" s="2">
        <v>312.0</v>
      </c>
      <c r="H126" s="3" t="str">
        <f>HYPERLINK("http://mx.linkedin.com/pub/karen-vargas/23/348/938","http://mx.linkedin.com/pub/karen-vargas/23/348/938")</f>
        <v>http://mx.linkedin.com/pub/karen-vargas/23/348/938</v>
      </c>
      <c r="I126" s="2" t="s">
        <v>105</v>
      </c>
      <c r="J126" s="2" t="s">
        <v>28</v>
      </c>
      <c r="K126" s="2" t="s">
        <v>168</v>
      </c>
    </row>
    <row r="127" ht="15.75" customHeight="1">
      <c r="A127" s="2">
        <v>106448.0</v>
      </c>
      <c r="B127" s="2" t="s">
        <v>481</v>
      </c>
      <c r="C127" s="2" t="s">
        <v>482</v>
      </c>
      <c r="D127" s="2" t="s">
        <v>13</v>
      </c>
      <c r="E127" s="2" t="s">
        <v>39</v>
      </c>
      <c r="F127" s="2">
        <v>0.0</v>
      </c>
      <c r="G127" s="2">
        <v>500.0</v>
      </c>
      <c r="H127" s="3" t="str">
        <f>HYPERLINK("http://www.linkedin.com/pub/carlos-eduardo-matheus/9/5a2/781","http://www.linkedin.com/pub/carlos-eduardo-matheus/9/5a2/781")</f>
        <v>http://www.linkedin.com/pub/carlos-eduardo-matheus/9/5a2/781</v>
      </c>
      <c r="I127" s="2" t="s">
        <v>15</v>
      </c>
      <c r="J127" s="2" t="s">
        <v>34</v>
      </c>
      <c r="K127" s="2" t="s">
        <v>35</v>
      </c>
    </row>
    <row r="128" ht="15.75" customHeight="1">
      <c r="A128" s="2">
        <v>106824.0</v>
      </c>
      <c r="B128" s="2" t="s">
        <v>483</v>
      </c>
      <c r="C128" s="2" t="s">
        <v>484</v>
      </c>
      <c r="D128" s="2" t="s">
        <v>485</v>
      </c>
      <c r="E128" s="2" t="s">
        <v>39</v>
      </c>
      <c r="F128" s="2">
        <v>7.0</v>
      </c>
      <c r="G128" s="2">
        <v>500.0</v>
      </c>
      <c r="H128" s="3" t="str">
        <f>HYPERLINK("http://br.linkedin.com/pub/jairo-cardoso-de-oliveira/1/1B3/145","http://br.linkedin.com/pub/jairo-cardoso-de-oliveira/1/1B3/145")</f>
        <v>http://br.linkedin.com/pub/jairo-cardoso-de-oliveira/1/1B3/145</v>
      </c>
      <c r="I128" s="2" t="s">
        <v>15</v>
      </c>
      <c r="J128" s="2" t="s">
        <v>34</v>
      </c>
      <c r="K128" s="2" t="s">
        <v>35</v>
      </c>
    </row>
    <row r="129" ht="15.75" customHeight="1">
      <c r="A129" s="2">
        <v>107001.0</v>
      </c>
      <c r="B129" s="2" t="s">
        <v>486</v>
      </c>
      <c r="C129" s="2" t="s">
        <v>487</v>
      </c>
      <c r="D129" s="2" t="s">
        <v>488</v>
      </c>
      <c r="E129" s="2" t="s">
        <v>39</v>
      </c>
      <c r="F129" s="2" t="s">
        <v>13</v>
      </c>
      <c r="G129" s="2">
        <v>500.0</v>
      </c>
      <c r="H129" s="3" t="str">
        <f>HYPERLINK("http://br.linkedin.com/pub/jean-carlo-klaumann/0/165/941","http://br.linkedin.com/pub/jean-carlo-klaumann/0/165/941")</f>
        <v>http://br.linkedin.com/pub/jean-carlo-klaumann/0/165/941</v>
      </c>
      <c r="I129" s="2" t="s">
        <v>15</v>
      </c>
      <c r="J129" s="2" t="s">
        <v>34</v>
      </c>
      <c r="K129" s="2" t="s">
        <v>35</v>
      </c>
    </row>
    <row r="130" ht="15.75" customHeight="1">
      <c r="A130" s="2">
        <v>108728.0</v>
      </c>
      <c r="B130" s="2" t="s">
        <v>489</v>
      </c>
      <c r="C130" s="2" t="s">
        <v>490</v>
      </c>
      <c r="D130" s="2" t="s">
        <v>13</v>
      </c>
      <c r="E130" s="2" t="s">
        <v>491</v>
      </c>
      <c r="F130" s="2">
        <v>0.0</v>
      </c>
      <c r="G130" s="2">
        <v>500.0</v>
      </c>
      <c r="H130" s="3" t="str">
        <f>HYPERLINK("http://www.linkedin.com/in/rcnick4","http://www.linkedin.com/in/rcnick4")</f>
        <v>http://www.linkedin.com/in/rcnick4</v>
      </c>
      <c r="I130" s="2" t="s">
        <v>69</v>
      </c>
      <c r="J130" s="2" t="s">
        <v>220</v>
      </c>
      <c r="K130" s="2" t="s">
        <v>35</v>
      </c>
    </row>
    <row r="131" ht="15.75" customHeight="1">
      <c r="A131" s="2">
        <v>109113.0</v>
      </c>
      <c r="B131" s="2" t="s">
        <v>492</v>
      </c>
      <c r="C131" s="2" t="s">
        <v>493</v>
      </c>
      <c r="D131" s="2" t="s">
        <v>494</v>
      </c>
      <c r="E131" s="2" t="s">
        <v>495</v>
      </c>
      <c r="F131" s="2" t="s">
        <v>13</v>
      </c>
      <c r="G131" s="2">
        <v>160.0</v>
      </c>
      <c r="H131" s="3" t="str">
        <f>HYPERLINK("http://mx.linkedin.com/pub/sergio-anduaga/24/663/58","http://mx.linkedin.com/pub/sergio-anduaga/24/663/58")</f>
        <v>http://mx.linkedin.com/pub/sergio-anduaga/24/663/58</v>
      </c>
      <c r="I131" s="2" t="s">
        <v>15</v>
      </c>
      <c r="J131" s="2" t="s">
        <v>28</v>
      </c>
      <c r="K131" s="2" t="s">
        <v>496</v>
      </c>
    </row>
    <row r="132" ht="15.75" customHeight="1">
      <c r="A132" s="2">
        <v>110061.0</v>
      </c>
      <c r="B132" s="2" t="s">
        <v>152</v>
      </c>
      <c r="C132" s="2" t="s">
        <v>497</v>
      </c>
      <c r="D132" s="2" t="s">
        <v>498</v>
      </c>
      <c r="E132" s="2" t="s">
        <v>499</v>
      </c>
      <c r="F132" s="2">
        <v>14.0</v>
      </c>
      <c r="G132" s="2">
        <v>500.0</v>
      </c>
      <c r="H132" s="3" t="str">
        <f>HYPERLINK("http://br.linkedin.com/pub/eduardo-alves/12/409/662","http://br.linkedin.com/pub/eduardo-alves/12/409/662")</f>
        <v>http://br.linkedin.com/pub/eduardo-alves/12/409/662</v>
      </c>
      <c r="I132" s="2" t="s">
        <v>475</v>
      </c>
      <c r="J132" s="2" t="s">
        <v>34</v>
      </c>
      <c r="K132" s="2" t="s">
        <v>58</v>
      </c>
    </row>
    <row r="133" ht="15.75" customHeight="1">
      <c r="A133" s="2">
        <v>110246.0</v>
      </c>
      <c r="B133" s="2" t="s">
        <v>358</v>
      </c>
      <c r="C133" s="2" t="s">
        <v>500</v>
      </c>
      <c r="D133" s="2" t="s">
        <v>347</v>
      </c>
      <c r="E133" s="2" t="s">
        <v>39</v>
      </c>
      <c r="F133" s="2">
        <v>24.0</v>
      </c>
      <c r="G133" s="2">
        <v>500.0</v>
      </c>
      <c r="H133" s="3" t="str">
        <f>HYPERLINK("http://www.linkedin.com/in/marcelosaviolicavalcanti","http://www.linkedin.com/in/marcelosaviolicavalcanti")</f>
        <v>http://www.linkedin.com/in/marcelosaviolicavalcanti</v>
      </c>
      <c r="I133" s="2" t="s">
        <v>15</v>
      </c>
      <c r="J133" s="2" t="s">
        <v>34</v>
      </c>
      <c r="K133" s="2" t="s">
        <v>35</v>
      </c>
    </row>
    <row r="134" ht="15.75" customHeight="1">
      <c r="A134" s="2">
        <v>110833.0</v>
      </c>
      <c r="B134" s="2" t="s">
        <v>501</v>
      </c>
      <c r="C134" s="2" t="s">
        <v>502</v>
      </c>
      <c r="D134" s="2" t="s">
        <v>13</v>
      </c>
      <c r="E134" s="2" t="s">
        <v>39</v>
      </c>
      <c r="F134" s="2">
        <v>0.0</v>
      </c>
      <c r="G134" s="2">
        <v>500.0</v>
      </c>
      <c r="H134" s="3" t="str">
        <f>HYPERLINK("http://www.linkedin.com/pub/francisco-de-oliveira-lopez/0/161/95a","http://www.linkedin.com/pub/francisco-de-oliveira-lopez/0/161/95a")</f>
        <v>http://www.linkedin.com/pub/francisco-de-oliveira-lopez/0/161/95a</v>
      </c>
      <c r="I134" s="2" t="s">
        <v>15</v>
      </c>
      <c r="J134" s="2" t="s">
        <v>34</v>
      </c>
      <c r="K134" s="2" t="s">
        <v>35</v>
      </c>
    </row>
    <row r="135" ht="15.75" customHeight="1">
      <c r="A135" s="2">
        <v>111813.0</v>
      </c>
      <c r="B135" s="2" t="s">
        <v>291</v>
      </c>
      <c r="C135" s="2" t="s">
        <v>503</v>
      </c>
      <c r="D135" s="2" t="s">
        <v>504</v>
      </c>
      <c r="E135" s="2" t="s">
        <v>505</v>
      </c>
      <c r="F135" s="2">
        <v>1.0</v>
      </c>
      <c r="G135" s="2">
        <v>500.0</v>
      </c>
      <c r="H135" s="3" t="str">
        <f>HYPERLINK("http://www.linkedin.com/in/garytabachnik","http://www.linkedin.com/in/garytabachnik")</f>
        <v>http://www.linkedin.com/in/garytabachnik</v>
      </c>
      <c r="I135" s="2" t="s">
        <v>77</v>
      </c>
      <c r="J135" s="2" t="s">
        <v>102</v>
      </c>
      <c r="K135" s="2" t="s">
        <v>97</v>
      </c>
    </row>
    <row r="136" ht="15.75" customHeight="1">
      <c r="A136" s="2">
        <v>112036.0</v>
      </c>
      <c r="B136" s="2" t="s">
        <v>506</v>
      </c>
      <c r="C136" s="2" t="s">
        <v>507</v>
      </c>
      <c r="D136" s="2" t="s">
        <v>508</v>
      </c>
      <c r="E136" s="2" t="s">
        <v>509</v>
      </c>
      <c r="F136" s="2">
        <v>12.0</v>
      </c>
      <c r="G136" s="2">
        <v>500.0</v>
      </c>
      <c r="H136" s="3" t="str">
        <f>HYPERLINK("http://www.linkedin.com/in/josesiandre","http://www.linkedin.com/in/josesiandre")</f>
        <v>http://www.linkedin.com/in/josesiandre</v>
      </c>
      <c r="I136" s="2" t="s">
        <v>105</v>
      </c>
      <c r="J136" s="2" t="s">
        <v>273</v>
      </c>
      <c r="K136" s="2" t="s">
        <v>510</v>
      </c>
    </row>
    <row r="137" ht="15.75" customHeight="1">
      <c r="A137" s="2">
        <v>112390.0</v>
      </c>
      <c r="B137" s="2" t="s">
        <v>511</v>
      </c>
      <c r="C137" s="2" t="s">
        <v>512</v>
      </c>
      <c r="D137" s="2" t="s">
        <v>513</v>
      </c>
      <c r="E137" s="2" t="s">
        <v>514</v>
      </c>
      <c r="F137" s="2">
        <v>12.0</v>
      </c>
      <c r="G137" s="2">
        <v>500.0</v>
      </c>
      <c r="H137" s="3" t="str">
        <f>HYPERLINK("http://www.linkedin.com/in/mikeengland","http://www.linkedin.com/in/mikeengland")</f>
        <v>http://www.linkedin.com/in/mikeengland</v>
      </c>
      <c r="I137" s="2" t="s">
        <v>15</v>
      </c>
      <c r="J137" s="2" t="s">
        <v>53</v>
      </c>
      <c r="K137" s="2" t="s">
        <v>35</v>
      </c>
    </row>
    <row r="138" ht="15.75" customHeight="1">
      <c r="A138" s="2">
        <v>113157.0</v>
      </c>
      <c r="B138" s="2" t="s">
        <v>515</v>
      </c>
      <c r="C138" s="2" t="s">
        <v>516</v>
      </c>
      <c r="D138" s="2" t="s">
        <v>517</v>
      </c>
      <c r="E138" s="2" t="s">
        <v>91</v>
      </c>
      <c r="F138" s="2">
        <v>11.0</v>
      </c>
      <c r="G138" s="2">
        <v>500.0</v>
      </c>
      <c r="H138" s="3" t="str">
        <f>HYPERLINK("http://ar.linkedin.com/in/juanserrot","http://ar.linkedin.com/in/juanserrot")</f>
        <v>http://ar.linkedin.com/in/juanserrot</v>
      </c>
      <c r="I138" s="2" t="s">
        <v>518</v>
      </c>
      <c r="J138" s="2" t="s">
        <v>34</v>
      </c>
      <c r="K138" s="2" t="s">
        <v>35</v>
      </c>
    </row>
    <row r="139" ht="15.75" customHeight="1">
      <c r="A139" s="2">
        <v>113169.0</v>
      </c>
      <c r="B139" s="2" t="s">
        <v>358</v>
      </c>
      <c r="C139" s="2" t="s">
        <v>519</v>
      </c>
      <c r="D139" s="2" t="s">
        <v>520</v>
      </c>
      <c r="E139" s="2" t="s">
        <v>521</v>
      </c>
      <c r="F139" s="2">
        <v>1.0</v>
      </c>
      <c r="G139" s="2">
        <v>237.0</v>
      </c>
      <c r="H139" s="3" t="str">
        <f>HYPERLINK("http://br.linkedin.com/pub/marcelo-teixeira-de-souza/29/349/3A4","http://br.linkedin.com/pub/marcelo-teixeira-de-souza/29/349/3A4")</f>
        <v>http://br.linkedin.com/pub/marcelo-teixeira-de-souza/29/349/3A4</v>
      </c>
      <c r="I139" s="2" t="s">
        <v>27</v>
      </c>
      <c r="J139" s="2" t="s">
        <v>34</v>
      </c>
      <c r="K139" s="2" t="s">
        <v>522</v>
      </c>
    </row>
    <row r="140" ht="15.75" customHeight="1">
      <c r="A140" s="2">
        <v>114505.0</v>
      </c>
      <c r="B140" s="2" t="s">
        <v>523</v>
      </c>
      <c r="C140" s="2" t="s">
        <v>524</v>
      </c>
      <c r="D140" s="2" t="s">
        <v>13</v>
      </c>
      <c r="E140" s="2" t="s">
        <v>136</v>
      </c>
      <c r="F140" s="2">
        <v>0.0</v>
      </c>
      <c r="G140" s="2">
        <v>500.0</v>
      </c>
      <c r="H140" s="3" t="str">
        <f>HYPERLINK("https://www.linkedin.com/in/plunchete","https://www.linkedin.com/in/plunchete")</f>
        <v>https://www.linkedin.com/in/plunchete</v>
      </c>
      <c r="I140" s="2" t="s">
        <v>48</v>
      </c>
      <c r="J140" s="2" t="s">
        <v>102</v>
      </c>
      <c r="K140" s="2" t="s">
        <v>35</v>
      </c>
    </row>
    <row r="141" ht="15.75" customHeight="1">
      <c r="A141" s="2">
        <v>115067.0</v>
      </c>
      <c r="B141" s="2" t="s">
        <v>152</v>
      </c>
      <c r="C141" s="2" t="s">
        <v>525</v>
      </c>
      <c r="D141" s="2" t="s">
        <v>526</v>
      </c>
      <c r="E141" s="2" t="s">
        <v>204</v>
      </c>
      <c r="F141" s="2">
        <v>1.0</v>
      </c>
      <c r="G141" s="2">
        <v>500.0</v>
      </c>
      <c r="H141" s="3" t="str">
        <f>HYPERLINK("http://mx.linkedin.com/pub/lic-eduardo-m-ndez-y-m-/23/595/510","http://mx.linkedin.com/pub/lic-eduardo-m-ndez-y-m-/23/595/510")</f>
        <v>http://mx.linkedin.com/pub/lic-eduardo-m-ndez-y-m-/23/595/510</v>
      </c>
      <c r="I141" s="2" t="s">
        <v>458</v>
      </c>
      <c r="J141" s="2" t="s">
        <v>28</v>
      </c>
      <c r="K141" s="2" t="s">
        <v>35</v>
      </c>
    </row>
    <row r="142" ht="15.75" customHeight="1">
      <c r="A142" s="2">
        <v>115214.0</v>
      </c>
      <c r="B142" s="2" t="s">
        <v>527</v>
      </c>
      <c r="C142" s="2" t="s">
        <v>528</v>
      </c>
      <c r="D142" s="2" t="s">
        <v>529</v>
      </c>
      <c r="E142" s="2" t="s">
        <v>301</v>
      </c>
      <c r="F142" s="2">
        <v>11.0</v>
      </c>
      <c r="G142" s="2">
        <v>500.0</v>
      </c>
      <c r="H142" s="3" t="str">
        <f>HYPERLINK("http://www.linkedin.com/in/alok1verma","http://www.linkedin.com/in/alok1verma")</f>
        <v>http://www.linkedin.com/in/alok1verma</v>
      </c>
      <c r="I142" s="2" t="s">
        <v>15</v>
      </c>
      <c r="J142" s="2" t="s">
        <v>102</v>
      </c>
      <c r="K142" s="2" t="s">
        <v>58</v>
      </c>
    </row>
    <row r="143" ht="15.75" customHeight="1">
      <c r="A143" s="2">
        <v>115602.0</v>
      </c>
      <c r="B143" s="2" t="s">
        <v>530</v>
      </c>
      <c r="C143" s="2" t="s">
        <v>13</v>
      </c>
      <c r="D143" s="2" t="s">
        <v>13</v>
      </c>
      <c r="E143" s="2" t="s">
        <v>122</v>
      </c>
      <c r="F143" s="2">
        <v>0.0</v>
      </c>
      <c r="G143" s="2">
        <v>500.0</v>
      </c>
      <c r="H143" s="3" t="str">
        <f>HYPERLINK("http://www.linkedin.com/in/chronosedith","http://www.linkedin.com/in/chronosedith")</f>
        <v>http://www.linkedin.com/in/chronosedith</v>
      </c>
      <c r="I143" s="2" t="s">
        <v>248</v>
      </c>
      <c r="J143" s="2" t="s">
        <v>53</v>
      </c>
      <c r="K143" s="2" t="s">
        <v>35</v>
      </c>
    </row>
    <row r="144" ht="15.75" customHeight="1">
      <c r="A144" s="2">
        <v>116793.0</v>
      </c>
      <c r="B144" s="2" t="s">
        <v>531</v>
      </c>
      <c r="C144" s="2" t="s">
        <v>532</v>
      </c>
      <c r="D144" s="2" t="s">
        <v>533</v>
      </c>
      <c r="E144" s="2" t="s">
        <v>235</v>
      </c>
      <c r="F144" s="2" t="s">
        <v>13</v>
      </c>
      <c r="G144" s="2">
        <v>500.0</v>
      </c>
      <c r="H144" s="3" t="str">
        <f>HYPERLINK("http://br.linkedin.com/pub/ruben-levcovitz/0/A12/486","http://br.linkedin.com/pub/ruben-levcovitz/0/A12/486")</f>
        <v>http://br.linkedin.com/pub/ruben-levcovitz/0/A12/486</v>
      </c>
      <c r="I144" s="2" t="s">
        <v>77</v>
      </c>
      <c r="J144" s="2" t="s">
        <v>102</v>
      </c>
      <c r="K144" s="2" t="s">
        <v>97</v>
      </c>
    </row>
    <row r="145" ht="15.75" customHeight="1">
      <c r="A145" s="2">
        <v>117542.0</v>
      </c>
      <c r="B145" s="2" t="s">
        <v>534</v>
      </c>
      <c r="C145" s="2" t="s">
        <v>535</v>
      </c>
      <c r="D145" s="2" t="s">
        <v>536</v>
      </c>
      <c r="E145" s="2" t="s">
        <v>122</v>
      </c>
      <c r="F145" s="2" t="s">
        <v>13</v>
      </c>
      <c r="G145" s="2">
        <v>500.0</v>
      </c>
      <c r="H145" s="3" t="str">
        <f>HYPERLINK("http://uk.linkedin.com/in/matthewbarnett","http://uk.linkedin.com/in/matthewbarnett")</f>
        <v>http://uk.linkedin.com/in/matthewbarnett</v>
      </c>
      <c r="I145" s="2" t="s">
        <v>475</v>
      </c>
      <c r="J145" s="2" t="s">
        <v>53</v>
      </c>
      <c r="K145" s="2" t="s">
        <v>58</v>
      </c>
    </row>
    <row r="146" ht="15.75" customHeight="1">
      <c r="A146" s="2">
        <v>118523.0</v>
      </c>
      <c r="B146" s="2" t="s">
        <v>537</v>
      </c>
      <c r="C146" s="2" t="s">
        <v>538</v>
      </c>
      <c r="D146" s="2" t="s">
        <v>539</v>
      </c>
      <c r="E146" s="2" t="s">
        <v>136</v>
      </c>
      <c r="F146" s="2">
        <v>12.0</v>
      </c>
      <c r="G146" s="2">
        <v>500.0</v>
      </c>
      <c r="H146" s="3" t="str">
        <f>HYPERLINK("http://www.linkedin.com/in/stellagimeneznorfleet","http://www.linkedin.com/in/stellagimeneznorfleet")</f>
        <v>http://www.linkedin.com/in/stellagimeneznorfleet</v>
      </c>
      <c r="I146" s="2" t="s">
        <v>105</v>
      </c>
      <c r="J146" s="2" t="s">
        <v>102</v>
      </c>
      <c r="K146" s="2" t="s">
        <v>58</v>
      </c>
    </row>
    <row r="147" ht="15.75" customHeight="1">
      <c r="A147" s="2">
        <v>118638.0</v>
      </c>
      <c r="B147" s="2" t="s">
        <v>540</v>
      </c>
      <c r="C147" s="2" t="s">
        <v>541</v>
      </c>
      <c r="D147" s="2" t="s">
        <v>13</v>
      </c>
      <c r="E147" s="2" t="s">
        <v>542</v>
      </c>
      <c r="F147" s="2">
        <v>32.0</v>
      </c>
      <c r="G147" s="2">
        <v>500.0</v>
      </c>
      <c r="H147" s="3" t="str">
        <f>HYPERLINK("http://www.linkedin.com/in/cdesert","http://www.linkedin.com/in/cdesert")</f>
        <v>http://www.linkedin.com/in/cdesert</v>
      </c>
      <c r="I147" s="2" t="s">
        <v>69</v>
      </c>
      <c r="J147" s="2" t="s">
        <v>102</v>
      </c>
      <c r="K147" s="2" t="s">
        <v>35</v>
      </c>
    </row>
    <row r="148" ht="15.75" customHeight="1">
      <c r="A148" s="2">
        <v>118792.0</v>
      </c>
      <c r="B148" s="2" t="s">
        <v>543</v>
      </c>
      <c r="C148" s="2" t="s">
        <v>544</v>
      </c>
      <c r="D148" s="2" t="s">
        <v>42</v>
      </c>
      <c r="E148" s="2" t="s">
        <v>545</v>
      </c>
      <c r="F148" s="2" t="s">
        <v>13</v>
      </c>
      <c r="G148" s="2">
        <v>292.0</v>
      </c>
      <c r="H148" s="3" t="str">
        <f>HYPERLINK("http://www.linkedin.com/pub/cesar-castillo/9/B82/4BA","http://www.linkedin.com/pub/cesar-castillo/9/B82/4BA")</f>
        <v>http://www.linkedin.com/pub/cesar-castillo/9/B82/4BA</v>
      </c>
      <c r="I148" s="2" t="s">
        <v>475</v>
      </c>
      <c r="J148" s="2" t="s">
        <v>546</v>
      </c>
      <c r="K148" s="2" t="s">
        <v>35</v>
      </c>
    </row>
    <row r="149" ht="15.75" customHeight="1">
      <c r="A149" s="2">
        <v>121130.0</v>
      </c>
      <c r="B149" s="2" t="s">
        <v>547</v>
      </c>
      <c r="C149" s="2" t="s">
        <v>548</v>
      </c>
      <c r="D149" s="2" t="s">
        <v>47</v>
      </c>
      <c r="E149" s="2" t="s">
        <v>301</v>
      </c>
      <c r="F149" s="2" t="s">
        <v>13</v>
      </c>
      <c r="G149" s="2">
        <v>500.0</v>
      </c>
      <c r="H149" s="3" t="str">
        <f>HYPERLINK("http://www.linkedin.com/pub/geoff-cook/3/5BA/A3","http://www.linkedin.com/pub/geoff-cook/3/5BA/A3")</f>
        <v>http://www.linkedin.com/pub/geoff-cook/3/5BA/A3</v>
      </c>
      <c r="I149" s="2" t="s">
        <v>69</v>
      </c>
      <c r="J149" s="2" t="s">
        <v>102</v>
      </c>
      <c r="K149" s="2" t="s">
        <v>35</v>
      </c>
    </row>
    <row r="150" ht="15.75" customHeight="1">
      <c r="A150" s="2">
        <v>121665.0</v>
      </c>
      <c r="B150" s="2" t="s">
        <v>549</v>
      </c>
      <c r="C150" s="2" t="s">
        <v>550</v>
      </c>
      <c r="D150" s="2" t="s">
        <v>551</v>
      </c>
      <c r="E150" s="2" t="s">
        <v>545</v>
      </c>
      <c r="F150" s="2">
        <v>0.0</v>
      </c>
      <c r="G150" s="2">
        <v>48.0</v>
      </c>
      <c r="H150" s="3" t="str">
        <f>HYPERLINK("http://www.linkedin.com/pub/mario-rietti/21/B88/AB8","http://www.linkedin.com/pub/mario-rietti/21/B88/AB8")</f>
        <v>http://www.linkedin.com/pub/mario-rietti/21/B88/AB8</v>
      </c>
      <c r="I150" s="2" t="s">
        <v>279</v>
      </c>
      <c r="J150" s="2" t="s">
        <v>546</v>
      </c>
      <c r="K150" s="2" t="s">
        <v>522</v>
      </c>
    </row>
    <row r="151" ht="15.75" customHeight="1">
      <c r="A151" s="2">
        <v>122032.0</v>
      </c>
      <c r="B151" s="2" t="s">
        <v>552</v>
      </c>
      <c r="C151" s="2" t="s">
        <v>553</v>
      </c>
      <c r="D151" s="2" t="s">
        <v>114</v>
      </c>
      <c r="E151" s="2" t="s">
        <v>554</v>
      </c>
      <c r="F151" s="2">
        <v>1.0</v>
      </c>
      <c r="G151" s="2">
        <v>394.0</v>
      </c>
      <c r="H151" s="3" t="str">
        <f>HYPERLINK("http://www.linkedin.com/pub/zara-ohanjanyan/13/593/683","http://www.linkedin.com/pub/zara-ohanjanyan/13/593/683")</f>
        <v>http://www.linkedin.com/pub/zara-ohanjanyan/13/593/683</v>
      </c>
      <c r="I151" s="2" t="s">
        <v>225</v>
      </c>
      <c r="J151" s="2" t="s">
        <v>555</v>
      </c>
      <c r="K151" s="2" t="s">
        <v>522</v>
      </c>
    </row>
    <row r="152" ht="15.75" customHeight="1">
      <c r="A152" s="2">
        <v>123018.0</v>
      </c>
      <c r="B152" s="2" t="s">
        <v>460</v>
      </c>
      <c r="C152" s="2" t="s">
        <v>556</v>
      </c>
      <c r="D152" s="2" t="s">
        <v>557</v>
      </c>
      <c r="E152" s="2" t="s">
        <v>91</v>
      </c>
      <c r="F152" s="2">
        <v>9.0</v>
      </c>
      <c r="G152" s="2">
        <v>500.0</v>
      </c>
      <c r="H152" s="3" t="str">
        <f>HYPERLINK("http://br.linkedin.com/pub/john-kinney/0/234/BA1","http://br.linkedin.com/pub/john-kinney/0/234/BA1")</f>
        <v>http://br.linkedin.com/pub/john-kinney/0/234/BA1</v>
      </c>
      <c r="I152" s="2" t="s">
        <v>77</v>
      </c>
      <c r="J152" s="2" t="s">
        <v>34</v>
      </c>
      <c r="K152" s="2" t="s">
        <v>35</v>
      </c>
    </row>
    <row r="153" ht="15.75" customHeight="1">
      <c r="A153" s="2">
        <v>124043.0</v>
      </c>
      <c r="B153" s="2" t="s">
        <v>558</v>
      </c>
      <c r="C153" s="2" t="s">
        <v>559</v>
      </c>
      <c r="D153" s="2" t="s">
        <v>340</v>
      </c>
      <c r="E153" s="2" t="s">
        <v>142</v>
      </c>
      <c r="F153" s="2">
        <v>7.0</v>
      </c>
      <c r="G153" s="2">
        <v>500.0</v>
      </c>
      <c r="H153" s="3" t="str">
        <f>HYPERLINK("http://www.linkedin.com/pub/ted-adams/0/296/A96","http://www.linkedin.com/pub/ted-adams/0/296/A96")</f>
        <v>http://www.linkedin.com/pub/ted-adams/0/296/A96</v>
      </c>
      <c r="I153" s="2" t="s">
        <v>560</v>
      </c>
      <c r="J153" s="2" t="s">
        <v>144</v>
      </c>
      <c r="K153" s="2" t="s">
        <v>58</v>
      </c>
    </row>
    <row r="154" ht="15.75" customHeight="1">
      <c r="A154" s="2">
        <v>124077.0</v>
      </c>
      <c r="B154" s="2" t="s">
        <v>561</v>
      </c>
      <c r="C154" s="2" t="s">
        <v>562</v>
      </c>
      <c r="D154" s="2" t="s">
        <v>400</v>
      </c>
      <c r="E154" s="2" t="s">
        <v>136</v>
      </c>
      <c r="F154" s="2" t="s">
        <v>13</v>
      </c>
      <c r="G154" s="2">
        <v>500.0</v>
      </c>
      <c r="H154" s="3" t="str">
        <f>HYPERLINK("http://uk.linkedin.com/in/murraynewlands","http://uk.linkedin.com/in/murraynewlands")</f>
        <v>http://uk.linkedin.com/in/murraynewlands</v>
      </c>
      <c r="I154" s="2" t="s">
        <v>105</v>
      </c>
      <c r="J154" s="2" t="s">
        <v>102</v>
      </c>
      <c r="K154" s="2" t="s">
        <v>58</v>
      </c>
    </row>
    <row r="155" ht="15.75" customHeight="1">
      <c r="A155" s="2">
        <v>124349.0</v>
      </c>
      <c r="B155" s="2" t="s">
        <v>563</v>
      </c>
      <c r="C155" s="2" t="s">
        <v>564</v>
      </c>
      <c r="D155" s="2" t="s">
        <v>565</v>
      </c>
      <c r="E155" s="2" t="s">
        <v>566</v>
      </c>
      <c r="F155" s="2" t="s">
        <v>13</v>
      </c>
      <c r="G155" s="2">
        <v>500.0</v>
      </c>
      <c r="H155" s="3" t="str">
        <f>HYPERLINK("http://at.linkedin.com/pub/werner-dorfmeister/1A/3A6/8B6","http://at.linkedin.com/pub/werner-dorfmeister/1A/3A6/8B6")</f>
        <v>http://at.linkedin.com/pub/werner-dorfmeister/1A/3A6/8B6</v>
      </c>
      <c r="I155" s="2" t="s">
        <v>15</v>
      </c>
      <c r="J155" s="2" t="s">
        <v>566</v>
      </c>
      <c r="K155" s="2" t="s">
        <v>58</v>
      </c>
    </row>
    <row r="156" ht="15.75" customHeight="1">
      <c r="A156" s="2">
        <v>125744.0</v>
      </c>
      <c r="B156" s="2" t="s">
        <v>567</v>
      </c>
      <c r="C156" s="2" t="s">
        <v>568</v>
      </c>
      <c r="D156" s="2" t="s">
        <v>569</v>
      </c>
      <c r="E156" s="2" t="s">
        <v>570</v>
      </c>
      <c r="F156" s="2">
        <v>1.0</v>
      </c>
      <c r="G156" s="2">
        <v>500.0</v>
      </c>
      <c r="H156" s="3" t="str">
        <f>HYPERLINK("http://mx.linkedin.com/pub/susana-rojas/29/39A/A78","http://mx.linkedin.com/pub/susana-rojas/29/39A/A78")</f>
        <v>http://mx.linkedin.com/pub/susana-rojas/29/39A/A78</v>
      </c>
      <c r="I156" s="2" t="s">
        <v>105</v>
      </c>
      <c r="J156" s="2" t="s">
        <v>28</v>
      </c>
      <c r="K156" s="2" t="s">
        <v>168</v>
      </c>
    </row>
    <row r="157" ht="15.75" customHeight="1">
      <c r="A157" s="2">
        <v>126554.0</v>
      </c>
      <c r="B157" s="2" t="s">
        <v>571</v>
      </c>
      <c r="C157" s="2" t="s">
        <v>572</v>
      </c>
      <c r="D157" s="2" t="s">
        <v>573</v>
      </c>
      <c r="E157" s="2" t="s">
        <v>574</v>
      </c>
      <c r="F157" s="2">
        <v>1.0</v>
      </c>
      <c r="G157" s="2">
        <v>500.0</v>
      </c>
      <c r="H157" s="3" t="str">
        <f>HYPERLINK("http://in.linkedin.com/pub/yogesh-kakar/5/B0A/650","http://in.linkedin.com/pub/yogesh-kakar/5/B0A/650")</f>
        <v>http://in.linkedin.com/pub/yogesh-kakar/5/B0A/650</v>
      </c>
      <c r="I157" s="2" t="s">
        <v>156</v>
      </c>
      <c r="J157" s="2" t="s">
        <v>575</v>
      </c>
      <c r="K157" s="2" t="s">
        <v>29</v>
      </c>
    </row>
    <row r="158" ht="15.75" customHeight="1">
      <c r="A158" s="2">
        <v>126950.0</v>
      </c>
      <c r="B158" s="2" t="s">
        <v>18</v>
      </c>
      <c r="C158" s="2" t="s">
        <v>576</v>
      </c>
      <c r="D158" s="2" t="s">
        <v>577</v>
      </c>
      <c r="E158" s="2" t="s">
        <v>578</v>
      </c>
      <c r="F158" s="2" t="s">
        <v>13</v>
      </c>
      <c r="G158" s="2">
        <v>273.0</v>
      </c>
      <c r="H158" s="3" t="str">
        <f>HYPERLINK("http://ar.linkedin.com/pub/mauricio-mid-n/24/36B/230","http://ar.linkedin.com/pub/mauricio-mid-n/24/36B/230")</f>
        <v>http://ar.linkedin.com/pub/mauricio-mid-n/24/36B/230</v>
      </c>
      <c r="I158" s="2" t="s">
        <v>579</v>
      </c>
      <c r="J158" s="2" t="s">
        <v>34</v>
      </c>
      <c r="K158" s="2" t="s">
        <v>580</v>
      </c>
    </row>
    <row r="159" ht="15.75" customHeight="1">
      <c r="A159" s="2">
        <v>127033.0</v>
      </c>
      <c r="B159" s="2" t="s">
        <v>492</v>
      </c>
      <c r="C159" s="2" t="s">
        <v>581</v>
      </c>
      <c r="D159" s="2" t="s">
        <v>13</v>
      </c>
      <c r="E159" s="2" t="s">
        <v>39</v>
      </c>
      <c r="F159" s="2">
        <v>11.0</v>
      </c>
      <c r="G159" s="2">
        <v>500.0</v>
      </c>
      <c r="H159" s="3" t="str">
        <f>HYPERLINK("http://www.linkedin.com/in/shernandes","http://www.linkedin.com/in/shernandes")</f>
        <v>http://www.linkedin.com/in/shernandes</v>
      </c>
      <c r="I159" s="2" t="s">
        <v>15</v>
      </c>
      <c r="J159" s="2" t="s">
        <v>34</v>
      </c>
      <c r="K159" s="2" t="s">
        <v>35</v>
      </c>
    </row>
    <row r="160" ht="15.75" customHeight="1">
      <c r="A160" s="2">
        <v>127929.0</v>
      </c>
      <c r="B160" s="2" t="s">
        <v>582</v>
      </c>
      <c r="C160" s="2" t="s">
        <v>583</v>
      </c>
      <c r="D160" s="2" t="s">
        <v>584</v>
      </c>
      <c r="E160" s="2" t="s">
        <v>39</v>
      </c>
      <c r="F160" s="2">
        <v>23.0</v>
      </c>
      <c r="G160" s="2">
        <v>500.0</v>
      </c>
      <c r="H160" s="3" t="str">
        <f>HYPERLINK("http://br.linkedin.com/pub/alexandre-zago/0/2B9/712","http://br.linkedin.com/pub/alexandre-zago/0/2B9/712")</f>
        <v>http://br.linkedin.com/pub/alexandre-zago/0/2B9/712</v>
      </c>
      <c r="I160" s="2" t="s">
        <v>15</v>
      </c>
      <c r="J160" s="2" t="s">
        <v>34</v>
      </c>
      <c r="K160" s="2" t="s">
        <v>35</v>
      </c>
    </row>
    <row r="161" ht="15.75" customHeight="1">
      <c r="A161" s="2">
        <v>130026.0</v>
      </c>
      <c r="B161" s="2" t="s">
        <v>585</v>
      </c>
      <c r="C161" s="2" t="s">
        <v>586</v>
      </c>
      <c r="D161" s="2" t="s">
        <v>42</v>
      </c>
      <c r="E161" s="2" t="s">
        <v>39</v>
      </c>
      <c r="F161" s="2" t="s">
        <v>13</v>
      </c>
      <c r="G161" s="2">
        <v>500.0</v>
      </c>
      <c r="H161" s="3" t="str">
        <f>HYPERLINK("http://br.linkedin.com/in/pfgutmann","http://br.linkedin.com/in/pfgutmann")</f>
        <v>http://br.linkedin.com/in/pfgutmann</v>
      </c>
      <c r="I161" s="2" t="s">
        <v>15</v>
      </c>
      <c r="J161" s="2" t="s">
        <v>34</v>
      </c>
      <c r="K161" s="2" t="s">
        <v>35</v>
      </c>
    </row>
    <row r="162" ht="15.75" customHeight="1">
      <c r="A162" s="2">
        <v>130612.0</v>
      </c>
      <c r="B162" s="2" t="s">
        <v>587</v>
      </c>
      <c r="C162" s="2" t="s">
        <v>588</v>
      </c>
      <c r="D162" s="2" t="s">
        <v>589</v>
      </c>
      <c r="E162" s="2" t="s">
        <v>39</v>
      </c>
      <c r="F162" s="2">
        <v>2.0</v>
      </c>
      <c r="G162" s="2">
        <v>500.0</v>
      </c>
      <c r="H162" s="3" t="str">
        <f>HYPERLINK("http://br.linkedin.com/in/claudioendo","http://br.linkedin.com/in/claudioendo")</f>
        <v>http://br.linkedin.com/in/claudioendo</v>
      </c>
      <c r="I162" s="2" t="s">
        <v>15</v>
      </c>
      <c r="J162" s="2" t="s">
        <v>34</v>
      </c>
      <c r="K162" s="2" t="s">
        <v>35</v>
      </c>
    </row>
    <row r="163" ht="15.75" customHeight="1">
      <c r="A163" s="2">
        <v>131341.0</v>
      </c>
      <c r="B163" s="2" t="s">
        <v>590</v>
      </c>
      <c r="C163" s="2" t="s">
        <v>591</v>
      </c>
      <c r="D163" s="2" t="s">
        <v>13</v>
      </c>
      <c r="E163" s="2" t="s">
        <v>542</v>
      </c>
      <c r="F163" s="2">
        <v>0.0</v>
      </c>
      <c r="G163" s="2">
        <v>500.0</v>
      </c>
      <c r="H163" s="3" t="str">
        <f>HYPERLINK("http://www.linkedin.com/in/enekoknorr","http://www.linkedin.com/in/enekoknorr")</f>
        <v>http://www.linkedin.com/in/enekoknorr</v>
      </c>
      <c r="I163" s="2" t="s">
        <v>48</v>
      </c>
      <c r="J163" s="2" t="s">
        <v>102</v>
      </c>
      <c r="K163" s="2" t="s">
        <v>35</v>
      </c>
    </row>
    <row r="164" ht="15.75" customHeight="1">
      <c r="A164" s="2">
        <v>131684.0</v>
      </c>
      <c r="B164" s="2" t="s">
        <v>592</v>
      </c>
      <c r="C164" s="2" t="s">
        <v>593</v>
      </c>
      <c r="D164" s="2" t="s">
        <v>47</v>
      </c>
      <c r="E164" s="2" t="s">
        <v>407</v>
      </c>
      <c r="F164" s="2">
        <v>17.0</v>
      </c>
      <c r="G164" s="2">
        <v>500.0</v>
      </c>
      <c r="H164" s="3" t="str">
        <f>HYPERLINK("http://www.linkedin.com/in/barryweiss","http://www.linkedin.com/in/barryweiss")</f>
        <v>http://www.linkedin.com/in/barryweiss</v>
      </c>
      <c r="I164" s="2" t="s">
        <v>105</v>
      </c>
      <c r="J164" s="2" t="s">
        <v>102</v>
      </c>
      <c r="K164" s="2" t="s">
        <v>58</v>
      </c>
    </row>
    <row r="165" ht="15.75" customHeight="1">
      <c r="A165" s="2">
        <v>132056.0</v>
      </c>
      <c r="B165" s="2" t="s">
        <v>314</v>
      </c>
      <c r="C165" s="2" t="s">
        <v>594</v>
      </c>
      <c r="D165" s="2" t="s">
        <v>595</v>
      </c>
      <c r="E165" s="2" t="s">
        <v>39</v>
      </c>
      <c r="F165" s="2">
        <v>3.0</v>
      </c>
      <c r="G165" s="2">
        <v>500.0</v>
      </c>
      <c r="H165" s="3" t="str">
        <f>HYPERLINK("http://br.linkedin.com/pub/marcos-wrobel/8/474/37","http://br.linkedin.com/pub/marcos-wrobel/8/474/37")</f>
        <v>http://br.linkedin.com/pub/marcos-wrobel/8/474/37</v>
      </c>
      <c r="I165" s="2" t="s">
        <v>77</v>
      </c>
      <c r="J165" s="2" t="s">
        <v>34</v>
      </c>
      <c r="K165" s="2" t="s">
        <v>97</v>
      </c>
    </row>
    <row r="166" ht="15.75" customHeight="1">
      <c r="A166" s="2">
        <v>132319.0</v>
      </c>
      <c r="B166" s="2" t="s">
        <v>253</v>
      </c>
      <c r="C166" s="2" t="s">
        <v>596</v>
      </c>
      <c r="D166" s="2" t="s">
        <v>597</v>
      </c>
      <c r="E166" s="2" t="s">
        <v>598</v>
      </c>
      <c r="F166" s="2">
        <v>0.0</v>
      </c>
      <c r="G166" s="2">
        <v>368.0</v>
      </c>
      <c r="H166" s="3" t="str">
        <f>HYPERLINK("http://www.linkedin.com/pub/fernando-moreira/26/BB1/28A","http://www.linkedin.com/pub/fernando-moreira/26/BB1/28A")</f>
        <v>http://www.linkedin.com/pub/fernando-moreira/26/BB1/28A</v>
      </c>
      <c r="I166" s="2" t="s">
        <v>599</v>
      </c>
      <c r="J166" s="2" t="s">
        <v>34</v>
      </c>
      <c r="K166" s="2" t="s">
        <v>600</v>
      </c>
    </row>
    <row r="167" ht="15.75" customHeight="1">
      <c r="A167" s="2">
        <v>132695.0</v>
      </c>
      <c r="B167" s="2" t="s">
        <v>601</v>
      </c>
      <c r="C167" s="2" t="s">
        <v>602</v>
      </c>
      <c r="D167" s="2" t="s">
        <v>603</v>
      </c>
      <c r="E167" s="2" t="s">
        <v>604</v>
      </c>
      <c r="F167" s="2">
        <v>19.0</v>
      </c>
      <c r="G167" s="2">
        <v>500.0</v>
      </c>
      <c r="H167" s="3" t="str">
        <f>HYPERLINK("http://www.linkedin.com/in/ppcbuyers","http://www.linkedin.com/in/ppcbuyers")</f>
        <v>http://www.linkedin.com/in/ppcbuyers</v>
      </c>
      <c r="I167" s="2" t="s">
        <v>105</v>
      </c>
      <c r="J167" s="2" t="s">
        <v>16</v>
      </c>
      <c r="K167" s="2" t="s">
        <v>35</v>
      </c>
    </row>
    <row r="168" ht="15.75" customHeight="1">
      <c r="A168" s="2">
        <v>133659.0</v>
      </c>
      <c r="B168" s="2" t="s">
        <v>605</v>
      </c>
      <c r="C168" s="2" t="s">
        <v>606</v>
      </c>
      <c r="D168" s="2" t="s">
        <v>607</v>
      </c>
      <c r="E168" s="2" t="s">
        <v>230</v>
      </c>
      <c r="F168" s="2" t="s">
        <v>13</v>
      </c>
      <c r="G168" s="2">
        <v>263.0</v>
      </c>
      <c r="H168" s="3" t="str">
        <f>HYPERLINK("http://mx.linkedin.com/pub/roberto-soto/22/197/740","http://mx.linkedin.com/pub/roberto-soto/22/197/740")</f>
        <v>http://mx.linkedin.com/pub/roberto-soto/22/197/740</v>
      </c>
      <c r="I168" s="2" t="s">
        <v>608</v>
      </c>
      <c r="J168" s="2" t="s">
        <v>28</v>
      </c>
      <c r="K168" s="2" t="s">
        <v>357</v>
      </c>
    </row>
    <row r="169" ht="15.75" customHeight="1">
      <c r="A169" s="2">
        <v>133773.0</v>
      </c>
      <c r="B169" s="2" t="s">
        <v>609</v>
      </c>
      <c r="C169" s="2" t="s">
        <v>610</v>
      </c>
      <c r="D169" s="2" t="s">
        <v>611</v>
      </c>
      <c r="E169" s="2" t="s">
        <v>204</v>
      </c>
      <c r="F169" s="2">
        <v>2.0</v>
      </c>
      <c r="G169" s="2">
        <v>500.0</v>
      </c>
      <c r="H169" s="3" t="str">
        <f>HYPERLINK("http://mx.linkedin.com/pub/ricardo-lopez-gaytan/25/358/977","http://mx.linkedin.com/pub/ricardo-lopez-gaytan/25/358/977")</f>
        <v>http://mx.linkedin.com/pub/ricardo-lopez-gaytan/25/358/977</v>
      </c>
      <c r="I169" s="2" t="s">
        <v>612</v>
      </c>
      <c r="J169" s="2" t="s">
        <v>28</v>
      </c>
      <c r="K169" s="2" t="s">
        <v>196</v>
      </c>
    </row>
    <row r="170" ht="15.75" customHeight="1">
      <c r="A170" s="2">
        <v>135035.0</v>
      </c>
      <c r="B170" s="2" t="s">
        <v>613</v>
      </c>
      <c r="C170" s="2" t="s">
        <v>614</v>
      </c>
      <c r="D170" s="2" t="s">
        <v>615</v>
      </c>
      <c r="E170" s="2" t="s">
        <v>616</v>
      </c>
      <c r="F170" s="2" t="s">
        <v>13</v>
      </c>
      <c r="G170" s="2">
        <v>500.0</v>
      </c>
      <c r="H170" s="3" t="str">
        <f>HYPERLINK("http://mx.linkedin.com/pub/erika-arias-bogarin/26/A14/775","http://mx.linkedin.com/pub/erika-arias-bogarin/26/A14/775")</f>
        <v>http://mx.linkedin.com/pub/erika-arias-bogarin/26/A14/775</v>
      </c>
      <c r="I170" s="2" t="s">
        <v>458</v>
      </c>
      <c r="J170" s="2" t="s">
        <v>28</v>
      </c>
      <c r="K170" s="2" t="s">
        <v>35</v>
      </c>
    </row>
    <row r="171" ht="15.75" customHeight="1">
      <c r="A171" s="2">
        <v>135436.0</v>
      </c>
      <c r="B171" s="2" t="s">
        <v>617</v>
      </c>
      <c r="C171" s="2" t="s">
        <v>618</v>
      </c>
      <c r="D171" s="2" t="s">
        <v>619</v>
      </c>
      <c r="E171" s="2" t="s">
        <v>620</v>
      </c>
      <c r="F171" s="2" t="s">
        <v>13</v>
      </c>
      <c r="G171" s="2">
        <v>500.0</v>
      </c>
      <c r="H171" s="3" t="str">
        <f>HYPERLINK("http://br.linkedin.com/pub/advogado-e-professor-luiz-antonio-guerra/23/942/7A6","http://br.linkedin.com/pub/advogado-e-professor-luiz-antonio-guerra/23/942/7A6")</f>
        <v>http://br.linkedin.com/pub/advogado-e-professor-luiz-antonio-guerra/23/942/7A6</v>
      </c>
      <c r="I171" s="2" t="s">
        <v>621</v>
      </c>
      <c r="J171" s="2" t="s">
        <v>34</v>
      </c>
      <c r="K171" s="2" t="s">
        <v>168</v>
      </c>
    </row>
    <row r="172" ht="15.75" customHeight="1">
      <c r="A172" s="2">
        <v>139309.0</v>
      </c>
      <c r="B172" s="2" t="s">
        <v>622</v>
      </c>
      <c r="C172" s="2" t="s">
        <v>623</v>
      </c>
      <c r="D172" s="2" t="s">
        <v>624</v>
      </c>
      <c r="E172" s="2" t="s">
        <v>39</v>
      </c>
      <c r="F172" s="2" t="s">
        <v>13</v>
      </c>
      <c r="G172" s="2">
        <v>440.0</v>
      </c>
      <c r="H172" s="3" t="str">
        <f>HYPERLINK("http://br.linkedin.com/pub/antonio-carlos-freitas/0/A33/322","http://br.linkedin.com/pub/antonio-carlos-freitas/0/A33/322")</f>
        <v>http://br.linkedin.com/pub/antonio-carlos-freitas/0/A33/322</v>
      </c>
      <c r="I172" s="2" t="s">
        <v>48</v>
      </c>
      <c r="J172" s="2" t="s">
        <v>34</v>
      </c>
      <c r="K172" s="2" t="s">
        <v>35</v>
      </c>
    </row>
    <row r="173" ht="15.75" customHeight="1">
      <c r="A173" s="2">
        <v>139540.0</v>
      </c>
      <c r="B173" s="2" t="s">
        <v>625</v>
      </c>
      <c r="C173" s="2" t="s">
        <v>626</v>
      </c>
      <c r="D173" s="2" t="s">
        <v>627</v>
      </c>
      <c r="E173" s="2" t="s">
        <v>628</v>
      </c>
      <c r="F173" s="2">
        <v>6.0</v>
      </c>
      <c r="G173" s="2">
        <v>500.0</v>
      </c>
      <c r="H173" s="3" t="str">
        <f>HYPERLINK("http://www.linkedin.com/pub/tim-sullivan/4/B75/714","http://www.linkedin.com/pub/tim-sullivan/4/B75/714")</f>
        <v>http://www.linkedin.com/pub/tim-sullivan/4/B75/714</v>
      </c>
      <c r="I173" s="2" t="s">
        <v>629</v>
      </c>
      <c r="J173" s="2" t="s">
        <v>102</v>
      </c>
      <c r="K173" s="2" t="s">
        <v>630</v>
      </c>
    </row>
    <row r="174" ht="15.75" customHeight="1">
      <c r="A174" s="2">
        <v>143613.0</v>
      </c>
      <c r="B174" s="2" t="s">
        <v>631</v>
      </c>
      <c r="C174" s="2" t="s">
        <v>632</v>
      </c>
      <c r="D174" s="2" t="s">
        <v>633</v>
      </c>
      <c r="E174" s="2" t="s">
        <v>122</v>
      </c>
      <c r="F174" s="2" t="s">
        <v>13</v>
      </c>
      <c r="G174" s="2">
        <v>500.0</v>
      </c>
      <c r="H174" s="3" t="str">
        <f>HYPERLINK("http://uk.linkedin.com/in/chrismerchant","http://uk.linkedin.com/in/chrismerchant")</f>
        <v>http://uk.linkedin.com/in/chrismerchant</v>
      </c>
      <c r="I174" s="2" t="s">
        <v>15</v>
      </c>
      <c r="J174" s="2" t="s">
        <v>53</v>
      </c>
      <c r="K174" s="2" t="s">
        <v>35</v>
      </c>
    </row>
    <row r="175" ht="15.75" customHeight="1">
      <c r="A175" s="2">
        <v>143617.0</v>
      </c>
      <c r="B175" s="2" t="s">
        <v>634</v>
      </c>
      <c r="C175" s="2" t="s">
        <v>635</v>
      </c>
      <c r="D175" s="2" t="s">
        <v>636</v>
      </c>
      <c r="E175" s="2" t="s">
        <v>72</v>
      </c>
      <c r="F175" s="2" t="s">
        <v>13</v>
      </c>
      <c r="G175" s="2">
        <v>500.0</v>
      </c>
      <c r="H175" s="3" t="str">
        <f>HYPERLINK("http://br.linkedin.com/pub/flavio-azevedo/11/434/284","http://br.linkedin.com/pub/flavio-azevedo/11/434/284")</f>
        <v>http://br.linkedin.com/pub/flavio-azevedo/11/434/284</v>
      </c>
      <c r="I175" s="2" t="s">
        <v>15</v>
      </c>
      <c r="J175" s="2" t="s">
        <v>34</v>
      </c>
      <c r="K175" s="2" t="s">
        <v>35</v>
      </c>
    </row>
    <row r="176" ht="15.75" customHeight="1">
      <c r="A176" s="2">
        <v>143658.0</v>
      </c>
      <c r="B176" s="2" t="s">
        <v>637</v>
      </c>
      <c r="C176" s="2" t="s">
        <v>638</v>
      </c>
      <c r="D176" s="2" t="s">
        <v>639</v>
      </c>
      <c r="E176" s="2" t="s">
        <v>166</v>
      </c>
      <c r="F176" s="2">
        <v>15.0</v>
      </c>
      <c r="G176" s="2">
        <v>500.0</v>
      </c>
      <c r="H176" s="3" t="str">
        <f>HYPERLINK("http://www.linkedin.com/pub/leonardo-avila/11/22A/AA9","http://www.linkedin.com/pub/leonardo-avila/11/22A/AA9")</f>
        <v>http://www.linkedin.com/pub/leonardo-avila/11/22A/AA9</v>
      </c>
      <c r="I176" s="2" t="s">
        <v>15</v>
      </c>
      <c r="J176" s="2" t="s">
        <v>102</v>
      </c>
      <c r="K176" s="2" t="s">
        <v>35</v>
      </c>
    </row>
    <row r="177" ht="15.75" customHeight="1">
      <c r="A177" s="2">
        <v>143858.0</v>
      </c>
      <c r="B177" s="2" t="s">
        <v>640</v>
      </c>
      <c r="C177" s="2" t="s">
        <v>641</v>
      </c>
      <c r="D177" s="2" t="s">
        <v>642</v>
      </c>
      <c r="E177" s="2" t="s">
        <v>301</v>
      </c>
      <c r="F177" s="2">
        <v>13.0</v>
      </c>
      <c r="G177" s="2">
        <v>500.0</v>
      </c>
      <c r="H177" s="3" t="str">
        <f>HYPERLINK("http://www.linkedin.com/in/joshuacostea","http://www.linkedin.com/in/joshuacostea")</f>
        <v>http://www.linkedin.com/in/joshuacostea</v>
      </c>
      <c r="I177" s="2" t="s">
        <v>77</v>
      </c>
      <c r="J177" s="2" t="s">
        <v>102</v>
      </c>
      <c r="K177" s="2" t="s">
        <v>97</v>
      </c>
    </row>
    <row r="178" ht="15.75" customHeight="1">
      <c r="A178" s="2">
        <v>144249.0</v>
      </c>
      <c r="B178" s="2" t="s">
        <v>643</v>
      </c>
      <c r="C178" s="2" t="s">
        <v>644</v>
      </c>
      <c r="D178" s="2" t="s">
        <v>645</v>
      </c>
      <c r="E178" s="2" t="s">
        <v>142</v>
      </c>
      <c r="F178" s="2">
        <v>5.0</v>
      </c>
      <c r="G178" s="2">
        <v>343.0</v>
      </c>
      <c r="H178" s="3" t="str">
        <f>HYPERLINK("http://www.linkedin.com/pub/shannon-byrne/5/593/A0B","http://www.linkedin.com/pub/shannon-byrne/5/593/A0B")</f>
        <v>http://www.linkedin.com/pub/shannon-byrne/5/593/A0B</v>
      </c>
      <c r="I178" s="2" t="s">
        <v>15</v>
      </c>
      <c r="J178" s="2" t="s">
        <v>144</v>
      </c>
      <c r="K178" s="2" t="s">
        <v>646</v>
      </c>
    </row>
    <row r="179" ht="15.75" customHeight="1">
      <c r="A179" s="2">
        <v>145311.0</v>
      </c>
      <c r="B179" s="2" t="s">
        <v>647</v>
      </c>
      <c r="C179" s="2" t="s">
        <v>648</v>
      </c>
      <c r="D179" s="2" t="s">
        <v>649</v>
      </c>
      <c r="E179" s="2" t="s">
        <v>650</v>
      </c>
      <c r="F179" s="2">
        <v>11.0</v>
      </c>
      <c r="G179" s="2">
        <v>451.0</v>
      </c>
      <c r="H179" s="3" t="str">
        <f>HYPERLINK("http://br.linkedin.com/in/claudiorinnert","http://br.linkedin.com/in/claudiorinnert")</f>
        <v>http://br.linkedin.com/in/claudiorinnert</v>
      </c>
      <c r="I179" s="2" t="s">
        <v>48</v>
      </c>
      <c r="J179" s="2" t="s">
        <v>34</v>
      </c>
      <c r="K179" s="2" t="s">
        <v>35</v>
      </c>
    </row>
    <row r="180" ht="15.75" customHeight="1">
      <c r="A180" s="2">
        <v>145896.0</v>
      </c>
      <c r="B180" s="2" t="s">
        <v>651</v>
      </c>
      <c r="C180" s="2" t="s">
        <v>652</v>
      </c>
      <c r="D180" s="2" t="s">
        <v>13</v>
      </c>
      <c r="E180" s="2" t="s">
        <v>653</v>
      </c>
      <c r="F180" s="2">
        <v>0.0</v>
      </c>
      <c r="G180" s="2">
        <v>500.0</v>
      </c>
      <c r="H180" s="3" t="str">
        <f>HYPERLINK("http://www.linkedin.com/in/nandakumarkv","http://www.linkedin.com/in/nandakumarkv")</f>
        <v>http://www.linkedin.com/in/nandakumarkv</v>
      </c>
      <c r="I180" s="2" t="s">
        <v>279</v>
      </c>
      <c r="J180" s="2" t="s">
        <v>102</v>
      </c>
      <c r="K180" s="2" t="s">
        <v>58</v>
      </c>
    </row>
    <row r="181" ht="15.75" customHeight="1">
      <c r="A181" s="2">
        <v>145993.0</v>
      </c>
      <c r="B181" s="2" t="s">
        <v>654</v>
      </c>
      <c r="C181" s="2" t="s">
        <v>655</v>
      </c>
      <c r="D181" s="2" t="s">
        <v>656</v>
      </c>
      <c r="E181" s="2" t="s">
        <v>39</v>
      </c>
      <c r="F181" s="2">
        <v>0.0</v>
      </c>
      <c r="G181" s="2">
        <v>484.0</v>
      </c>
      <c r="H181" s="3" t="str">
        <f>HYPERLINK("http://www.linkedin.com/pub/udi-shani/8/848/453","http://www.linkedin.com/pub/udi-shani/8/848/453")</f>
        <v>http://www.linkedin.com/pub/udi-shani/8/848/453</v>
      </c>
      <c r="I181" s="2" t="s">
        <v>15</v>
      </c>
      <c r="J181" s="2" t="s">
        <v>34</v>
      </c>
      <c r="K181" s="2" t="s">
        <v>35</v>
      </c>
    </row>
    <row r="182" ht="15.75" customHeight="1">
      <c r="A182" s="2">
        <v>146626.0</v>
      </c>
      <c r="B182" s="2" t="s">
        <v>657</v>
      </c>
      <c r="C182" s="2" t="s">
        <v>658</v>
      </c>
      <c r="D182" s="2" t="s">
        <v>659</v>
      </c>
      <c r="E182" s="2" t="s">
        <v>26</v>
      </c>
      <c r="F182" s="2" t="s">
        <v>13</v>
      </c>
      <c r="G182" s="2">
        <v>500.0</v>
      </c>
      <c r="H182" s="3" t="str">
        <f>HYPERLINK("http://mx.linkedin.com/in/deltaexecutive","http://mx.linkedin.com/in/deltaexecutive")</f>
        <v>http://mx.linkedin.com/in/deltaexecutive</v>
      </c>
      <c r="I182" s="2" t="s">
        <v>248</v>
      </c>
      <c r="J182" s="2" t="s">
        <v>28</v>
      </c>
      <c r="K182" s="2" t="s">
        <v>35</v>
      </c>
    </row>
    <row r="183" ht="15.75" customHeight="1">
      <c r="A183" s="2">
        <v>146746.0</v>
      </c>
      <c r="B183" s="2" t="s">
        <v>660</v>
      </c>
      <c r="C183" s="2" t="s">
        <v>661</v>
      </c>
      <c r="D183" s="2"/>
      <c r="E183" s="2" t="s">
        <v>662</v>
      </c>
      <c r="F183" s="2">
        <v>3.0</v>
      </c>
      <c r="G183" s="2">
        <v>500.0</v>
      </c>
      <c r="H183" s="3" t="str">
        <f>HYPERLINK("http://www.linkedin.com/in/javiercovarrubiasgil","http://www.linkedin.com/in/javiercovarrubiasgil")</f>
        <v>http://www.linkedin.com/in/javiercovarrubiasgil</v>
      </c>
      <c r="I183" s="2" t="s">
        <v>663</v>
      </c>
      <c r="J183" s="2" t="s">
        <v>28</v>
      </c>
      <c r="K183" s="2" t="s">
        <v>29</v>
      </c>
    </row>
    <row r="184" ht="15.75" customHeight="1">
      <c r="A184" s="2">
        <v>146925.0</v>
      </c>
      <c r="B184" s="2" t="s">
        <v>414</v>
      </c>
      <c r="C184" s="2" t="s">
        <v>664</v>
      </c>
      <c r="D184" s="2" t="s">
        <v>13</v>
      </c>
      <c r="E184" s="2" t="s">
        <v>122</v>
      </c>
      <c r="F184" s="2">
        <v>5.0</v>
      </c>
      <c r="G184" s="2">
        <v>305.0</v>
      </c>
      <c r="H184" s="3" t="str">
        <f>HYPERLINK("http://www.linkedin.com/in/tomgordon","http://www.linkedin.com/in/tomgordon")</f>
        <v>http://www.linkedin.com/in/tomgordon</v>
      </c>
      <c r="I184" s="2" t="s">
        <v>15</v>
      </c>
      <c r="J184" s="2" t="s">
        <v>53</v>
      </c>
      <c r="K184" s="2" t="s">
        <v>35</v>
      </c>
    </row>
    <row r="185" ht="15.75" customHeight="1">
      <c r="A185" s="2">
        <v>147628.0</v>
      </c>
      <c r="B185" s="2" t="s">
        <v>665</v>
      </c>
      <c r="C185" s="2" t="s">
        <v>666</v>
      </c>
      <c r="D185" s="2" t="s">
        <v>667</v>
      </c>
      <c r="E185" s="2" t="s">
        <v>668</v>
      </c>
      <c r="F185" s="2" t="s">
        <v>13</v>
      </c>
      <c r="G185" s="2">
        <v>500.0</v>
      </c>
      <c r="H185" s="3" t="str">
        <f>HYPERLINK("http://pt.linkedin.com/pub/jaime-ferreira/1/636/10","http://pt.linkedin.com/pub/jaime-ferreira/1/636/10")</f>
        <v>http://pt.linkedin.com/pub/jaime-ferreira/1/636/10</v>
      </c>
      <c r="I185" s="2" t="s">
        <v>669</v>
      </c>
      <c r="J185" s="2" t="s">
        <v>670</v>
      </c>
      <c r="K185" s="2" t="s">
        <v>58</v>
      </c>
    </row>
    <row r="186" ht="15.75" customHeight="1">
      <c r="A186" s="2">
        <v>148269.0</v>
      </c>
      <c r="B186" s="2" t="s">
        <v>671</v>
      </c>
      <c r="C186" s="2" t="s">
        <v>672</v>
      </c>
      <c r="D186" s="2" t="s">
        <v>673</v>
      </c>
      <c r="E186" s="2" t="s">
        <v>674</v>
      </c>
      <c r="F186" s="2">
        <v>2.0</v>
      </c>
      <c r="G186" s="2">
        <v>500.0</v>
      </c>
      <c r="H186" s="3" t="str">
        <f>HYPERLINK("http://br.linkedin.com/pub/mariana-teixeira/10/761/252","http://br.linkedin.com/pub/mariana-teixeira/10/761/252")</f>
        <v>http://br.linkedin.com/pub/mariana-teixeira/10/761/252</v>
      </c>
      <c r="I186" s="2" t="s">
        <v>132</v>
      </c>
      <c r="J186" s="2" t="s">
        <v>34</v>
      </c>
      <c r="K186" s="2" t="s">
        <v>58</v>
      </c>
    </row>
    <row r="187" ht="15.75" customHeight="1">
      <c r="A187" s="2">
        <v>148581.0</v>
      </c>
      <c r="B187" s="2" t="s">
        <v>314</v>
      </c>
      <c r="C187" s="2" t="s">
        <v>675</v>
      </c>
      <c r="D187" s="2" t="s">
        <v>676</v>
      </c>
      <c r="E187" s="2" t="s">
        <v>364</v>
      </c>
      <c r="F187" s="2">
        <v>3.0</v>
      </c>
      <c r="G187" s="2">
        <v>222.0</v>
      </c>
      <c r="H187" s="3" t="str">
        <f>HYPERLINK("http://www.linkedin.com/in/mkotorres","http://www.linkedin.com/in/mkotorres")</f>
        <v>http://www.linkedin.com/in/mkotorres</v>
      </c>
      <c r="I187" s="2" t="s">
        <v>77</v>
      </c>
      <c r="J187" s="2" t="s">
        <v>366</v>
      </c>
      <c r="K187" s="2" t="s">
        <v>196</v>
      </c>
    </row>
    <row r="188" ht="15.75" customHeight="1">
      <c r="A188" s="2">
        <v>149063.0</v>
      </c>
      <c r="B188" s="2" t="s">
        <v>677</v>
      </c>
      <c r="C188" s="2" t="s">
        <v>678</v>
      </c>
      <c r="D188" s="2" t="s">
        <v>679</v>
      </c>
      <c r="E188" s="2" t="s">
        <v>495</v>
      </c>
      <c r="F188" s="2" t="s">
        <v>13</v>
      </c>
      <c r="G188" s="2">
        <v>459.0</v>
      </c>
      <c r="H188" s="3" t="str">
        <f>HYPERLINK("http://mx.linkedin.com/pub/daniel-g-mez-i-iguez/2B/26A/142","http://mx.linkedin.com/pub/daniel-g-mez-i-iguez/2B/26A/142")</f>
        <v>http://mx.linkedin.com/pub/daniel-g-mez-i-iguez/2B/26A/142</v>
      </c>
      <c r="I188" s="2" t="s">
        <v>663</v>
      </c>
      <c r="J188" s="2" t="s">
        <v>28</v>
      </c>
      <c r="K188" s="2" t="s">
        <v>35</v>
      </c>
    </row>
    <row r="189" ht="15.75" customHeight="1">
      <c r="A189" s="2">
        <v>149729.0</v>
      </c>
      <c r="B189" s="2" t="s">
        <v>302</v>
      </c>
      <c r="C189" s="2" t="s">
        <v>680</v>
      </c>
      <c r="D189" s="2" t="s">
        <v>42</v>
      </c>
      <c r="E189" s="2" t="s">
        <v>278</v>
      </c>
      <c r="F189" s="2">
        <v>5.0</v>
      </c>
      <c r="G189" s="2">
        <v>500.0</v>
      </c>
      <c r="H189" s="3" t="str">
        <f>HYPERLINK("http://www.linkedin.com/in/21stbroker","http://www.linkedin.com/in/21stbroker")</f>
        <v>http://www.linkedin.com/in/21stbroker</v>
      </c>
      <c r="I189" s="2" t="s">
        <v>681</v>
      </c>
      <c r="J189" s="2" t="s">
        <v>28</v>
      </c>
      <c r="K189" s="2" t="s">
        <v>138</v>
      </c>
    </row>
    <row r="190" ht="15.75" customHeight="1">
      <c r="A190" s="2">
        <v>149783.0</v>
      </c>
      <c r="B190" s="2" t="s">
        <v>682</v>
      </c>
      <c r="C190" s="2" t="s">
        <v>683</v>
      </c>
      <c r="D190" s="2" t="s">
        <v>304</v>
      </c>
      <c r="E190" s="2" t="s">
        <v>684</v>
      </c>
      <c r="F190" s="2" t="s">
        <v>13</v>
      </c>
      <c r="G190" s="2">
        <v>500.0</v>
      </c>
      <c r="H190" s="3" t="str">
        <f>HYPERLINK("http://uk.linkedin.com/pub/varinder-bains/2/438/B82","http://uk.linkedin.com/pub/varinder-bains/2/438/B82")</f>
        <v>http://uk.linkedin.com/pub/varinder-bains/2/438/B82</v>
      </c>
      <c r="I190" s="2" t="s">
        <v>105</v>
      </c>
      <c r="J190" s="2" t="s">
        <v>53</v>
      </c>
      <c r="K190" s="2" t="s">
        <v>35</v>
      </c>
    </row>
    <row r="191" ht="15.75" customHeight="1">
      <c r="A191" s="2">
        <v>150003.0</v>
      </c>
      <c r="B191" s="2" t="s">
        <v>227</v>
      </c>
      <c r="C191" s="2" t="s">
        <v>685</v>
      </c>
      <c r="D191" s="2" t="s">
        <v>686</v>
      </c>
      <c r="E191" s="2" t="s">
        <v>39</v>
      </c>
      <c r="F191" s="2">
        <v>33.0</v>
      </c>
      <c r="G191" s="2">
        <v>500.0</v>
      </c>
      <c r="H191" s="3" t="str">
        <f>HYPERLINK("http://br.linkedin.com/in/jorgedantas","http://br.linkedin.com/in/jorgedantas")</f>
        <v>http://br.linkedin.com/in/jorgedantas</v>
      </c>
      <c r="I191" s="2" t="s">
        <v>15</v>
      </c>
      <c r="J191" s="2" t="s">
        <v>34</v>
      </c>
      <c r="K191" s="2" t="s">
        <v>35</v>
      </c>
    </row>
    <row r="192" ht="15.75" customHeight="1">
      <c r="A192" s="2">
        <v>150172.0</v>
      </c>
      <c r="B192" s="2" t="s">
        <v>687</v>
      </c>
      <c r="C192" s="2" t="s">
        <v>688</v>
      </c>
      <c r="D192" s="2" t="s">
        <v>689</v>
      </c>
      <c r="E192" s="2" t="s">
        <v>690</v>
      </c>
      <c r="F192" s="2" t="s">
        <v>13</v>
      </c>
      <c r="G192" s="2">
        <v>500.0</v>
      </c>
      <c r="H192" s="3" t="str">
        <f>HYPERLINK("http://www.linkedin.com/in/amirq","http://www.linkedin.com/in/amirq")</f>
        <v>http://www.linkedin.com/in/amirq</v>
      </c>
      <c r="I192" s="2" t="s">
        <v>15</v>
      </c>
      <c r="J192" s="2" t="s">
        <v>691</v>
      </c>
      <c r="K192" s="2" t="s">
        <v>35</v>
      </c>
    </row>
    <row r="193" ht="15.75" customHeight="1">
      <c r="A193" s="2">
        <v>150351.0</v>
      </c>
      <c r="B193" s="2" t="s">
        <v>692</v>
      </c>
      <c r="C193" s="2" t="s">
        <v>693</v>
      </c>
      <c r="D193" s="2" t="s">
        <v>694</v>
      </c>
      <c r="E193" s="2" t="s">
        <v>695</v>
      </c>
      <c r="F193" s="2" t="s">
        <v>13</v>
      </c>
      <c r="G193" s="2">
        <v>277.0</v>
      </c>
      <c r="H193" s="3" t="str">
        <f>HYPERLINK("http://br.linkedin.com/pub/manoel-messias/29/197/A32","http://br.linkedin.com/pub/manoel-messias/29/197/A32")</f>
        <v>http://br.linkedin.com/pub/manoel-messias/29/197/A32</v>
      </c>
      <c r="I193" s="2" t="s">
        <v>696</v>
      </c>
      <c r="J193" s="2" t="s">
        <v>34</v>
      </c>
      <c r="K193" s="2" t="s">
        <v>697</v>
      </c>
    </row>
    <row r="194" ht="15.75" customHeight="1">
      <c r="A194" s="2">
        <v>150429.0</v>
      </c>
      <c r="B194" s="2" t="s">
        <v>698</v>
      </c>
      <c r="C194" s="2" t="s">
        <v>699</v>
      </c>
      <c r="D194" s="2" t="s">
        <v>700</v>
      </c>
      <c r="E194" s="2" t="s">
        <v>701</v>
      </c>
      <c r="F194" s="2" t="s">
        <v>13</v>
      </c>
      <c r="G194" s="2">
        <v>500.0</v>
      </c>
      <c r="H194" s="3" t="str">
        <f>HYPERLINK("http://cl.linkedin.com/in/armandopenafiel","http://cl.linkedin.com/in/armandopenafiel")</f>
        <v>http://cl.linkedin.com/in/armandopenafiel</v>
      </c>
      <c r="I194" s="2" t="s">
        <v>69</v>
      </c>
      <c r="J194" s="2" t="s">
        <v>702</v>
      </c>
      <c r="K194" s="2" t="s">
        <v>35</v>
      </c>
    </row>
    <row r="195" ht="15.75" customHeight="1">
      <c r="A195" s="2">
        <v>150761.0</v>
      </c>
      <c r="B195" s="2" t="s">
        <v>703</v>
      </c>
      <c r="C195" s="2" t="s">
        <v>704</v>
      </c>
      <c r="D195" s="2" t="s">
        <v>705</v>
      </c>
      <c r="E195" s="2" t="s">
        <v>706</v>
      </c>
      <c r="F195" s="2" t="s">
        <v>13</v>
      </c>
      <c r="G195" s="2">
        <v>500.0</v>
      </c>
      <c r="H195" s="3" t="str">
        <f>HYPERLINK("http://br.linkedin.com/pub/rafael-cristaldo/29/AB9/251","http://br.linkedin.com/pub/rafael-cristaldo/29/AB9/251")</f>
        <v>http://br.linkedin.com/pub/rafael-cristaldo/29/AB9/251</v>
      </c>
      <c r="I195" s="2" t="s">
        <v>96</v>
      </c>
      <c r="J195" s="2" t="s">
        <v>34</v>
      </c>
      <c r="K195" s="2" t="s">
        <v>97</v>
      </c>
    </row>
    <row r="196" ht="15.75" customHeight="1">
      <c r="A196" s="2">
        <v>150864.0</v>
      </c>
      <c r="B196" s="2" t="s">
        <v>540</v>
      </c>
      <c r="C196" s="2" t="s">
        <v>707</v>
      </c>
      <c r="D196" s="2" t="s">
        <v>708</v>
      </c>
      <c r="E196" s="2" t="s">
        <v>301</v>
      </c>
      <c r="F196" s="2">
        <v>12.0</v>
      </c>
      <c r="G196" s="2">
        <v>500.0</v>
      </c>
      <c r="H196" s="3" t="str">
        <f>HYPERLINK("http://www.linkedin.com/in/cmayaud","http://www.linkedin.com/in/cmayaud")</f>
        <v>http://www.linkedin.com/in/cmayaud</v>
      </c>
      <c r="I196" s="2" t="s">
        <v>709</v>
      </c>
      <c r="J196" s="2" t="s">
        <v>102</v>
      </c>
      <c r="K196" s="2" t="s">
        <v>58</v>
      </c>
    </row>
    <row r="197" ht="15.75" customHeight="1">
      <c r="A197" s="2">
        <v>151086.0</v>
      </c>
      <c r="B197" s="2" t="s">
        <v>710</v>
      </c>
      <c r="C197" s="2" t="s">
        <v>711</v>
      </c>
      <c r="D197" s="2" t="s">
        <v>712</v>
      </c>
      <c r="E197" s="2" t="s">
        <v>713</v>
      </c>
      <c r="F197" s="2">
        <v>0.0</v>
      </c>
      <c r="G197" s="2">
        <v>500.0</v>
      </c>
      <c r="H197" s="3" t="str">
        <f>HYPERLINK("https://www.linkedin.com/in/jasonneff","https://www.linkedin.com/in/jasonneff")</f>
        <v>https://www.linkedin.com/in/jasonneff</v>
      </c>
      <c r="I197" s="2" t="s">
        <v>714</v>
      </c>
      <c r="J197" s="2" t="s">
        <v>102</v>
      </c>
      <c r="K197" s="2" t="s">
        <v>58</v>
      </c>
    </row>
    <row r="198" ht="15.75" customHeight="1">
      <c r="A198" s="2">
        <v>152455.0</v>
      </c>
      <c r="B198" s="2" t="s">
        <v>715</v>
      </c>
      <c r="C198" s="3" t="str">
        <f>HYPERLINK("http://vivekbhugrayahoo.com","vivekbhugrayahoo.com")</f>
        <v>vivekbhugrayahoo.com</v>
      </c>
      <c r="D198" s="2" t="s">
        <v>13</v>
      </c>
      <c r="E198" s="2" t="s">
        <v>716</v>
      </c>
      <c r="F198" s="2">
        <v>5.0</v>
      </c>
      <c r="G198" s="2">
        <v>500.0</v>
      </c>
      <c r="H198" s="3" t="str">
        <f>HYPERLINK("http://www.linkedin.com/pub/vivek-bhugra-vivek-bhugra-yahoo-com/4/450/829","http://www.linkedin.com/pub/vivek-bhugra-vivek-bhugra-yahoo-com/4/450/829")</f>
        <v>http://www.linkedin.com/pub/vivek-bhugra-vivek-bhugra-yahoo-com/4/450/829</v>
      </c>
      <c r="I198" s="2" t="s">
        <v>77</v>
      </c>
      <c r="J198" s="2" t="s">
        <v>575</v>
      </c>
      <c r="K198" s="2" t="s">
        <v>168</v>
      </c>
    </row>
    <row r="199" ht="15.75" customHeight="1">
      <c r="A199" s="2">
        <v>152603.0</v>
      </c>
      <c r="B199" s="2" t="s">
        <v>717</v>
      </c>
      <c r="C199" s="2" t="s">
        <v>718</v>
      </c>
      <c r="D199" s="2" t="s">
        <v>719</v>
      </c>
      <c r="E199" s="2" t="s">
        <v>720</v>
      </c>
      <c r="F199" s="2">
        <v>7.0</v>
      </c>
      <c r="G199" s="2">
        <v>500.0</v>
      </c>
      <c r="H199" s="3" t="str">
        <f>HYPERLINK("http://www.linkedin.com/pub/felix-dicamillo/4/7A0/A86","http://www.linkedin.com/pub/felix-dicamillo/4/7A0/A86")</f>
        <v>http://www.linkedin.com/pub/felix-dicamillo/4/7A0/A86</v>
      </c>
      <c r="I199" s="2" t="s">
        <v>48</v>
      </c>
      <c r="J199" s="2" t="s">
        <v>102</v>
      </c>
      <c r="K199" s="2" t="s">
        <v>35</v>
      </c>
    </row>
    <row r="200" ht="15.75" customHeight="1">
      <c r="A200" s="2">
        <v>152669.0</v>
      </c>
      <c r="B200" s="2" t="s">
        <v>721</v>
      </c>
      <c r="C200" s="2" t="s">
        <v>722</v>
      </c>
      <c r="D200" s="2" t="s">
        <v>723</v>
      </c>
      <c r="E200" s="2" t="s">
        <v>724</v>
      </c>
      <c r="F200" s="2">
        <v>44.0</v>
      </c>
      <c r="G200" s="2">
        <v>500.0</v>
      </c>
      <c r="H200" s="3" t="str">
        <f>HYPERLINK("http://uk.linkedin.com/in/andrewbrummer","http://uk.linkedin.com/in/andrewbrummer")</f>
        <v>http://uk.linkedin.com/in/andrewbrummer</v>
      </c>
      <c r="I200" s="2" t="s">
        <v>48</v>
      </c>
      <c r="J200" s="2" t="s">
        <v>102</v>
      </c>
      <c r="K200" s="2" t="s">
        <v>35</v>
      </c>
    </row>
    <row r="201" ht="15.75" customHeight="1">
      <c r="A201" s="2">
        <v>152900.0</v>
      </c>
      <c r="B201" s="2" t="s">
        <v>725</v>
      </c>
      <c r="C201" s="2" t="s">
        <v>726</v>
      </c>
      <c r="D201" s="2" t="s">
        <v>727</v>
      </c>
      <c r="E201" s="2" t="s">
        <v>728</v>
      </c>
      <c r="F201" s="2">
        <v>4.0</v>
      </c>
      <c r="G201" s="2">
        <v>189.0</v>
      </c>
      <c r="H201" s="3" t="str">
        <f>HYPERLINK("http://www.linkedin.com/in/ldejean","http://www.linkedin.com/in/ldejean")</f>
        <v>http://www.linkedin.com/in/ldejean</v>
      </c>
      <c r="I201" s="2" t="s">
        <v>15</v>
      </c>
      <c r="J201" s="2" t="s">
        <v>102</v>
      </c>
      <c r="K201" s="2" t="s">
        <v>729</v>
      </c>
    </row>
    <row r="202" ht="15.75" customHeight="1">
      <c r="A202" s="2">
        <v>155904.0</v>
      </c>
      <c r="B202" s="2" t="s">
        <v>730</v>
      </c>
      <c r="C202" s="2" t="s">
        <v>731</v>
      </c>
      <c r="D202" s="2" t="s">
        <v>32</v>
      </c>
      <c r="E202" s="2" t="s">
        <v>732</v>
      </c>
      <c r="F202" s="2">
        <v>2.0</v>
      </c>
      <c r="G202" s="2">
        <v>332.0</v>
      </c>
      <c r="H202" s="3" t="str">
        <f>HYPERLINK("http://br.linkedin.com/in/jcvossen","http://br.linkedin.com/in/jcvossen")</f>
        <v>http://br.linkedin.com/in/jcvossen</v>
      </c>
      <c r="I202" s="2" t="s">
        <v>470</v>
      </c>
      <c r="J202" s="2" t="s">
        <v>34</v>
      </c>
      <c r="K202" s="2" t="s">
        <v>58</v>
      </c>
    </row>
    <row r="203" ht="15.75" customHeight="1">
      <c r="A203" s="2">
        <v>156199.0</v>
      </c>
      <c r="B203" s="2" t="s">
        <v>418</v>
      </c>
      <c r="C203" s="2" t="s">
        <v>733</v>
      </c>
      <c r="D203" s="2" t="s">
        <v>734</v>
      </c>
      <c r="E203" s="2" t="s">
        <v>735</v>
      </c>
      <c r="F203" s="2">
        <v>2.0</v>
      </c>
      <c r="G203" s="2">
        <v>314.0</v>
      </c>
      <c r="H203" s="3" t="str">
        <f>HYPERLINK("http://ar.linkedin.com/pub/ivan-gottberg/11/12/3B8","http://ar.linkedin.com/pub/ivan-gottberg/11/12/3B8")</f>
        <v>http://ar.linkedin.com/pub/ivan-gottberg/11/12/3B8</v>
      </c>
      <c r="I203" s="2" t="s">
        <v>132</v>
      </c>
      <c r="J203" s="2" t="s">
        <v>34</v>
      </c>
      <c r="K203" s="2" t="s">
        <v>22</v>
      </c>
    </row>
    <row r="204" ht="15.75" customHeight="1">
      <c r="A204" s="2">
        <v>156565.0</v>
      </c>
      <c r="B204" s="2" t="s">
        <v>736</v>
      </c>
      <c r="C204" s="2" t="s">
        <v>737</v>
      </c>
      <c r="D204" s="2" t="s">
        <v>738</v>
      </c>
      <c r="E204" s="2" t="s">
        <v>495</v>
      </c>
      <c r="F204" s="2" t="s">
        <v>13</v>
      </c>
      <c r="G204" s="2">
        <v>500.0</v>
      </c>
      <c r="H204" s="3" t="str">
        <f>HYPERLINK("http://mx.linkedin.com/pub/mariana-chapa-del-bosque/23/411/664","http://mx.linkedin.com/pub/mariana-chapa-del-bosque/23/411/664")</f>
        <v>http://mx.linkedin.com/pub/mariana-chapa-del-bosque/23/411/664</v>
      </c>
      <c r="I204" s="2" t="s">
        <v>96</v>
      </c>
      <c r="J204" s="2" t="s">
        <v>28</v>
      </c>
      <c r="K204" s="2" t="s">
        <v>138</v>
      </c>
    </row>
    <row r="205" ht="15.75" customHeight="1">
      <c r="A205" s="2">
        <v>157040.0</v>
      </c>
      <c r="B205" s="2" t="s">
        <v>739</v>
      </c>
      <c r="C205" s="2" t="s">
        <v>740</v>
      </c>
      <c r="D205" s="2" t="s">
        <v>741</v>
      </c>
      <c r="E205" s="2" t="s">
        <v>469</v>
      </c>
      <c r="F205" s="2" t="s">
        <v>13</v>
      </c>
      <c r="G205" s="2">
        <v>5.0</v>
      </c>
      <c r="H205" s="3" t="str">
        <f>HYPERLINK("http://br.linkedin.com/pub/joao-henrique-silva/2A/116/447","http://br.linkedin.com/pub/joao-henrique-silva/2A/116/447")</f>
        <v>http://br.linkedin.com/pub/joao-henrique-silva/2A/116/447</v>
      </c>
      <c r="I205" s="2" t="s">
        <v>374</v>
      </c>
      <c r="J205" s="2" t="s">
        <v>34</v>
      </c>
      <c r="K205" s="2" t="s">
        <v>522</v>
      </c>
    </row>
    <row r="206" ht="15.75" customHeight="1">
      <c r="A206" s="2">
        <v>158935.0</v>
      </c>
      <c r="B206" s="2" t="s">
        <v>460</v>
      </c>
      <c r="C206" s="2" t="s">
        <v>742</v>
      </c>
      <c r="D206" s="2" t="s">
        <v>743</v>
      </c>
      <c r="E206" s="2" t="s">
        <v>744</v>
      </c>
      <c r="F206" s="2">
        <v>14.0</v>
      </c>
      <c r="G206" s="2">
        <v>500.0</v>
      </c>
      <c r="H206" s="3" t="str">
        <f>HYPERLINK("http://www.linkedin.com/in/johnxdwyerjr","http://www.linkedin.com/in/johnxdwyerjr")</f>
        <v>http://www.linkedin.com/in/johnxdwyerjr</v>
      </c>
      <c r="I206" s="2" t="s">
        <v>15</v>
      </c>
      <c r="J206" s="2" t="s">
        <v>102</v>
      </c>
      <c r="K206" s="2" t="s">
        <v>35</v>
      </c>
    </row>
    <row r="207" ht="15.75" customHeight="1">
      <c r="A207" s="2">
        <v>158979.0</v>
      </c>
      <c r="B207" s="2" t="s">
        <v>745</v>
      </c>
      <c r="C207" s="2" t="s">
        <v>746</v>
      </c>
      <c r="D207" s="2" t="s">
        <v>747</v>
      </c>
      <c r="E207" s="2" t="s">
        <v>748</v>
      </c>
      <c r="F207" s="2">
        <v>1.0</v>
      </c>
      <c r="G207" s="2">
        <v>363.0</v>
      </c>
      <c r="H207" s="3" t="str">
        <f>HYPERLINK("http://www.linkedin.com/pub/harlan-flint/0/2A/266","http://www.linkedin.com/pub/harlan-flint/0/2A/266")</f>
        <v>http://www.linkedin.com/pub/harlan-flint/0/2A/266</v>
      </c>
      <c r="I207" s="2" t="s">
        <v>279</v>
      </c>
      <c r="J207" s="2" t="s">
        <v>28</v>
      </c>
      <c r="K207" s="2" t="s">
        <v>35</v>
      </c>
    </row>
    <row r="208" ht="15.75" customHeight="1">
      <c r="A208" s="2">
        <v>159098.0</v>
      </c>
      <c r="B208" s="2" t="s">
        <v>749</v>
      </c>
      <c r="C208" s="2" t="s">
        <v>750</v>
      </c>
      <c r="D208" s="2" t="s">
        <v>751</v>
      </c>
      <c r="E208" s="2" t="s">
        <v>136</v>
      </c>
      <c r="F208" s="2" t="s">
        <v>13</v>
      </c>
      <c r="G208" s="2">
        <v>500.0</v>
      </c>
      <c r="H208" s="3" t="str">
        <f>HYPERLINK("http://www.linkedin.com/in/glebbudman","http://www.linkedin.com/in/glebbudman")</f>
        <v>http://www.linkedin.com/in/glebbudman</v>
      </c>
      <c r="I208" s="2" t="s">
        <v>48</v>
      </c>
      <c r="J208" s="2" t="s">
        <v>102</v>
      </c>
      <c r="K208" s="2" t="s">
        <v>35</v>
      </c>
    </row>
    <row r="209" ht="15.75" customHeight="1">
      <c r="A209" s="2">
        <v>159197.0</v>
      </c>
      <c r="B209" s="2" t="s">
        <v>752</v>
      </c>
      <c r="C209" s="2" t="s">
        <v>753</v>
      </c>
      <c r="D209" s="2" t="s">
        <v>100</v>
      </c>
      <c r="E209" s="2" t="s">
        <v>505</v>
      </c>
      <c r="F209" s="2">
        <v>2.0</v>
      </c>
      <c r="G209" s="2">
        <v>500.0</v>
      </c>
      <c r="H209" s="3" t="str">
        <f>HYPERLINK("http://www.linkedin.com/in/jchadbourneexecutivesolutions","http://www.linkedin.com/in/jchadbourneexecutivesolutions")</f>
        <v>http://www.linkedin.com/in/jchadbourneexecutivesolutions</v>
      </c>
      <c r="I209" s="2" t="s">
        <v>248</v>
      </c>
      <c r="J209" s="2" t="s">
        <v>102</v>
      </c>
      <c r="K209" s="2" t="s">
        <v>196</v>
      </c>
    </row>
    <row r="210" ht="15.75" customHeight="1">
      <c r="A210" s="2">
        <v>159217.0</v>
      </c>
      <c r="B210" s="2" t="s">
        <v>754</v>
      </c>
      <c r="C210" s="2" t="s">
        <v>755</v>
      </c>
      <c r="D210" s="2" t="s">
        <v>756</v>
      </c>
      <c r="E210" s="2" t="s">
        <v>301</v>
      </c>
      <c r="F210" s="2" t="s">
        <v>13</v>
      </c>
      <c r="G210" s="2">
        <v>500.0</v>
      </c>
      <c r="H210" s="3" t="str">
        <f>HYPERLINK("http://www.linkedin.com/pub/greg-walsh/0/84/667","http://www.linkedin.com/pub/greg-walsh/0/84/667")</f>
        <v>http://www.linkedin.com/pub/greg-walsh/0/84/667</v>
      </c>
      <c r="I210" s="2" t="s">
        <v>105</v>
      </c>
      <c r="J210" s="2" t="s">
        <v>102</v>
      </c>
      <c r="K210" s="2" t="s">
        <v>58</v>
      </c>
    </row>
    <row r="211" ht="15.75" customHeight="1">
      <c r="A211" s="2">
        <v>159267.0</v>
      </c>
      <c r="B211" s="2" t="s">
        <v>757</v>
      </c>
      <c r="C211" s="2" t="s">
        <v>758</v>
      </c>
      <c r="D211" s="2" t="s">
        <v>42</v>
      </c>
      <c r="E211" s="2" t="s">
        <v>101</v>
      </c>
      <c r="F211" s="2">
        <v>10.0</v>
      </c>
      <c r="G211" s="2">
        <v>500.0</v>
      </c>
      <c r="H211" s="3" t="str">
        <f>HYPERLINK("http://www.linkedin.com/in/blearning","http://www.linkedin.com/in/blearning")</f>
        <v>http://www.linkedin.com/in/blearning</v>
      </c>
      <c r="I211" s="2" t="s">
        <v>15</v>
      </c>
      <c r="J211" s="2" t="s">
        <v>102</v>
      </c>
      <c r="K211" s="2" t="s">
        <v>97</v>
      </c>
    </row>
    <row r="212" ht="15.75" customHeight="1">
      <c r="A212" s="2">
        <v>159368.0</v>
      </c>
      <c r="B212" s="2" t="s">
        <v>759</v>
      </c>
      <c r="C212" s="2" t="s">
        <v>760</v>
      </c>
      <c r="D212" s="2" t="s">
        <v>761</v>
      </c>
      <c r="E212" s="2" t="s">
        <v>762</v>
      </c>
      <c r="F212" s="2">
        <v>6.0</v>
      </c>
      <c r="G212" s="2">
        <v>500.0</v>
      </c>
      <c r="H212" s="3" t="str">
        <f>HYPERLINK("http://www.linkedin.com/in/barbaraholden","http://www.linkedin.com/in/barbaraholden")</f>
        <v>http://www.linkedin.com/in/barbaraholden</v>
      </c>
      <c r="I212" s="2" t="s">
        <v>105</v>
      </c>
      <c r="J212" s="2" t="s">
        <v>102</v>
      </c>
      <c r="K212" s="2" t="s">
        <v>58</v>
      </c>
    </row>
    <row r="213" ht="15.75" customHeight="1">
      <c r="A213" s="2">
        <v>159586.0</v>
      </c>
      <c r="B213" s="2" t="s">
        <v>763</v>
      </c>
      <c r="C213" s="2" t="s">
        <v>764</v>
      </c>
      <c r="D213" s="2" t="s">
        <v>47</v>
      </c>
      <c r="E213" s="2" t="s">
        <v>765</v>
      </c>
      <c r="F213" s="2">
        <v>17.0</v>
      </c>
      <c r="G213" s="2">
        <v>500.0</v>
      </c>
      <c r="H213" s="3" t="str">
        <f>HYPERLINK("http://www.linkedin.com/in/begreaterthan","http://www.linkedin.com/in/begreaterthan")</f>
        <v>http://www.linkedin.com/in/begreaterthan</v>
      </c>
      <c r="I213" s="2" t="s">
        <v>105</v>
      </c>
      <c r="J213" s="2" t="s">
        <v>144</v>
      </c>
      <c r="K213" s="2" t="s">
        <v>766</v>
      </c>
    </row>
    <row r="214" ht="15.75" customHeight="1">
      <c r="A214" s="2">
        <v>159601.0</v>
      </c>
      <c r="B214" s="2" t="s">
        <v>582</v>
      </c>
      <c r="C214" s="2" t="s">
        <v>93</v>
      </c>
      <c r="D214" s="2" t="s">
        <v>767</v>
      </c>
      <c r="E214" s="2" t="s">
        <v>768</v>
      </c>
      <c r="F214" s="2">
        <v>31.0</v>
      </c>
      <c r="G214" s="2">
        <v>500.0</v>
      </c>
      <c r="H214" s="3" t="str">
        <f>HYPERLINK("http://br.linkedin.com/in/alexoliveira","http://br.linkedin.com/in/alexoliveira")</f>
        <v>http://br.linkedin.com/in/alexoliveira</v>
      </c>
      <c r="I214" s="2" t="s">
        <v>231</v>
      </c>
      <c r="J214" s="2" t="s">
        <v>34</v>
      </c>
      <c r="K214" s="2" t="s">
        <v>58</v>
      </c>
    </row>
    <row r="215" ht="15.75" customHeight="1">
      <c r="A215" s="2">
        <v>159785.0</v>
      </c>
      <c r="B215" s="2" t="s">
        <v>769</v>
      </c>
      <c r="C215" s="2" t="s">
        <v>770</v>
      </c>
      <c r="D215" s="2" t="s">
        <v>400</v>
      </c>
      <c r="E215" s="2" t="s">
        <v>136</v>
      </c>
      <c r="F215" s="2">
        <v>6.0</v>
      </c>
      <c r="G215" s="2">
        <v>500.0</v>
      </c>
      <c r="H215" s="3" t="str">
        <f>HYPERLINK("http://au.linkedin.com/in/phaedonstough","http://au.linkedin.com/in/phaedonstough")</f>
        <v>http://au.linkedin.com/in/phaedonstough</v>
      </c>
      <c r="I215" s="2" t="s">
        <v>248</v>
      </c>
      <c r="J215" s="2" t="s">
        <v>102</v>
      </c>
      <c r="K215" s="2" t="s">
        <v>196</v>
      </c>
    </row>
    <row r="216" ht="15.75" customHeight="1">
      <c r="A216" s="2">
        <v>159948.0</v>
      </c>
      <c r="B216" s="2" t="s">
        <v>771</v>
      </c>
      <c r="C216" s="2" t="s">
        <v>772</v>
      </c>
      <c r="D216" s="2" t="s">
        <v>773</v>
      </c>
      <c r="E216" s="2" t="s">
        <v>351</v>
      </c>
      <c r="F216" s="2" t="s">
        <v>13</v>
      </c>
      <c r="G216" s="2">
        <v>500.0</v>
      </c>
      <c r="H216" s="3" t="str">
        <f>HYPERLINK("http://dk.linkedin.com/in/jorgenlarsen","http://dk.linkedin.com/in/jorgenlarsen")</f>
        <v>http://dk.linkedin.com/in/jorgenlarsen</v>
      </c>
      <c r="I216" s="2" t="s">
        <v>48</v>
      </c>
      <c r="J216" s="2" t="s">
        <v>352</v>
      </c>
      <c r="K216" s="2" t="s">
        <v>35</v>
      </c>
    </row>
    <row r="217" ht="15.75" customHeight="1">
      <c r="A217" s="2">
        <v>159971.0</v>
      </c>
      <c r="B217" s="2" t="s">
        <v>774</v>
      </c>
      <c r="C217" s="2" t="s">
        <v>775</v>
      </c>
      <c r="D217" s="2" t="s">
        <v>776</v>
      </c>
      <c r="E217" s="2" t="s">
        <v>136</v>
      </c>
      <c r="F217" s="2" t="s">
        <v>13</v>
      </c>
      <c r="G217" s="2">
        <v>500.0</v>
      </c>
      <c r="H217" s="3" t="str">
        <f>HYPERLINK("http://www.linkedin.com/in/brucehatz","http://www.linkedin.com/in/brucehatz")</f>
        <v>http://www.linkedin.com/in/brucehatz</v>
      </c>
      <c r="I217" s="2" t="s">
        <v>167</v>
      </c>
      <c r="J217" s="2" t="s">
        <v>102</v>
      </c>
      <c r="K217" s="2" t="s">
        <v>58</v>
      </c>
    </row>
    <row r="218" ht="15.75" customHeight="1">
      <c r="A218" s="2">
        <v>160280.0</v>
      </c>
      <c r="B218" s="2" t="s">
        <v>777</v>
      </c>
      <c r="C218" s="2" t="s">
        <v>778</v>
      </c>
      <c r="D218" s="2" t="s">
        <v>779</v>
      </c>
      <c r="E218" s="2" t="s">
        <v>780</v>
      </c>
      <c r="F218" s="2">
        <v>45.0</v>
      </c>
      <c r="G218" s="2">
        <v>500.0</v>
      </c>
      <c r="H218" s="3" t="str">
        <f>HYPERLINK("http://in.linkedin.com/in/anadisinha","http://in.linkedin.com/in/anadisinha")</f>
        <v>http://in.linkedin.com/in/anadisinha</v>
      </c>
      <c r="I218" s="2" t="s">
        <v>458</v>
      </c>
      <c r="J218" s="2" t="s">
        <v>575</v>
      </c>
      <c r="K218" s="2" t="s">
        <v>522</v>
      </c>
    </row>
    <row r="219" ht="15.75" customHeight="1">
      <c r="A219" s="2">
        <v>160764.0</v>
      </c>
      <c r="B219" s="2" t="s">
        <v>781</v>
      </c>
      <c r="C219" s="2" t="s">
        <v>782</v>
      </c>
      <c r="D219" s="2"/>
      <c r="E219" s="2" t="s">
        <v>783</v>
      </c>
      <c r="F219" s="2">
        <v>5.0</v>
      </c>
      <c r="G219" s="2">
        <v>500.0</v>
      </c>
      <c r="H219" s="3" t="str">
        <f>HYPERLINK("http://www.linkedin.com/in/shyamnadig","http://www.linkedin.com/in/shyamnadig")</f>
        <v>http://www.linkedin.com/in/shyamnadig</v>
      </c>
      <c r="I219" s="2" t="s">
        <v>15</v>
      </c>
      <c r="J219" s="2" t="s">
        <v>575</v>
      </c>
      <c r="K219" s="2" t="s">
        <v>22</v>
      </c>
    </row>
    <row r="220" ht="15.75" customHeight="1">
      <c r="A220" s="2">
        <v>160919.0</v>
      </c>
      <c r="B220" s="2" t="s">
        <v>784</v>
      </c>
      <c r="C220" s="2" t="s">
        <v>785</v>
      </c>
      <c r="D220" s="2" t="s">
        <v>786</v>
      </c>
      <c r="E220" s="2" t="s">
        <v>101</v>
      </c>
      <c r="F220" s="2">
        <v>11.0</v>
      </c>
      <c r="G220" s="2">
        <v>500.0</v>
      </c>
      <c r="H220" s="3" t="str">
        <f>HYPERLINK("http://www.linkedin.com/in/jefferypoole","http://www.linkedin.com/in/jefferypoole")</f>
        <v>http://www.linkedin.com/in/jefferypoole</v>
      </c>
      <c r="I220" s="2" t="s">
        <v>48</v>
      </c>
      <c r="J220" s="2" t="s">
        <v>102</v>
      </c>
      <c r="K220" s="2" t="s">
        <v>35</v>
      </c>
    </row>
    <row r="221" ht="15.75" customHeight="1">
      <c r="A221" s="2">
        <v>161568.0</v>
      </c>
      <c r="B221" s="2" t="s">
        <v>787</v>
      </c>
      <c r="C221" s="2" t="s">
        <v>59</v>
      </c>
      <c r="D221" s="2" t="s">
        <v>13</v>
      </c>
      <c r="E221" s="2" t="s">
        <v>14</v>
      </c>
      <c r="F221" s="2">
        <v>0.0</v>
      </c>
      <c r="G221" s="2">
        <v>500.0</v>
      </c>
      <c r="H221" s="3" t="str">
        <f>HYPERLINK("http://www.linkedin.com/in/smichaelmartin","http://www.linkedin.com/in/smichaelmartin")</f>
        <v>http://www.linkedin.com/in/smichaelmartin</v>
      </c>
      <c r="I221" s="2" t="s">
        <v>326</v>
      </c>
      <c r="J221" s="2" t="s">
        <v>16</v>
      </c>
      <c r="K221" s="2" t="s">
        <v>196</v>
      </c>
    </row>
    <row r="222" ht="15.75" customHeight="1">
      <c r="A222" s="2">
        <v>161701.0</v>
      </c>
      <c r="B222" s="2" t="s">
        <v>788</v>
      </c>
      <c r="C222" s="2" t="s">
        <v>789</v>
      </c>
      <c r="D222" s="2" t="s">
        <v>790</v>
      </c>
      <c r="E222" s="2" t="s">
        <v>791</v>
      </c>
      <c r="F222" s="2">
        <v>29.0</v>
      </c>
      <c r="G222" s="2">
        <v>500.0</v>
      </c>
      <c r="H222" s="3" t="str">
        <f>HYPERLINK("http://www.linkedin.com/in/samyaple","http://www.linkedin.com/in/samyaple")</f>
        <v>http://www.linkedin.com/in/samyaple</v>
      </c>
      <c r="I222" s="2" t="s">
        <v>48</v>
      </c>
      <c r="J222" s="2" t="s">
        <v>575</v>
      </c>
      <c r="K222" s="2" t="s">
        <v>792</v>
      </c>
    </row>
    <row r="223" ht="15.75" customHeight="1">
      <c r="A223" s="2">
        <v>163459.0</v>
      </c>
      <c r="B223" s="2" t="s">
        <v>793</v>
      </c>
      <c r="C223" s="2" t="s">
        <v>794</v>
      </c>
      <c r="D223" s="2" t="s">
        <v>795</v>
      </c>
      <c r="E223" s="2" t="s">
        <v>136</v>
      </c>
      <c r="F223" s="2">
        <v>27.0</v>
      </c>
      <c r="G223" s="2">
        <v>500.0</v>
      </c>
      <c r="H223" s="3" t="str">
        <f>HYPERLINK("http://www.linkedin.com/in/raybeauchamp","http://www.linkedin.com/in/raybeauchamp")</f>
        <v>http://www.linkedin.com/in/raybeauchamp</v>
      </c>
      <c r="I223" s="2" t="s">
        <v>69</v>
      </c>
      <c r="J223" s="2" t="s">
        <v>102</v>
      </c>
      <c r="K223" s="2" t="s">
        <v>35</v>
      </c>
    </row>
    <row r="224" ht="15.75" customHeight="1">
      <c r="A224" s="2">
        <v>163710.0</v>
      </c>
      <c r="B224" s="2" t="s">
        <v>796</v>
      </c>
      <c r="C224" s="2" t="s">
        <v>797</v>
      </c>
      <c r="D224" s="2" t="s">
        <v>798</v>
      </c>
      <c r="E224" s="2" t="s">
        <v>799</v>
      </c>
      <c r="F224" s="2" t="s">
        <v>13</v>
      </c>
      <c r="G224" s="2">
        <v>500.0</v>
      </c>
      <c r="H224" s="3" t="str">
        <f>HYPERLINK("http://uk.linkedin.com/in/simontaylor94","http://uk.linkedin.com/in/simontaylor94")</f>
        <v>http://uk.linkedin.com/in/simontaylor94</v>
      </c>
      <c r="I224" s="2" t="s">
        <v>15</v>
      </c>
      <c r="J224" s="2" t="s">
        <v>53</v>
      </c>
      <c r="K224" s="2" t="s">
        <v>35</v>
      </c>
    </row>
    <row r="225" ht="15.75" customHeight="1">
      <c r="A225" s="2">
        <v>163753.0</v>
      </c>
      <c r="B225" s="2" t="s">
        <v>227</v>
      </c>
      <c r="C225" s="2" t="s">
        <v>800</v>
      </c>
      <c r="D225" s="2" t="s">
        <v>801</v>
      </c>
      <c r="E225" s="2" t="s">
        <v>407</v>
      </c>
      <c r="F225" s="2">
        <v>2.0</v>
      </c>
      <c r="G225" s="2">
        <v>500.0</v>
      </c>
      <c r="H225" s="3" t="str">
        <f>HYPERLINK("http://www.linkedin.com/in/jorgeverges","http://www.linkedin.com/in/jorgeverges")</f>
        <v>http://www.linkedin.com/in/jorgeverges</v>
      </c>
      <c r="I225" s="2" t="s">
        <v>77</v>
      </c>
      <c r="J225" s="2" t="s">
        <v>102</v>
      </c>
      <c r="K225" s="2" t="s">
        <v>97</v>
      </c>
    </row>
    <row r="226" ht="15.75" customHeight="1">
      <c r="A226" s="2">
        <v>164689.0</v>
      </c>
      <c r="B226" s="2" t="s">
        <v>59</v>
      </c>
      <c r="C226" s="2" t="s">
        <v>802</v>
      </c>
      <c r="D226" s="2" t="s">
        <v>803</v>
      </c>
      <c r="E226" s="2" t="s">
        <v>804</v>
      </c>
      <c r="F226" s="2">
        <v>4.0</v>
      </c>
      <c r="G226" s="2">
        <v>500.0</v>
      </c>
      <c r="H226" s="3" t="str">
        <f>HYPERLINK("http://www.linkedin.com/pub/martin-roesch/0/64/576","http://www.linkedin.com/pub/martin-roesch/0/64/576")</f>
        <v>http://www.linkedin.com/pub/martin-roesch/0/64/576</v>
      </c>
      <c r="I226" s="2" t="s">
        <v>160</v>
      </c>
      <c r="J226" s="2" t="s">
        <v>102</v>
      </c>
      <c r="K226" s="2" t="s">
        <v>97</v>
      </c>
    </row>
    <row r="227" ht="15.75" customHeight="1">
      <c r="A227" s="2">
        <v>164925.0</v>
      </c>
      <c r="B227" s="2" t="s">
        <v>805</v>
      </c>
      <c r="C227" s="2" t="s">
        <v>806</v>
      </c>
      <c r="D227" s="2" t="s">
        <v>807</v>
      </c>
      <c r="E227" s="2" t="s">
        <v>808</v>
      </c>
      <c r="F227" s="2" t="s">
        <v>13</v>
      </c>
      <c r="G227" s="2">
        <v>500.0</v>
      </c>
      <c r="H227" s="3" t="str">
        <f>HYPERLINK("http://fr.linkedin.com/in/pascalhouillon","http://fr.linkedin.com/in/pascalhouillon")</f>
        <v>http://fr.linkedin.com/in/pascalhouillon</v>
      </c>
      <c r="I227" s="2" t="s">
        <v>48</v>
      </c>
      <c r="J227" s="2" t="s">
        <v>102</v>
      </c>
      <c r="K227" s="2" t="s">
        <v>35</v>
      </c>
    </row>
    <row r="228" ht="15.75" customHeight="1">
      <c r="A228" s="2">
        <v>164939.0</v>
      </c>
      <c r="B228" s="2" t="s">
        <v>809</v>
      </c>
      <c r="C228" s="2" t="s">
        <v>810</v>
      </c>
      <c r="D228" s="2" t="s">
        <v>811</v>
      </c>
      <c r="E228" s="2" t="s">
        <v>136</v>
      </c>
      <c r="F228" s="2">
        <v>43.0</v>
      </c>
      <c r="G228" s="2">
        <v>500.0</v>
      </c>
      <c r="H228" s="3" t="str">
        <f>HYPERLINK("http://www.linkedin.com/in/uspatentattorney","http://www.linkedin.com/in/uspatentattorney")</f>
        <v>http://www.linkedin.com/in/uspatentattorney</v>
      </c>
      <c r="I228" s="2" t="s">
        <v>182</v>
      </c>
      <c r="J228" s="2" t="s">
        <v>102</v>
      </c>
      <c r="K228" s="2" t="s">
        <v>35</v>
      </c>
    </row>
    <row r="229" ht="15.75" customHeight="1">
      <c r="A229" s="2">
        <v>165786.0</v>
      </c>
      <c r="B229" s="2" t="s">
        <v>812</v>
      </c>
      <c r="C229" s="2" t="s">
        <v>813</v>
      </c>
      <c r="D229" s="2" t="s">
        <v>814</v>
      </c>
      <c r="E229" s="2" t="s">
        <v>235</v>
      </c>
      <c r="F229" s="2">
        <v>42.0</v>
      </c>
      <c r="G229" s="2">
        <v>500.0</v>
      </c>
      <c r="H229" s="3" t="str">
        <f>HYPERLINK("http://www.linkedin.com/in/vaninadelobelle","http://www.linkedin.com/in/vaninadelobelle")</f>
        <v>http://www.linkedin.com/in/vaninadelobelle</v>
      </c>
      <c r="I229" s="2" t="s">
        <v>96</v>
      </c>
      <c r="J229" s="2" t="s">
        <v>102</v>
      </c>
      <c r="K229" s="2" t="s">
        <v>35</v>
      </c>
    </row>
    <row r="230" ht="15.75" customHeight="1">
      <c r="A230" s="2">
        <v>165917.0</v>
      </c>
      <c r="B230" s="2" t="s">
        <v>815</v>
      </c>
      <c r="C230" s="2" t="s">
        <v>816</v>
      </c>
      <c r="D230" s="2" t="s">
        <v>817</v>
      </c>
      <c r="E230" s="2" t="s">
        <v>628</v>
      </c>
      <c r="F230" s="2">
        <v>0.0</v>
      </c>
      <c r="G230" s="2">
        <v>500.0</v>
      </c>
      <c r="H230" s="3" t="str">
        <f>HYPERLINK("http://www.linkedin.com/in/organizeitup","http://www.linkedin.com/in/organizeitup")</f>
        <v>http://www.linkedin.com/in/organizeitup</v>
      </c>
      <c r="I230" s="2" t="s">
        <v>470</v>
      </c>
      <c r="J230" s="2" t="s">
        <v>102</v>
      </c>
      <c r="K230" s="2" t="s">
        <v>818</v>
      </c>
    </row>
    <row r="231" ht="15.75" customHeight="1">
      <c r="A231" s="2">
        <v>166348.0</v>
      </c>
      <c r="B231" s="2" t="s">
        <v>819</v>
      </c>
      <c r="C231" s="2" t="s">
        <v>820</v>
      </c>
      <c r="D231" s="2"/>
      <c r="E231" s="2" t="s">
        <v>821</v>
      </c>
      <c r="F231" s="2">
        <v>17.0</v>
      </c>
      <c r="G231" s="2">
        <v>500.0</v>
      </c>
      <c r="H231" s="3" t="str">
        <f>HYPERLINK("http://uk.linkedin.com/pub/hywel-moore/0/385/789","http://uk.linkedin.com/pub/hywel-moore/0/385/789")</f>
        <v>http://uk.linkedin.com/pub/hywel-moore/0/385/789</v>
      </c>
      <c r="I231" s="2" t="s">
        <v>15</v>
      </c>
      <c r="J231" s="2" t="s">
        <v>575</v>
      </c>
      <c r="K231" s="2" t="s">
        <v>22</v>
      </c>
    </row>
    <row r="232" ht="15.75" customHeight="1">
      <c r="A232" s="2">
        <v>167012.0</v>
      </c>
      <c r="B232" s="2" t="s">
        <v>291</v>
      </c>
      <c r="C232" s="2" t="s">
        <v>822</v>
      </c>
      <c r="D232" s="2" t="s">
        <v>823</v>
      </c>
      <c r="E232" s="2" t="s">
        <v>166</v>
      </c>
      <c r="F232" s="2">
        <v>10.0</v>
      </c>
      <c r="G232" s="2">
        <v>500.0</v>
      </c>
      <c r="H232" s="3" t="str">
        <f>HYPERLINK("http://www.linkedin.com/pub/gary-watjen/1/63A/1AA","http://www.linkedin.com/pub/gary-watjen/1/63A/1AA")</f>
        <v>http://www.linkedin.com/pub/gary-watjen/1/63A/1AA</v>
      </c>
      <c r="I232" s="2" t="s">
        <v>48</v>
      </c>
      <c r="J232" s="2" t="s">
        <v>102</v>
      </c>
      <c r="K232" s="2" t="s">
        <v>35</v>
      </c>
    </row>
    <row r="233" ht="15.75" customHeight="1">
      <c r="A233" s="2">
        <v>167774.0</v>
      </c>
      <c r="B233" s="2" t="s">
        <v>824</v>
      </c>
      <c r="C233" s="2" t="s">
        <v>825</v>
      </c>
      <c r="D233" s="2" t="s">
        <v>826</v>
      </c>
      <c r="E233" s="2" t="s">
        <v>136</v>
      </c>
      <c r="F233" s="2">
        <v>29.0</v>
      </c>
      <c r="G233" s="2">
        <v>500.0</v>
      </c>
      <c r="H233" s="3" t="str">
        <f>HYPERLINK("http://www.linkedin.com/in/nancychou","http://www.linkedin.com/in/nancychou")</f>
        <v>http://www.linkedin.com/in/nancychou</v>
      </c>
      <c r="I233" s="2" t="s">
        <v>48</v>
      </c>
      <c r="J233" s="2" t="s">
        <v>102</v>
      </c>
      <c r="K233" s="2" t="s">
        <v>35</v>
      </c>
    </row>
    <row r="234" ht="15.75" customHeight="1">
      <c r="A234" s="2">
        <v>167896.0</v>
      </c>
      <c r="B234" s="2" t="s">
        <v>227</v>
      </c>
      <c r="C234" s="2" t="s">
        <v>827</v>
      </c>
      <c r="D234" s="2" t="s">
        <v>13</v>
      </c>
      <c r="E234" s="2" t="s">
        <v>491</v>
      </c>
      <c r="F234" s="2">
        <v>0.0</v>
      </c>
      <c r="G234" s="2">
        <v>500.0</v>
      </c>
      <c r="H234" s="3" t="str">
        <f>HYPERLINK("http://www.linkedin.com/in/jaraluce","http://www.linkedin.com/in/jaraluce")</f>
        <v>http://www.linkedin.com/in/jaraluce</v>
      </c>
      <c r="I234" s="2" t="s">
        <v>69</v>
      </c>
      <c r="J234" s="2" t="s">
        <v>220</v>
      </c>
      <c r="K234" s="2" t="s">
        <v>35</v>
      </c>
    </row>
    <row r="235" ht="15.75" customHeight="1">
      <c r="A235" s="2">
        <v>168879.0</v>
      </c>
      <c r="B235" s="2" t="s">
        <v>828</v>
      </c>
      <c r="C235" s="2" t="s">
        <v>829</v>
      </c>
      <c r="D235" s="2" t="s">
        <v>830</v>
      </c>
      <c r="E235" s="2" t="s">
        <v>39</v>
      </c>
      <c r="F235" s="2" t="s">
        <v>13</v>
      </c>
      <c r="G235" s="2">
        <v>500.0</v>
      </c>
      <c r="H235" s="3" t="str">
        <f>HYPERLINK("http://br.linkedin.com/pub/milton-maester/0/16B/103","http://br.linkedin.com/pub/milton-maester/0/16B/103")</f>
        <v>http://br.linkedin.com/pub/milton-maester/0/16B/103</v>
      </c>
      <c r="I235" s="2" t="s">
        <v>15</v>
      </c>
      <c r="J235" s="2" t="s">
        <v>34</v>
      </c>
      <c r="K235" s="2" t="s">
        <v>35</v>
      </c>
    </row>
    <row r="236" ht="15.75" customHeight="1">
      <c r="A236" s="2">
        <v>169241.0</v>
      </c>
      <c r="B236" s="2" t="s">
        <v>793</v>
      </c>
      <c r="C236" s="2" t="s">
        <v>831</v>
      </c>
      <c r="D236" s="2" t="s">
        <v>832</v>
      </c>
      <c r="E236" s="2" t="s">
        <v>136</v>
      </c>
      <c r="F236" s="2">
        <v>25.0</v>
      </c>
      <c r="G236" s="2">
        <v>500.0</v>
      </c>
      <c r="H236" s="3" t="str">
        <f>HYPERLINK("http://www.linkedin.com/in/itsmart","http://www.linkedin.com/in/itsmart")</f>
        <v>http://www.linkedin.com/in/itsmart</v>
      </c>
      <c r="I236" s="2" t="s">
        <v>15</v>
      </c>
      <c r="J236" s="2" t="s">
        <v>102</v>
      </c>
      <c r="K236" s="2" t="s">
        <v>35</v>
      </c>
    </row>
    <row r="237" ht="15.75" customHeight="1">
      <c r="A237" s="2">
        <v>169563.0</v>
      </c>
      <c r="B237" s="2" t="s">
        <v>833</v>
      </c>
      <c r="C237" s="2" t="s">
        <v>834</v>
      </c>
      <c r="D237" s="2" t="s">
        <v>835</v>
      </c>
      <c r="E237" s="2" t="s">
        <v>836</v>
      </c>
      <c r="F237" s="2">
        <v>4.0</v>
      </c>
      <c r="G237" s="2">
        <v>500.0</v>
      </c>
      <c r="H237" s="3" t="str">
        <f>HYPERLINK("http://nl.linkedin.com/in/sanderspit","http://nl.linkedin.com/in/sanderspit")</f>
        <v>http://nl.linkedin.com/in/sanderspit</v>
      </c>
      <c r="I237" s="2" t="s">
        <v>15</v>
      </c>
      <c r="J237" s="2" t="s">
        <v>837</v>
      </c>
      <c r="K237" s="2" t="s">
        <v>35</v>
      </c>
    </row>
    <row r="238" ht="15.75" customHeight="1">
      <c r="A238" s="2">
        <v>169701.0</v>
      </c>
      <c r="B238" s="2" t="s">
        <v>631</v>
      </c>
      <c r="C238" s="2" t="s">
        <v>838</v>
      </c>
      <c r="D238" s="2" t="s">
        <v>304</v>
      </c>
      <c r="E238" s="2" t="s">
        <v>136</v>
      </c>
      <c r="F238" s="2">
        <v>14.0</v>
      </c>
      <c r="G238" s="2">
        <v>500.0</v>
      </c>
      <c r="H238" s="3" t="str">
        <f>HYPERLINK("http://www.linkedin.com/in/christurzo","http://www.linkedin.com/in/christurzo")</f>
        <v>http://www.linkedin.com/in/christurzo</v>
      </c>
      <c r="I238" s="2" t="s">
        <v>248</v>
      </c>
      <c r="J238" s="2" t="s">
        <v>102</v>
      </c>
      <c r="K238" s="2" t="s">
        <v>196</v>
      </c>
    </row>
    <row r="239" ht="15.75" customHeight="1">
      <c r="A239" s="2">
        <v>170169.0</v>
      </c>
      <c r="B239" s="2" t="s">
        <v>839</v>
      </c>
      <c r="C239" s="2" t="s">
        <v>840</v>
      </c>
      <c r="D239" s="2" t="s">
        <v>841</v>
      </c>
      <c r="E239" s="2" t="s">
        <v>136</v>
      </c>
      <c r="F239" s="2">
        <v>31.0</v>
      </c>
      <c r="G239" s="2">
        <v>500.0</v>
      </c>
      <c r="H239" s="3" t="str">
        <f>HYPERLINK("http://www.linkedin.com/in/dzinman","http://www.linkedin.com/in/dzinman")</f>
        <v>http://www.linkedin.com/in/dzinman</v>
      </c>
      <c r="I239" s="2" t="s">
        <v>69</v>
      </c>
      <c r="J239" s="2" t="s">
        <v>102</v>
      </c>
      <c r="K239" s="2" t="s">
        <v>35</v>
      </c>
    </row>
    <row r="240" ht="15.75" customHeight="1">
      <c r="A240" s="2">
        <v>170341.0</v>
      </c>
      <c r="B240" s="2" t="s">
        <v>842</v>
      </c>
      <c r="C240" s="2" t="s">
        <v>292</v>
      </c>
      <c r="D240" s="2" t="s">
        <v>843</v>
      </c>
      <c r="E240" s="2" t="s">
        <v>122</v>
      </c>
      <c r="F240" s="2">
        <v>9.0</v>
      </c>
      <c r="G240" s="2">
        <v>500.0</v>
      </c>
      <c r="H240" s="3" t="str">
        <f>HYPERLINK("http://uk.linkedin.com/in/prwordsmith","http://uk.linkedin.com/in/prwordsmith")</f>
        <v>http://uk.linkedin.com/in/prwordsmith</v>
      </c>
      <c r="I240" s="2" t="s">
        <v>844</v>
      </c>
      <c r="J240" s="2" t="s">
        <v>53</v>
      </c>
      <c r="K240" s="2" t="s">
        <v>58</v>
      </c>
    </row>
    <row r="241" ht="15.75" customHeight="1">
      <c r="A241" s="2">
        <v>170416.0</v>
      </c>
      <c r="B241" s="2" t="s">
        <v>845</v>
      </c>
      <c r="C241" s="2" t="s">
        <v>846</v>
      </c>
      <c r="D241" s="2" t="s">
        <v>289</v>
      </c>
      <c r="E241" s="2" t="s">
        <v>847</v>
      </c>
      <c r="F241" s="2" t="s">
        <v>13</v>
      </c>
      <c r="G241" s="2">
        <v>500.0</v>
      </c>
      <c r="H241" s="3" t="str">
        <f>HYPERLINK("http://uk.linkedin.com/in/davebanko","http://uk.linkedin.com/in/davebanko")</f>
        <v>http://uk.linkedin.com/in/davebanko</v>
      </c>
      <c r="I241" s="2" t="s">
        <v>279</v>
      </c>
      <c r="J241" s="2" t="s">
        <v>53</v>
      </c>
      <c r="K241" s="2" t="s">
        <v>35</v>
      </c>
    </row>
    <row r="242" ht="15.75" customHeight="1">
      <c r="A242" s="2">
        <v>170479.0</v>
      </c>
      <c r="B242" s="2" t="s">
        <v>848</v>
      </c>
      <c r="C242" s="2" t="s">
        <v>849</v>
      </c>
      <c r="D242" s="2" t="s">
        <v>850</v>
      </c>
      <c r="E242" s="2" t="s">
        <v>39</v>
      </c>
      <c r="F242" s="2" t="s">
        <v>13</v>
      </c>
      <c r="G242" s="2">
        <v>500.0</v>
      </c>
      <c r="H242" s="3" t="str">
        <f>HYPERLINK("http://br.linkedin.com/pub/daves-souza/0/234/284","http://br.linkedin.com/pub/daves-souza/0/234/284")</f>
        <v>http://br.linkedin.com/pub/daves-souza/0/234/284</v>
      </c>
      <c r="I242" s="2" t="s">
        <v>15</v>
      </c>
      <c r="J242" s="2" t="s">
        <v>34</v>
      </c>
      <c r="K242" s="2" t="s">
        <v>35</v>
      </c>
    </row>
    <row r="243" ht="15.75" customHeight="1">
      <c r="A243" s="2">
        <v>171020.0</v>
      </c>
      <c r="B243" s="2" t="s">
        <v>851</v>
      </c>
      <c r="C243" s="2" t="s">
        <v>852</v>
      </c>
      <c r="D243" s="2" t="s">
        <v>853</v>
      </c>
      <c r="E243" s="2" t="s">
        <v>122</v>
      </c>
      <c r="F243" s="2">
        <v>25.0</v>
      </c>
      <c r="G243" s="2">
        <v>500.0</v>
      </c>
      <c r="H243" s="3" t="str">
        <f>HYPERLINK("http://uk.linkedin.com/in/louisealexander","http://uk.linkedin.com/in/louisealexander")</f>
        <v>http://uk.linkedin.com/in/louisealexander</v>
      </c>
      <c r="I243" s="2" t="s">
        <v>15</v>
      </c>
      <c r="J243" s="2" t="s">
        <v>53</v>
      </c>
      <c r="K243" s="2" t="s">
        <v>35</v>
      </c>
    </row>
    <row r="244" ht="15.75" customHeight="1">
      <c r="A244" s="2">
        <v>171570.0</v>
      </c>
      <c r="B244" s="2" t="s">
        <v>854</v>
      </c>
      <c r="C244" s="2" t="s">
        <v>849</v>
      </c>
      <c r="D244" s="2" t="s">
        <v>13</v>
      </c>
      <c r="E244" s="2" t="s">
        <v>76</v>
      </c>
      <c r="F244" s="2">
        <v>0.0</v>
      </c>
      <c r="G244" s="2">
        <v>500.0</v>
      </c>
      <c r="H244" s="3" t="str">
        <f>HYPERLINK("http://www.linkedin.com/pub/francisco-tony-brixi-souza/0/212/65","http://www.linkedin.com/pub/francisco-tony-brixi-souza/0/212/65")</f>
        <v>http://www.linkedin.com/pub/francisco-tony-brixi-souza/0/212/65</v>
      </c>
      <c r="I244" s="2" t="s">
        <v>15</v>
      </c>
      <c r="J244" s="2" t="s">
        <v>34</v>
      </c>
      <c r="K244" s="2" t="s">
        <v>97</v>
      </c>
    </row>
    <row r="245" ht="15.75" customHeight="1">
      <c r="A245" s="2">
        <v>172003.0</v>
      </c>
      <c r="B245" s="2" t="s">
        <v>855</v>
      </c>
      <c r="C245" s="2" t="s">
        <v>856</v>
      </c>
      <c r="D245" s="2" t="s">
        <v>300</v>
      </c>
      <c r="E245" s="2" t="s">
        <v>136</v>
      </c>
      <c r="F245" s="2" t="s">
        <v>13</v>
      </c>
      <c r="G245" s="2">
        <v>500.0</v>
      </c>
      <c r="H245" s="3" t="str">
        <f>HYPERLINK("http://www.linkedin.com/pub/cal-lai/0/820/504","http://www.linkedin.com/pub/cal-lai/0/820/504")</f>
        <v>http://www.linkedin.com/pub/cal-lai/0/820/504</v>
      </c>
      <c r="I245" s="2" t="s">
        <v>69</v>
      </c>
      <c r="J245" s="2" t="s">
        <v>102</v>
      </c>
      <c r="K245" s="2" t="s">
        <v>35</v>
      </c>
    </row>
    <row r="246" ht="15.75" customHeight="1">
      <c r="A246" s="2">
        <v>172451.0</v>
      </c>
      <c r="B246" s="2" t="s">
        <v>857</v>
      </c>
      <c r="C246" s="2" t="s">
        <v>858</v>
      </c>
      <c r="D246" s="2" t="s">
        <v>13</v>
      </c>
      <c r="E246" s="2" t="s">
        <v>33</v>
      </c>
      <c r="F246" s="2">
        <v>0.0</v>
      </c>
      <c r="G246" s="2">
        <v>500.0</v>
      </c>
      <c r="H246" s="3" t="str">
        <f>HYPERLINK("http://www.linkedin.com/pub/st%C3%A9phan-viel/0/363/977","http://www.linkedin.com/pub/st%C3%A9phan-viel/0/363/977")</f>
        <v>http://www.linkedin.com/pub/st%C3%A9phan-viel/0/363/977</v>
      </c>
      <c r="I246" s="2" t="s">
        <v>15</v>
      </c>
      <c r="J246" s="2" t="s">
        <v>34</v>
      </c>
      <c r="K246" s="2" t="s">
        <v>35</v>
      </c>
    </row>
    <row r="247" ht="15.75" customHeight="1">
      <c r="A247" s="2">
        <v>172758.0</v>
      </c>
      <c r="B247" s="2" t="s">
        <v>859</v>
      </c>
      <c r="C247" s="2" t="s">
        <v>860</v>
      </c>
      <c r="D247" s="2"/>
      <c r="E247" s="2" t="s">
        <v>450</v>
      </c>
      <c r="F247" s="2">
        <v>0.0</v>
      </c>
      <c r="G247" s="2">
        <v>316.0</v>
      </c>
      <c r="H247" s="3" t="str">
        <f>HYPERLINK("http://www.linkedin.com/pub/izabel-feij-/0/328/890","http://www.linkedin.com/pub/izabel-feij-/0/328/890")</f>
        <v>http://www.linkedin.com/pub/izabel-feij-/0/328/890</v>
      </c>
      <c r="I247" s="2" t="s">
        <v>374</v>
      </c>
      <c r="J247" s="2" t="s">
        <v>273</v>
      </c>
      <c r="K247" s="2" t="s">
        <v>35</v>
      </c>
    </row>
    <row r="248" ht="15.75" customHeight="1">
      <c r="A248" s="2">
        <v>172967.0</v>
      </c>
      <c r="B248" s="2" t="s">
        <v>302</v>
      </c>
      <c r="C248" s="2" t="s">
        <v>399</v>
      </c>
      <c r="D248" s="2"/>
      <c r="E248" s="2" t="s">
        <v>861</v>
      </c>
      <c r="F248" s="2">
        <v>0.0</v>
      </c>
      <c r="G248" s="2">
        <v>0.0</v>
      </c>
      <c r="H248" s="3" t="str">
        <f>HYPERLINK("http://www.linkedin.com/in/billjohnson","http://www.linkedin.com/in/billjohnson")</f>
        <v>http://www.linkedin.com/in/billjohnson</v>
      </c>
      <c r="I248" s="2" t="s">
        <v>15</v>
      </c>
      <c r="J248" s="2" t="s">
        <v>102</v>
      </c>
      <c r="K248" s="2" t="s">
        <v>522</v>
      </c>
    </row>
    <row r="249" ht="15.75" customHeight="1">
      <c r="A249" s="2">
        <v>173405.0</v>
      </c>
      <c r="B249" s="2" t="s">
        <v>862</v>
      </c>
      <c r="C249" s="2" t="s">
        <v>863</v>
      </c>
      <c r="D249" s="2" t="s">
        <v>13</v>
      </c>
      <c r="E249" s="2" t="s">
        <v>864</v>
      </c>
      <c r="F249" s="2">
        <v>0.0</v>
      </c>
      <c r="G249" s="2">
        <v>240.0</v>
      </c>
      <c r="H249" s="3" t="str">
        <f>HYPERLINK("http://www.linkedin.com/pub/gabriel-vleisides/3/984/69b","http://www.linkedin.com/pub/gabriel-vleisides/3/984/69b")</f>
        <v>http://www.linkedin.com/pub/gabriel-vleisides/3/984/69b</v>
      </c>
      <c r="I249" s="2" t="s">
        <v>865</v>
      </c>
      <c r="J249" s="2" t="s">
        <v>102</v>
      </c>
      <c r="K249" s="2" t="s">
        <v>29</v>
      </c>
    </row>
    <row r="250" ht="15.75" customHeight="1">
      <c r="A250" s="2">
        <v>173432.0</v>
      </c>
      <c r="B250" s="2" t="s">
        <v>866</v>
      </c>
      <c r="C250" s="2" t="s">
        <v>867</v>
      </c>
      <c r="D250" s="2" t="s">
        <v>868</v>
      </c>
      <c r="E250" s="2" t="s">
        <v>713</v>
      </c>
      <c r="F250" s="2">
        <v>0.0</v>
      </c>
      <c r="G250" s="2">
        <v>415.0</v>
      </c>
      <c r="H250" s="3" t="str">
        <f>HYPERLINK("http://www.linkedin.com/pub/nicole-donnelly/4/2B9/73B","http://www.linkedin.com/pub/nicole-donnelly/4/2B9/73B")</f>
        <v>http://www.linkedin.com/pub/nicole-donnelly/4/2B9/73B</v>
      </c>
      <c r="I250" s="2" t="s">
        <v>15</v>
      </c>
      <c r="J250" s="2" t="s">
        <v>102</v>
      </c>
      <c r="K250" s="2" t="s">
        <v>22</v>
      </c>
    </row>
    <row r="251" ht="15.75" customHeight="1">
      <c r="A251" s="2">
        <v>173480.0</v>
      </c>
      <c r="B251" s="2" t="s">
        <v>845</v>
      </c>
      <c r="C251" s="2" t="s">
        <v>869</v>
      </c>
      <c r="D251" s="2" t="s">
        <v>870</v>
      </c>
      <c r="E251" s="2" t="s">
        <v>871</v>
      </c>
      <c r="F251" s="2">
        <v>10.0</v>
      </c>
      <c r="G251" s="2">
        <v>401.0</v>
      </c>
      <c r="H251" s="3" t="str">
        <f>HYPERLINK("http://www.linkedin.com/in/davidaschwartz86","http://www.linkedin.com/in/davidaschwartz86")</f>
        <v>http://www.linkedin.com/in/davidaschwartz86</v>
      </c>
      <c r="I251" s="2" t="s">
        <v>48</v>
      </c>
      <c r="J251" s="2" t="s">
        <v>102</v>
      </c>
      <c r="K251" s="2" t="s">
        <v>35</v>
      </c>
    </row>
    <row r="252" ht="15.75" customHeight="1">
      <c r="A252" s="2">
        <v>175073.0</v>
      </c>
      <c r="B252" s="2" t="s">
        <v>872</v>
      </c>
      <c r="C252" s="3" t="str">
        <f>HYPERLINK("http://consultingmymobilegeek.com","consultingmymobilegeek.com")</f>
        <v>consultingmymobilegeek.com</v>
      </c>
      <c r="D252" s="2" t="s">
        <v>42</v>
      </c>
      <c r="E252" s="2" t="s">
        <v>804</v>
      </c>
      <c r="F252" s="2" t="s">
        <v>13</v>
      </c>
      <c r="G252" s="2">
        <v>2.0</v>
      </c>
      <c r="H252" s="3" t="str">
        <f>HYPERLINK("http://www.linkedin.com/in/mymobilegeek","http://www.linkedin.com/in/mymobilegeek")</f>
        <v>http://www.linkedin.com/in/mymobilegeek</v>
      </c>
      <c r="I252" s="2" t="s">
        <v>873</v>
      </c>
      <c r="J252" s="2" t="s">
        <v>102</v>
      </c>
      <c r="K252" s="2" t="s">
        <v>58</v>
      </c>
    </row>
    <row r="253" ht="15.75" customHeight="1">
      <c r="A253" s="2">
        <v>175538.0</v>
      </c>
      <c r="B253" s="2" t="s">
        <v>874</v>
      </c>
      <c r="C253" s="2" t="s">
        <v>875</v>
      </c>
      <c r="D253" s="2" t="s">
        <v>876</v>
      </c>
      <c r="E253" s="2" t="s">
        <v>877</v>
      </c>
      <c r="F253" s="2">
        <v>0.0</v>
      </c>
      <c r="G253" s="2">
        <v>494.0</v>
      </c>
      <c r="H253" s="3" t="str">
        <f>HYPERLINK("http://www.linkedin.com/pub/timothy-daut/19/1B3/8A1","http://www.linkedin.com/pub/timothy-daut/19/1B3/8A1")</f>
        <v>http://www.linkedin.com/pub/timothy-daut/19/1B3/8A1</v>
      </c>
      <c r="I253" s="2" t="s">
        <v>279</v>
      </c>
      <c r="J253" s="2" t="s">
        <v>273</v>
      </c>
      <c r="K253" s="2" t="s">
        <v>22</v>
      </c>
    </row>
    <row r="254" ht="15.75" customHeight="1">
      <c r="A254" s="2">
        <v>176805.0</v>
      </c>
      <c r="B254" s="2" t="s">
        <v>133</v>
      </c>
      <c r="C254" s="2" t="s">
        <v>878</v>
      </c>
      <c r="D254" s="2" t="s">
        <v>42</v>
      </c>
      <c r="E254" s="2" t="s">
        <v>765</v>
      </c>
      <c r="F254" s="2">
        <v>22.0</v>
      </c>
      <c r="G254" s="2">
        <v>500.0</v>
      </c>
      <c r="H254" s="3" t="str">
        <f>HYPERLINK("http://www.linkedin.com/pub/mike-hepner/14/9A7/64B","http://www.linkedin.com/pub/mike-hepner/14/9A7/64B")</f>
        <v>http://www.linkedin.com/pub/mike-hepner/14/9A7/64B</v>
      </c>
      <c r="I254" s="2" t="s">
        <v>105</v>
      </c>
      <c r="J254" s="2" t="s">
        <v>144</v>
      </c>
      <c r="K254" s="2" t="s">
        <v>196</v>
      </c>
    </row>
    <row r="255" ht="15.75" customHeight="1">
      <c r="A255" s="2">
        <v>176933.0</v>
      </c>
      <c r="B255" s="2" t="s">
        <v>879</v>
      </c>
      <c r="C255" s="2" t="s">
        <v>880</v>
      </c>
      <c r="D255" s="2" t="s">
        <v>881</v>
      </c>
      <c r="E255" s="2" t="s">
        <v>882</v>
      </c>
      <c r="F255" s="2">
        <v>18.0</v>
      </c>
      <c r="G255" s="2">
        <v>500.0</v>
      </c>
      <c r="H255" s="3" t="str">
        <f>HYPERLINK("http://www.linkedin.com/pub/richard-navarro/0/425/683","http://www.linkedin.com/pub/richard-navarro/0/425/683")</f>
        <v>http://www.linkedin.com/pub/richard-navarro/0/425/683</v>
      </c>
      <c r="I255" s="2" t="s">
        <v>15</v>
      </c>
      <c r="J255" s="2" t="s">
        <v>102</v>
      </c>
      <c r="K255" s="2" t="s">
        <v>35</v>
      </c>
    </row>
    <row r="256" ht="15.75" customHeight="1">
      <c r="A256" s="2">
        <v>177111.0</v>
      </c>
      <c r="B256" s="2" t="s">
        <v>412</v>
      </c>
      <c r="C256" s="2" t="s">
        <v>883</v>
      </c>
      <c r="D256" s="2" t="s">
        <v>884</v>
      </c>
      <c r="E256" s="2" t="s">
        <v>885</v>
      </c>
      <c r="F256" s="2">
        <v>13.0</v>
      </c>
      <c r="G256" s="2">
        <v>500.0</v>
      </c>
      <c r="H256" s="3" t="str">
        <f>HYPERLINK("http://www.linkedin.com/in/robertdiedrick","http://www.linkedin.com/in/robertdiedrick")</f>
        <v>http://www.linkedin.com/in/robertdiedrick</v>
      </c>
      <c r="I256" s="2" t="s">
        <v>344</v>
      </c>
      <c r="J256" s="2" t="s">
        <v>16</v>
      </c>
      <c r="K256" s="2" t="s">
        <v>138</v>
      </c>
    </row>
    <row r="257" ht="15.75" customHeight="1">
      <c r="A257" s="2">
        <v>177569.0</v>
      </c>
      <c r="B257" s="2" t="s">
        <v>631</v>
      </c>
      <c r="C257" s="2" t="s">
        <v>886</v>
      </c>
      <c r="D257" s="2" t="s">
        <v>887</v>
      </c>
      <c r="E257" s="2" t="s">
        <v>888</v>
      </c>
      <c r="F257" s="2">
        <v>10.0</v>
      </c>
      <c r="G257" s="2">
        <v>458.0</v>
      </c>
      <c r="H257" s="3" t="str">
        <f>HYPERLINK("http://www.linkedin.com/pub/chris-bartfai/B/576/862","http://www.linkedin.com/pub/chris-bartfai/B/576/862")</f>
        <v>http://www.linkedin.com/pub/chris-bartfai/B/576/862</v>
      </c>
      <c r="I257" s="2" t="s">
        <v>612</v>
      </c>
      <c r="J257" s="2" t="s">
        <v>102</v>
      </c>
      <c r="K257" s="2" t="s">
        <v>58</v>
      </c>
    </row>
    <row r="258" ht="15.75" customHeight="1">
      <c r="A258" s="2">
        <v>177999.0</v>
      </c>
      <c r="B258" s="2" t="s">
        <v>889</v>
      </c>
      <c r="C258" s="2" t="s">
        <v>890</v>
      </c>
      <c r="D258" s="2" t="s">
        <v>13</v>
      </c>
      <c r="E258" s="2" t="s">
        <v>891</v>
      </c>
      <c r="F258" s="2">
        <v>0.0</v>
      </c>
      <c r="G258" s="2">
        <v>500.0</v>
      </c>
      <c r="H258" s="3" t="str">
        <f>HYPERLINK("http://it.linkedin.com/in/riccardodiblasio","http://it.linkedin.com/in/riccardodiblasio")</f>
        <v>http://it.linkedin.com/in/riccardodiblasio</v>
      </c>
      <c r="I258" s="2" t="s">
        <v>15</v>
      </c>
      <c r="J258" s="2" t="s">
        <v>102</v>
      </c>
      <c r="K258" s="2" t="s">
        <v>35</v>
      </c>
    </row>
    <row r="259" ht="15.75" customHeight="1">
      <c r="A259" s="2">
        <v>178087.0</v>
      </c>
      <c r="B259" s="2" t="s">
        <v>892</v>
      </c>
      <c r="C259" s="2" t="s">
        <v>893</v>
      </c>
      <c r="D259" s="2" t="s">
        <v>13</v>
      </c>
      <c r="E259" s="2" t="s">
        <v>397</v>
      </c>
      <c r="F259" s="2">
        <v>0.0</v>
      </c>
      <c r="G259" s="2">
        <v>500.0</v>
      </c>
      <c r="H259" s="3" t="str">
        <f>HYPERLINK("http://www.linkedin.com/pub/gigi-alexandra-neuenfeldt/37/44/915","http://www.linkedin.com/pub/gigi-alexandra-neuenfeldt/37/44/915")</f>
        <v>http://www.linkedin.com/pub/gigi-alexandra-neuenfeldt/37/44/915</v>
      </c>
      <c r="I259" s="2" t="s">
        <v>15</v>
      </c>
      <c r="J259" s="2" t="s">
        <v>102</v>
      </c>
      <c r="K259" s="2" t="s">
        <v>35</v>
      </c>
    </row>
    <row r="260" ht="15.75" customHeight="1">
      <c r="A260" s="2">
        <v>178639.0</v>
      </c>
      <c r="B260" s="2" t="s">
        <v>894</v>
      </c>
      <c r="C260" s="2" t="s">
        <v>895</v>
      </c>
      <c r="D260" s="2" t="s">
        <v>896</v>
      </c>
      <c r="E260" s="2" t="s">
        <v>122</v>
      </c>
      <c r="F260" s="2">
        <v>6.0</v>
      </c>
      <c r="G260" s="2">
        <v>500.0</v>
      </c>
      <c r="H260" s="3" t="str">
        <f>HYPERLINK("http://uk.linkedin.com/in/lisettesens","http://uk.linkedin.com/in/lisettesens")</f>
        <v>http://uk.linkedin.com/in/lisettesens</v>
      </c>
      <c r="I260" s="2" t="s">
        <v>15</v>
      </c>
      <c r="J260" s="2" t="s">
        <v>53</v>
      </c>
      <c r="K260" s="2" t="s">
        <v>35</v>
      </c>
    </row>
    <row r="261" ht="15.75" customHeight="1">
      <c r="A261" s="2">
        <v>179553.0</v>
      </c>
      <c r="B261" s="2" t="s">
        <v>897</v>
      </c>
      <c r="C261" s="2" t="s">
        <v>898</v>
      </c>
      <c r="D261" s="2" t="s">
        <v>899</v>
      </c>
      <c r="E261" s="2" t="s">
        <v>900</v>
      </c>
      <c r="F261" s="2">
        <v>15.0</v>
      </c>
      <c r="G261" s="2">
        <v>171.0</v>
      </c>
      <c r="H261" s="3" t="str">
        <f>HYPERLINK("http://www.linkedin.com/pub/jamie-haskins/6/AA1/781","http://www.linkedin.com/pub/jamie-haskins/6/AA1/781")</f>
        <v>http://www.linkedin.com/pub/jamie-haskins/6/AA1/781</v>
      </c>
      <c r="I261" s="2" t="s">
        <v>279</v>
      </c>
      <c r="J261" s="2" t="s">
        <v>16</v>
      </c>
      <c r="K261" s="2" t="s">
        <v>522</v>
      </c>
    </row>
    <row r="262" ht="15.75" customHeight="1">
      <c r="A262" s="2">
        <v>179826.0</v>
      </c>
      <c r="B262" s="2" t="s">
        <v>901</v>
      </c>
      <c r="C262" s="2" t="s">
        <v>902</v>
      </c>
      <c r="D262" s="2" t="s">
        <v>903</v>
      </c>
      <c r="E262" s="2" t="s">
        <v>706</v>
      </c>
      <c r="F262" s="2">
        <v>2.0</v>
      </c>
      <c r="G262" s="2">
        <v>500.0</v>
      </c>
      <c r="H262" s="3" t="str">
        <f>HYPERLINK("http://br.linkedin.com/pub/lygia-fritsch/29/311/409","http://br.linkedin.com/pub/lygia-fritsch/29/311/409")</f>
        <v>http://br.linkedin.com/pub/lygia-fritsch/29/311/409</v>
      </c>
      <c r="I262" s="2" t="s">
        <v>132</v>
      </c>
      <c r="J262" s="2" t="s">
        <v>34</v>
      </c>
      <c r="K262" s="2" t="s">
        <v>35</v>
      </c>
    </row>
    <row r="263" ht="15.75" customHeight="1">
      <c r="A263" s="2">
        <v>179957.0</v>
      </c>
      <c r="B263" s="2" t="s">
        <v>904</v>
      </c>
      <c r="C263" s="2" t="s">
        <v>905</v>
      </c>
      <c r="D263" s="2" t="s">
        <v>906</v>
      </c>
      <c r="E263" s="2" t="s">
        <v>301</v>
      </c>
      <c r="F263" s="2">
        <v>7.0</v>
      </c>
      <c r="G263" s="2">
        <v>500.0</v>
      </c>
      <c r="H263" s="3" t="str">
        <f>HYPERLINK("http://www.linkedin.com/in/oriyacobi","http://www.linkedin.com/in/oriyacobi")</f>
        <v>http://www.linkedin.com/in/oriyacobi</v>
      </c>
      <c r="I263" s="2" t="s">
        <v>279</v>
      </c>
      <c r="J263" s="2" t="s">
        <v>102</v>
      </c>
      <c r="K263" s="2" t="s">
        <v>58</v>
      </c>
    </row>
    <row r="264" ht="15.75" customHeight="1">
      <c r="A264" s="2">
        <v>180198.0</v>
      </c>
      <c r="B264" s="2" t="s">
        <v>907</v>
      </c>
      <c r="C264" s="2" t="s">
        <v>908</v>
      </c>
      <c r="D264" s="2"/>
      <c r="E264" s="2" t="s">
        <v>909</v>
      </c>
      <c r="F264" s="2">
        <v>0.0</v>
      </c>
      <c r="G264" s="2">
        <v>492.0</v>
      </c>
      <c r="H264" s="3" t="str">
        <f>HYPERLINK("http://www.linkedin.com/pub/lori-pleva/2/688/7B4","http://www.linkedin.com/pub/lori-pleva/2/688/7B4")</f>
        <v>http://www.linkedin.com/pub/lori-pleva/2/688/7B4</v>
      </c>
      <c r="I264" s="2" t="s">
        <v>910</v>
      </c>
      <c r="J264" s="2" t="s">
        <v>273</v>
      </c>
      <c r="K264" s="2" t="s">
        <v>22</v>
      </c>
    </row>
    <row r="265" ht="15.75" customHeight="1">
      <c r="A265" s="2">
        <v>181333.0</v>
      </c>
      <c r="B265" s="2" t="s">
        <v>911</v>
      </c>
      <c r="C265" s="2" t="s">
        <v>912</v>
      </c>
      <c r="D265" s="2" t="s">
        <v>913</v>
      </c>
      <c r="E265" s="2" t="s">
        <v>914</v>
      </c>
      <c r="F265" s="2">
        <v>15.0</v>
      </c>
      <c r="G265" s="2">
        <v>500.0</v>
      </c>
      <c r="H265" s="3" t="str">
        <f>HYPERLINK("http://www.linkedin.com/pub/rusel-demaria/0/141/790","http://www.linkedin.com/pub/rusel-demaria/0/141/790")</f>
        <v>http://www.linkedin.com/pub/rusel-demaria/0/141/790</v>
      </c>
      <c r="I265" s="2" t="s">
        <v>143</v>
      </c>
      <c r="J265" s="2" t="s">
        <v>102</v>
      </c>
      <c r="K265" s="2" t="s">
        <v>22</v>
      </c>
    </row>
    <row r="266" ht="15.75" customHeight="1">
      <c r="A266" s="2">
        <v>181414.0</v>
      </c>
      <c r="B266" s="2" t="s">
        <v>609</v>
      </c>
      <c r="C266" s="2" t="s">
        <v>915</v>
      </c>
      <c r="D266" s="2" t="s">
        <v>916</v>
      </c>
      <c r="E266" s="2" t="s">
        <v>791</v>
      </c>
      <c r="F266" s="2">
        <v>7.0</v>
      </c>
      <c r="G266" s="2">
        <v>500.0</v>
      </c>
      <c r="H266" s="3" t="str">
        <f>HYPERLINK("http://www.linkedin.com/in/ricardoorcero","http://www.linkedin.com/in/ricardoorcero")</f>
        <v>http://www.linkedin.com/in/ricardoorcero</v>
      </c>
      <c r="I266" s="2" t="s">
        <v>77</v>
      </c>
      <c r="J266" s="2" t="s">
        <v>575</v>
      </c>
      <c r="K266" s="2" t="s">
        <v>78</v>
      </c>
    </row>
    <row r="267" ht="15.75" customHeight="1">
      <c r="A267" s="2">
        <v>181574.0</v>
      </c>
      <c r="B267" s="2" t="s">
        <v>917</v>
      </c>
      <c r="C267" s="2" t="s">
        <v>664</v>
      </c>
      <c r="D267" s="2" t="s">
        <v>13</v>
      </c>
      <c r="E267" s="2" t="s">
        <v>403</v>
      </c>
      <c r="F267" s="2">
        <v>30.0</v>
      </c>
      <c r="G267" s="2">
        <v>500.0</v>
      </c>
      <c r="H267" s="3" t="str">
        <f>HYPERLINK("http://www.linkedin.com/pub/dr-cindy-gordon/0/10/464","http://www.linkedin.com/pub/dr-cindy-gordon/0/10/464")</f>
        <v>http://www.linkedin.com/pub/dr-cindy-gordon/0/10/464</v>
      </c>
      <c r="I267" s="2" t="s">
        <v>15</v>
      </c>
      <c r="J267" s="2" t="s">
        <v>44</v>
      </c>
      <c r="K267" s="2" t="s">
        <v>35</v>
      </c>
    </row>
    <row r="268" ht="15.75" customHeight="1">
      <c r="A268" s="2">
        <v>181965.0</v>
      </c>
      <c r="B268" s="2" t="s">
        <v>918</v>
      </c>
      <c r="C268" s="2" t="s">
        <v>919</v>
      </c>
      <c r="D268" s="2" t="s">
        <v>100</v>
      </c>
      <c r="E268" s="2" t="s">
        <v>301</v>
      </c>
      <c r="F268" s="2" t="s">
        <v>13</v>
      </c>
      <c r="G268" s="2">
        <v>252.0</v>
      </c>
      <c r="H268" s="3" t="str">
        <f>HYPERLINK("http://kr.linkedin.com/in/clemensen","http://kr.linkedin.com/in/clemensen")</f>
        <v>http://kr.linkedin.com/in/clemensen</v>
      </c>
      <c r="I268" s="2" t="s">
        <v>115</v>
      </c>
      <c r="J268" s="2" t="s">
        <v>102</v>
      </c>
      <c r="K268" s="2" t="s">
        <v>58</v>
      </c>
    </row>
    <row r="269" ht="15.75" customHeight="1">
      <c r="A269" s="2">
        <v>181983.0</v>
      </c>
      <c r="B269" s="2" t="s">
        <v>920</v>
      </c>
      <c r="C269" s="2" t="s">
        <v>921</v>
      </c>
      <c r="D269" s="2" t="s">
        <v>922</v>
      </c>
      <c r="E269" s="2" t="s">
        <v>64</v>
      </c>
      <c r="F269" s="2">
        <v>25.0</v>
      </c>
      <c r="G269" s="2">
        <v>500.0</v>
      </c>
      <c r="H269" s="3" t="str">
        <f>HYPERLINK("http://fr.linkedin.com/in/fabriceprugnaud","http://fr.linkedin.com/in/fabriceprugnaud")</f>
        <v>http://fr.linkedin.com/in/fabriceprugnaud</v>
      </c>
      <c r="I269" s="2" t="s">
        <v>48</v>
      </c>
      <c r="J269" s="2" t="s">
        <v>65</v>
      </c>
      <c r="K269" s="2" t="s">
        <v>35</v>
      </c>
    </row>
    <row r="270" ht="15.75" customHeight="1">
      <c r="A270" s="2">
        <v>182181.0</v>
      </c>
      <c r="B270" s="2" t="s">
        <v>923</v>
      </c>
      <c r="C270" s="2" t="s">
        <v>924</v>
      </c>
      <c r="D270" s="2" t="s">
        <v>47</v>
      </c>
      <c r="E270" s="2" t="s">
        <v>925</v>
      </c>
      <c r="F270" s="2" t="s">
        <v>13</v>
      </c>
      <c r="G270" s="2">
        <v>500.0</v>
      </c>
      <c r="H270" s="3" t="str">
        <f>HYPERLINK("http://de.linkedin.com/in/tsoppa","http://de.linkedin.com/in/tsoppa")</f>
        <v>http://de.linkedin.com/in/tsoppa</v>
      </c>
      <c r="I270" s="2" t="s">
        <v>15</v>
      </c>
      <c r="J270" s="2" t="s">
        <v>926</v>
      </c>
      <c r="K270" s="2" t="s">
        <v>35</v>
      </c>
    </row>
    <row r="271" ht="15.75" customHeight="1">
      <c r="A271" s="2">
        <v>182238.0</v>
      </c>
      <c r="B271" s="2" t="s">
        <v>647</v>
      </c>
      <c r="C271" s="2" t="s">
        <v>638</v>
      </c>
      <c r="D271" s="2" t="s">
        <v>42</v>
      </c>
      <c r="E271" s="2" t="s">
        <v>927</v>
      </c>
      <c r="F271" s="2">
        <v>3.0</v>
      </c>
      <c r="G271" s="2">
        <v>500.0</v>
      </c>
      <c r="H271" s="3" t="str">
        <f>HYPERLINK("http://br.linkedin.com/pub/claudio-avila/0/623/445","http://br.linkedin.com/pub/claudio-avila/0/623/445")</f>
        <v>http://br.linkedin.com/pub/claudio-avila/0/623/445</v>
      </c>
      <c r="I271" s="2" t="s">
        <v>15</v>
      </c>
      <c r="J271" s="2" t="s">
        <v>34</v>
      </c>
      <c r="K271" s="2" t="s">
        <v>35</v>
      </c>
    </row>
    <row r="272" ht="15.75" customHeight="1">
      <c r="A272" s="2">
        <v>182594.0</v>
      </c>
      <c r="B272" s="2" t="s">
        <v>928</v>
      </c>
      <c r="C272" s="2" t="s">
        <v>929</v>
      </c>
      <c r="D272" s="2" t="s">
        <v>930</v>
      </c>
      <c r="E272" s="2" t="s">
        <v>931</v>
      </c>
      <c r="F272" s="2">
        <v>8.0</v>
      </c>
      <c r="G272" s="2">
        <v>500.0</v>
      </c>
      <c r="H272" s="3" t="str">
        <f>HYPERLINK("http://uk.linkedin.com/in/jensbackes","http://uk.linkedin.com/in/jensbackes")</f>
        <v>http://uk.linkedin.com/in/jensbackes</v>
      </c>
      <c r="I272" s="2" t="s">
        <v>77</v>
      </c>
      <c r="J272" s="2" t="s">
        <v>53</v>
      </c>
      <c r="K272" s="2" t="s">
        <v>97</v>
      </c>
    </row>
    <row r="273" ht="15.75" customHeight="1">
      <c r="A273" s="2">
        <v>182668.0</v>
      </c>
      <c r="B273" s="2" t="s">
        <v>932</v>
      </c>
      <c r="C273" s="2" t="s">
        <v>933</v>
      </c>
      <c r="D273" s="2" t="s">
        <v>13</v>
      </c>
      <c r="E273" s="2" t="s">
        <v>934</v>
      </c>
      <c r="F273" s="2">
        <v>0.0</v>
      </c>
      <c r="G273" s="2">
        <v>500.0</v>
      </c>
      <c r="H273" s="3" t="str">
        <f>HYPERLINK("http://uk.linkedin.com/in/garryveale","http://uk.linkedin.com/in/garryveale")</f>
        <v>http://uk.linkedin.com/in/garryveale</v>
      </c>
      <c r="I273" s="2" t="s">
        <v>15</v>
      </c>
      <c r="J273" s="2" t="s">
        <v>53</v>
      </c>
      <c r="K273" s="2" t="s">
        <v>35</v>
      </c>
    </row>
    <row r="274" ht="15.75" customHeight="1">
      <c r="A274" s="2">
        <v>182867.0</v>
      </c>
      <c r="B274" s="2" t="s">
        <v>625</v>
      </c>
      <c r="C274" s="2" t="s">
        <v>935</v>
      </c>
      <c r="D274" s="2" t="s">
        <v>936</v>
      </c>
      <c r="E274" s="2" t="s">
        <v>136</v>
      </c>
      <c r="F274" s="2">
        <v>13.0</v>
      </c>
      <c r="G274" s="2">
        <v>500.0</v>
      </c>
      <c r="H274" s="3" t="str">
        <f>HYPERLINK("http://www.linkedin.com/pub/tim-belcher/0/3A5/617","http://www.linkedin.com/pub/tim-belcher/0/3A5/617")</f>
        <v>http://www.linkedin.com/pub/tim-belcher/0/3A5/617</v>
      </c>
      <c r="I274" s="2" t="s">
        <v>119</v>
      </c>
      <c r="J274" s="2" t="s">
        <v>102</v>
      </c>
      <c r="K274" s="2" t="s">
        <v>97</v>
      </c>
    </row>
    <row r="275" ht="15.75" customHeight="1">
      <c r="A275" s="2">
        <v>183108.0</v>
      </c>
      <c r="B275" s="2" t="s">
        <v>937</v>
      </c>
      <c r="C275" s="2" t="s">
        <v>938</v>
      </c>
      <c r="D275" s="2" t="s">
        <v>939</v>
      </c>
      <c r="E275" s="2" t="s">
        <v>305</v>
      </c>
      <c r="F275" s="2" t="s">
        <v>13</v>
      </c>
      <c r="G275" s="2">
        <v>500.0</v>
      </c>
      <c r="H275" s="3" t="str">
        <f>HYPERLINK("http://www.linkedin.com/in/daniellekieschnick","http://www.linkedin.com/in/daniellekieschnick")</f>
        <v>http://www.linkedin.com/in/daniellekieschnick</v>
      </c>
      <c r="I275" s="2" t="s">
        <v>48</v>
      </c>
      <c r="J275" s="2" t="s">
        <v>102</v>
      </c>
      <c r="K275" s="2" t="s">
        <v>35</v>
      </c>
    </row>
    <row r="276" ht="15.75" customHeight="1">
      <c r="A276" s="2">
        <v>185254.0</v>
      </c>
      <c r="B276" s="2" t="s">
        <v>940</v>
      </c>
      <c r="C276" s="2" t="s">
        <v>941</v>
      </c>
      <c r="D276" s="2" t="s">
        <v>114</v>
      </c>
      <c r="E276" s="2" t="s">
        <v>301</v>
      </c>
      <c r="F276" s="2">
        <v>6.0</v>
      </c>
      <c r="G276" s="2">
        <v>500.0</v>
      </c>
      <c r="H276" s="3" t="str">
        <f>HYPERLINK("http://www.linkedin.com/pub/bob-levitt/0/255/945","http://www.linkedin.com/pub/bob-levitt/0/255/945")</f>
        <v>http://www.linkedin.com/pub/bob-levitt/0/255/945</v>
      </c>
      <c r="I276" s="2" t="s">
        <v>160</v>
      </c>
      <c r="J276" s="2" t="s">
        <v>102</v>
      </c>
      <c r="K276" s="2" t="s">
        <v>97</v>
      </c>
    </row>
    <row r="277" ht="15.75" customHeight="1">
      <c r="A277" s="2">
        <v>185642.0</v>
      </c>
      <c r="B277" s="2" t="s">
        <v>845</v>
      </c>
      <c r="C277" s="2" t="s">
        <v>942</v>
      </c>
      <c r="D277" s="2" t="s">
        <v>943</v>
      </c>
      <c r="E277" s="2" t="s">
        <v>808</v>
      </c>
      <c r="F277" s="2">
        <v>6.0</v>
      </c>
      <c r="G277" s="2">
        <v>500.0</v>
      </c>
      <c r="H277" s="3" t="str">
        <f>HYPERLINK("http://www.linkedin.com/in/dperry","http://www.linkedin.com/in/dperry")</f>
        <v>http://www.linkedin.com/in/dperry</v>
      </c>
      <c r="I277" s="2" t="s">
        <v>143</v>
      </c>
      <c r="J277" s="2" t="s">
        <v>102</v>
      </c>
      <c r="K277" s="2" t="s">
        <v>35</v>
      </c>
    </row>
    <row r="278" ht="15.75" customHeight="1">
      <c r="A278" s="2">
        <v>185917.0</v>
      </c>
      <c r="B278" s="2" t="s">
        <v>754</v>
      </c>
      <c r="C278" s="2" t="s">
        <v>944</v>
      </c>
      <c r="D278" s="2" t="s">
        <v>945</v>
      </c>
      <c r="E278" s="2" t="s">
        <v>946</v>
      </c>
      <c r="F278" s="2" t="s">
        <v>13</v>
      </c>
      <c r="G278" s="2">
        <v>500.0</v>
      </c>
      <c r="H278" s="3" t="str">
        <f>HYPERLINK("http://www.linkedin.com/pub/greg-lazar/0/8B/289","http://www.linkedin.com/pub/greg-lazar/0/8B/289")</f>
        <v>http://www.linkedin.com/pub/greg-lazar/0/8B/289</v>
      </c>
      <c r="I278" s="2" t="s">
        <v>48</v>
      </c>
      <c r="J278" s="2" t="s">
        <v>102</v>
      </c>
      <c r="K278" s="2" t="s">
        <v>35</v>
      </c>
    </row>
    <row r="279" ht="15.75" customHeight="1">
      <c r="A279" s="2">
        <v>185986.0</v>
      </c>
      <c r="B279" s="2" t="s">
        <v>947</v>
      </c>
      <c r="C279" s="2" t="s">
        <v>948</v>
      </c>
      <c r="D279" s="2" t="s">
        <v>416</v>
      </c>
      <c r="E279" s="2" t="s">
        <v>101</v>
      </c>
      <c r="F279" s="2" t="s">
        <v>13</v>
      </c>
      <c r="G279" s="2">
        <v>500.0</v>
      </c>
      <c r="H279" s="3" t="str">
        <f>HYPERLINK("http://www.linkedin.com/pub/glenn-weinstein/0/A9/460","http://www.linkedin.com/pub/glenn-weinstein/0/A9/460")</f>
        <v>http://www.linkedin.com/pub/glenn-weinstein/0/A9/460</v>
      </c>
      <c r="I279" s="2" t="s">
        <v>48</v>
      </c>
      <c r="J279" s="2" t="s">
        <v>102</v>
      </c>
      <c r="K279" s="2" t="s">
        <v>35</v>
      </c>
    </row>
    <row r="280" ht="15.75" customHeight="1">
      <c r="A280" s="2">
        <v>186915.0</v>
      </c>
      <c r="B280" s="2" t="s">
        <v>879</v>
      </c>
      <c r="C280" s="2" t="s">
        <v>949</v>
      </c>
      <c r="D280" s="2" t="s">
        <v>950</v>
      </c>
      <c r="E280" s="2" t="s">
        <v>951</v>
      </c>
      <c r="F280" s="2">
        <v>1.0</v>
      </c>
      <c r="G280" s="2">
        <v>117.0</v>
      </c>
      <c r="H280" s="3" t="str">
        <f>HYPERLINK("http://www.linkedin.com/in/richardriva","http://www.linkedin.com/in/richardriva")</f>
        <v>http://www.linkedin.com/in/richardriva</v>
      </c>
      <c r="I280" s="2" t="s">
        <v>279</v>
      </c>
      <c r="J280" s="2" t="s">
        <v>952</v>
      </c>
      <c r="K280" s="2" t="s">
        <v>97</v>
      </c>
    </row>
    <row r="281" ht="15.75" customHeight="1">
      <c r="A281" s="2">
        <v>187770.0</v>
      </c>
      <c r="B281" s="2" t="s">
        <v>953</v>
      </c>
      <c r="C281" s="2" t="s">
        <v>954</v>
      </c>
      <c r="D281" s="2" t="s">
        <v>955</v>
      </c>
      <c r="E281" s="2" t="s">
        <v>403</v>
      </c>
      <c r="F281" s="2">
        <v>8.0</v>
      </c>
      <c r="G281" s="2">
        <v>174.0</v>
      </c>
      <c r="H281" s="3" t="str">
        <f>HYPERLINK("http://ca.linkedin.com/pub/heidi-popov/23/150/499","http://ca.linkedin.com/pub/heidi-popov/23/150/499")</f>
        <v>http://ca.linkedin.com/pub/heidi-popov/23/150/499</v>
      </c>
      <c r="I281" s="2" t="s">
        <v>27</v>
      </c>
      <c r="J281" s="2" t="s">
        <v>44</v>
      </c>
      <c r="K281" s="2" t="s">
        <v>58</v>
      </c>
    </row>
    <row r="282" ht="15.75" customHeight="1">
      <c r="A282" s="2">
        <v>188050.0</v>
      </c>
      <c r="B282" s="2" t="s">
        <v>302</v>
      </c>
      <c r="C282" s="2" t="s">
        <v>956</v>
      </c>
      <c r="D282" s="2" t="s">
        <v>304</v>
      </c>
      <c r="E282" s="2" t="s">
        <v>136</v>
      </c>
      <c r="F282" s="2">
        <v>7.0</v>
      </c>
      <c r="G282" s="2">
        <v>500.0</v>
      </c>
      <c r="H282" s="3" t="str">
        <f>HYPERLINK("http://www.linkedin.com/in/billreichert","http://www.linkedin.com/in/billreichert")</f>
        <v>http://www.linkedin.com/in/billreichert</v>
      </c>
      <c r="I282" s="2" t="s">
        <v>709</v>
      </c>
      <c r="J282" s="2" t="s">
        <v>102</v>
      </c>
      <c r="K282" s="2" t="s">
        <v>58</v>
      </c>
    </row>
    <row r="283" ht="15.75" customHeight="1">
      <c r="A283" s="2">
        <v>188165.0</v>
      </c>
      <c r="B283" s="2" t="s">
        <v>957</v>
      </c>
      <c r="C283" s="2" t="s">
        <v>958</v>
      </c>
      <c r="D283" s="2" t="s">
        <v>959</v>
      </c>
      <c r="E283" s="2" t="s">
        <v>301</v>
      </c>
      <c r="F283" s="2">
        <v>13.0</v>
      </c>
      <c r="G283" s="2">
        <v>500.0</v>
      </c>
      <c r="H283" s="3" t="str">
        <f>HYPERLINK("http://www.linkedin.com/in/mtrachtenberg","http://www.linkedin.com/in/mtrachtenberg")</f>
        <v>http://www.linkedin.com/in/mtrachtenberg</v>
      </c>
      <c r="I283" s="2" t="s">
        <v>15</v>
      </c>
      <c r="J283" s="2" t="s">
        <v>102</v>
      </c>
      <c r="K283" s="2" t="s">
        <v>58</v>
      </c>
    </row>
    <row r="284" ht="15.75" customHeight="1">
      <c r="A284" s="2">
        <v>188267.0</v>
      </c>
      <c r="B284" s="2" t="s">
        <v>960</v>
      </c>
      <c r="C284" s="2" t="s">
        <v>961</v>
      </c>
      <c r="D284" s="2" t="s">
        <v>962</v>
      </c>
      <c r="E284" s="2" t="s">
        <v>122</v>
      </c>
      <c r="F284" s="2" t="s">
        <v>13</v>
      </c>
      <c r="G284" s="2">
        <v>500.0</v>
      </c>
      <c r="H284" s="3" t="str">
        <f>HYPERLINK("http://uk.linkedin.com/in/petergolder","http://uk.linkedin.com/in/petergolder")</f>
        <v>http://uk.linkedin.com/in/petergolder</v>
      </c>
      <c r="I284" s="2" t="s">
        <v>279</v>
      </c>
      <c r="J284" s="2" t="s">
        <v>53</v>
      </c>
      <c r="K284" s="2" t="s">
        <v>58</v>
      </c>
    </row>
    <row r="285" ht="15.75" customHeight="1">
      <c r="A285" s="2">
        <v>188364.0</v>
      </c>
      <c r="B285" s="2" t="s">
        <v>752</v>
      </c>
      <c r="C285" s="2" t="s">
        <v>292</v>
      </c>
      <c r="D285" s="2" t="s">
        <v>963</v>
      </c>
      <c r="E285" s="2" t="s">
        <v>964</v>
      </c>
      <c r="F285" s="2">
        <v>5.0</v>
      </c>
      <c r="G285" s="2">
        <v>500.0</v>
      </c>
      <c r="H285" s="3" t="str">
        <f>HYPERLINK("http://www.linkedin.com/in/smithj","http://www.linkedin.com/in/smithj")</f>
        <v>http://www.linkedin.com/in/smithj</v>
      </c>
      <c r="I285" s="2" t="s">
        <v>15</v>
      </c>
      <c r="J285" s="2" t="s">
        <v>102</v>
      </c>
      <c r="K285" s="2" t="s">
        <v>35</v>
      </c>
    </row>
    <row r="286" ht="15.75" customHeight="1">
      <c r="A286" s="2">
        <v>188541.0</v>
      </c>
      <c r="B286" s="2" t="s">
        <v>275</v>
      </c>
      <c r="C286" s="2" t="s">
        <v>965</v>
      </c>
      <c r="D286" s="2" t="s">
        <v>835</v>
      </c>
      <c r="E286" s="2" t="s">
        <v>966</v>
      </c>
      <c r="F286" s="2">
        <v>8.0</v>
      </c>
      <c r="G286" s="2">
        <v>500.0</v>
      </c>
      <c r="H286" s="3" t="str">
        <f>HYPERLINK("http://www.linkedin.com/in/markjordan","http://www.linkedin.com/in/markjordan")</f>
        <v>http://www.linkedin.com/in/markjordan</v>
      </c>
      <c r="I286" s="2" t="s">
        <v>15</v>
      </c>
      <c r="J286" s="2" t="s">
        <v>53</v>
      </c>
      <c r="K286" s="2" t="s">
        <v>35</v>
      </c>
    </row>
    <row r="287" ht="15.75" customHeight="1">
      <c r="A287" s="2">
        <v>188663.0</v>
      </c>
      <c r="B287" s="2" t="s">
        <v>275</v>
      </c>
      <c r="C287" s="2" t="s">
        <v>967</v>
      </c>
      <c r="D287" s="2" t="s">
        <v>13</v>
      </c>
      <c r="E287" s="2" t="s">
        <v>136</v>
      </c>
      <c r="F287" s="2">
        <v>0.0</v>
      </c>
      <c r="G287" s="2">
        <v>500.0</v>
      </c>
      <c r="H287" s="3" t="str">
        <f>HYPERLINK("https://www.linkedin.com/in/drmarkbregman","https://www.linkedin.com/in/drmarkbregman")</f>
        <v>https://www.linkedin.com/in/drmarkbregman</v>
      </c>
      <c r="I287" s="2" t="s">
        <v>48</v>
      </c>
      <c r="J287" s="2" t="s">
        <v>102</v>
      </c>
      <c r="K287" s="2" t="s">
        <v>35</v>
      </c>
    </row>
    <row r="288" ht="15.75" customHeight="1">
      <c r="A288" s="2">
        <v>188842.0</v>
      </c>
      <c r="B288" s="2" t="s">
        <v>968</v>
      </c>
      <c r="C288" s="2" t="s">
        <v>969</v>
      </c>
      <c r="D288" s="2" t="s">
        <v>970</v>
      </c>
      <c r="E288" s="2" t="s">
        <v>971</v>
      </c>
      <c r="F288" s="2">
        <v>28.0</v>
      </c>
      <c r="G288" s="2">
        <v>500.0</v>
      </c>
      <c r="H288" s="3" t="str">
        <f>HYPERLINK("http://www.linkedin.com/in/anowar","http://www.linkedin.com/in/anowar")</f>
        <v>http://www.linkedin.com/in/anowar</v>
      </c>
      <c r="I288" s="2" t="s">
        <v>105</v>
      </c>
      <c r="J288" s="2" t="s">
        <v>102</v>
      </c>
      <c r="K288" s="2" t="s">
        <v>58</v>
      </c>
    </row>
    <row r="289" ht="15.75" customHeight="1">
      <c r="A289" s="2">
        <v>189077.0</v>
      </c>
      <c r="B289" s="2" t="s">
        <v>287</v>
      </c>
      <c r="C289" s="2" t="s">
        <v>972</v>
      </c>
      <c r="D289" s="2" t="s">
        <v>973</v>
      </c>
      <c r="E289" s="2" t="s">
        <v>301</v>
      </c>
      <c r="F289" s="2">
        <v>2.0</v>
      </c>
      <c r="G289" s="2">
        <v>500.0</v>
      </c>
      <c r="H289" s="3" t="str">
        <f>HYPERLINK("http://www.linkedin.com/pub/paul-thurman/0/33/804","http://www.linkedin.com/pub/paul-thurman/0/33/804")</f>
        <v>http://www.linkedin.com/pub/paul-thurman/0/33/804</v>
      </c>
      <c r="I289" s="2" t="s">
        <v>57</v>
      </c>
      <c r="J289" s="2" t="s">
        <v>102</v>
      </c>
      <c r="K289" s="2" t="s">
        <v>974</v>
      </c>
    </row>
    <row r="290" ht="15.75" customHeight="1">
      <c r="A290" s="2">
        <v>189421.0</v>
      </c>
      <c r="B290" s="2" t="s">
        <v>975</v>
      </c>
      <c r="C290" s="2" t="s">
        <v>976</v>
      </c>
      <c r="D290" s="2" t="s">
        <v>410</v>
      </c>
      <c r="E290" s="2" t="s">
        <v>136</v>
      </c>
      <c r="F290" s="2">
        <v>17.0</v>
      </c>
      <c r="G290" s="2">
        <v>500.0</v>
      </c>
      <c r="H290" s="3" t="str">
        <f>HYPERLINK("http://www.linkedin.com/in/melaniesquandt","http://www.linkedin.com/in/melaniesquandt")</f>
        <v>http://www.linkedin.com/in/melaniesquandt</v>
      </c>
      <c r="I290" s="2" t="s">
        <v>248</v>
      </c>
      <c r="J290" s="2" t="s">
        <v>102</v>
      </c>
      <c r="K290" s="2" t="s">
        <v>196</v>
      </c>
    </row>
    <row r="291" ht="15.75" customHeight="1">
      <c r="A291" s="2">
        <v>189432.0</v>
      </c>
      <c r="B291" s="2" t="s">
        <v>754</v>
      </c>
      <c r="C291" s="2" t="s">
        <v>977</v>
      </c>
      <c r="D291" s="2" t="s">
        <v>978</v>
      </c>
      <c r="E291" s="2" t="s">
        <v>979</v>
      </c>
      <c r="F291" s="2">
        <v>6.0</v>
      </c>
      <c r="G291" s="2">
        <v>500.0</v>
      </c>
      <c r="H291" s="3" t="str">
        <f>HYPERLINK("http://www.linkedin.com/pub/greg-hopton/2/BA5/AA0","http://www.linkedin.com/pub/greg-hopton/2/BA5/AA0")</f>
        <v>http://www.linkedin.com/pub/greg-hopton/2/BA5/AA0</v>
      </c>
      <c r="I291" s="2" t="s">
        <v>48</v>
      </c>
      <c r="J291" s="2" t="s">
        <v>980</v>
      </c>
      <c r="K291" s="2" t="s">
        <v>981</v>
      </c>
    </row>
    <row r="292" ht="15.75" customHeight="1">
      <c r="A292" s="2">
        <v>189562.0</v>
      </c>
      <c r="B292" s="2" t="s">
        <v>982</v>
      </c>
      <c r="C292" s="2" t="s">
        <v>983</v>
      </c>
      <c r="D292" s="2" t="s">
        <v>984</v>
      </c>
      <c r="E292" s="2" t="s">
        <v>122</v>
      </c>
      <c r="F292" s="2" t="s">
        <v>13</v>
      </c>
      <c r="G292" s="2">
        <v>500.0</v>
      </c>
      <c r="H292" s="3" t="str">
        <f>HYPERLINK("http://uk.linkedin.com/in/terrycave","http://uk.linkedin.com/in/terrycave")</f>
        <v>http://uk.linkedin.com/in/terrycave</v>
      </c>
      <c r="I292" s="2" t="s">
        <v>15</v>
      </c>
      <c r="J292" s="2" t="s">
        <v>53</v>
      </c>
      <c r="K292" s="2" t="s">
        <v>35</v>
      </c>
    </row>
    <row r="293" ht="15.75" customHeight="1">
      <c r="A293" s="2">
        <v>189794.0</v>
      </c>
      <c r="B293" s="2" t="s">
        <v>287</v>
      </c>
      <c r="C293" s="2" t="s">
        <v>985</v>
      </c>
      <c r="D293" s="2" t="s">
        <v>986</v>
      </c>
      <c r="E293" s="2" t="s">
        <v>136</v>
      </c>
      <c r="F293" s="2">
        <v>2.0</v>
      </c>
      <c r="G293" s="2">
        <v>500.0</v>
      </c>
      <c r="H293" s="3" t="str">
        <f>HYPERLINK("http://www.linkedin.com/pub/paul-pluschkell/0/287/153","http://www.linkedin.com/pub/paul-pluschkell/0/287/153")</f>
        <v>http://www.linkedin.com/pub/paul-pluschkell/0/287/153</v>
      </c>
      <c r="I293" s="2" t="s">
        <v>48</v>
      </c>
      <c r="J293" s="2" t="s">
        <v>102</v>
      </c>
      <c r="K293" s="2" t="s">
        <v>35</v>
      </c>
    </row>
    <row r="294" ht="15.75" customHeight="1">
      <c r="A294" s="2">
        <v>190292.0</v>
      </c>
      <c r="B294" s="2" t="s">
        <v>987</v>
      </c>
      <c r="C294" s="2" t="s">
        <v>988</v>
      </c>
      <c r="D294" s="2" t="s">
        <v>47</v>
      </c>
      <c r="E294" s="2" t="s">
        <v>989</v>
      </c>
      <c r="F294" s="2">
        <v>1.0</v>
      </c>
      <c r="G294" s="2">
        <v>500.0</v>
      </c>
      <c r="H294" s="3" t="str">
        <f>HYPERLINK("http://www.linkedin.com/pub/kevin-c-cummins/0/2A4/4BA","http://www.linkedin.com/pub/kevin-c-cummins/0/2A4/4BA")</f>
        <v>http://www.linkedin.com/pub/kevin-c-cummins/0/2A4/4BA</v>
      </c>
      <c r="I294" s="2" t="s">
        <v>48</v>
      </c>
      <c r="J294" s="2" t="s">
        <v>102</v>
      </c>
      <c r="K294" s="2" t="s">
        <v>35</v>
      </c>
    </row>
    <row r="295" ht="15.75" customHeight="1">
      <c r="A295" s="2">
        <v>190532.0</v>
      </c>
      <c r="B295" s="2" t="s">
        <v>990</v>
      </c>
      <c r="C295" s="2" t="s">
        <v>991</v>
      </c>
      <c r="D295" s="2" t="s">
        <v>13</v>
      </c>
      <c r="E295" s="2" t="s">
        <v>992</v>
      </c>
      <c r="F295" s="2">
        <v>0.0</v>
      </c>
      <c r="G295" s="2">
        <v>500.0</v>
      </c>
      <c r="H295" s="3" t="str">
        <f>HYPERLINK("http://www.linkedin.com/pub/gig-graham/0/70/7","http://www.linkedin.com/pub/gig-graham/0/70/7")</f>
        <v>http://www.linkedin.com/pub/gig-graham/0/70/7</v>
      </c>
      <c r="I295" s="2" t="s">
        <v>608</v>
      </c>
      <c r="J295" s="2" t="s">
        <v>102</v>
      </c>
      <c r="K295" s="2" t="s">
        <v>97</v>
      </c>
    </row>
    <row r="296" ht="15.75" customHeight="1">
      <c r="A296" s="2">
        <v>190727.0</v>
      </c>
      <c r="B296" s="2" t="s">
        <v>993</v>
      </c>
      <c r="C296" s="2" t="s">
        <v>994</v>
      </c>
      <c r="D296" s="2" t="s">
        <v>995</v>
      </c>
      <c r="E296" s="2" t="s">
        <v>142</v>
      </c>
      <c r="F296" s="2">
        <v>31.0</v>
      </c>
      <c r="G296" s="2">
        <v>500.0</v>
      </c>
      <c r="H296" s="3" t="str">
        <f>HYPERLINK("http://www.linkedin.com/in/jonlloyd","http://www.linkedin.com/in/jonlloyd")</f>
        <v>http://www.linkedin.com/in/jonlloyd</v>
      </c>
      <c r="I296" s="2" t="s">
        <v>48</v>
      </c>
      <c r="J296" s="2" t="s">
        <v>144</v>
      </c>
      <c r="K296" s="2" t="s">
        <v>145</v>
      </c>
    </row>
    <row r="297" ht="15.75" customHeight="1">
      <c r="A297" s="2">
        <v>190917.0</v>
      </c>
      <c r="B297" s="2" t="s">
        <v>996</v>
      </c>
      <c r="C297" s="2" t="s">
        <v>13</v>
      </c>
      <c r="D297" s="2" t="s">
        <v>13</v>
      </c>
      <c r="E297" s="2" t="s">
        <v>997</v>
      </c>
      <c r="F297" s="2">
        <v>0.0</v>
      </c>
      <c r="G297" s="2">
        <v>500.0</v>
      </c>
      <c r="H297" s="3" t="str">
        <f>HYPERLINK("https://www.linkedin.com/in/patrickgmurray","https://www.linkedin.com/in/patrickgmurray")</f>
        <v>https://www.linkedin.com/in/patrickgmurray</v>
      </c>
      <c r="I297" s="2" t="s">
        <v>160</v>
      </c>
      <c r="J297" s="2" t="s">
        <v>102</v>
      </c>
      <c r="K297" s="2" t="s">
        <v>97</v>
      </c>
    </row>
    <row r="298" ht="15.75" customHeight="1">
      <c r="A298" s="2">
        <v>190986.0</v>
      </c>
      <c r="B298" s="2" t="s">
        <v>998</v>
      </c>
      <c r="C298" s="2" t="s">
        <v>999</v>
      </c>
      <c r="D298" s="2" t="s">
        <v>154</v>
      </c>
      <c r="E298" s="2" t="s">
        <v>136</v>
      </c>
      <c r="F298" s="2">
        <v>11.0</v>
      </c>
      <c r="G298" s="2">
        <v>407.0</v>
      </c>
      <c r="H298" s="3" t="str">
        <f>HYPERLINK("http://www.linkedin.com/in/samirmajumdar","http://www.linkedin.com/in/samirmajumdar")</f>
        <v>http://www.linkedin.com/in/samirmajumdar</v>
      </c>
      <c r="I298" s="2" t="s">
        <v>48</v>
      </c>
      <c r="J298" s="2" t="s">
        <v>102</v>
      </c>
      <c r="K298" s="2" t="s">
        <v>35</v>
      </c>
    </row>
    <row r="299" ht="15.75" customHeight="1">
      <c r="A299" s="2">
        <v>191255.0</v>
      </c>
      <c r="B299" s="2" t="s">
        <v>1000</v>
      </c>
      <c r="C299" s="2" t="s">
        <v>1001</v>
      </c>
      <c r="D299" s="2" t="s">
        <v>47</v>
      </c>
      <c r="E299" s="2" t="s">
        <v>136</v>
      </c>
      <c r="F299" s="2" t="s">
        <v>13</v>
      </c>
      <c r="G299" s="2">
        <v>500.0</v>
      </c>
      <c r="H299" s="3" t="str">
        <f>HYPERLINK("http://www.linkedin.com/in/shelisrael","http://www.linkedin.com/in/shelisrael")</f>
        <v>http://www.linkedin.com/in/shelisrael</v>
      </c>
      <c r="I299" s="2" t="s">
        <v>15</v>
      </c>
      <c r="J299" s="2" t="s">
        <v>102</v>
      </c>
      <c r="K299" s="2" t="s">
        <v>35</v>
      </c>
    </row>
    <row r="300" ht="15.75" customHeight="1">
      <c r="A300" s="2">
        <v>191640.0</v>
      </c>
      <c r="B300" s="2" t="s">
        <v>178</v>
      </c>
      <c r="C300" s="2" t="s">
        <v>1002</v>
      </c>
      <c r="D300" s="2" t="s">
        <v>1003</v>
      </c>
      <c r="E300" s="2" t="s">
        <v>122</v>
      </c>
      <c r="F300" s="2" t="s">
        <v>13</v>
      </c>
      <c r="G300" s="2">
        <v>500.0</v>
      </c>
      <c r="H300" s="3" t="str">
        <f>HYPERLINK("http://uk.linkedin.com/in/josephboardman","http://uk.linkedin.com/in/josephboardman")</f>
        <v>http://uk.linkedin.com/in/josephboardman</v>
      </c>
      <c r="I300" s="2" t="s">
        <v>15</v>
      </c>
      <c r="J300" s="2" t="s">
        <v>53</v>
      </c>
      <c r="K300" s="2" t="s">
        <v>35</v>
      </c>
    </row>
    <row r="301" ht="15.75" customHeight="1">
      <c r="A301" s="2">
        <v>192017.0</v>
      </c>
      <c r="B301" s="2" t="s">
        <v>1004</v>
      </c>
      <c r="C301" s="2" t="s">
        <v>1005</v>
      </c>
      <c r="D301" s="2" t="s">
        <v>114</v>
      </c>
      <c r="E301" s="2" t="s">
        <v>1006</v>
      </c>
      <c r="F301" s="2">
        <v>10.0</v>
      </c>
      <c r="G301" s="2">
        <v>500.0</v>
      </c>
      <c r="H301" s="3" t="str">
        <f>HYPERLINK("http://www.linkedin.com/in/scottconnell","http://www.linkedin.com/in/scottconnell")</f>
        <v>http://www.linkedin.com/in/scottconnell</v>
      </c>
      <c r="I301" s="2" t="s">
        <v>248</v>
      </c>
      <c r="J301" s="2" t="s">
        <v>102</v>
      </c>
      <c r="K301" s="2" t="s">
        <v>196</v>
      </c>
    </row>
    <row r="302" ht="15.75" customHeight="1">
      <c r="A302" s="2">
        <v>192285.0</v>
      </c>
      <c r="B302" s="2" t="s">
        <v>1007</v>
      </c>
      <c r="C302" s="2" t="s">
        <v>1008</v>
      </c>
      <c r="D302" s="2" t="s">
        <v>400</v>
      </c>
      <c r="E302" s="2" t="s">
        <v>1009</v>
      </c>
      <c r="F302" s="2">
        <v>14.0</v>
      </c>
      <c r="G302" s="2">
        <v>500.0</v>
      </c>
      <c r="H302" s="3" t="str">
        <f>HYPERLINK("http://www.linkedin.com/pub/karin-gorman/0/834/3B1","http://www.linkedin.com/pub/karin-gorman/0/834/3B1")</f>
        <v>http://www.linkedin.com/pub/karin-gorman/0/834/3B1</v>
      </c>
      <c r="I302" s="2" t="s">
        <v>248</v>
      </c>
      <c r="J302" s="2" t="s">
        <v>87</v>
      </c>
      <c r="K302" s="2" t="s">
        <v>58</v>
      </c>
    </row>
    <row r="303" ht="15.75" customHeight="1">
      <c r="A303" s="2">
        <v>192853.0</v>
      </c>
      <c r="B303" s="2" t="s">
        <v>1010</v>
      </c>
      <c r="C303" s="2" t="s">
        <v>1011</v>
      </c>
      <c r="D303" s="2" t="s">
        <v>410</v>
      </c>
      <c r="E303" s="2" t="s">
        <v>505</v>
      </c>
      <c r="F303" s="2">
        <v>2.0</v>
      </c>
      <c r="G303" s="2">
        <v>500.0</v>
      </c>
      <c r="H303" s="3" t="str">
        <f>HYPERLINK("http://www.linkedin.com/pub/raymond-kudukis/5/A73/A9A","http://www.linkedin.com/pub/raymond-kudukis/5/A73/A9A")</f>
        <v>http://www.linkedin.com/pub/raymond-kudukis/5/A73/A9A</v>
      </c>
      <c r="I303" s="2" t="s">
        <v>1012</v>
      </c>
      <c r="J303" s="2" t="s">
        <v>102</v>
      </c>
      <c r="K303" s="2" t="s">
        <v>58</v>
      </c>
    </row>
    <row r="304" ht="15.75" customHeight="1">
      <c r="A304" s="2">
        <v>193495.0</v>
      </c>
      <c r="B304" s="2" t="s">
        <v>677</v>
      </c>
      <c r="C304" s="2" t="s">
        <v>1013</v>
      </c>
      <c r="D304" s="2" t="s">
        <v>1014</v>
      </c>
      <c r="E304" s="2" t="s">
        <v>713</v>
      </c>
      <c r="F304" s="2">
        <v>25.0</v>
      </c>
      <c r="G304" s="2">
        <v>500.0</v>
      </c>
      <c r="H304" s="3" t="str">
        <f>HYPERLINK("http://www.linkedin.com/in/billings","http://www.linkedin.com/in/billings")</f>
        <v>http://www.linkedin.com/in/billings</v>
      </c>
      <c r="I304" s="2" t="s">
        <v>240</v>
      </c>
      <c r="J304" s="2" t="s">
        <v>102</v>
      </c>
      <c r="K304" s="2" t="s">
        <v>183</v>
      </c>
    </row>
    <row r="305" ht="15.75" customHeight="1">
      <c r="A305" s="2">
        <v>194656.0</v>
      </c>
      <c r="B305" s="2" t="s">
        <v>1015</v>
      </c>
      <c r="C305" s="2" t="s">
        <v>1016</v>
      </c>
      <c r="D305" s="2" t="s">
        <v>1017</v>
      </c>
      <c r="E305" s="2" t="s">
        <v>1018</v>
      </c>
      <c r="F305" s="2">
        <v>14.0</v>
      </c>
      <c r="G305" s="2">
        <v>500.0</v>
      </c>
      <c r="H305" s="3" t="str">
        <f>HYPERLINK("http://www.linkedin.com/in/brianekidder","http://www.linkedin.com/in/brianekidder")</f>
        <v>http://www.linkedin.com/in/brianekidder</v>
      </c>
      <c r="I305" s="2" t="s">
        <v>15</v>
      </c>
      <c r="J305" s="2" t="s">
        <v>102</v>
      </c>
      <c r="K305" s="2" t="s">
        <v>35</v>
      </c>
    </row>
    <row r="306" ht="15.75" customHeight="1">
      <c r="A306" s="2">
        <v>194940.0</v>
      </c>
      <c r="B306" s="2" t="s">
        <v>1019</v>
      </c>
      <c r="C306" s="2" t="s">
        <v>1020</v>
      </c>
      <c r="D306" s="2" t="s">
        <v>1021</v>
      </c>
      <c r="E306" s="2" t="s">
        <v>1022</v>
      </c>
      <c r="F306" s="2">
        <v>43.0</v>
      </c>
      <c r="G306" s="2">
        <v>500.0</v>
      </c>
      <c r="H306" s="3" t="str">
        <f>HYPERLINK("http://ca.linkedin.com/in/mattmackenzie","http://ca.linkedin.com/in/mattmackenzie")</f>
        <v>http://ca.linkedin.com/in/mattmackenzie</v>
      </c>
      <c r="I306" s="2" t="s">
        <v>48</v>
      </c>
      <c r="J306" s="2" t="s">
        <v>44</v>
      </c>
      <c r="K306" s="2" t="s">
        <v>35</v>
      </c>
    </row>
    <row r="307" ht="15.75" customHeight="1">
      <c r="A307" s="2">
        <v>195486.0</v>
      </c>
      <c r="B307" s="2" t="s">
        <v>1023</v>
      </c>
      <c r="C307" s="2" t="s">
        <v>1024</v>
      </c>
      <c r="D307" s="2" t="s">
        <v>1025</v>
      </c>
      <c r="E307" s="2" t="s">
        <v>1026</v>
      </c>
      <c r="F307" s="2">
        <v>7.0</v>
      </c>
      <c r="G307" s="2">
        <v>500.0</v>
      </c>
      <c r="H307" s="3" t="str">
        <f>HYPERLINK("http://www.linkedin.com/in/camwolff","http://www.linkedin.com/in/camwolff")</f>
        <v>http://www.linkedin.com/in/camwolff</v>
      </c>
      <c r="I307" s="2" t="s">
        <v>15</v>
      </c>
      <c r="J307" s="2" t="s">
        <v>102</v>
      </c>
      <c r="K307" s="2" t="s">
        <v>35</v>
      </c>
    </row>
    <row r="308" ht="15.75" customHeight="1">
      <c r="A308" s="2">
        <v>195667.0</v>
      </c>
      <c r="B308" s="2" t="s">
        <v>1027</v>
      </c>
      <c r="C308" s="2" t="s">
        <v>1028</v>
      </c>
      <c r="D308" s="2" t="s">
        <v>42</v>
      </c>
      <c r="E308" s="2" t="s">
        <v>301</v>
      </c>
      <c r="F308" s="2">
        <v>14.0</v>
      </c>
      <c r="G308" s="2">
        <v>500.0</v>
      </c>
      <c r="H308" s="3" t="str">
        <f>HYPERLINK("http://www.linkedin.com/in/georgeatlas","http://www.linkedin.com/in/georgeatlas")</f>
        <v>http://www.linkedin.com/in/georgeatlas</v>
      </c>
      <c r="I308" s="2" t="s">
        <v>248</v>
      </c>
      <c r="J308" s="2" t="s">
        <v>102</v>
      </c>
      <c r="K308" s="2" t="s">
        <v>196</v>
      </c>
    </row>
    <row r="309" ht="15.75" customHeight="1">
      <c r="A309" s="2">
        <v>195861.0</v>
      </c>
      <c r="B309" s="2" t="s">
        <v>1029</v>
      </c>
      <c r="C309" s="2" t="s">
        <v>1030</v>
      </c>
      <c r="D309" s="2" t="s">
        <v>1031</v>
      </c>
      <c r="E309" s="2" t="s">
        <v>136</v>
      </c>
      <c r="F309" s="2">
        <v>8.0</v>
      </c>
      <c r="G309" s="2">
        <v>500.0</v>
      </c>
      <c r="H309" s="3" t="str">
        <f>HYPERLINK("http://www.linkedin.com/pub/logan-coker/0/18A/B75","http://www.linkedin.com/pub/logan-coker/0/18A/B75")</f>
        <v>http://www.linkedin.com/pub/logan-coker/0/18A/B75</v>
      </c>
      <c r="I309" s="2" t="s">
        <v>69</v>
      </c>
      <c r="J309" s="2" t="s">
        <v>102</v>
      </c>
      <c r="K309" s="2" t="s">
        <v>35</v>
      </c>
    </row>
    <row r="310" ht="15.75" customHeight="1">
      <c r="A310" s="2">
        <v>195965.0</v>
      </c>
      <c r="B310" s="2" t="s">
        <v>1032</v>
      </c>
      <c r="C310" s="2" t="s">
        <v>1033</v>
      </c>
      <c r="D310" s="2" t="s">
        <v>1034</v>
      </c>
      <c r="E310" s="2" t="s">
        <v>136</v>
      </c>
      <c r="F310" s="2" t="s">
        <v>13</v>
      </c>
      <c r="G310" s="2">
        <v>500.0</v>
      </c>
      <c r="H310" s="3" t="str">
        <f>HYPERLINK("http://www.linkedin.com/in/ravivenkatasubbaiah","http://www.linkedin.com/in/ravivenkatasubbaiah")</f>
        <v>http://www.linkedin.com/in/ravivenkatasubbaiah</v>
      </c>
      <c r="I310" s="2" t="s">
        <v>15</v>
      </c>
      <c r="J310" s="2" t="s">
        <v>102</v>
      </c>
      <c r="K310" s="2" t="s">
        <v>35</v>
      </c>
    </row>
    <row r="311" ht="15.75" customHeight="1">
      <c r="A311" s="2">
        <v>196470.0</v>
      </c>
      <c r="B311" s="2" t="s">
        <v>1035</v>
      </c>
      <c r="C311" s="2" t="s">
        <v>1036</v>
      </c>
      <c r="D311" s="2" t="s">
        <v>400</v>
      </c>
      <c r="E311" s="2" t="s">
        <v>1037</v>
      </c>
      <c r="F311" s="2">
        <v>10.0</v>
      </c>
      <c r="G311" s="2">
        <v>500.0</v>
      </c>
      <c r="H311" s="3" t="str">
        <f>HYPERLINK("http://www.linkedin.com/pub/randal-bouverat/0/355/816","http://www.linkedin.com/pub/randal-bouverat/0/355/816")</f>
        <v>http://www.linkedin.com/pub/randal-bouverat/0/355/816</v>
      </c>
      <c r="I311" s="2" t="s">
        <v>69</v>
      </c>
      <c r="J311" s="2" t="s">
        <v>144</v>
      </c>
      <c r="K311" s="2" t="s">
        <v>78</v>
      </c>
    </row>
    <row r="312" ht="15.75" customHeight="1">
      <c r="A312" s="2">
        <v>196689.0</v>
      </c>
      <c r="B312" s="2" t="s">
        <v>721</v>
      </c>
      <c r="C312" s="2" t="s">
        <v>1038</v>
      </c>
      <c r="D312" s="2" t="s">
        <v>517</v>
      </c>
      <c r="E312" s="2" t="s">
        <v>136</v>
      </c>
      <c r="F312" s="2" t="s">
        <v>13</v>
      </c>
      <c r="G312" s="2">
        <v>310.0</v>
      </c>
      <c r="H312" s="3" t="str">
        <f>HYPERLINK("http://www.linkedin.com/in/andrewdchen","http://www.linkedin.com/in/andrewdchen")</f>
        <v>http://www.linkedin.com/in/andrewdchen</v>
      </c>
      <c r="I312" s="2" t="s">
        <v>69</v>
      </c>
      <c r="J312" s="2" t="s">
        <v>102</v>
      </c>
      <c r="K312" s="2" t="s">
        <v>35</v>
      </c>
    </row>
    <row r="313" ht="15.75" customHeight="1">
      <c r="A313" s="2">
        <v>196980.0</v>
      </c>
      <c r="B313" s="2" t="s">
        <v>866</v>
      </c>
      <c r="C313" s="2" t="s">
        <v>1039</v>
      </c>
      <c r="D313" s="2" t="s">
        <v>1040</v>
      </c>
      <c r="E313" s="2" t="s">
        <v>1041</v>
      </c>
      <c r="F313" s="2">
        <v>33.0</v>
      </c>
      <c r="G313" s="2">
        <v>500.0</v>
      </c>
      <c r="H313" s="3" t="str">
        <f>HYPERLINK("http://www.linkedin.com/in/nicolesloanfaby","http://www.linkedin.com/in/nicolesloanfaby")</f>
        <v>http://www.linkedin.com/in/nicolesloanfaby</v>
      </c>
      <c r="I313" s="2" t="s">
        <v>15</v>
      </c>
      <c r="J313" s="2" t="s">
        <v>102</v>
      </c>
      <c r="K313" s="2" t="s">
        <v>35</v>
      </c>
    </row>
    <row r="314" ht="15.75" customHeight="1">
      <c r="A314" s="2">
        <v>197489.0</v>
      </c>
      <c r="B314" s="2" t="s">
        <v>1042</v>
      </c>
      <c r="C314" s="2" t="s">
        <v>1043</v>
      </c>
      <c r="D314" s="2" t="s">
        <v>13</v>
      </c>
      <c r="E314" s="2" t="s">
        <v>836</v>
      </c>
      <c r="F314" s="2">
        <v>2.0</v>
      </c>
      <c r="G314" s="2">
        <v>500.0</v>
      </c>
      <c r="H314" s="3" t="str">
        <f>HYPERLINK("http://www.linkedin.com/pub/marina-tognetti/0/1b7/972?trk=pub-pbmap","http://www.linkedin.com/pub/marina-tognetti/0/1b7/972?trk=pub-pbmap")</f>
        <v>http://www.linkedin.com/pub/marina-tognetti/0/1b7/972?trk=pub-pbmap</v>
      </c>
      <c r="I314" s="2" t="s">
        <v>69</v>
      </c>
      <c r="J314" s="2" t="s">
        <v>837</v>
      </c>
      <c r="K314" s="2" t="s">
        <v>35</v>
      </c>
    </row>
    <row r="315" ht="15.75" customHeight="1">
      <c r="A315" s="2">
        <v>197632.0</v>
      </c>
      <c r="B315" s="2" t="s">
        <v>133</v>
      </c>
      <c r="C315" s="2" t="s">
        <v>1044</v>
      </c>
      <c r="D315" s="2" t="s">
        <v>1045</v>
      </c>
      <c r="E315" s="2" t="s">
        <v>1046</v>
      </c>
      <c r="F315" s="2" t="s">
        <v>13</v>
      </c>
      <c r="G315" s="2">
        <v>191.0</v>
      </c>
      <c r="H315" s="3" t="str">
        <f>HYPERLINK("http://www.linkedin.com/in/michaelcavaliere","http://www.linkedin.com/in/michaelcavaliere")</f>
        <v>http://www.linkedin.com/in/michaelcavaliere</v>
      </c>
      <c r="I315" s="2" t="s">
        <v>696</v>
      </c>
      <c r="J315" s="2" t="s">
        <v>1047</v>
      </c>
      <c r="K315" s="2" t="s">
        <v>1048</v>
      </c>
    </row>
    <row r="316" ht="15.75" customHeight="1">
      <c r="A316" s="2">
        <v>198230.0</v>
      </c>
      <c r="B316" s="2" t="s">
        <v>1049</v>
      </c>
      <c r="C316" s="2" t="s">
        <v>1050</v>
      </c>
      <c r="D316" s="2" t="s">
        <v>1051</v>
      </c>
      <c r="E316" s="2" t="s">
        <v>1052</v>
      </c>
      <c r="F316" s="2">
        <v>6.0</v>
      </c>
      <c r="G316" s="2">
        <v>500.0</v>
      </c>
      <c r="H316" s="3" t="str">
        <f>HYPERLINK("http://www.linkedin.com/in/annbergquist","http://www.linkedin.com/in/annbergquist")</f>
        <v>http://www.linkedin.com/in/annbergquist</v>
      </c>
      <c r="I316" s="2" t="s">
        <v>15</v>
      </c>
      <c r="J316" s="2" t="s">
        <v>273</v>
      </c>
      <c r="K316" s="2" t="s">
        <v>1053</v>
      </c>
    </row>
    <row r="317" ht="15.75" customHeight="1">
      <c r="A317" s="2">
        <v>198299.0</v>
      </c>
      <c r="B317" s="2" t="s">
        <v>1054</v>
      </c>
      <c r="C317" s="2" t="s">
        <v>13</v>
      </c>
      <c r="D317" s="2" t="s">
        <v>13</v>
      </c>
      <c r="E317" s="2" t="s">
        <v>136</v>
      </c>
      <c r="F317" s="2">
        <v>0.0</v>
      </c>
      <c r="G317" s="2">
        <v>500.0</v>
      </c>
      <c r="H317" s="3" t="str">
        <f>HYPERLINK("http://www.linkedin.com/in/vramaswamy","http://www.linkedin.com/in/vramaswamy")</f>
        <v>http://www.linkedin.com/in/vramaswamy</v>
      </c>
      <c r="I317" s="2" t="s">
        <v>48</v>
      </c>
      <c r="J317" s="2" t="s">
        <v>102</v>
      </c>
      <c r="K317" s="2" t="s">
        <v>35</v>
      </c>
    </row>
    <row r="318" ht="15.75" customHeight="1">
      <c r="A318" s="2">
        <v>199020.0</v>
      </c>
      <c r="B318" s="2" t="s">
        <v>133</v>
      </c>
      <c r="C318" s="2" t="s">
        <v>1055</v>
      </c>
      <c r="D318" s="2" t="s">
        <v>1056</v>
      </c>
      <c r="E318" s="2" t="s">
        <v>1041</v>
      </c>
      <c r="F318" s="2">
        <v>9.0</v>
      </c>
      <c r="G318" s="2">
        <v>375.0</v>
      </c>
      <c r="H318" s="3" t="str">
        <f>HYPERLINK("http://www.linkedin.com/in/michaellofton","http://www.linkedin.com/in/michaellofton")</f>
        <v>http://www.linkedin.com/in/michaellofton</v>
      </c>
      <c r="I318" s="2" t="s">
        <v>48</v>
      </c>
      <c r="J318" s="2" t="s">
        <v>102</v>
      </c>
      <c r="K318" s="2" t="s">
        <v>35</v>
      </c>
    </row>
    <row r="319" ht="15.75" customHeight="1">
      <c r="A319" s="2">
        <v>200099.0</v>
      </c>
      <c r="B319" s="2" t="s">
        <v>1057</v>
      </c>
      <c r="C319" s="2" t="s">
        <v>1058</v>
      </c>
      <c r="D319" s="2" t="s">
        <v>1059</v>
      </c>
      <c r="E319" s="2" t="s">
        <v>971</v>
      </c>
      <c r="F319" s="2">
        <v>6.0</v>
      </c>
      <c r="G319" s="2">
        <v>500.0</v>
      </c>
      <c r="H319" s="3" t="str">
        <f>HYPERLINK("http://www.linkedin.com/in/pradeepanand","http://www.linkedin.com/in/pradeepanand")</f>
        <v>http://www.linkedin.com/in/pradeepanand</v>
      </c>
      <c r="I319" s="2" t="s">
        <v>57</v>
      </c>
      <c r="J319" s="2" t="s">
        <v>102</v>
      </c>
      <c r="K319" s="2" t="s">
        <v>58</v>
      </c>
    </row>
    <row r="320" ht="15.75" customHeight="1">
      <c r="A320" s="2">
        <v>200257.0</v>
      </c>
      <c r="B320" s="2" t="s">
        <v>1060</v>
      </c>
      <c r="C320" s="2" t="s">
        <v>1061</v>
      </c>
      <c r="D320" s="2" t="s">
        <v>1062</v>
      </c>
      <c r="E320" s="2" t="s">
        <v>1063</v>
      </c>
      <c r="F320" s="2">
        <v>0.0</v>
      </c>
      <c r="G320" s="2">
        <v>500.0</v>
      </c>
      <c r="H320" s="3" t="str">
        <f>HYPERLINK("http://www.linkedin.com/in/astridamaya","http://www.linkedin.com/in/astridamaya")</f>
        <v>http://www.linkedin.com/in/astridamaya</v>
      </c>
      <c r="I320" s="2" t="s">
        <v>105</v>
      </c>
      <c r="J320" s="2" t="s">
        <v>1064</v>
      </c>
      <c r="K320" s="2" t="s">
        <v>1065</v>
      </c>
    </row>
    <row r="321" ht="15.75" customHeight="1">
      <c r="A321" s="2">
        <v>200849.0</v>
      </c>
      <c r="B321" s="2" t="s">
        <v>1066</v>
      </c>
      <c r="C321" s="2" t="s">
        <v>1067</v>
      </c>
      <c r="D321" s="2" t="s">
        <v>536</v>
      </c>
      <c r="E321" s="2" t="s">
        <v>166</v>
      </c>
      <c r="F321" s="2">
        <v>39.0</v>
      </c>
      <c r="G321" s="2">
        <v>500.0</v>
      </c>
      <c r="H321" s="3" t="str">
        <f>HYPERLINK("http://www.linkedin.com/in/gelie","http://www.linkedin.com/in/gelie")</f>
        <v>http://www.linkedin.com/in/gelie</v>
      </c>
      <c r="I321" s="2" t="s">
        <v>69</v>
      </c>
      <c r="J321" s="2" t="s">
        <v>102</v>
      </c>
      <c r="K321" s="2" t="s">
        <v>58</v>
      </c>
    </row>
    <row r="322" ht="15.75" customHeight="1">
      <c r="A322" s="2">
        <v>201624.0</v>
      </c>
      <c r="B322" s="2" t="s">
        <v>1068</v>
      </c>
      <c r="C322" s="2" t="s">
        <v>1069</v>
      </c>
      <c r="D322" s="2" t="s">
        <v>42</v>
      </c>
      <c r="E322" s="2" t="s">
        <v>136</v>
      </c>
      <c r="F322" s="2">
        <v>1.0</v>
      </c>
      <c r="G322" s="2">
        <v>12.0</v>
      </c>
      <c r="H322" s="3" t="str">
        <f>HYPERLINK("http://www.linkedin.com/pub/jerry-herrick/3/69A/915","http://www.linkedin.com/pub/jerry-herrick/3/69A/915")</f>
        <v>http://www.linkedin.com/pub/jerry-herrick/3/69A/915</v>
      </c>
      <c r="I322" s="2" t="s">
        <v>119</v>
      </c>
      <c r="J322" s="2" t="s">
        <v>102</v>
      </c>
      <c r="K322" s="2" t="s">
        <v>97</v>
      </c>
    </row>
    <row r="323" ht="15.75" customHeight="1">
      <c r="A323" s="2">
        <v>201978.0</v>
      </c>
      <c r="B323" s="2" t="s">
        <v>879</v>
      </c>
      <c r="C323" s="2" t="s">
        <v>1070</v>
      </c>
      <c r="D323" s="2" t="s">
        <v>42</v>
      </c>
      <c r="E323" s="2" t="s">
        <v>136</v>
      </c>
      <c r="F323" s="2" t="s">
        <v>13</v>
      </c>
      <c r="G323" s="2">
        <v>500.0</v>
      </c>
      <c r="H323" s="3" t="str">
        <f>HYPERLINK("http://www.linkedin.com/pub/richard-mainz/1/5A3/888","http://www.linkedin.com/pub/richard-mainz/1/5A3/888")</f>
        <v>http://www.linkedin.com/pub/richard-mainz/1/5A3/888</v>
      </c>
      <c r="I323" s="2" t="s">
        <v>15</v>
      </c>
      <c r="J323" s="2" t="s">
        <v>102</v>
      </c>
      <c r="K323" s="2" t="s">
        <v>35</v>
      </c>
    </row>
    <row r="324" ht="15.75" customHeight="1">
      <c r="A324" s="2">
        <v>202304.0</v>
      </c>
      <c r="B324" s="2" t="s">
        <v>1071</v>
      </c>
      <c r="C324" s="2" t="s">
        <v>1072</v>
      </c>
      <c r="D324" s="2" t="s">
        <v>1073</v>
      </c>
      <c r="E324" s="2" t="s">
        <v>765</v>
      </c>
      <c r="F324" s="2">
        <v>9.0</v>
      </c>
      <c r="G324" s="2">
        <v>412.0</v>
      </c>
      <c r="H324" s="3" t="str">
        <f>HYPERLINK("http://www.linkedin.com/in/ericagrelius","http://www.linkedin.com/in/ericagrelius")</f>
        <v>http://www.linkedin.com/in/ericagrelius</v>
      </c>
      <c r="I324" s="2" t="s">
        <v>279</v>
      </c>
      <c r="J324" s="2" t="s">
        <v>144</v>
      </c>
      <c r="K324" s="2" t="s">
        <v>138</v>
      </c>
    </row>
    <row r="325" ht="15.75" customHeight="1">
      <c r="A325" s="2">
        <v>202817.0</v>
      </c>
      <c r="B325" s="2" t="s">
        <v>1004</v>
      </c>
      <c r="C325" s="2" t="s">
        <v>1074</v>
      </c>
      <c r="D325" s="2" t="s">
        <v>42</v>
      </c>
      <c r="E325" s="2" t="s">
        <v>1075</v>
      </c>
      <c r="F325" s="2">
        <v>9.0</v>
      </c>
      <c r="G325" s="2">
        <v>366.0</v>
      </c>
      <c r="H325" s="3" t="str">
        <f>HYPERLINK("http://www.linkedin.com/pub/scott-sjoberg/26/475/838","http://www.linkedin.com/pub/scott-sjoberg/26/475/838")</f>
        <v>http://www.linkedin.com/pub/scott-sjoberg/26/475/838</v>
      </c>
      <c r="I325" s="2" t="s">
        <v>172</v>
      </c>
      <c r="J325" s="2" t="s">
        <v>16</v>
      </c>
      <c r="K325" s="2" t="s">
        <v>22</v>
      </c>
    </row>
    <row r="326" ht="15.75" customHeight="1">
      <c r="A326" s="2">
        <v>203132.0</v>
      </c>
      <c r="B326" s="2" t="s">
        <v>1076</v>
      </c>
      <c r="C326" s="2" t="s">
        <v>1077</v>
      </c>
      <c r="D326" s="2" t="s">
        <v>444</v>
      </c>
      <c r="E326" s="2" t="s">
        <v>450</v>
      </c>
      <c r="F326" s="2">
        <v>0.0</v>
      </c>
      <c r="G326" s="2">
        <v>480.0</v>
      </c>
      <c r="H326" s="3" t="str">
        <f>HYPERLINK("http://www.linkedin.com/pub/jennifer-manning/29/370/404","http://www.linkedin.com/pub/jennifer-manning/29/370/404")</f>
        <v>http://www.linkedin.com/pub/jennifer-manning/29/370/404</v>
      </c>
      <c r="I326" s="2" t="s">
        <v>714</v>
      </c>
      <c r="J326" s="2" t="s">
        <v>273</v>
      </c>
      <c r="K326" s="2" t="s">
        <v>168</v>
      </c>
    </row>
    <row r="327" ht="15.75" customHeight="1">
      <c r="A327" s="2">
        <v>204090.0</v>
      </c>
      <c r="B327" s="2" t="s">
        <v>1078</v>
      </c>
      <c r="C327" s="2" t="s">
        <v>1079</v>
      </c>
      <c r="D327" s="2" t="s">
        <v>42</v>
      </c>
      <c r="E327" s="2" t="s">
        <v>64</v>
      </c>
      <c r="F327" s="2">
        <v>1.0</v>
      </c>
      <c r="G327" s="2">
        <v>500.0</v>
      </c>
      <c r="H327" s="3" t="str">
        <f>HYPERLINK("http://fr.linkedin.com/in/thibaultcolcombetrecrutement","http://fr.linkedin.com/in/thibaultcolcombetrecrutement")</f>
        <v>http://fr.linkedin.com/in/thibaultcolcombetrecrutement</v>
      </c>
      <c r="I327" s="2" t="s">
        <v>15</v>
      </c>
      <c r="J327" s="2" t="s">
        <v>65</v>
      </c>
      <c r="K327" s="2" t="s">
        <v>35</v>
      </c>
    </row>
    <row r="328" ht="15.75" customHeight="1">
      <c r="A328" s="2">
        <v>204455.0</v>
      </c>
      <c r="B328" s="2" t="s">
        <v>721</v>
      </c>
      <c r="C328" s="2" t="s">
        <v>1080</v>
      </c>
      <c r="D328" s="2" t="s">
        <v>1081</v>
      </c>
      <c r="E328" s="2" t="s">
        <v>1082</v>
      </c>
      <c r="F328" s="2">
        <v>11.0</v>
      </c>
      <c r="G328" s="2">
        <v>500.0</v>
      </c>
      <c r="H328" s="3" t="str">
        <f>HYPERLINK("http://uk.linkedin.com/in/andrewbarratt","http://uk.linkedin.com/in/andrewbarratt")</f>
        <v>http://uk.linkedin.com/in/andrewbarratt</v>
      </c>
      <c r="I328" s="2" t="s">
        <v>15</v>
      </c>
      <c r="J328" s="2" t="s">
        <v>53</v>
      </c>
      <c r="K328" s="2" t="s">
        <v>35</v>
      </c>
    </row>
    <row r="329" ht="15.75" customHeight="1">
      <c r="A329" s="2">
        <v>204555.0</v>
      </c>
      <c r="B329" s="2" t="s">
        <v>178</v>
      </c>
      <c r="C329" s="2" t="s">
        <v>1083</v>
      </c>
      <c r="D329" s="2" t="s">
        <v>1084</v>
      </c>
      <c r="E329" s="2" t="s">
        <v>505</v>
      </c>
      <c r="F329" s="2" t="s">
        <v>13</v>
      </c>
      <c r="G329" s="2">
        <v>500.0</v>
      </c>
      <c r="H329" s="3" t="str">
        <f>HYPERLINK("http://www.linkedin.com/in/jurczyk","http://www.linkedin.com/in/jurczyk")</f>
        <v>http://www.linkedin.com/in/jurczyk</v>
      </c>
      <c r="I329" s="2" t="s">
        <v>69</v>
      </c>
      <c r="J329" s="2" t="s">
        <v>102</v>
      </c>
      <c r="K329" s="2" t="s">
        <v>35</v>
      </c>
    </row>
    <row r="330" ht="15.75" customHeight="1">
      <c r="A330" s="2">
        <v>204647.0</v>
      </c>
      <c r="B330" s="2" t="s">
        <v>358</v>
      </c>
      <c r="C330" s="2" t="s">
        <v>1085</v>
      </c>
      <c r="D330" s="2" t="s">
        <v>1086</v>
      </c>
      <c r="E330" s="2" t="s">
        <v>39</v>
      </c>
      <c r="F330" s="2">
        <v>28.0</v>
      </c>
      <c r="G330" s="2">
        <v>500.0</v>
      </c>
      <c r="H330" s="3" t="str">
        <f>HYPERLINK("http://br.linkedin.com/pub/marcelo-carpes/0/132/24A","http://br.linkedin.com/pub/marcelo-carpes/0/132/24A")</f>
        <v>http://br.linkedin.com/pub/marcelo-carpes/0/132/24A</v>
      </c>
      <c r="I330" s="2" t="s">
        <v>132</v>
      </c>
      <c r="J330" s="2" t="s">
        <v>34</v>
      </c>
      <c r="K330" s="2" t="s">
        <v>58</v>
      </c>
    </row>
    <row r="331" ht="15.75" customHeight="1">
      <c r="A331" s="2">
        <v>204730.0</v>
      </c>
      <c r="B331" s="2" t="s">
        <v>1087</v>
      </c>
      <c r="C331" s="2" t="s">
        <v>1088</v>
      </c>
      <c r="D331" s="2" t="s">
        <v>1089</v>
      </c>
      <c r="E331" s="2" t="s">
        <v>122</v>
      </c>
      <c r="F331" s="2" t="s">
        <v>13</v>
      </c>
      <c r="G331" s="2">
        <v>500.0</v>
      </c>
      <c r="H331" s="3" t="str">
        <f>HYPERLINK("http://uk.linkedin.com/in/jamesrobertsprogressive","http://uk.linkedin.com/in/jamesrobertsprogressive")</f>
        <v>http://uk.linkedin.com/in/jamesrobertsprogressive</v>
      </c>
      <c r="I331" s="2" t="s">
        <v>248</v>
      </c>
      <c r="J331" s="2" t="s">
        <v>53</v>
      </c>
      <c r="K331" s="2" t="s">
        <v>196</v>
      </c>
    </row>
    <row r="332" ht="15.75" customHeight="1">
      <c r="A332" s="2">
        <v>204805.0</v>
      </c>
      <c r="B332" s="2" t="s">
        <v>1090</v>
      </c>
      <c r="C332" s="2" t="s">
        <v>1091</v>
      </c>
      <c r="D332" s="2" t="s">
        <v>1092</v>
      </c>
      <c r="E332" s="2" t="s">
        <v>1093</v>
      </c>
      <c r="F332" s="2">
        <v>7.0</v>
      </c>
      <c r="G332" s="2">
        <v>500.0</v>
      </c>
      <c r="H332" s="3" t="str">
        <f>HYPERLINK("http://www.linkedin.com/pub/ana-victoria-vicky-ricaurte/2/16B/6A0","http://www.linkedin.com/pub/ana-victoria-vicky-ricaurte/2/16B/6A0")</f>
        <v>http://www.linkedin.com/pub/ana-victoria-vicky-ricaurte/2/16B/6A0</v>
      </c>
      <c r="I332" s="2" t="s">
        <v>1094</v>
      </c>
      <c r="J332" s="2" t="s">
        <v>1095</v>
      </c>
      <c r="K332" s="2" t="s">
        <v>138</v>
      </c>
    </row>
    <row r="333" ht="15.75" customHeight="1">
      <c r="A333" s="2">
        <v>204990.0</v>
      </c>
      <c r="B333" s="2" t="s">
        <v>1096</v>
      </c>
      <c r="C333" s="2" t="s">
        <v>1097</v>
      </c>
      <c r="D333" s="2" t="s">
        <v>1098</v>
      </c>
      <c r="E333" s="2" t="s">
        <v>1099</v>
      </c>
      <c r="F333" s="2">
        <v>5.0</v>
      </c>
      <c r="G333" s="2">
        <v>265.0</v>
      </c>
      <c r="H333" s="3" t="str">
        <f>HYPERLINK("http://www.linkedin.com/pub/tony-detato/9/701/1BB","http://www.linkedin.com/pub/tony-detato/9/701/1BB")</f>
        <v>http://www.linkedin.com/pub/tony-detato/9/701/1BB</v>
      </c>
      <c r="I333" s="2" t="s">
        <v>15</v>
      </c>
      <c r="J333" s="2" t="s">
        <v>144</v>
      </c>
      <c r="K333" s="2" t="s">
        <v>766</v>
      </c>
    </row>
    <row r="334" ht="15.75" customHeight="1">
      <c r="A334" s="2">
        <v>205339.0</v>
      </c>
      <c r="B334" s="2" t="s">
        <v>1100</v>
      </c>
      <c r="C334" s="2" t="s">
        <v>1101</v>
      </c>
      <c r="D334" s="2" t="s">
        <v>1102</v>
      </c>
      <c r="E334" s="2" t="s">
        <v>765</v>
      </c>
      <c r="F334" s="2">
        <v>11.0</v>
      </c>
      <c r="G334" s="2">
        <v>500.0</v>
      </c>
      <c r="H334" s="3" t="str">
        <f>HYPERLINK("http://www.linkedin.com/in/ramsrinivasan1","http://www.linkedin.com/in/ramsrinivasan1")</f>
        <v>http://www.linkedin.com/in/ramsrinivasan1</v>
      </c>
      <c r="I334" s="2" t="s">
        <v>15</v>
      </c>
      <c r="J334" s="2" t="s">
        <v>144</v>
      </c>
      <c r="K334" s="2" t="s">
        <v>138</v>
      </c>
    </row>
    <row r="335" ht="15.75" customHeight="1">
      <c r="A335" s="2">
        <v>205719.0</v>
      </c>
      <c r="B335" s="2" t="s">
        <v>845</v>
      </c>
      <c r="C335" s="2" t="s">
        <v>1103</v>
      </c>
      <c r="D335" s="2" t="s">
        <v>100</v>
      </c>
      <c r="E335" s="2" t="s">
        <v>305</v>
      </c>
      <c r="F335" s="2">
        <v>9.0</v>
      </c>
      <c r="G335" s="2">
        <v>500.0</v>
      </c>
      <c r="H335" s="3" t="str">
        <f>HYPERLINK("http://www.linkedin.com/in/riverwalk","http://www.linkedin.com/in/riverwalk")</f>
        <v>http://www.linkedin.com/in/riverwalk</v>
      </c>
      <c r="I335" s="2" t="s">
        <v>248</v>
      </c>
      <c r="J335" s="2" t="s">
        <v>102</v>
      </c>
      <c r="K335" s="2" t="s">
        <v>196</v>
      </c>
    </row>
    <row r="336" ht="15.75" customHeight="1">
      <c r="A336" s="2">
        <v>205754.0</v>
      </c>
      <c r="B336" s="2" t="s">
        <v>1104</v>
      </c>
      <c r="C336" s="2" t="s">
        <v>1105</v>
      </c>
      <c r="D336" s="2" t="s">
        <v>1106</v>
      </c>
      <c r="E336" s="2" t="s">
        <v>278</v>
      </c>
      <c r="F336" s="2">
        <v>21.0</v>
      </c>
      <c r="G336" s="2">
        <v>500.0</v>
      </c>
      <c r="H336" s="3" t="str">
        <f>HYPERLINK("http://www.linkedin.com/in/jshears","http://www.linkedin.com/in/jshears")</f>
        <v>http://www.linkedin.com/in/jshears</v>
      </c>
      <c r="I336" s="2" t="s">
        <v>1107</v>
      </c>
      <c r="J336" s="2" t="s">
        <v>28</v>
      </c>
      <c r="K336" s="2" t="s">
        <v>29</v>
      </c>
    </row>
    <row r="337" ht="15.75" customHeight="1">
      <c r="A337" s="2">
        <v>205893.0</v>
      </c>
      <c r="B337" s="2" t="s">
        <v>1108</v>
      </c>
      <c r="C337" s="2" t="s">
        <v>1109</v>
      </c>
      <c r="D337" s="2" t="s">
        <v>1110</v>
      </c>
      <c r="E337" s="2" t="s">
        <v>122</v>
      </c>
      <c r="F337" s="2" t="s">
        <v>13</v>
      </c>
      <c r="G337" s="2">
        <v>500.0</v>
      </c>
      <c r="H337" s="3" t="str">
        <f>HYPERLINK("http://tr.linkedin.com/in/salihoztop","http://tr.linkedin.com/in/salihoztop")</f>
        <v>http://tr.linkedin.com/in/salihoztop</v>
      </c>
      <c r="I337" s="2" t="s">
        <v>15</v>
      </c>
      <c r="J337" s="2" t="s">
        <v>53</v>
      </c>
      <c r="K337" s="2" t="s">
        <v>35</v>
      </c>
    </row>
    <row r="338" ht="15.75" customHeight="1">
      <c r="A338" s="2">
        <v>205928.0</v>
      </c>
      <c r="B338" s="2" t="s">
        <v>788</v>
      </c>
      <c r="C338" s="2" t="s">
        <v>1111</v>
      </c>
      <c r="D338" s="2" t="s">
        <v>304</v>
      </c>
      <c r="E338" s="2" t="s">
        <v>301</v>
      </c>
      <c r="F338" s="2">
        <v>3.0</v>
      </c>
      <c r="G338" s="2">
        <v>500.0</v>
      </c>
      <c r="H338" s="3" t="str">
        <f>HYPERLINK("http://www.linkedin.com/pub/sam-tyk-samtyk-oakbrookus-com/0/241/66A","http://www.linkedin.com/pub/sam-tyk-samtyk-oakbrookus-com/0/241/66A")</f>
        <v>http://www.linkedin.com/pub/sam-tyk-samtyk-oakbrookus-com/0/241/66A</v>
      </c>
      <c r="I338" s="2" t="s">
        <v>248</v>
      </c>
      <c r="J338" s="2" t="s">
        <v>102</v>
      </c>
      <c r="K338" s="2" t="s">
        <v>196</v>
      </c>
    </row>
    <row r="339" ht="15.75" customHeight="1">
      <c r="A339" s="2">
        <v>206126.0</v>
      </c>
      <c r="B339" s="2" t="s">
        <v>1112</v>
      </c>
      <c r="C339" s="2" t="s">
        <v>1113</v>
      </c>
      <c r="D339" s="2" t="s">
        <v>1114</v>
      </c>
      <c r="E339" s="2" t="s">
        <v>301</v>
      </c>
      <c r="F339" s="2">
        <v>1.0</v>
      </c>
      <c r="G339" s="2">
        <v>500.0</v>
      </c>
      <c r="H339" s="3" t="str">
        <f>HYPERLINK("http://www.linkedin.com/in/benekatz","http://www.linkedin.com/in/benekatz")</f>
        <v>http://www.linkedin.com/in/benekatz</v>
      </c>
      <c r="I339" s="2" t="s">
        <v>15</v>
      </c>
      <c r="J339" s="2" t="s">
        <v>102</v>
      </c>
      <c r="K339" s="2" t="s">
        <v>35</v>
      </c>
    </row>
    <row r="340" ht="15.75" customHeight="1">
      <c r="A340" s="2">
        <v>206347.0</v>
      </c>
      <c r="B340" s="2" t="s">
        <v>275</v>
      </c>
      <c r="C340" s="2" t="s">
        <v>1115</v>
      </c>
      <c r="D340" s="2"/>
      <c r="E340" s="2" t="s">
        <v>791</v>
      </c>
      <c r="F340" s="2">
        <v>6.0</v>
      </c>
      <c r="G340" s="2">
        <v>500.0</v>
      </c>
      <c r="H340" s="3" t="str">
        <f>HYPERLINK("http://www.linkedin.com/pub/mark-dirose/1/112/6B0","http://www.linkedin.com/pub/mark-dirose/1/112/6B0")</f>
        <v>http://www.linkedin.com/pub/mark-dirose/1/112/6B0</v>
      </c>
      <c r="I340" s="2" t="s">
        <v>458</v>
      </c>
      <c r="J340" s="2" t="s">
        <v>575</v>
      </c>
      <c r="K340" s="2" t="s">
        <v>522</v>
      </c>
    </row>
    <row r="341" ht="15.75" customHeight="1">
      <c r="A341" s="2">
        <v>206558.0</v>
      </c>
      <c r="B341" s="2" t="s">
        <v>1116</v>
      </c>
      <c r="C341" s="2" t="s">
        <v>1117</v>
      </c>
      <c r="D341" s="2" t="s">
        <v>1118</v>
      </c>
      <c r="E341" s="2" t="s">
        <v>39</v>
      </c>
      <c r="F341" s="2" t="s">
        <v>13</v>
      </c>
      <c r="G341" s="2">
        <v>500.0</v>
      </c>
      <c r="H341" s="3" t="str">
        <f>HYPERLINK("http://br.linkedin.com/in/caioperes","http://br.linkedin.com/in/caioperes")</f>
        <v>http://br.linkedin.com/in/caioperes</v>
      </c>
      <c r="I341" s="2" t="s">
        <v>15</v>
      </c>
      <c r="J341" s="2" t="s">
        <v>34</v>
      </c>
      <c r="K341" s="2" t="s">
        <v>35</v>
      </c>
    </row>
    <row r="342" ht="15.75" customHeight="1">
      <c r="A342" s="2">
        <v>208256.0</v>
      </c>
      <c r="B342" s="2" t="s">
        <v>1119</v>
      </c>
      <c r="C342" s="2" t="s">
        <v>677</v>
      </c>
      <c r="D342" s="2" t="s">
        <v>47</v>
      </c>
      <c r="E342" s="2" t="s">
        <v>765</v>
      </c>
      <c r="F342" s="2">
        <v>27.0</v>
      </c>
      <c r="G342" s="2">
        <v>500.0</v>
      </c>
      <c r="H342" s="3" t="str">
        <f>HYPERLINK("http://www.linkedin.com/in/demontdaniel","http://www.linkedin.com/in/demontdaniel")</f>
        <v>http://www.linkedin.com/in/demontdaniel</v>
      </c>
      <c r="I342" s="2" t="s">
        <v>137</v>
      </c>
      <c r="J342" s="2" t="s">
        <v>144</v>
      </c>
      <c r="K342" s="2" t="s">
        <v>357</v>
      </c>
    </row>
    <row r="343" ht="15.75" customHeight="1">
      <c r="A343" s="2">
        <v>208574.0</v>
      </c>
      <c r="B343" s="2" t="s">
        <v>1071</v>
      </c>
      <c r="C343" s="2" t="s">
        <v>1120</v>
      </c>
      <c r="D343" s="2" t="s">
        <v>13</v>
      </c>
      <c r="E343" s="2" t="s">
        <v>403</v>
      </c>
      <c r="F343" s="2">
        <v>0.0</v>
      </c>
      <c r="G343" s="2">
        <v>500.0</v>
      </c>
      <c r="H343" s="3" t="str">
        <f>HYPERLINK("http://ca.linkedin.com/in/ericriz","http://ca.linkedin.com/in/ericriz")</f>
        <v>http://ca.linkedin.com/in/ericriz</v>
      </c>
      <c r="I343" s="2" t="s">
        <v>48</v>
      </c>
      <c r="J343" s="2" t="s">
        <v>44</v>
      </c>
      <c r="K343" s="2" t="s">
        <v>35</v>
      </c>
    </row>
    <row r="344" ht="15.75" customHeight="1">
      <c r="A344" s="2">
        <v>208596.0</v>
      </c>
      <c r="B344" s="2" t="s">
        <v>1121</v>
      </c>
      <c r="C344" s="2" t="s">
        <v>1122</v>
      </c>
      <c r="D344" s="2" t="s">
        <v>1123</v>
      </c>
      <c r="E344" s="2" t="s">
        <v>1124</v>
      </c>
      <c r="F344" s="2" t="s">
        <v>13</v>
      </c>
      <c r="G344" s="2">
        <v>500.0</v>
      </c>
      <c r="H344" s="3" t="str">
        <f>HYPERLINK("http://br.linkedin.com/pub/am%C3%A9rico-pereira-filho/1/A9/940","http://br.linkedin.com/pub/am%C3%A9rico-pereira-filho/1/A9/940")</f>
        <v>http://br.linkedin.com/pub/am%C3%A9rico-pereira-filho/1/A9/940</v>
      </c>
      <c r="I344" s="2" t="s">
        <v>1125</v>
      </c>
      <c r="J344" s="2" t="s">
        <v>34</v>
      </c>
      <c r="K344" s="2" t="s">
        <v>22</v>
      </c>
    </row>
    <row r="345" ht="15.75" customHeight="1">
      <c r="A345" s="2">
        <v>209595.0</v>
      </c>
      <c r="B345" s="2" t="s">
        <v>431</v>
      </c>
      <c r="C345" s="2" t="s">
        <v>1126</v>
      </c>
      <c r="D345" s="2" t="s">
        <v>1127</v>
      </c>
      <c r="E345" s="2" t="s">
        <v>39</v>
      </c>
      <c r="F345" s="2">
        <v>4.0</v>
      </c>
      <c r="G345" s="2">
        <v>500.0</v>
      </c>
      <c r="H345" s="3" t="str">
        <f>HYPERLINK("http://br.linkedin.com/in/rodrigoy","http://br.linkedin.com/in/rodrigoy")</f>
        <v>http://br.linkedin.com/in/rodrigoy</v>
      </c>
      <c r="I345" s="2" t="s">
        <v>15</v>
      </c>
      <c r="J345" s="2" t="s">
        <v>34</v>
      </c>
      <c r="K345" s="2" t="s">
        <v>35</v>
      </c>
    </row>
    <row r="346" ht="15.75" customHeight="1">
      <c r="A346" s="2">
        <v>209713.0</v>
      </c>
      <c r="B346" s="2" t="s">
        <v>1128</v>
      </c>
      <c r="C346" s="2" t="s">
        <v>1129</v>
      </c>
      <c r="D346" s="2" t="s">
        <v>1045</v>
      </c>
      <c r="E346" s="2" t="s">
        <v>1130</v>
      </c>
      <c r="F346" s="2" t="s">
        <v>13</v>
      </c>
      <c r="G346" s="2">
        <v>349.0</v>
      </c>
      <c r="H346" s="3" t="str">
        <f>HYPERLINK("http://de.linkedin.com/pub/benedikt-zacher/1/180/715","http://de.linkedin.com/pub/benedikt-zacher/1/180/715")</f>
        <v>http://de.linkedin.com/pub/benedikt-zacher/1/180/715</v>
      </c>
      <c r="I346" s="2" t="s">
        <v>15</v>
      </c>
      <c r="J346" s="2" t="s">
        <v>926</v>
      </c>
      <c r="K346" s="2" t="s">
        <v>35</v>
      </c>
    </row>
    <row r="347" ht="15.75" customHeight="1">
      <c r="A347" s="2">
        <v>210712.0</v>
      </c>
      <c r="B347" s="2" t="s">
        <v>275</v>
      </c>
      <c r="C347" s="2" t="s">
        <v>1131</v>
      </c>
      <c r="D347" s="2" t="s">
        <v>1132</v>
      </c>
      <c r="E347" s="2" t="s">
        <v>1075</v>
      </c>
      <c r="F347" s="2">
        <v>4.0</v>
      </c>
      <c r="G347" s="2">
        <v>500.0</v>
      </c>
      <c r="H347" s="3" t="str">
        <f>HYPERLINK("http://www.linkedin.com/pub/mark-jennings/5/966/9","http://www.linkedin.com/pub/mark-jennings/5/966/9")</f>
        <v>http://www.linkedin.com/pub/mark-jennings/5/966/9</v>
      </c>
      <c r="I347" s="2" t="s">
        <v>865</v>
      </c>
      <c r="J347" s="2" t="s">
        <v>16</v>
      </c>
      <c r="K347" s="2" t="s">
        <v>168</v>
      </c>
    </row>
    <row r="348" ht="15.75" customHeight="1">
      <c r="A348" s="2">
        <v>210776.0</v>
      </c>
      <c r="B348" s="2" t="s">
        <v>1133</v>
      </c>
      <c r="C348" s="2" t="s">
        <v>675</v>
      </c>
      <c r="D348" s="2" t="s">
        <v>1134</v>
      </c>
      <c r="E348" s="2" t="s">
        <v>224</v>
      </c>
      <c r="F348" s="2">
        <v>4.0</v>
      </c>
      <c r="G348" s="2">
        <v>475.0</v>
      </c>
      <c r="H348" s="3" t="str">
        <f>HYPERLINK("http://www.linkedin.com/in/genetorres","http://www.linkedin.com/in/genetorres")</f>
        <v>http://www.linkedin.com/in/genetorres</v>
      </c>
      <c r="I348" s="2" t="s">
        <v>1135</v>
      </c>
      <c r="J348" s="2" t="s">
        <v>16</v>
      </c>
      <c r="K348" s="2" t="s">
        <v>522</v>
      </c>
    </row>
    <row r="349" ht="15.75" customHeight="1">
      <c r="A349" s="2">
        <v>211145.0</v>
      </c>
      <c r="B349" s="2" t="s">
        <v>845</v>
      </c>
      <c r="C349" s="2" t="s">
        <v>1136</v>
      </c>
      <c r="D349" s="2" t="s">
        <v>1137</v>
      </c>
      <c r="E349" s="2" t="s">
        <v>101</v>
      </c>
      <c r="F349" s="2">
        <v>32.0</v>
      </c>
      <c r="G349" s="2">
        <v>500.0</v>
      </c>
      <c r="H349" s="3" t="str">
        <f>HYPERLINK("http://www.linkedin.com/in/davidhamiltonga","http://www.linkedin.com/in/davidhamiltonga")</f>
        <v>http://www.linkedin.com/in/davidhamiltonga</v>
      </c>
      <c r="I349" s="2" t="s">
        <v>15</v>
      </c>
      <c r="J349" s="2" t="s">
        <v>102</v>
      </c>
      <c r="K349" s="2" t="s">
        <v>35</v>
      </c>
    </row>
    <row r="350" ht="15.75" customHeight="1">
      <c r="A350" s="2">
        <v>211159.0</v>
      </c>
      <c r="B350" s="2" t="s">
        <v>805</v>
      </c>
      <c r="C350" s="2" t="s">
        <v>1138</v>
      </c>
      <c r="D350" s="2" t="s">
        <v>1139</v>
      </c>
      <c r="E350" s="2" t="s">
        <v>64</v>
      </c>
      <c r="F350" s="2">
        <v>11.0</v>
      </c>
      <c r="G350" s="2">
        <v>500.0</v>
      </c>
      <c r="H350" s="3" t="str">
        <f>HYPERLINK("http://fr.linkedin.com/in/pascalbaudier","http://fr.linkedin.com/in/pascalbaudier")</f>
        <v>http://fr.linkedin.com/in/pascalbaudier</v>
      </c>
      <c r="I350" s="2" t="s">
        <v>15</v>
      </c>
      <c r="J350" s="2" t="s">
        <v>65</v>
      </c>
      <c r="K350" s="2" t="s">
        <v>35</v>
      </c>
    </row>
    <row r="351" ht="15.75" customHeight="1">
      <c r="A351" s="2">
        <v>211368.0</v>
      </c>
      <c r="B351" s="2" t="s">
        <v>1140</v>
      </c>
      <c r="C351" s="2" t="s">
        <v>1141</v>
      </c>
      <c r="D351" s="2" t="s">
        <v>1142</v>
      </c>
      <c r="E351" s="2" t="s">
        <v>735</v>
      </c>
      <c r="F351" s="2" t="s">
        <v>13</v>
      </c>
      <c r="G351" s="2">
        <v>175.0</v>
      </c>
      <c r="H351" s="3" t="str">
        <f>HYPERLINK("http://www.linkedin.com/in/hervechavagnon","http://www.linkedin.com/in/hervechavagnon")</f>
        <v>http://www.linkedin.com/in/hervechavagnon</v>
      </c>
      <c r="I351" s="2" t="s">
        <v>579</v>
      </c>
      <c r="J351" s="2" t="s">
        <v>34</v>
      </c>
      <c r="K351" s="2" t="s">
        <v>35</v>
      </c>
    </row>
    <row r="352" ht="15.75" customHeight="1">
      <c r="A352" s="2">
        <v>212644.0</v>
      </c>
      <c r="B352" s="2" t="s">
        <v>1143</v>
      </c>
      <c r="C352" s="2" t="s">
        <v>1144</v>
      </c>
      <c r="D352" s="2" t="s">
        <v>1145</v>
      </c>
      <c r="E352" s="2" t="s">
        <v>762</v>
      </c>
      <c r="F352" s="2">
        <v>7.0</v>
      </c>
      <c r="G352" s="2">
        <v>500.0</v>
      </c>
      <c r="H352" s="3" t="str">
        <f>HYPERLINK("http://www.linkedin.com/in/wadeallen","http://www.linkedin.com/in/wadeallen")</f>
        <v>http://www.linkedin.com/in/wadeallen</v>
      </c>
      <c r="I352" s="2" t="s">
        <v>57</v>
      </c>
      <c r="J352" s="2" t="s">
        <v>102</v>
      </c>
      <c r="K352" s="2" t="s">
        <v>58</v>
      </c>
    </row>
    <row r="353" ht="15.75" customHeight="1">
      <c r="A353" s="2">
        <v>212880.0</v>
      </c>
      <c r="B353" s="2" t="s">
        <v>631</v>
      </c>
      <c r="C353" s="2" t="s">
        <v>1146</v>
      </c>
      <c r="D353" s="2" t="s">
        <v>410</v>
      </c>
      <c r="E353" s="2" t="s">
        <v>1147</v>
      </c>
      <c r="F353" s="2">
        <v>22.0</v>
      </c>
      <c r="G353" s="2">
        <v>500.0</v>
      </c>
      <c r="H353" s="3" t="str">
        <f>HYPERLINK("http://www.linkedin.com/in/chrisgenske","http://www.linkedin.com/in/chrisgenske")</f>
        <v>http://www.linkedin.com/in/chrisgenske</v>
      </c>
      <c r="I353" s="2" t="s">
        <v>248</v>
      </c>
      <c r="J353" s="2" t="s">
        <v>102</v>
      </c>
      <c r="K353" s="2" t="s">
        <v>196</v>
      </c>
    </row>
    <row r="354" ht="15.75" customHeight="1">
      <c r="A354" s="2">
        <v>214150.0</v>
      </c>
      <c r="B354" s="2" t="s">
        <v>1148</v>
      </c>
      <c r="C354" s="2" t="s">
        <v>1149</v>
      </c>
      <c r="D354" s="2" t="s">
        <v>536</v>
      </c>
      <c r="E354" s="2" t="s">
        <v>762</v>
      </c>
      <c r="F354" s="2" t="s">
        <v>13</v>
      </c>
      <c r="G354" s="2">
        <v>500.0</v>
      </c>
      <c r="H354" s="3" t="str">
        <f>HYPERLINK("http://www.linkedin.com/pub/mance-harmon/0/159/631","http://www.linkedin.com/pub/mance-harmon/0/159/631")</f>
        <v>http://www.linkedin.com/pub/mance-harmon/0/159/631</v>
      </c>
      <c r="I354" s="2" t="s">
        <v>160</v>
      </c>
      <c r="J354" s="2" t="s">
        <v>102</v>
      </c>
      <c r="K354" s="2" t="s">
        <v>97</v>
      </c>
    </row>
    <row r="355" ht="15.75" customHeight="1">
      <c r="A355" s="2">
        <v>215476.0</v>
      </c>
      <c r="B355" s="2" t="s">
        <v>511</v>
      </c>
      <c r="C355" s="2" t="s">
        <v>1150</v>
      </c>
      <c r="D355" s="2" t="s">
        <v>1151</v>
      </c>
      <c r="E355" s="2" t="s">
        <v>791</v>
      </c>
      <c r="F355" s="2">
        <v>18.0</v>
      </c>
      <c r="G355" s="2">
        <v>359.0</v>
      </c>
      <c r="H355" s="3" t="str">
        <f>HYPERLINK("http://www.linkedin.com/pub/mike-barretto/0/33B/489","http://www.linkedin.com/pub/mike-barretto/0/33B/489")</f>
        <v>http://www.linkedin.com/pub/mike-barretto/0/33B/489</v>
      </c>
      <c r="I355" s="2" t="s">
        <v>15</v>
      </c>
      <c r="J355" s="2" t="s">
        <v>575</v>
      </c>
      <c r="K355" s="2" t="s">
        <v>22</v>
      </c>
    </row>
    <row r="356" ht="15.75" customHeight="1">
      <c r="A356" s="2">
        <v>215689.0</v>
      </c>
      <c r="B356" s="2" t="s">
        <v>1152</v>
      </c>
      <c r="C356" s="2" t="s">
        <v>1153</v>
      </c>
      <c r="D356" s="2" t="s">
        <v>1154</v>
      </c>
      <c r="E356" s="2" t="s">
        <v>1155</v>
      </c>
      <c r="F356" s="2">
        <v>19.0</v>
      </c>
      <c r="G356" s="2">
        <v>500.0</v>
      </c>
      <c r="H356" s="3" t="str">
        <f>HYPERLINK("http://www.linkedin.com/in/ericbrown","http://www.linkedin.com/in/ericbrown")</f>
        <v>http://www.linkedin.com/in/ericbrown</v>
      </c>
      <c r="I356" s="2" t="s">
        <v>57</v>
      </c>
      <c r="J356" s="2" t="s">
        <v>102</v>
      </c>
      <c r="K356" s="2" t="s">
        <v>58</v>
      </c>
    </row>
    <row r="357" ht="15.75" customHeight="1">
      <c r="A357" s="2">
        <v>217039.0</v>
      </c>
      <c r="B357" s="2" t="s">
        <v>845</v>
      </c>
      <c r="C357" s="2" t="s">
        <v>1156</v>
      </c>
      <c r="D357" s="2" t="s">
        <v>1145</v>
      </c>
      <c r="E357" s="2" t="s">
        <v>155</v>
      </c>
      <c r="F357" s="2" t="s">
        <v>13</v>
      </c>
      <c r="G357" s="2">
        <v>500.0</v>
      </c>
      <c r="H357" s="3" t="str">
        <f>HYPERLINK("http://www.linkedin.com/pub/david-koretz/0/952/2A8","http://www.linkedin.com/pub/david-koretz/0/952/2A8")</f>
        <v>http://www.linkedin.com/pub/david-koretz/0/952/2A8</v>
      </c>
      <c r="I357" s="2" t="s">
        <v>48</v>
      </c>
      <c r="J357" s="2" t="s">
        <v>102</v>
      </c>
      <c r="K357" s="2" t="s">
        <v>35</v>
      </c>
    </row>
    <row r="358" ht="15.75" customHeight="1">
      <c r="A358" s="2">
        <v>217522.0</v>
      </c>
      <c r="B358" s="2" t="s">
        <v>1157</v>
      </c>
      <c r="C358" s="2" t="s">
        <v>1158</v>
      </c>
      <c r="D358" s="2" t="s">
        <v>13</v>
      </c>
      <c r="E358" s="2" t="s">
        <v>136</v>
      </c>
      <c r="F358" s="2">
        <v>0.0</v>
      </c>
      <c r="G358" s="2">
        <v>500.0</v>
      </c>
      <c r="H358" s="3" t="str">
        <f>HYPERLINK("http://www.linkedin.com/in/howardsiow","http://www.linkedin.com/in/howardsiow")</f>
        <v>http://www.linkedin.com/in/howardsiow</v>
      </c>
      <c r="I358" s="2" t="s">
        <v>48</v>
      </c>
      <c r="J358" s="2" t="s">
        <v>102</v>
      </c>
      <c r="K358" s="2" t="s">
        <v>35</v>
      </c>
    </row>
    <row r="359" ht="15.75" customHeight="1">
      <c r="A359" s="2">
        <v>217550.0</v>
      </c>
      <c r="B359" s="2" t="s">
        <v>845</v>
      </c>
      <c r="C359" s="2" t="s">
        <v>1159</v>
      </c>
      <c r="D359" s="2" t="s">
        <v>1160</v>
      </c>
      <c r="E359" s="2" t="s">
        <v>301</v>
      </c>
      <c r="F359" s="2">
        <v>10.0</v>
      </c>
      <c r="G359" s="2">
        <v>259.0</v>
      </c>
      <c r="H359" s="3" t="str">
        <f>HYPERLINK("http://www.linkedin.com/in/davidmeredithny","http://www.linkedin.com/in/davidmeredithny")</f>
        <v>http://www.linkedin.com/in/davidmeredithny</v>
      </c>
      <c r="I359" s="2" t="s">
        <v>279</v>
      </c>
      <c r="J359" s="2" t="s">
        <v>102</v>
      </c>
      <c r="K359" s="2" t="s">
        <v>58</v>
      </c>
    </row>
    <row r="360" ht="15.75" customHeight="1">
      <c r="A360" s="2">
        <v>218022.0</v>
      </c>
      <c r="B360" s="2" t="s">
        <v>1161</v>
      </c>
      <c r="C360" s="2" t="s">
        <v>1162</v>
      </c>
      <c r="D360" s="2" t="s">
        <v>1145</v>
      </c>
      <c r="E360" s="2" t="s">
        <v>136</v>
      </c>
      <c r="F360" s="2">
        <v>7.0</v>
      </c>
      <c r="G360" s="2">
        <v>500.0</v>
      </c>
      <c r="H360" s="3" t="str">
        <f>HYPERLINK("http://www.linkedin.com/in/alexandrasaunders","http://www.linkedin.com/in/alexandrasaunders")</f>
        <v>http://www.linkedin.com/in/alexandrasaunders</v>
      </c>
      <c r="I360" s="2" t="s">
        <v>608</v>
      </c>
      <c r="J360" s="2" t="s">
        <v>102</v>
      </c>
      <c r="K360" s="2" t="s">
        <v>58</v>
      </c>
    </row>
    <row r="361" ht="15.75" customHeight="1">
      <c r="A361" s="2">
        <v>218129.0</v>
      </c>
      <c r="B361" s="2" t="s">
        <v>1163</v>
      </c>
      <c r="C361" s="2" t="s">
        <v>1164</v>
      </c>
      <c r="D361" s="2" t="s">
        <v>47</v>
      </c>
      <c r="E361" s="2" t="s">
        <v>491</v>
      </c>
      <c r="F361" s="2" t="s">
        <v>13</v>
      </c>
      <c r="G361" s="2">
        <v>500.0</v>
      </c>
      <c r="H361" s="3" t="str">
        <f>HYPERLINK("http://es.linkedin.com/pub/maria-gomez-del-pozuelo/7/8AB/4A9","http://es.linkedin.com/pub/maria-gomez-del-pozuelo/7/8AB/4A9")</f>
        <v>http://es.linkedin.com/pub/maria-gomez-del-pozuelo/7/8AB/4A9</v>
      </c>
      <c r="I361" s="2" t="s">
        <v>69</v>
      </c>
      <c r="J361" s="2" t="s">
        <v>220</v>
      </c>
      <c r="K361" s="2" t="s">
        <v>35</v>
      </c>
    </row>
    <row r="362" ht="15.75" customHeight="1">
      <c r="A362" s="2">
        <v>218160.0</v>
      </c>
      <c r="B362" s="2" t="s">
        <v>1165</v>
      </c>
      <c r="C362" s="2" t="s">
        <v>1166</v>
      </c>
      <c r="D362" s="2" t="s">
        <v>42</v>
      </c>
      <c r="E362" s="2" t="s">
        <v>888</v>
      </c>
      <c r="F362" s="2" t="s">
        <v>13</v>
      </c>
      <c r="G362" s="2">
        <v>45.0</v>
      </c>
      <c r="H362" s="3" t="str">
        <f>HYPERLINK("http://www.linkedin.com/pub/arch-crawford/0/464/496","http://www.linkedin.com/pub/arch-crawford/0/464/496")</f>
        <v>http://www.linkedin.com/pub/arch-crawford/0/464/496</v>
      </c>
      <c r="I362" s="2" t="s">
        <v>279</v>
      </c>
      <c r="J362" s="2" t="s">
        <v>102</v>
      </c>
      <c r="K362" s="2" t="s">
        <v>58</v>
      </c>
    </row>
    <row r="363" ht="15.75" customHeight="1">
      <c r="A363" s="2">
        <v>218273.0</v>
      </c>
      <c r="B363" s="2" t="s">
        <v>1167</v>
      </c>
      <c r="C363" s="2" t="s">
        <v>1168</v>
      </c>
      <c r="D363" s="2" t="s">
        <v>400</v>
      </c>
      <c r="E363" s="2" t="s">
        <v>136</v>
      </c>
      <c r="F363" s="2">
        <v>12.0</v>
      </c>
      <c r="G363" s="2">
        <v>500.0</v>
      </c>
      <c r="H363" s="3" t="str">
        <f>HYPERLINK("https://www.linkedin.com/in/filsoof","https://www.linkedin.com/in/filsoof")</f>
        <v>https://www.linkedin.com/in/filsoof</v>
      </c>
      <c r="I363" s="2" t="s">
        <v>248</v>
      </c>
      <c r="J363" s="2" t="s">
        <v>102</v>
      </c>
      <c r="K363" s="2" t="s">
        <v>196</v>
      </c>
    </row>
    <row r="364" ht="15.75" customHeight="1">
      <c r="A364" s="2">
        <v>218683.0</v>
      </c>
      <c r="B364" s="2" t="s">
        <v>1169</v>
      </c>
      <c r="C364" s="2" t="s">
        <v>1170</v>
      </c>
      <c r="D364" s="2" t="s">
        <v>1171</v>
      </c>
      <c r="E364" s="2" t="s">
        <v>1172</v>
      </c>
      <c r="F364" s="2" t="s">
        <v>13</v>
      </c>
      <c r="G364" s="2">
        <v>500.0</v>
      </c>
      <c r="H364" s="3" t="str">
        <f>HYPERLINK("http://www.linkedin.com/pub/adele-hope-urwin/7/b29/87a","http://www.linkedin.com/pub/adele-hope-urwin/7/b29/87a")</f>
        <v>http://www.linkedin.com/pub/adele-hope-urwin/7/b29/87a</v>
      </c>
      <c r="I364" s="2" t="s">
        <v>15</v>
      </c>
      <c r="J364" s="2" t="s">
        <v>53</v>
      </c>
      <c r="K364" s="2" t="s">
        <v>35</v>
      </c>
    </row>
    <row r="365" ht="15.75" customHeight="1">
      <c r="A365" s="2">
        <v>219041.0</v>
      </c>
      <c r="B365" s="2" t="s">
        <v>1173</v>
      </c>
      <c r="C365" s="2" t="s">
        <v>1174</v>
      </c>
      <c r="D365" s="2" t="s">
        <v>1175</v>
      </c>
      <c r="E365" s="2" t="s">
        <v>259</v>
      </c>
      <c r="F365" s="2">
        <v>1.0</v>
      </c>
      <c r="G365" s="2">
        <v>272.0</v>
      </c>
      <c r="H365" s="3" t="str">
        <f>HYPERLINK("http://www.linkedin.com/pub/steve-skaggs/8/40/A81","http://www.linkedin.com/pub/steve-skaggs/8/40/A81")</f>
        <v>http://www.linkedin.com/pub/steve-skaggs/8/40/A81</v>
      </c>
      <c r="I365" s="2" t="s">
        <v>167</v>
      </c>
      <c r="J365" s="2" t="s">
        <v>144</v>
      </c>
      <c r="K365" s="2" t="s">
        <v>1176</v>
      </c>
    </row>
    <row r="366" ht="15.75" customHeight="1">
      <c r="A366" s="2">
        <v>219129.0</v>
      </c>
      <c r="B366" s="2" t="s">
        <v>1177</v>
      </c>
      <c r="C366" s="2" t="s">
        <v>99</v>
      </c>
      <c r="D366" s="2" t="s">
        <v>1178</v>
      </c>
      <c r="E366" s="2" t="s">
        <v>1179</v>
      </c>
      <c r="F366" s="2" t="s">
        <v>13</v>
      </c>
      <c r="G366" s="2">
        <v>500.0</v>
      </c>
      <c r="H366" s="3" t="str">
        <f>HYPERLINK("http://www.linkedin.com/pub/shaun-coleman/0/697/12A","http://www.linkedin.com/pub/shaun-coleman/0/697/12A")</f>
        <v>http://www.linkedin.com/pub/shaun-coleman/0/697/12A</v>
      </c>
      <c r="I366" s="2" t="s">
        <v>48</v>
      </c>
      <c r="J366" s="2" t="s">
        <v>102</v>
      </c>
      <c r="K366" s="2" t="s">
        <v>97</v>
      </c>
    </row>
    <row r="367" ht="15.75" customHeight="1">
      <c r="A367" s="2">
        <v>220033.0</v>
      </c>
      <c r="B367" s="2" t="s">
        <v>1180</v>
      </c>
      <c r="C367" s="2" t="s">
        <v>1181</v>
      </c>
      <c r="D367" s="2" t="s">
        <v>410</v>
      </c>
      <c r="E367" s="2" t="s">
        <v>1182</v>
      </c>
      <c r="F367" s="2">
        <v>0.0</v>
      </c>
      <c r="G367" s="2">
        <v>451.0</v>
      </c>
      <c r="H367" s="3" t="str">
        <f>HYPERLINK("http://www.linkedin.com/in/ankit81","http://www.linkedin.com/in/ankit81")</f>
        <v>http://www.linkedin.com/in/ankit81</v>
      </c>
      <c r="I367" s="2" t="s">
        <v>1183</v>
      </c>
      <c r="J367" s="2" t="s">
        <v>1184</v>
      </c>
      <c r="K367" s="2" t="s">
        <v>29</v>
      </c>
    </row>
    <row r="368" ht="15.75" customHeight="1">
      <c r="A368" s="2">
        <v>220058.0</v>
      </c>
      <c r="B368" s="2" t="s">
        <v>1185</v>
      </c>
      <c r="C368" s="2" t="s">
        <v>1186</v>
      </c>
      <c r="D368" s="2" t="s">
        <v>13</v>
      </c>
      <c r="E368" s="2" t="s">
        <v>836</v>
      </c>
      <c r="F368" s="2">
        <v>0.0</v>
      </c>
      <c r="G368" s="2">
        <v>500.0</v>
      </c>
      <c r="H368" s="3" t="str">
        <f>HYPERLINK("http://www.linkedin.com/in/xavierbaars","http://www.linkedin.com/in/xavierbaars")</f>
        <v>http://www.linkedin.com/in/xavierbaars</v>
      </c>
      <c r="I368" s="2" t="s">
        <v>15</v>
      </c>
      <c r="J368" s="2" t="s">
        <v>837</v>
      </c>
      <c r="K368" s="2" t="s">
        <v>22</v>
      </c>
    </row>
    <row r="369" ht="15.75" customHeight="1">
      <c r="A369" s="2">
        <v>220294.0</v>
      </c>
      <c r="B369" s="2" t="s">
        <v>1187</v>
      </c>
      <c r="C369" s="2" t="s">
        <v>1188</v>
      </c>
      <c r="D369" s="2" t="s">
        <v>1189</v>
      </c>
      <c r="E369" s="2" t="s">
        <v>1190</v>
      </c>
      <c r="F369" s="2" t="s">
        <v>13</v>
      </c>
      <c r="G369" s="2">
        <v>228.0</v>
      </c>
      <c r="H369" s="3" t="str">
        <f>HYPERLINK("http://www.linkedin.com/pub/tania-peck/8/491/823","http://www.linkedin.com/pub/tania-peck/8/491/823")</f>
        <v>http://www.linkedin.com/pub/tania-peck/8/491/823</v>
      </c>
      <c r="I369" s="2" t="s">
        <v>470</v>
      </c>
      <c r="J369" s="2" t="s">
        <v>102</v>
      </c>
      <c r="K369" s="2" t="s">
        <v>1191</v>
      </c>
    </row>
    <row r="370" ht="15.75" customHeight="1">
      <c r="A370" s="2">
        <v>220367.0</v>
      </c>
      <c r="B370" s="2" t="s">
        <v>1192</v>
      </c>
      <c r="C370" s="2" t="s">
        <v>1193</v>
      </c>
      <c r="D370" s="2" t="s">
        <v>1194</v>
      </c>
      <c r="E370" s="2" t="s">
        <v>136</v>
      </c>
      <c r="F370" s="2">
        <v>15.0</v>
      </c>
      <c r="G370" s="2">
        <v>500.0</v>
      </c>
      <c r="H370" s="3" t="str">
        <f>HYPERLINK("http://www.linkedin.com/in/deekumar","http://www.linkedin.com/in/deekumar")</f>
        <v>http://www.linkedin.com/in/deekumar</v>
      </c>
      <c r="I370" s="2" t="s">
        <v>48</v>
      </c>
      <c r="J370" s="2" t="s">
        <v>102</v>
      </c>
      <c r="K370" s="2" t="s">
        <v>35</v>
      </c>
    </row>
    <row r="371" ht="15.75" customHeight="1">
      <c r="A371" s="2">
        <v>220371.0</v>
      </c>
      <c r="B371" s="2" t="s">
        <v>540</v>
      </c>
      <c r="C371" s="2" t="s">
        <v>1195</v>
      </c>
      <c r="D371" s="2" t="s">
        <v>1196</v>
      </c>
      <c r="E371" s="2" t="s">
        <v>142</v>
      </c>
      <c r="F371" s="2">
        <v>2.0</v>
      </c>
      <c r="G371" s="2">
        <v>142.0</v>
      </c>
      <c r="H371" s="3" t="str">
        <f>HYPERLINK("http://www.linkedin.com/in/christiansarabia","http://www.linkedin.com/in/christiansarabia")</f>
        <v>http://www.linkedin.com/in/christiansarabia</v>
      </c>
      <c r="I371" s="2" t="s">
        <v>48</v>
      </c>
      <c r="J371" s="2" t="s">
        <v>144</v>
      </c>
      <c r="K371" s="2" t="s">
        <v>646</v>
      </c>
    </row>
    <row r="372" ht="15.75" customHeight="1">
      <c r="A372" s="2">
        <v>220577.0</v>
      </c>
      <c r="B372" s="2" t="s">
        <v>1197</v>
      </c>
      <c r="C372" s="2" t="s">
        <v>1198</v>
      </c>
      <c r="D372" s="2" t="s">
        <v>1199</v>
      </c>
      <c r="E372" s="2" t="s">
        <v>1200</v>
      </c>
      <c r="F372" s="2">
        <v>17.0</v>
      </c>
      <c r="G372" s="2">
        <v>500.0</v>
      </c>
      <c r="H372" s="3" t="str">
        <f>HYPERLINK("http://www.linkedin.com/in/bharatrecruitingsales","http://www.linkedin.com/in/bharatrecruitingsales")</f>
        <v>http://www.linkedin.com/in/bharatrecruitingsales</v>
      </c>
      <c r="I372" s="2" t="s">
        <v>248</v>
      </c>
      <c r="J372" s="2" t="s">
        <v>273</v>
      </c>
      <c r="K372" s="2" t="s">
        <v>22</v>
      </c>
    </row>
    <row r="373" ht="15.75" customHeight="1">
      <c r="A373" s="2">
        <v>220786.0</v>
      </c>
      <c r="B373" s="2" t="s">
        <v>1201</v>
      </c>
      <c r="C373" s="2" t="s">
        <v>1202</v>
      </c>
      <c r="D373" s="2" t="s">
        <v>835</v>
      </c>
      <c r="E373" s="2" t="s">
        <v>836</v>
      </c>
      <c r="F373" s="2">
        <v>8.0</v>
      </c>
      <c r="G373" s="2">
        <v>500.0</v>
      </c>
      <c r="H373" s="3" t="str">
        <f>HYPERLINK("http://www.linkedin.com/in/mvbreeuwer","http://www.linkedin.com/in/mvbreeuwer")</f>
        <v>http://www.linkedin.com/in/mvbreeuwer</v>
      </c>
      <c r="I373" s="2" t="s">
        <v>15</v>
      </c>
      <c r="J373" s="2" t="s">
        <v>837</v>
      </c>
      <c r="K373" s="2" t="s">
        <v>35</v>
      </c>
    </row>
    <row r="374" ht="15.75" customHeight="1">
      <c r="A374" s="2">
        <v>221626.0</v>
      </c>
      <c r="B374" s="2" t="s">
        <v>1203</v>
      </c>
      <c r="C374" s="2" t="s">
        <v>1204</v>
      </c>
      <c r="D374" s="2" t="s">
        <v>1205</v>
      </c>
      <c r="E374" s="2" t="s">
        <v>836</v>
      </c>
      <c r="F374" s="2" t="s">
        <v>13</v>
      </c>
      <c r="G374" s="2">
        <v>500.0</v>
      </c>
      <c r="H374" s="3" t="str">
        <f>HYPERLINK("http://nl.linkedin.com/in/sjaakkoole","http://nl.linkedin.com/in/sjaakkoole")</f>
        <v>http://nl.linkedin.com/in/sjaakkoole</v>
      </c>
      <c r="I374" s="2" t="s">
        <v>15</v>
      </c>
      <c r="J374" s="2" t="s">
        <v>837</v>
      </c>
      <c r="K374" s="2" t="s">
        <v>35</v>
      </c>
    </row>
    <row r="375" ht="15.75" customHeight="1">
      <c r="A375" s="2">
        <v>221775.0</v>
      </c>
      <c r="B375" s="2" t="s">
        <v>1206</v>
      </c>
      <c r="C375" s="2" t="s">
        <v>1207</v>
      </c>
      <c r="D375" s="2" t="s">
        <v>1208</v>
      </c>
      <c r="E375" s="2" t="s">
        <v>1209</v>
      </c>
      <c r="F375" s="2">
        <v>5.0</v>
      </c>
      <c r="G375" s="2">
        <v>500.0</v>
      </c>
      <c r="H375" s="3" t="str">
        <f>HYPERLINK("http://de.linkedin.com/in/mheilijgers","http://de.linkedin.com/in/mheilijgers")</f>
        <v>http://de.linkedin.com/in/mheilijgers</v>
      </c>
      <c r="I375" s="2" t="s">
        <v>48</v>
      </c>
      <c r="J375" s="2" t="s">
        <v>102</v>
      </c>
      <c r="K375" s="2" t="s">
        <v>35</v>
      </c>
    </row>
    <row r="376" ht="15.75" customHeight="1">
      <c r="A376" s="2">
        <v>221869.0</v>
      </c>
      <c r="B376" s="2" t="s">
        <v>287</v>
      </c>
      <c r="C376" s="2" t="s">
        <v>1210</v>
      </c>
      <c r="D376" s="2" t="s">
        <v>1211</v>
      </c>
      <c r="E376" s="2" t="s">
        <v>450</v>
      </c>
      <c r="F376" s="2">
        <v>1.0</v>
      </c>
      <c r="G376" s="2">
        <v>167.0</v>
      </c>
      <c r="H376" s="3" t="str">
        <f>HYPERLINK("http://www.linkedin.com/pub/paul-kurella/3/B03/569","http://www.linkedin.com/pub/paul-kurella/3/B03/569")</f>
        <v>http://www.linkedin.com/pub/paul-kurella/3/B03/569</v>
      </c>
      <c r="I376" s="2" t="s">
        <v>681</v>
      </c>
      <c r="J376" s="2" t="s">
        <v>273</v>
      </c>
      <c r="K376" s="2" t="s">
        <v>58</v>
      </c>
    </row>
    <row r="377" ht="15.75" customHeight="1">
      <c r="A377" s="2">
        <v>222118.0</v>
      </c>
      <c r="B377" s="2" t="s">
        <v>754</v>
      </c>
      <c r="C377" s="2" t="s">
        <v>1212</v>
      </c>
      <c r="D377" s="2" t="s">
        <v>42</v>
      </c>
      <c r="E377" s="2" t="s">
        <v>1213</v>
      </c>
      <c r="F377" s="2" t="s">
        <v>13</v>
      </c>
      <c r="G377" s="2">
        <v>82.0</v>
      </c>
      <c r="H377" s="3" t="str">
        <f>HYPERLINK("http://www.linkedin.com/pub/greg-senkiw/4/92/735","http://www.linkedin.com/pub/greg-senkiw/4/92/735")</f>
        <v>http://www.linkedin.com/pub/greg-senkiw/4/92/735</v>
      </c>
      <c r="I377" s="2" t="s">
        <v>48</v>
      </c>
      <c r="J377" s="2" t="s">
        <v>102</v>
      </c>
      <c r="K377" s="2" t="s">
        <v>35</v>
      </c>
    </row>
    <row r="378" ht="15.75" customHeight="1">
      <c r="A378" s="2">
        <v>222309.0</v>
      </c>
      <c r="B378" s="2" t="s">
        <v>1214</v>
      </c>
      <c r="C378" s="2" t="s">
        <v>1215</v>
      </c>
      <c r="D378" s="2" t="s">
        <v>1216</v>
      </c>
      <c r="E378" s="2" t="s">
        <v>301</v>
      </c>
      <c r="F378" s="2">
        <v>3.0</v>
      </c>
      <c r="G378" s="2">
        <v>235.0</v>
      </c>
      <c r="H378" s="3" t="str">
        <f>HYPERLINK("http://www.linkedin.com/in/sonali","http://www.linkedin.com/in/sonali")</f>
        <v>http://www.linkedin.com/in/sonali</v>
      </c>
      <c r="I378" s="2" t="s">
        <v>15</v>
      </c>
      <c r="J378" s="2" t="s">
        <v>102</v>
      </c>
      <c r="K378" s="2" t="s">
        <v>35</v>
      </c>
    </row>
    <row r="379" ht="15.75" customHeight="1">
      <c r="A379" s="2">
        <v>222320.0</v>
      </c>
      <c r="B379" s="2" t="s">
        <v>1217</v>
      </c>
      <c r="C379" s="2" t="s">
        <v>1218</v>
      </c>
      <c r="D379" s="2" t="s">
        <v>1219</v>
      </c>
      <c r="E379" s="2" t="s">
        <v>1220</v>
      </c>
      <c r="F379" s="2" t="s">
        <v>13</v>
      </c>
      <c r="G379" s="2">
        <v>500.0</v>
      </c>
      <c r="H379" s="3" t="str">
        <f>HYPERLINK("http://uk.linkedin.com/in/ianmurphy","http://uk.linkedin.com/in/ianmurphy")</f>
        <v>http://uk.linkedin.com/in/ianmurphy</v>
      </c>
      <c r="I379" s="2" t="s">
        <v>15</v>
      </c>
      <c r="J379" s="2" t="s">
        <v>53</v>
      </c>
      <c r="K379" s="2" t="s">
        <v>35</v>
      </c>
    </row>
    <row r="380" ht="15.75" customHeight="1">
      <c r="A380" s="2">
        <v>222332.0</v>
      </c>
      <c r="B380" s="2" t="s">
        <v>1221</v>
      </c>
      <c r="C380" s="2" t="s">
        <v>1222</v>
      </c>
      <c r="D380" s="2" t="s">
        <v>13</v>
      </c>
      <c r="E380" s="2" t="s">
        <v>181</v>
      </c>
      <c r="F380" s="2">
        <v>0.0</v>
      </c>
      <c r="G380" s="2">
        <v>500.0</v>
      </c>
      <c r="H380" s="3" t="str">
        <f>HYPERLINK("https://www.linkedin.com/in/hakandulge","https://www.linkedin.com/in/hakandulge")</f>
        <v>https://www.linkedin.com/in/hakandulge</v>
      </c>
      <c r="I380" s="2" t="s">
        <v>77</v>
      </c>
      <c r="J380" s="2" t="s">
        <v>102</v>
      </c>
      <c r="K380" s="2" t="s">
        <v>97</v>
      </c>
    </row>
    <row r="381" ht="15.75" customHeight="1">
      <c r="A381" s="2">
        <v>222481.0</v>
      </c>
      <c r="B381" s="2" t="s">
        <v>710</v>
      </c>
      <c r="C381" s="2" t="s">
        <v>1223</v>
      </c>
      <c r="D381" s="2" t="s">
        <v>47</v>
      </c>
      <c r="E381" s="2" t="s">
        <v>1224</v>
      </c>
      <c r="F381" s="2">
        <v>13.0</v>
      </c>
      <c r="G381" s="2">
        <v>500.0</v>
      </c>
      <c r="H381" s="3" t="str">
        <f>HYPERLINK("http://uk.linkedin.com/in/jasoncremins","http://uk.linkedin.com/in/jasoncremins")</f>
        <v>http://uk.linkedin.com/in/jasoncremins</v>
      </c>
      <c r="I381" s="2" t="s">
        <v>15</v>
      </c>
      <c r="J381" s="2" t="s">
        <v>53</v>
      </c>
      <c r="K381" s="2" t="s">
        <v>35</v>
      </c>
    </row>
    <row r="382" ht="15.75" customHeight="1">
      <c r="A382" s="2">
        <v>222511.0</v>
      </c>
      <c r="B382" s="2" t="s">
        <v>1225</v>
      </c>
      <c r="C382" s="2" t="s">
        <v>1226</v>
      </c>
      <c r="D382" s="2" t="s">
        <v>1227</v>
      </c>
      <c r="E382" s="2" t="s">
        <v>101</v>
      </c>
      <c r="F382" s="2" t="s">
        <v>13</v>
      </c>
      <c r="G382" s="2">
        <v>500.0</v>
      </c>
      <c r="H382" s="3" t="str">
        <f>HYPERLINK("http://www.linkedin.com/in/nirmoskovitch","http://www.linkedin.com/in/nirmoskovitch")</f>
        <v>http://www.linkedin.com/in/nirmoskovitch</v>
      </c>
      <c r="I382" s="2" t="s">
        <v>15</v>
      </c>
      <c r="J382" s="2" t="s">
        <v>102</v>
      </c>
      <c r="K382" s="2" t="s">
        <v>35</v>
      </c>
    </row>
    <row r="383" ht="15.75" customHeight="1">
      <c r="A383" s="2">
        <v>222533.0</v>
      </c>
      <c r="B383" s="2" t="s">
        <v>1228</v>
      </c>
      <c r="C383" s="2" t="s">
        <v>1229</v>
      </c>
      <c r="D383" s="2" t="s">
        <v>47</v>
      </c>
      <c r="E383" s="2" t="s">
        <v>64</v>
      </c>
      <c r="F383" s="2" t="s">
        <v>13</v>
      </c>
      <c r="G383" s="2">
        <v>500.0</v>
      </c>
      <c r="H383" s="3" t="str">
        <f>HYPERLINK("http://fr.linkedin.com/in/philippecoupjambet","http://fr.linkedin.com/in/philippecoupjambet")</f>
        <v>http://fr.linkedin.com/in/philippecoupjambet</v>
      </c>
      <c r="I383" s="2" t="s">
        <v>69</v>
      </c>
      <c r="J383" s="2" t="s">
        <v>65</v>
      </c>
      <c r="K383" s="2" t="s">
        <v>35</v>
      </c>
    </row>
    <row r="384" ht="15.75" customHeight="1">
      <c r="A384" s="2">
        <v>222679.0</v>
      </c>
      <c r="B384" s="2" t="s">
        <v>1230</v>
      </c>
      <c r="C384" s="2" t="s">
        <v>1231</v>
      </c>
      <c r="D384" s="2" t="s">
        <v>114</v>
      </c>
      <c r="E384" s="2" t="s">
        <v>301</v>
      </c>
      <c r="F384" s="2" t="s">
        <v>13</v>
      </c>
      <c r="G384" s="2">
        <v>500.0</v>
      </c>
      <c r="H384" s="3" t="str">
        <f>HYPERLINK("http://www.linkedin.com/pub/alberto-prieto-alberto-bilingualresources-com/0/33/187","http://www.linkedin.com/pub/alberto-prieto-alberto-bilingualresources-com/0/33/187")</f>
        <v>http://www.linkedin.com/pub/alberto-prieto-alberto-bilingualresources-com/0/33/187</v>
      </c>
      <c r="I384" s="2" t="s">
        <v>248</v>
      </c>
      <c r="J384" s="2" t="s">
        <v>102</v>
      </c>
      <c r="K384" s="2" t="s">
        <v>196</v>
      </c>
    </row>
    <row r="385" ht="15.75" customHeight="1">
      <c r="A385" s="2">
        <v>222780.0</v>
      </c>
      <c r="B385" s="2" t="s">
        <v>1232</v>
      </c>
      <c r="C385" s="2" t="s">
        <v>1233</v>
      </c>
      <c r="D385" s="2" t="s">
        <v>42</v>
      </c>
      <c r="E385" s="2" t="s">
        <v>1234</v>
      </c>
      <c r="F385" s="2" t="s">
        <v>13</v>
      </c>
      <c r="G385" s="2">
        <v>243.0</v>
      </c>
      <c r="H385" s="3" t="str">
        <f>HYPERLINK("http://www.linkedin.com/in/rogercollins","http://www.linkedin.com/in/rogercollins")</f>
        <v>http://www.linkedin.com/in/rogercollins</v>
      </c>
      <c r="I385" s="2" t="s">
        <v>69</v>
      </c>
      <c r="J385" s="2" t="s">
        <v>102</v>
      </c>
      <c r="K385" s="2" t="s">
        <v>35</v>
      </c>
    </row>
    <row r="386" ht="15.75" customHeight="1">
      <c r="A386" s="2">
        <v>222867.0</v>
      </c>
      <c r="B386" s="2" t="s">
        <v>1235</v>
      </c>
      <c r="C386" s="2" t="s">
        <v>793</v>
      </c>
      <c r="D386" s="2"/>
      <c r="E386" s="2" t="s">
        <v>1236</v>
      </c>
      <c r="F386" s="2">
        <v>7.0</v>
      </c>
      <c r="G386" s="2">
        <v>500.0</v>
      </c>
      <c r="H386" s="3" t="str">
        <f>HYPERLINK("http://www.linkedin.com/pub/ramon-ray/0/56/298","http://www.linkedin.com/pub/ramon-ray/0/56/298")</f>
        <v>http://www.linkedin.com/pub/ramon-ray/0/56/298</v>
      </c>
      <c r="I386" s="2" t="s">
        <v>1237</v>
      </c>
      <c r="J386" s="2" t="s">
        <v>273</v>
      </c>
      <c r="K386" s="2" t="s">
        <v>22</v>
      </c>
    </row>
    <row r="387" ht="15.75" customHeight="1">
      <c r="A387" s="2">
        <v>223051.0</v>
      </c>
      <c r="B387" s="2" t="s">
        <v>1238</v>
      </c>
      <c r="C387" s="2" t="s">
        <v>1239</v>
      </c>
      <c r="D387" s="2" t="s">
        <v>1240</v>
      </c>
      <c r="E387" s="2" t="s">
        <v>1241</v>
      </c>
      <c r="F387" s="2" t="s">
        <v>13</v>
      </c>
      <c r="G387" s="2">
        <v>500.0</v>
      </c>
      <c r="H387" s="3" t="str">
        <f>HYPERLINK("http://fr.linkedin.com/in/olibou","http://fr.linkedin.com/in/olibou")</f>
        <v>http://fr.linkedin.com/in/olibou</v>
      </c>
      <c r="I387" s="2" t="s">
        <v>15</v>
      </c>
      <c r="J387" s="2" t="s">
        <v>65</v>
      </c>
      <c r="K387" s="2" t="s">
        <v>35</v>
      </c>
    </row>
    <row r="388" ht="15.75" customHeight="1">
      <c r="A388" s="2">
        <v>223409.0</v>
      </c>
      <c r="B388" s="2" t="s">
        <v>998</v>
      </c>
      <c r="C388" s="2" t="s">
        <v>1242</v>
      </c>
      <c r="D388" s="2" t="s">
        <v>1243</v>
      </c>
      <c r="E388" s="2" t="s">
        <v>1244</v>
      </c>
      <c r="F388" s="2" t="s">
        <v>13</v>
      </c>
      <c r="G388" s="2">
        <v>473.0</v>
      </c>
      <c r="H388" s="3" t="str">
        <f>HYPERLINK("http://nl.linkedin.com/in/samirelawadi","http://nl.linkedin.com/in/samirelawadi")</f>
        <v>http://nl.linkedin.com/in/samirelawadi</v>
      </c>
      <c r="I388" s="2" t="s">
        <v>15</v>
      </c>
      <c r="J388" s="2" t="s">
        <v>837</v>
      </c>
      <c r="K388" s="2" t="s">
        <v>35</v>
      </c>
    </row>
    <row r="389" ht="15.75" customHeight="1">
      <c r="A389" s="2">
        <v>223698.0</v>
      </c>
      <c r="B389" s="2" t="s">
        <v>285</v>
      </c>
      <c r="C389" s="2" t="s">
        <v>1245</v>
      </c>
      <c r="D389" s="2" t="s">
        <v>13</v>
      </c>
      <c r="E389" s="2" t="s">
        <v>122</v>
      </c>
      <c r="F389" s="2">
        <v>0.0</v>
      </c>
      <c r="G389" s="2">
        <v>500.0</v>
      </c>
      <c r="H389" s="3" t="str">
        <f>HYPERLINK("http://www.linkedin.com/in/marctaverner","http://www.linkedin.com/in/marctaverner")</f>
        <v>http://www.linkedin.com/in/marctaverner</v>
      </c>
      <c r="I389" s="2" t="s">
        <v>15</v>
      </c>
      <c r="J389" s="2" t="s">
        <v>53</v>
      </c>
      <c r="K389" s="2" t="s">
        <v>35</v>
      </c>
    </row>
    <row r="390" ht="15.75" customHeight="1">
      <c r="A390" s="2">
        <v>223948.0</v>
      </c>
      <c r="B390" s="2" t="s">
        <v>1246</v>
      </c>
      <c r="C390" s="2" t="s">
        <v>1247</v>
      </c>
      <c r="D390" s="2"/>
      <c r="E390" s="2" t="s">
        <v>791</v>
      </c>
      <c r="F390" s="2">
        <v>6.0</v>
      </c>
      <c r="G390" s="2">
        <v>500.0</v>
      </c>
      <c r="H390" s="3" t="str">
        <f>HYPERLINK("http://www.linkedin.com/pub/babar-khan/0/B55/46","http://www.linkedin.com/pub/babar-khan/0/B55/46")</f>
        <v>http://www.linkedin.com/pub/babar-khan/0/B55/46</v>
      </c>
      <c r="I390" s="2" t="s">
        <v>57</v>
      </c>
      <c r="J390" s="2" t="s">
        <v>575</v>
      </c>
      <c r="K390" s="2" t="s">
        <v>35</v>
      </c>
    </row>
    <row r="391" ht="15.75" customHeight="1">
      <c r="A391" s="2">
        <v>224069.0</v>
      </c>
      <c r="B391" s="2" t="s">
        <v>1248</v>
      </c>
      <c r="C391" s="2" t="s">
        <v>1249</v>
      </c>
      <c r="D391" s="2" t="s">
        <v>1250</v>
      </c>
      <c r="E391" s="2" t="s">
        <v>1251</v>
      </c>
      <c r="F391" s="2" t="s">
        <v>13</v>
      </c>
      <c r="G391" s="2">
        <v>500.0</v>
      </c>
      <c r="H391" s="3" t="str">
        <f>HYPERLINK("http://pt.linkedin.com/pub/nuno-patr%C3%ADcio/0/408/49","http://pt.linkedin.com/pub/nuno-patr%C3%ADcio/0/408/49")</f>
        <v>http://pt.linkedin.com/pub/nuno-patr%C3%ADcio/0/408/49</v>
      </c>
      <c r="I391" s="2" t="s">
        <v>77</v>
      </c>
      <c r="J391" s="2" t="s">
        <v>670</v>
      </c>
      <c r="K391" s="2" t="s">
        <v>97</v>
      </c>
    </row>
    <row r="392" ht="15.75" customHeight="1">
      <c r="A392" s="2">
        <v>224188.0</v>
      </c>
      <c r="B392" s="2" t="s">
        <v>784</v>
      </c>
      <c r="C392" s="2" t="s">
        <v>1252</v>
      </c>
      <c r="D392" s="2" t="s">
        <v>304</v>
      </c>
      <c r="E392" s="2" t="s">
        <v>1253</v>
      </c>
      <c r="F392" s="2">
        <v>5.0</v>
      </c>
      <c r="G392" s="2">
        <v>500.0</v>
      </c>
      <c r="H392" s="3" t="str">
        <f>HYPERLINK("http://www.linkedin.com/pub/jeff-clement/0/41A/5A5","http://www.linkedin.com/pub/jeff-clement/0/41A/5A5")</f>
        <v>http://www.linkedin.com/pub/jeff-clement/0/41A/5A5</v>
      </c>
      <c r="I392" s="2" t="s">
        <v>15</v>
      </c>
      <c r="J392" s="2" t="s">
        <v>102</v>
      </c>
      <c r="K392" s="2" t="s">
        <v>35</v>
      </c>
    </row>
    <row r="393" ht="15.75" customHeight="1">
      <c r="A393" s="2">
        <v>224256.0</v>
      </c>
      <c r="B393" s="2" t="s">
        <v>1254</v>
      </c>
      <c r="C393" s="2" t="s">
        <v>1255</v>
      </c>
      <c r="D393" s="2" t="s">
        <v>13</v>
      </c>
      <c r="E393" s="2" t="s">
        <v>1256</v>
      </c>
      <c r="F393" s="2">
        <v>0.0</v>
      </c>
      <c r="G393" s="2">
        <v>500.0</v>
      </c>
      <c r="H393" s="3" t="str">
        <f>HYPERLINK("http://www.linkedin.com/pub/rick-lemieux/0/A01/5A0","http://www.linkedin.com/pub/rick-lemieux/0/A01/5A0")</f>
        <v>http://www.linkedin.com/pub/rick-lemieux/0/A01/5A0</v>
      </c>
      <c r="I393" s="2" t="s">
        <v>15</v>
      </c>
      <c r="J393" s="2" t="s">
        <v>102</v>
      </c>
      <c r="K393" s="2" t="s">
        <v>35</v>
      </c>
    </row>
    <row r="394" ht="15.75" customHeight="1">
      <c r="A394" s="2">
        <v>224421.0</v>
      </c>
      <c r="B394" s="2" t="s">
        <v>412</v>
      </c>
      <c r="C394" s="2" t="s">
        <v>1257</v>
      </c>
      <c r="D394" s="2" t="s">
        <v>1258</v>
      </c>
      <c r="E394" s="2" t="s">
        <v>748</v>
      </c>
      <c r="F394" s="2">
        <v>2.0</v>
      </c>
      <c r="G394" s="2">
        <v>165.0</v>
      </c>
      <c r="H394" s="3" t="str">
        <f>HYPERLINK("http://www.linkedin.com/in/robertdrummondvideo","http://www.linkedin.com/in/robertdrummondvideo")</f>
        <v>http://www.linkedin.com/in/robertdrummondvideo</v>
      </c>
      <c r="I394" s="2" t="s">
        <v>1259</v>
      </c>
      <c r="J394" s="2" t="s">
        <v>28</v>
      </c>
      <c r="K394" s="2" t="s">
        <v>58</v>
      </c>
    </row>
    <row r="395" ht="15.75" customHeight="1">
      <c r="A395" s="2">
        <v>224470.0</v>
      </c>
      <c r="B395" s="2" t="s">
        <v>1260</v>
      </c>
      <c r="C395" s="2" t="s">
        <v>1261</v>
      </c>
      <c r="D395" s="2" t="s">
        <v>1262</v>
      </c>
      <c r="E395" s="2" t="s">
        <v>1263</v>
      </c>
      <c r="F395" s="2">
        <v>22.0</v>
      </c>
      <c r="G395" s="2">
        <v>500.0</v>
      </c>
      <c r="H395" s="3" t="str">
        <f>HYPERLINK("http://www.linkedin.com/pub/darren-crocker/2/325/194","http://www.linkedin.com/pub/darren-crocker/2/325/194")</f>
        <v>http://www.linkedin.com/pub/darren-crocker/2/325/194</v>
      </c>
      <c r="I395" s="2" t="s">
        <v>77</v>
      </c>
      <c r="J395" s="2" t="s">
        <v>273</v>
      </c>
      <c r="K395" s="2" t="s">
        <v>145</v>
      </c>
    </row>
    <row r="396" ht="15.75" customHeight="1">
      <c r="A396" s="2">
        <v>224512.0</v>
      </c>
      <c r="B396" s="2" t="s">
        <v>291</v>
      </c>
      <c r="C396" s="2" t="s">
        <v>1264</v>
      </c>
      <c r="D396" s="2" t="s">
        <v>400</v>
      </c>
      <c r="E396" s="2" t="s">
        <v>251</v>
      </c>
      <c r="F396" s="2">
        <v>10.0</v>
      </c>
      <c r="G396" s="2">
        <v>500.0</v>
      </c>
      <c r="H396" s="3" t="str">
        <f>HYPERLINK("http://www.linkedin.com/pub/gary-langley/0/430/58","http://www.linkedin.com/pub/gary-langley/0/430/58")</f>
        <v>http://www.linkedin.com/pub/gary-langley/0/430/58</v>
      </c>
      <c r="I396" s="2" t="s">
        <v>57</v>
      </c>
      <c r="J396" s="2" t="s">
        <v>102</v>
      </c>
      <c r="K396" s="2" t="s">
        <v>58</v>
      </c>
    </row>
    <row r="397" ht="15.75" customHeight="1">
      <c r="A397" s="2">
        <v>224513.0</v>
      </c>
      <c r="B397" s="2" t="s">
        <v>1265</v>
      </c>
      <c r="C397" s="2" t="s">
        <v>1266</v>
      </c>
      <c r="D397" s="2" t="s">
        <v>309</v>
      </c>
      <c r="E397" s="2" t="s">
        <v>1267</v>
      </c>
      <c r="F397" s="2">
        <v>0.0</v>
      </c>
      <c r="G397" s="2">
        <v>500.0</v>
      </c>
      <c r="H397" s="3" t="str">
        <f>HYPERLINK("http://www.linkedin.com/pub/joanne-stoner/0/4A0/BB0","http://www.linkedin.com/pub/joanne-stoner/0/4A0/BB0")</f>
        <v>http://www.linkedin.com/pub/joanne-stoner/0/4A0/BB0</v>
      </c>
      <c r="I397" s="2" t="s">
        <v>57</v>
      </c>
      <c r="J397" s="2" t="s">
        <v>1268</v>
      </c>
      <c r="K397" s="2" t="s">
        <v>168</v>
      </c>
    </row>
    <row r="398" ht="15.75" customHeight="1">
      <c r="A398" s="2">
        <v>224524.0</v>
      </c>
      <c r="B398" s="2" t="s">
        <v>754</v>
      </c>
      <c r="C398" s="2" t="s">
        <v>1269</v>
      </c>
      <c r="D398" s="2" t="s">
        <v>959</v>
      </c>
      <c r="E398" s="2" t="s">
        <v>101</v>
      </c>
      <c r="F398" s="2">
        <v>5.0</v>
      </c>
      <c r="G398" s="2">
        <v>500.0</v>
      </c>
      <c r="H398" s="3" t="str">
        <f>HYPERLINK("http://www.linkedin.com/in/gregcomrie","http://www.linkedin.com/in/gregcomrie")</f>
        <v>http://www.linkedin.com/in/gregcomrie</v>
      </c>
      <c r="I398" s="2" t="s">
        <v>15</v>
      </c>
      <c r="J398" s="2" t="s">
        <v>102</v>
      </c>
      <c r="K398" s="2" t="s">
        <v>35</v>
      </c>
    </row>
    <row r="399" ht="15.75" customHeight="1">
      <c r="A399" s="2">
        <v>224543.0</v>
      </c>
      <c r="B399" s="2" t="s">
        <v>1071</v>
      </c>
      <c r="C399" s="2" t="s">
        <v>1270</v>
      </c>
      <c r="D399" s="2" t="s">
        <v>1271</v>
      </c>
      <c r="E399" s="2" t="s">
        <v>301</v>
      </c>
      <c r="F399" s="2">
        <v>20.0</v>
      </c>
      <c r="G399" s="2">
        <v>500.0</v>
      </c>
      <c r="H399" s="3" t="str">
        <f>HYPERLINK("http://www.linkedin.com/in/ericthal","http://www.linkedin.com/in/ericthal")</f>
        <v>http://www.linkedin.com/in/ericthal</v>
      </c>
      <c r="I399" s="2" t="s">
        <v>15</v>
      </c>
      <c r="J399" s="2" t="s">
        <v>102</v>
      </c>
      <c r="K399" s="2" t="s">
        <v>35</v>
      </c>
    </row>
    <row r="400" ht="15.75" customHeight="1">
      <c r="A400" s="2">
        <v>224883.0</v>
      </c>
      <c r="B400" s="2" t="s">
        <v>1272</v>
      </c>
      <c r="C400" s="2" t="s">
        <v>1273</v>
      </c>
      <c r="D400" s="2" t="s">
        <v>1274</v>
      </c>
      <c r="E400" s="2" t="s">
        <v>136</v>
      </c>
      <c r="F400" s="2" t="s">
        <v>13</v>
      </c>
      <c r="G400" s="2">
        <v>500.0</v>
      </c>
      <c r="H400" s="3" t="str">
        <f>HYPERLINK("http://www.linkedin.com/in/rjvissers","http://www.linkedin.com/in/rjvissers")</f>
        <v>http://www.linkedin.com/in/rjvissers</v>
      </c>
      <c r="I400" s="2" t="s">
        <v>48</v>
      </c>
      <c r="J400" s="2" t="s">
        <v>102</v>
      </c>
      <c r="K400" s="2" t="s">
        <v>35</v>
      </c>
    </row>
    <row r="401" ht="15.75" customHeight="1">
      <c r="A401" s="2">
        <v>225023.0</v>
      </c>
      <c r="B401" s="2" t="s">
        <v>1275</v>
      </c>
      <c r="C401" s="2" t="s">
        <v>1276</v>
      </c>
      <c r="D401" s="2" t="s">
        <v>1277</v>
      </c>
      <c r="E401" s="2" t="s">
        <v>951</v>
      </c>
      <c r="F401" s="2">
        <v>0.0</v>
      </c>
      <c r="G401" s="2">
        <v>47.0</v>
      </c>
      <c r="H401" s="3" t="str">
        <f>HYPERLINK("http://www.linkedin.com/in/bradmcmonigle","http://www.linkedin.com/in/bradmcmonigle")</f>
        <v>http://www.linkedin.com/in/bradmcmonigle</v>
      </c>
      <c r="I401" s="2" t="s">
        <v>1278</v>
      </c>
      <c r="J401" s="2" t="s">
        <v>952</v>
      </c>
      <c r="K401" s="2" t="s">
        <v>357</v>
      </c>
    </row>
    <row r="402" ht="15.75" customHeight="1">
      <c r="A402" s="2">
        <v>225185.0</v>
      </c>
      <c r="B402" s="2" t="s">
        <v>1279</v>
      </c>
      <c r="C402" s="2" t="s">
        <v>1280</v>
      </c>
      <c r="D402" s="2" t="s">
        <v>1281</v>
      </c>
      <c r="E402" s="2" t="s">
        <v>101</v>
      </c>
      <c r="F402" s="2">
        <v>3.0</v>
      </c>
      <c r="G402" s="2">
        <v>500.0</v>
      </c>
      <c r="H402" s="3" t="str">
        <f>HYPERLINK("http://www.linkedin.com/in/ashleycarman","http://www.linkedin.com/in/ashleycarman")</f>
        <v>http://www.linkedin.com/in/ashleycarman</v>
      </c>
      <c r="I402" s="2" t="s">
        <v>48</v>
      </c>
      <c r="J402" s="2" t="s">
        <v>102</v>
      </c>
      <c r="K402" s="2" t="s">
        <v>35</v>
      </c>
    </row>
    <row r="403" ht="15.75" customHeight="1">
      <c r="A403" s="2">
        <v>225444.0</v>
      </c>
      <c r="B403" s="2" t="s">
        <v>1282</v>
      </c>
      <c r="C403" s="2" t="s">
        <v>1283</v>
      </c>
      <c r="D403" s="2" t="s">
        <v>13</v>
      </c>
      <c r="E403" s="2" t="s">
        <v>136</v>
      </c>
      <c r="F403" s="2">
        <v>0.0</v>
      </c>
      <c r="G403" s="2">
        <v>500.0</v>
      </c>
      <c r="H403" s="3" t="str">
        <f>HYPERLINK("http://www.linkedin.com/pub/ruchit-g-garg/0/442/78a?trk=pub-pbmap","http://www.linkedin.com/pub/ruchit-g-garg/0/442/78a?trk=pub-pbmap")</f>
        <v>http://www.linkedin.com/pub/ruchit-g-garg/0/442/78a?trk=pub-pbmap</v>
      </c>
      <c r="I403" s="2" t="s">
        <v>69</v>
      </c>
      <c r="J403" s="2" t="s">
        <v>102</v>
      </c>
      <c r="K403" s="2" t="s">
        <v>35</v>
      </c>
    </row>
    <row r="404" ht="15.75" customHeight="1">
      <c r="A404" s="2">
        <v>226109.0</v>
      </c>
      <c r="B404" s="2" t="s">
        <v>1284</v>
      </c>
      <c r="C404" s="2" t="s">
        <v>288</v>
      </c>
      <c r="D404" s="2" t="s">
        <v>1285</v>
      </c>
      <c r="E404" s="2" t="s">
        <v>909</v>
      </c>
      <c r="F404" s="2">
        <v>15.0</v>
      </c>
      <c r="G404" s="2">
        <v>500.0</v>
      </c>
      <c r="H404" s="3" t="str">
        <f>HYPERLINK("http://www.linkedin.com/in/anthonyldavis","http://www.linkedin.com/in/anthonyldavis")</f>
        <v>http://www.linkedin.com/in/anthonyldavis</v>
      </c>
      <c r="I404" s="2" t="s">
        <v>374</v>
      </c>
      <c r="J404" s="2" t="s">
        <v>273</v>
      </c>
      <c r="K404" s="2" t="s">
        <v>35</v>
      </c>
    </row>
    <row r="405" ht="15.75" customHeight="1">
      <c r="A405" s="2">
        <v>226181.0</v>
      </c>
      <c r="B405" s="2" t="s">
        <v>433</v>
      </c>
      <c r="C405" s="2" t="s">
        <v>1286</v>
      </c>
      <c r="D405" s="2" t="s">
        <v>1287</v>
      </c>
      <c r="E405" s="2" t="s">
        <v>1288</v>
      </c>
      <c r="F405" s="2">
        <v>3.0</v>
      </c>
      <c r="G405" s="2">
        <v>312.0</v>
      </c>
      <c r="H405" s="3" t="str">
        <f>HYPERLINK("http://uk.linkedin.com/pub/andy-monkhouse/3/263/204","http://uk.linkedin.com/pub/andy-monkhouse/3/263/204")</f>
        <v>http://uk.linkedin.com/pub/andy-monkhouse/3/263/204</v>
      </c>
      <c r="I405" s="2" t="s">
        <v>1094</v>
      </c>
      <c r="J405" s="2" t="s">
        <v>53</v>
      </c>
      <c r="K405" s="2" t="s">
        <v>35</v>
      </c>
    </row>
    <row r="406" ht="15.75" customHeight="1">
      <c r="A406" s="2">
        <v>226398.0</v>
      </c>
      <c r="B406" s="2" t="s">
        <v>1289</v>
      </c>
      <c r="C406" s="2" t="s">
        <v>1290</v>
      </c>
      <c r="D406" s="2"/>
      <c r="E406" s="2" t="s">
        <v>821</v>
      </c>
      <c r="F406" s="2">
        <v>0.0</v>
      </c>
      <c r="G406" s="2">
        <v>332.0</v>
      </c>
      <c r="H406" s="3" t="str">
        <f>HYPERLINK("http://uk.linkedin.com/pub/cliff-scobie/0/A76/5B9","http://uk.linkedin.com/pub/cliff-scobie/0/A76/5B9")</f>
        <v>http://uk.linkedin.com/pub/cliff-scobie/0/A76/5B9</v>
      </c>
      <c r="I406" s="2" t="s">
        <v>248</v>
      </c>
      <c r="J406" s="2" t="s">
        <v>575</v>
      </c>
      <c r="K406" s="2" t="s">
        <v>522</v>
      </c>
    </row>
    <row r="407" ht="15.75" customHeight="1">
      <c r="A407" s="2">
        <v>226501.0</v>
      </c>
      <c r="B407" s="2" t="s">
        <v>1291</v>
      </c>
      <c r="C407" s="2" t="s">
        <v>1292</v>
      </c>
      <c r="D407" s="2" t="s">
        <v>1293</v>
      </c>
      <c r="E407" s="2" t="s">
        <v>1294</v>
      </c>
      <c r="F407" s="2">
        <v>8.0</v>
      </c>
      <c r="G407" s="2">
        <v>500.0</v>
      </c>
      <c r="H407" s="3" t="str">
        <f>HYPERLINK("http://www.linkedin.com/in/santoshdeme","http://www.linkedin.com/in/santoshdeme")</f>
        <v>http://www.linkedin.com/in/santoshdeme</v>
      </c>
      <c r="I407" s="2" t="s">
        <v>167</v>
      </c>
      <c r="J407" s="2" t="s">
        <v>273</v>
      </c>
      <c r="K407" s="2" t="s">
        <v>1176</v>
      </c>
    </row>
    <row r="408" ht="15.75" customHeight="1">
      <c r="A408" s="2">
        <v>226594.0</v>
      </c>
      <c r="B408" s="2" t="s">
        <v>511</v>
      </c>
      <c r="C408" s="2" t="s">
        <v>1295</v>
      </c>
      <c r="D408" s="2" t="s">
        <v>108</v>
      </c>
      <c r="E408" s="2" t="s">
        <v>836</v>
      </c>
      <c r="F408" s="2" t="s">
        <v>13</v>
      </c>
      <c r="G408" s="2">
        <v>500.0</v>
      </c>
      <c r="H408" s="3" t="str">
        <f>HYPERLINK("http://nl.linkedin.com/in/mcjansen","http://nl.linkedin.com/in/mcjansen")</f>
        <v>http://nl.linkedin.com/in/mcjansen</v>
      </c>
      <c r="I408" s="2" t="s">
        <v>48</v>
      </c>
      <c r="J408" s="2" t="s">
        <v>837</v>
      </c>
      <c r="K408" s="2" t="s">
        <v>35</v>
      </c>
    </row>
    <row r="409" ht="15.75" customHeight="1">
      <c r="A409" s="2">
        <v>226621.0</v>
      </c>
      <c r="B409" s="2" t="s">
        <v>1296</v>
      </c>
      <c r="C409" s="2" t="s">
        <v>1153</v>
      </c>
      <c r="D409" s="2" t="s">
        <v>1297</v>
      </c>
      <c r="E409" s="2" t="s">
        <v>142</v>
      </c>
      <c r="F409" s="2">
        <v>11.0</v>
      </c>
      <c r="G409" s="2">
        <v>500.0</v>
      </c>
      <c r="H409" s="3" t="str">
        <f>HYPERLINK("http://www.linkedin.com/in/andreakbrown","http://www.linkedin.com/in/andreakbrown")</f>
        <v>http://www.linkedin.com/in/andreakbrown</v>
      </c>
      <c r="I409" s="2" t="s">
        <v>865</v>
      </c>
      <c r="J409" s="2" t="s">
        <v>144</v>
      </c>
      <c r="K409" s="2" t="s">
        <v>522</v>
      </c>
    </row>
    <row r="410" ht="15.75" customHeight="1">
      <c r="A410" s="2">
        <v>226724.0</v>
      </c>
      <c r="B410" s="2" t="s">
        <v>1298</v>
      </c>
      <c r="C410" s="2" t="s">
        <v>1299</v>
      </c>
      <c r="D410" s="2" t="s">
        <v>13</v>
      </c>
      <c r="E410" s="2" t="s">
        <v>181</v>
      </c>
      <c r="F410" s="2">
        <v>0.0</v>
      </c>
      <c r="G410" s="2">
        <v>500.0</v>
      </c>
      <c r="H410" s="3" t="str">
        <f>HYPERLINK("http://www.linkedin.com/in/jeannebarnett","http://www.linkedin.com/in/jeannebarnett")</f>
        <v>http://www.linkedin.com/in/jeannebarnett</v>
      </c>
      <c r="I410" s="2" t="s">
        <v>69</v>
      </c>
      <c r="J410" s="2" t="s">
        <v>102</v>
      </c>
      <c r="K410" s="2" t="s">
        <v>35</v>
      </c>
    </row>
    <row r="411" ht="15.75" customHeight="1">
      <c r="A411" s="2">
        <v>226906.0</v>
      </c>
      <c r="B411" s="2" t="s">
        <v>1300</v>
      </c>
      <c r="C411" s="2" t="s">
        <v>1301</v>
      </c>
      <c r="D411" s="2" t="s">
        <v>1302</v>
      </c>
      <c r="E411" s="2" t="s">
        <v>283</v>
      </c>
      <c r="F411" s="2">
        <v>14.0</v>
      </c>
      <c r="G411" s="2">
        <v>500.0</v>
      </c>
      <c r="H411" s="3" t="str">
        <f>HYPERLINK("http://www.linkedin.com/pub/ross-berkowitz/5/8B9/4B9","http://www.linkedin.com/pub/ross-berkowitz/5/8B9/4B9")</f>
        <v>http://www.linkedin.com/pub/ross-berkowitz/5/8B9/4B9</v>
      </c>
      <c r="I411" s="2" t="s">
        <v>248</v>
      </c>
      <c r="J411" s="2" t="s">
        <v>273</v>
      </c>
      <c r="K411" s="2" t="s">
        <v>22</v>
      </c>
    </row>
    <row r="412" ht="15.75" customHeight="1">
      <c r="A412" s="2">
        <v>227285.0</v>
      </c>
      <c r="B412" s="2" t="s">
        <v>1265</v>
      </c>
      <c r="C412" s="2" t="s">
        <v>1303</v>
      </c>
      <c r="D412" s="2" t="s">
        <v>1304</v>
      </c>
      <c r="E412" s="2" t="s">
        <v>1305</v>
      </c>
      <c r="F412" s="2">
        <v>0.0</v>
      </c>
      <c r="G412" s="2">
        <v>500.0</v>
      </c>
      <c r="H412" s="3" t="str">
        <f>HYPERLINK("http://www.linkedin.com/in/joannepiscopo","http://www.linkedin.com/in/joannepiscopo")</f>
        <v>http://www.linkedin.com/in/joannepiscopo</v>
      </c>
      <c r="I412" s="2" t="s">
        <v>248</v>
      </c>
      <c r="J412" s="2" t="s">
        <v>273</v>
      </c>
      <c r="K412" s="2" t="s">
        <v>1306</v>
      </c>
    </row>
    <row r="413" ht="15.75" customHeight="1">
      <c r="A413" s="2">
        <v>227825.0</v>
      </c>
      <c r="B413" s="2" t="s">
        <v>412</v>
      </c>
      <c r="C413" s="2" t="s">
        <v>1307</v>
      </c>
      <c r="D413" s="2" t="s">
        <v>309</v>
      </c>
      <c r="E413" s="2" t="s">
        <v>1009</v>
      </c>
      <c r="F413" s="2">
        <v>3.0</v>
      </c>
      <c r="G413" s="2">
        <v>500.0</v>
      </c>
      <c r="H413" s="3" t="str">
        <f>HYPERLINK("http://www.linkedin.com/pub/robert-wilkinson/23/493/4","http://www.linkedin.com/pub/robert-wilkinson/23/493/4")</f>
        <v>http://www.linkedin.com/pub/robert-wilkinson/23/493/4</v>
      </c>
      <c r="I413" s="2" t="s">
        <v>579</v>
      </c>
      <c r="J413" s="2" t="s">
        <v>87</v>
      </c>
      <c r="K413" s="2" t="s">
        <v>1308</v>
      </c>
    </row>
    <row r="414" ht="15.75" customHeight="1">
      <c r="A414" s="2">
        <v>227828.0</v>
      </c>
      <c r="B414" s="2" t="s">
        <v>1309</v>
      </c>
      <c r="C414" s="2" t="s">
        <v>1310</v>
      </c>
      <c r="D414" s="2" t="s">
        <v>1311</v>
      </c>
      <c r="E414" s="2" t="s">
        <v>1312</v>
      </c>
      <c r="F414" s="2">
        <v>7.0</v>
      </c>
      <c r="G414" s="2">
        <v>500.0</v>
      </c>
      <c r="H414" s="3" t="str">
        <f>HYPERLINK("http://www.linkedin.com/pub/alfredo-angel/0/9/393","http://www.linkedin.com/pub/alfredo-angel/0/9/393")</f>
        <v>http://www.linkedin.com/pub/alfredo-angel/0/9/393</v>
      </c>
      <c r="I414" s="2" t="s">
        <v>77</v>
      </c>
      <c r="J414" s="2" t="s">
        <v>1313</v>
      </c>
      <c r="K414" s="2" t="s">
        <v>97</v>
      </c>
    </row>
    <row r="415" ht="15.75" customHeight="1">
      <c r="A415" s="2">
        <v>227842.0</v>
      </c>
      <c r="B415" s="2" t="s">
        <v>1314</v>
      </c>
      <c r="C415" s="2" t="s">
        <v>1315</v>
      </c>
      <c r="D415" s="2" t="s">
        <v>42</v>
      </c>
      <c r="E415" s="2" t="s">
        <v>155</v>
      </c>
      <c r="F415" s="2">
        <v>5.0</v>
      </c>
      <c r="G415" s="2">
        <v>500.0</v>
      </c>
      <c r="H415" s="3" t="str">
        <f>HYPERLINK("http://www.linkedin.com/in/statsuno","http://www.linkedin.com/in/statsuno")</f>
        <v>http://www.linkedin.com/in/statsuno</v>
      </c>
      <c r="I415" s="2" t="s">
        <v>57</v>
      </c>
      <c r="J415" s="2" t="s">
        <v>102</v>
      </c>
      <c r="K415" s="2" t="s">
        <v>58</v>
      </c>
    </row>
    <row r="416" ht="15.75" customHeight="1">
      <c r="A416" s="2">
        <v>227914.0</v>
      </c>
      <c r="B416" s="2" t="s">
        <v>11</v>
      </c>
      <c r="C416" s="2" t="s">
        <v>1316</v>
      </c>
      <c r="D416" s="2" t="s">
        <v>13</v>
      </c>
      <c r="E416" s="2" t="s">
        <v>1317</v>
      </c>
      <c r="F416" s="2">
        <v>0.0</v>
      </c>
      <c r="G416" s="2">
        <v>500.0</v>
      </c>
      <c r="H416" s="3" t="str">
        <f>HYPERLINK("http://www.linkedin.com/in/edhemphill","http://www.linkedin.com/in/edhemphill")</f>
        <v>http://www.linkedin.com/in/edhemphill</v>
      </c>
      <c r="I416" s="2" t="s">
        <v>15</v>
      </c>
      <c r="J416" s="2" t="s">
        <v>102</v>
      </c>
      <c r="K416" s="2" t="s">
        <v>35</v>
      </c>
    </row>
    <row r="417" ht="15.75" customHeight="1">
      <c r="A417" s="2">
        <v>228127.0</v>
      </c>
      <c r="B417" s="2" t="s">
        <v>1318</v>
      </c>
      <c r="C417" s="2" t="s">
        <v>1319</v>
      </c>
      <c r="D417" s="2" t="s">
        <v>1320</v>
      </c>
      <c r="E417" s="2" t="s">
        <v>1321</v>
      </c>
      <c r="F417" s="2">
        <v>2.0</v>
      </c>
      <c r="G417" s="2">
        <v>500.0</v>
      </c>
      <c r="H417" s="3" t="str">
        <f>HYPERLINK("http://www.linkedin.com/pub/walt-doyle/0/37/79B","http://www.linkedin.com/pub/walt-doyle/0/37/79B")</f>
        <v>http://www.linkedin.com/pub/walt-doyle/0/37/79B</v>
      </c>
      <c r="I417" s="2" t="s">
        <v>69</v>
      </c>
      <c r="J417" s="2" t="s">
        <v>102</v>
      </c>
      <c r="K417" s="2" t="s">
        <v>35</v>
      </c>
    </row>
    <row r="418" ht="15.75" customHeight="1">
      <c r="A418" s="2">
        <v>228434.0</v>
      </c>
      <c r="B418" s="2" t="s">
        <v>1322</v>
      </c>
      <c r="C418" s="2" t="s">
        <v>1323</v>
      </c>
      <c r="D418" s="2" t="s">
        <v>1324</v>
      </c>
      <c r="E418" s="2" t="s">
        <v>301</v>
      </c>
      <c r="F418" s="2" t="s">
        <v>13</v>
      </c>
      <c r="G418" s="2">
        <v>500.0</v>
      </c>
      <c r="H418" s="3" t="str">
        <f>HYPERLINK("http://www.linkedin.com/in/amargoel","http://www.linkedin.com/in/amargoel")</f>
        <v>http://www.linkedin.com/in/amargoel</v>
      </c>
      <c r="I418" s="2" t="s">
        <v>326</v>
      </c>
      <c r="J418" s="2" t="s">
        <v>102</v>
      </c>
      <c r="K418" s="2" t="s">
        <v>58</v>
      </c>
    </row>
    <row r="419" ht="15.75" customHeight="1">
      <c r="A419" s="2">
        <v>228740.0</v>
      </c>
      <c r="B419" s="2" t="s">
        <v>59</v>
      </c>
      <c r="C419" s="2" t="s">
        <v>1325</v>
      </c>
      <c r="D419" s="2" t="s">
        <v>13</v>
      </c>
      <c r="E419" s="2" t="s">
        <v>136</v>
      </c>
      <c r="F419" s="2">
        <v>0.0</v>
      </c>
      <c r="G419" s="2">
        <v>500.0</v>
      </c>
      <c r="H419" s="3" t="str">
        <f>HYPERLINK("https://www.linkedin.com/in/martinemiller","https://www.linkedin.com/in/martinemiller")</f>
        <v>https://www.linkedin.com/in/martinemiller</v>
      </c>
      <c r="I419" s="2" t="s">
        <v>48</v>
      </c>
      <c r="J419" s="2" t="s">
        <v>102</v>
      </c>
      <c r="K419" s="2" t="s">
        <v>35</v>
      </c>
    </row>
    <row r="420" ht="15.75" customHeight="1">
      <c r="A420" s="2">
        <v>228747.0</v>
      </c>
      <c r="B420" s="2" t="s">
        <v>1015</v>
      </c>
      <c r="C420" s="2" t="s">
        <v>1326</v>
      </c>
      <c r="D420" s="2" t="s">
        <v>1327</v>
      </c>
      <c r="E420" s="2" t="s">
        <v>301</v>
      </c>
      <c r="F420" s="2">
        <v>16.0</v>
      </c>
      <c r="G420" s="2">
        <v>500.0</v>
      </c>
      <c r="H420" s="3" t="str">
        <f>HYPERLINK("http://www.linkedin.com/pub/brian-o-connor/0/A54/6A3","http://www.linkedin.com/pub/brian-o-connor/0/A54/6A3")</f>
        <v>http://www.linkedin.com/pub/brian-o-connor/0/A54/6A3</v>
      </c>
      <c r="I420" s="2" t="s">
        <v>15</v>
      </c>
      <c r="J420" s="2" t="s">
        <v>102</v>
      </c>
      <c r="K420" s="2" t="s">
        <v>35</v>
      </c>
    </row>
    <row r="421" ht="15.75" customHeight="1">
      <c r="A421" s="2">
        <v>228770.0</v>
      </c>
      <c r="B421" s="2" t="s">
        <v>54</v>
      </c>
      <c r="C421" s="2" t="s">
        <v>1328</v>
      </c>
      <c r="D421" s="2" t="s">
        <v>517</v>
      </c>
      <c r="E421" s="2" t="s">
        <v>1329</v>
      </c>
      <c r="F421" s="2">
        <v>8.0</v>
      </c>
      <c r="G421" s="2">
        <v>500.0</v>
      </c>
      <c r="H421" s="3" t="str">
        <f>HYPERLINK("http://www.linkedin.com/in/garyslack","http://www.linkedin.com/in/garyslack")</f>
        <v>http://www.linkedin.com/in/garyslack</v>
      </c>
      <c r="I421" s="2" t="s">
        <v>105</v>
      </c>
      <c r="J421" s="2" t="s">
        <v>102</v>
      </c>
      <c r="K421" s="2" t="s">
        <v>58</v>
      </c>
    </row>
    <row r="422" ht="15.75" customHeight="1">
      <c r="A422" s="2">
        <v>229000.0</v>
      </c>
      <c r="B422" s="2" t="s">
        <v>1330</v>
      </c>
      <c r="C422" s="2" t="s">
        <v>1331</v>
      </c>
      <c r="D422" s="2" t="s">
        <v>1332</v>
      </c>
      <c r="E422" s="2" t="s">
        <v>301</v>
      </c>
      <c r="F422" s="2">
        <v>10.0</v>
      </c>
      <c r="G422" s="2">
        <v>500.0</v>
      </c>
      <c r="H422" s="3" t="str">
        <f>HYPERLINK("http://www.linkedin.com/in/vikramrchari","http://www.linkedin.com/in/vikramrchari")</f>
        <v>http://www.linkedin.com/in/vikramrchari</v>
      </c>
      <c r="I422" s="2" t="s">
        <v>195</v>
      </c>
      <c r="J422" s="2" t="s">
        <v>102</v>
      </c>
      <c r="K422" s="2" t="s">
        <v>196</v>
      </c>
    </row>
    <row r="423" ht="15.75" customHeight="1">
      <c r="A423" s="2">
        <v>229321.0</v>
      </c>
      <c r="B423" s="2" t="s">
        <v>511</v>
      </c>
      <c r="C423" s="2" t="s">
        <v>1333</v>
      </c>
      <c r="D423" s="2"/>
      <c r="E423" s="2" t="s">
        <v>1334</v>
      </c>
      <c r="F423" s="2">
        <v>1.0</v>
      </c>
      <c r="G423" s="2">
        <v>500.0</v>
      </c>
      <c r="H423" s="3" t="str">
        <f>HYPERLINK("http://www.linkedin.com/in/mikebrearley","http://www.linkedin.com/in/mikebrearley")</f>
        <v>http://www.linkedin.com/in/mikebrearley</v>
      </c>
      <c r="I423" s="2" t="s">
        <v>15</v>
      </c>
      <c r="J423" s="2" t="s">
        <v>16</v>
      </c>
      <c r="K423" s="2" t="s">
        <v>22</v>
      </c>
    </row>
    <row r="424" ht="15.75" customHeight="1">
      <c r="A424" s="2">
        <v>229392.0</v>
      </c>
      <c r="B424" s="2" t="s">
        <v>1335</v>
      </c>
      <c r="C424" s="2" t="s">
        <v>1336</v>
      </c>
      <c r="D424" s="2" t="s">
        <v>410</v>
      </c>
      <c r="E424" s="2" t="s">
        <v>301</v>
      </c>
      <c r="F424" s="2">
        <v>2.0</v>
      </c>
      <c r="G424" s="2">
        <v>378.0</v>
      </c>
      <c r="H424" s="3" t="str">
        <f>HYPERLINK("http://www.linkedin.com/in/jaf52","http://www.linkedin.com/in/jaf52")</f>
        <v>http://www.linkedin.com/in/jaf52</v>
      </c>
      <c r="I424" s="2" t="s">
        <v>279</v>
      </c>
      <c r="J424" s="2" t="s">
        <v>102</v>
      </c>
      <c r="K424" s="2" t="s">
        <v>58</v>
      </c>
    </row>
    <row r="425" ht="15.75" customHeight="1">
      <c r="A425" s="2">
        <v>229411.0</v>
      </c>
      <c r="B425" s="2" t="s">
        <v>1337</v>
      </c>
      <c r="C425" s="2" t="s">
        <v>1338</v>
      </c>
      <c r="D425" s="2" t="s">
        <v>1320</v>
      </c>
      <c r="E425" s="2" t="s">
        <v>278</v>
      </c>
      <c r="F425" s="2" t="s">
        <v>13</v>
      </c>
      <c r="G425" s="2">
        <v>500.0</v>
      </c>
      <c r="H425" s="3" t="str">
        <f>HYPERLINK("http://www.linkedin.com/pub/hong-hou/0/541/2A5","http://www.linkedin.com/pub/hong-hou/0/541/2A5")</f>
        <v>http://www.linkedin.com/pub/hong-hou/0/541/2A5</v>
      </c>
      <c r="I425" s="2" t="s">
        <v>167</v>
      </c>
      <c r="J425" s="2" t="s">
        <v>28</v>
      </c>
      <c r="K425" s="2" t="s">
        <v>522</v>
      </c>
    </row>
    <row r="426" ht="15.75" customHeight="1">
      <c r="A426" s="2">
        <v>229571.0</v>
      </c>
      <c r="B426" s="2" t="s">
        <v>1339</v>
      </c>
      <c r="C426" s="2" t="s">
        <v>1340</v>
      </c>
      <c r="D426" s="2" t="s">
        <v>81</v>
      </c>
      <c r="E426" s="2" t="s">
        <v>136</v>
      </c>
      <c r="F426" s="2" t="s">
        <v>13</v>
      </c>
      <c r="G426" s="2">
        <v>500.0</v>
      </c>
      <c r="H426" s="3" t="str">
        <f>HYPERLINK("http://www.linkedin.com/in/iyermani","http://www.linkedin.com/in/iyermani")</f>
        <v>http://www.linkedin.com/in/iyermani</v>
      </c>
      <c r="I426" s="2" t="s">
        <v>69</v>
      </c>
      <c r="J426" s="2" t="s">
        <v>102</v>
      </c>
      <c r="K426" s="2" t="s">
        <v>35</v>
      </c>
    </row>
    <row r="427" ht="15.75" customHeight="1">
      <c r="A427" s="2">
        <v>230196.0</v>
      </c>
      <c r="B427" s="2" t="s">
        <v>211</v>
      </c>
      <c r="C427" s="2" t="s">
        <v>1341</v>
      </c>
      <c r="D427" s="2" t="s">
        <v>1342</v>
      </c>
      <c r="E427" s="2" t="s">
        <v>136</v>
      </c>
      <c r="F427" s="2">
        <v>25.0</v>
      </c>
      <c r="G427" s="2">
        <v>500.0</v>
      </c>
      <c r="H427" s="3" t="str">
        <f>HYPERLINK("http://www.linkedin.com/in/susanmernit","http://www.linkedin.com/in/susanmernit")</f>
        <v>http://www.linkedin.com/in/susanmernit</v>
      </c>
      <c r="I427" s="2" t="s">
        <v>69</v>
      </c>
      <c r="J427" s="2" t="s">
        <v>102</v>
      </c>
      <c r="K427" s="2" t="s">
        <v>35</v>
      </c>
    </row>
    <row r="428" ht="15.75" customHeight="1">
      <c r="A428" s="2">
        <v>231193.0</v>
      </c>
      <c r="B428" s="2" t="s">
        <v>774</v>
      </c>
      <c r="C428" s="2" t="s">
        <v>1343</v>
      </c>
      <c r="D428" s="2" t="s">
        <v>400</v>
      </c>
      <c r="E428" s="2" t="s">
        <v>136</v>
      </c>
      <c r="F428" s="2">
        <v>17.0</v>
      </c>
      <c r="G428" s="2">
        <v>500.0</v>
      </c>
      <c r="H428" s="3" t="str">
        <f>HYPERLINK("http://www.linkedin.com/in/infinitysearch","http://www.linkedin.com/in/infinitysearch")</f>
        <v>http://www.linkedin.com/in/infinitysearch</v>
      </c>
      <c r="I428" s="2" t="s">
        <v>248</v>
      </c>
      <c r="J428" s="2" t="s">
        <v>102</v>
      </c>
      <c r="K428" s="2" t="s">
        <v>196</v>
      </c>
    </row>
    <row r="429" ht="15.75" customHeight="1">
      <c r="A429" s="2">
        <v>231264.0</v>
      </c>
      <c r="B429" s="2" t="s">
        <v>1344</v>
      </c>
      <c r="C429" s="2" t="s">
        <v>1345</v>
      </c>
      <c r="D429" s="2" t="s">
        <v>1073</v>
      </c>
      <c r="E429" s="2" t="s">
        <v>39</v>
      </c>
      <c r="F429" s="2">
        <v>0.0</v>
      </c>
      <c r="G429" s="2">
        <v>500.0</v>
      </c>
      <c r="H429" s="3" t="str">
        <f>HYPERLINK("http://www.linkedin.com/pub/renato-ajauskas/0/402/266","http://www.linkedin.com/pub/renato-ajauskas/0/402/266")</f>
        <v>http://www.linkedin.com/pub/renato-ajauskas/0/402/266</v>
      </c>
      <c r="I429" s="2" t="s">
        <v>48</v>
      </c>
      <c r="J429" s="2" t="s">
        <v>34</v>
      </c>
      <c r="K429" s="2" t="s">
        <v>35</v>
      </c>
    </row>
    <row r="430" ht="15.75" customHeight="1">
      <c r="A430" s="2">
        <v>231546.0</v>
      </c>
      <c r="B430" s="2" t="s">
        <v>1346</v>
      </c>
      <c r="C430" s="2" t="s">
        <v>1347</v>
      </c>
      <c r="D430" s="2"/>
      <c r="E430" s="2" t="s">
        <v>1348</v>
      </c>
      <c r="F430" s="2">
        <v>0.0</v>
      </c>
      <c r="G430" s="2">
        <v>207.0</v>
      </c>
      <c r="H430" s="3" t="str">
        <f>HYPERLINK("http://uk.linkedin.com/pub/jo-pighin/1/A9/6A9","http://uk.linkedin.com/pub/jo-pighin/1/A9/6A9")</f>
        <v>http://uk.linkedin.com/pub/jo-pighin/1/A9/6A9</v>
      </c>
      <c r="I430" s="2" t="s">
        <v>15</v>
      </c>
      <c r="J430" s="2" t="s">
        <v>575</v>
      </c>
      <c r="K430" s="2" t="s">
        <v>22</v>
      </c>
    </row>
    <row r="431" ht="15.75" customHeight="1">
      <c r="A431" s="2">
        <v>231588.0</v>
      </c>
      <c r="B431" s="2" t="s">
        <v>1349</v>
      </c>
      <c r="C431" s="2" t="s">
        <v>1350</v>
      </c>
      <c r="D431" s="2" t="s">
        <v>13</v>
      </c>
      <c r="E431" s="2" t="s">
        <v>1351</v>
      </c>
      <c r="F431" s="2">
        <v>0.0</v>
      </c>
      <c r="G431" s="2">
        <v>456.0</v>
      </c>
      <c r="H431" s="3" t="str">
        <f>HYPERLINK("http://www.linkedin.com/pub/gope-nagdev/1/168/516","http://www.linkedin.com/pub/gope-nagdev/1/168/516")</f>
        <v>http://www.linkedin.com/pub/gope-nagdev/1/168/516</v>
      </c>
      <c r="I431" s="2" t="s">
        <v>1352</v>
      </c>
      <c r="J431" s="2" t="s">
        <v>1353</v>
      </c>
      <c r="K431" s="2" t="s">
        <v>196</v>
      </c>
    </row>
    <row r="432" ht="15.75" customHeight="1">
      <c r="A432" s="2">
        <v>231763.0</v>
      </c>
      <c r="B432" s="2" t="s">
        <v>460</v>
      </c>
      <c r="C432" s="2" t="s">
        <v>1029</v>
      </c>
      <c r="D432" s="2" t="s">
        <v>47</v>
      </c>
      <c r="E432" s="2" t="s">
        <v>1041</v>
      </c>
      <c r="F432" s="2">
        <v>3.0</v>
      </c>
      <c r="G432" s="2">
        <v>500.0</v>
      </c>
      <c r="H432" s="3" t="str">
        <f>HYPERLINK("http://www.linkedin.com/in/johnalogan","http://www.linkedin.com/in/johnalogan")</f>
        <v>http://www.linkedin.com/in/johnalogan</v>
      </c>
      <c r="I432" s="2" t="s">
        <v>681</v>
      </c>
      <c r="J432" s="2" t="s">
        <v>102</v>
      </c>
      <c r="K432" s="2" t="s">
        <v>58</v>
      </c>
    </row>
    <row r="433" ht="15.75" customHeight="1">
      <c r="A433" s="2">
        <v>231918.0</v>
      </c>
      <c r="B433" s="2" t="s">
        <v>1354</v>
      </c>
      <c r="C433" s="2" t="s">
        <v>1355</v>
      </c>
      <c r="D433" s="2" t="s">
        <v>1356</v>
      </c>
      <c r="E433" s="2" t="s">
        <v>1357</v>
      </c>
      <c r="F433" s="2">
        <v>8.0</v>
      </c>
      <c r="G433" s="2">
        <v>500.0</v>
      </c>
      <c r="H433" s="3" t="str">
        <f>HYPERLINK("http://au.linkedin.com/in/istjepanovic","http://au.linkedin.com/in/istjepanovic")</f>
        <v>http://au.linkedin.com/in/istjepanovic</v>
      </c>
      <c r="I433" s="2" t="s">
        <v>48</v>
      </c>
      <c r="J433" s="2" t="s">
        <v>337</v>
      </c>
      <c r="K433" s="2" t="s">
        <v>35</v>
      </c>
    </row>
    <row r="434" ht="15.75" customHeight="1">
      <c r="A434" s="2">
        <v>232251.0</v>
      </c>
      <c r="B434" s="2" t="s">
        <v>1358</v>
      </c>
      <c r="C434" s="2" t="s">
        <v>1359</v>
      </c>
      <c r="D434" s="2" t="s">
        <v>1360</v>
      </c>
      <c r="E434" s="2" t="s">
        <v>1190</v>
      </c>
      <c r="F434" s="2">
        <v>6.0</v>
      </c>
      <c r="G434" s="2">
        <v>500.0</v>
      </c>
      <c r="H434" s="3" t="str">
        <f>HYPERLINK("http://www.linkedin.com/in/margueritebeaty","http://www.linkedin.com/in/margueritebeaty")</f>
        <v>http://www.linkedin.com/in/margueritebeaty</v>
      </c>
      <c r="I434" s="2" t="s">
        <v>1361</v>
      </c>
      <c r="J434" s="2" t="s">
        <v>102</v>
      </c>
      <c r="K434" s="2" t="s">
        <v>58</v>
      </c>
    </row>
    <row r="435" ht="15.75" customHeight="1">
      <c r="A435" s="2">
        <v>232451.0</v>
      </c>
      <c r="B435" s="2" t="s">
        <v>1362</v>
      </c>
      <c r="C435" s="2" t="s">
        <v>1363</v>
      </c>
      <c r="D435" s="2" t="s">
        <v>13</v>
      </c>
      <c r="E435" s="2" t="s">
        <v>136</v>
      </c>
      <c r="F435" s="2">
        <v>0.0</v>
      </c>
      <c r="G435" s="2">
        <v>500.0</v>
      </c>
      <c r="H435" s="3" t="str">
        <f>HYPERLINK("http://www.linkedin.com/in/williamgrosso","http://www.linkedin.com/in/williamgrosso")</f>
        <v>http://www.linkedin.com/in/williamgrosso</v>
      </c>
      <c r="I435" s="2" t="s">
        <v>48</v>
      </c>
      <c r="J435" s="2" t="s">
        <v>102</v>
      </c>
      <c r="K435" s="2" t="s">
        <v>35</v>
      </c>
    </row>
    <row r="436" ht="15.75" customHeight="1">
      <c r="A436" s="2">
        <v>232656.0</v>
      </c>
      <c r="B436" s="2" t="s">
        <v>133</v>
      </c>
      <c r="C436" s="2" t="s">
        <v>1364</v>
      </c>
      <c r="D436" s="2" t="s">
        <v>1365</v>
      </c>
      <c r="E436" s="2" t="s">
        <v>136</v>
      </c>
      <c r="F436" s="2">
        <v>3.0</v>
      </c>
      <c r="G436" s="2">
        <v>500.0</v>
      </c>
      <c r="H436" s="3" t="str">
        <f>HYPERLINK("http://www.linkedin.com/in/michaeldennissf","http://www.linkedin.com/in/michaeldennissf")</f>
        <v>http://www.linkedin.com/in/michaeldennissf</v>
      </c>
      <c r="I436" s="2" t="s">
        <v>77</v>
      </c>
      <c r="J436" s="2" t="s">
        <v>102</v>
      </c>
      <c r="K436" s="2" t="s">
        <v>97</v>
      </c>
    </row>
    <row r="437" ht="15.75" customHeight="1">
      <c r="A437" s="2">
        <v>232778.0</v>
      </c>
      <c r="B437" s="2" t="s">
        <v>1366</v>
      </c>
      <c r="C437" s="2" t="s">
        <v>1367</v>
      </c>
      <c r="D437" s="2" t="s">
        <v>47</v>
      </c>
      <c r="E437" s="2" t="s">
        <v>1368</v>
      </c>
      <c r="F437" s="2" t="s">
        <v>13</v>
      </c>
      <c r="G437" s="2">
        <v>500.0</v>
      </c>
      <c r="H437" s="3" t="str">
        <f>HYPERLINK("http://nl.linkedin.com/in/peterwent","http://nl.linkedin.com/in/peterwent")</f>
        <v>http://nl.linkedin.com/in/peterwent</v>
      </c>
      <c r="I437" s="2" t="s">
        <v>48</v>
      </c>
      <c r="J437" s="2" t="s">
        <v>837</v>
      </c>
      <c r="K437" s="2" t="s">
        <v>35</v>
      </c>
    </row>
    <row r="438" ht="15.75" customHeight="1">
      <c r="A438" s="2">
        <v>232828.0</v>
      </c>
      <c r="B438" s="2" t="s">
        <v>879</v>
      </c>
      <c r="C438" s="2" t="s">
        <v>1369</v>
      </c>
      <c r="D438" s="2"/>
      <c r="E438" s="2" t="s">
        <v>1370</v>
      </c>
      <c r="F438" s="2">
        <v>1.0</v>
      </c>
      <c r="G438" s="2">
        <v>107.0</v>
      </c>
      <c r="H438" s="3" t="str">
        <f>HYPERLINK("http://www.linkedin.com/in/rhayden","http://www.linkedin.com/in/rhayden")</f>
        <v>http://www.linkedin.com/in/rhayden</v>
      </c>
      <c r="I438" s="2" t="s">
        <v>629</v>
      </c>
      <c r="J438" s="2" t="s">
        <v>1371</v>
      </c>
      <c r="K438" s="2" t="s">
        <v>1372</v>
      </c>
    </row>
    <row r="439" ht="15.75" customHeight="1">
      <c r="A439" s="2">
        <v>233025.0</v>
      </c>
      <c r="B439" s="2" t="s">
        <v>275</v>
      </c>
      <c r="C439" s="2" t="s">
        <v>1373</v>
      </c>
      <c r="D439" s="2"/>
      <c r="E439" s="2" t="s">
        <v>1374</v>
      </c>
      <c r="F439" s="2">
        <v>0.0</v>
      </c>
      <c r="G439" s="2">
        <v>187.0</v>
      </c>
      <c r="H439" s="3" t="str">
        <f>HYPERLINK("http://www.linkedin.com/pub/mark-spargo/0/14/AA1","http://www.linkedin.com/pub/mark-spargo/0/14/AA1")</f>
        <v>http://www.linkedin.com/pub/mark-spargo/0/14/AA1</v>
      </c>
      <c r="I439" s="2" t="s">
        <v>167</v>
      </c>
      <c r="J439" s="2" t="s">
        <v>273</v>
      </c>
      <c r="K439" s="2" t="s">
        <v>168</v>
      </c>
    </row>
    <row r="440" ht="15.75" customHeight="1">
      <c r="A440" s="2">
        <v>233212.0</v>
      </c>
      <c r="B440" s="2" t="s">
        <v>1375</v>
      </c>
      <c r="C440" s="2" t="s">
        <v>1376</v>
      </c>
      <c r="D440" s="2" t="s">
        <v>309</v>
      </c>
      <c r="E440" s="2" t="s">
        <v>136</v>
      </c>
      <c r="F440" s="2">
        <v>37.0</v>
      </c>
      <c r="G440" s="2">
        <v>500.0</v>
      </c>
      <c r="H440" s="3" t="str">
        <f>HYPERLINK("http://in.linkedin.com/in/sureshsambandam","http://in.linkedin.com/in/sureshsambandam")</f>
        <v>http://in.linkedin.com/in/sureshsambandam</v>
      </c>
      <c r="I440" s="2" t="s">
        <v>48</v>
      </c>
      <c r="J440" s="2" t="s">
        <v>102</v>
      </c>
      <c r="K440" s="2" t="s">
        <v>35</v>
      </c>
    </row>
    <row r="441" ht="15.75" customHeight="1">
      <c r="A441" s="2">
        <v>233290.0</v>
      </c>
      <c r="B441" s="2" t="s">
        <v>1377</v>
      </c>
      <c r="C441" s="2" t="s">
        <v>1378</v>
      </c>
      <c r="D441" s="2" t="s">
        <v>42</v>
      </c>
      <c r="E441" s="2" t="s">
        <v>1379</v>
      </c>
      <c r="F441" s="2" t="s">
        <v>13</v>
      </c>
      <c r="G441" s="2">
        <v>500.0</v>
      </c>
      <c r="H441" s="3" t="str">
        <f>HYPERLINK("http://www.linkedin.com/pub/marty-kacin/0/2/949","http://www.linkedin.com/pub/marty-kacin/0/2/949")</f>
        <v>http://www.linkedin.com/pub/marty-kacin/0/2/949</v>
      </c>
      <c r="I441" s="2" t="s">
        <v>48</v>
      </c>
      <c r="J441" s="2" t="s">
        <v>102</v>
      </c>
      <c r="K441" s="2" t="s">
        <v>35</v>
      </c>
    </row>
    <row r="442" ht="15.75" customHeight="1">
      <c r="A442" s="2">
        <v>233296.0</v>
      </c>
      <c r="B442" s="2" t="s">
        <v>1380</v>
      </c>
      <c r="C442" s="2" t="s">
        <v>1381</v>
      </c>
      <c r="D442" s="2" t="s">
        <v>1382</v>
      </c>
      <c r="E442" s="2" t="s">
        <v>808</v>
      </c>
      <c r="F442" s="2">
        <v>19.0</v>
      </c>
      <c r="G442" s="2">
        <v>500.0</v>
      </c>
      <c r="H442" s="3" t="str">
        <f>HYPERLINK("http://www.linkedin.com/in/randellmiller","http://www.linkedin.com/in/randellmiller")</f>
        <v>http://www.linkedin.com/in/randellmiller</v>
      </c>
      <c r="I442" s="2" t="s">
        <v>696</v>
      </c>
      <c r="J442" s="2" t="s">
        <v>102</v>
      </c>
      <c r="K442" s="2" t="s">
        <v>97</v>
      </c>
    </row>
    <row r="443" ht="15.75" customHeight="1">
      <c r="A443" s="2">
        <v>233307.0</v>
      </c>
      <c r="B443" s="2" t="s">
        <v>1383</v>
      </c>
      <c r="C443" s="2" t="s">
        <v>1384</v>
      </c>
      <c r="D443" s="2" t="s">
        <v>410</v>
      </c>
      <c r="E443" s="2" t="s">
        <v>403</v>
      </c>
      <c r="F443" s="2">
        <v>19.0</v>
      </c>
      <c r="G443" s="2">
        <v>500.0</v>
      </c>
      <c r="H443" s="3" t="str">
        <f>HYPERLINK("http://ca.linkedin.com/in/georgiatsao1001","http://ca.linkedin.com/in/georgiatsao1001")</f>
        <v>http://ca.linkedin.com/in/georgiatsao1001</v>
      </c>
      <c r="I443" s="2" t="s">
        <v>458</v>
      </c>
      <c r="J443" s="2" t="s">
        <v>44</v>
      </c>
      <c r="K443" s="2" t="s">
        <v>196</v>
      </c>
    </row>
    <row r="444" ht="15.75" customHeight="1">
      <c r="A444" s="2">
        <v>234006.0</v>
      </c>
      <c r="B444" s="2" t="s">
        <v>1023</v>
      </c>
      <c r="C444" s="2" t="s">
        <v>540</v>
      </c>
      <c r="D444" s="2" t="s">
        <v>1385</v>
      </c>
      <c r="E444" s="2" t="s">
        <v>142</v>
      </c>
      <c r="F444" s="2">
        <v>20.0</v>
      </c>
      <c r="G444" s="2">
        <v>500.0</v>
      </c>
      <c r="H444" s="3" t="str">
        <f>HYPERLINK("http://www.linkedin.com/in/cameronchristian","http://www.linkedin.com/in/cameronchristian")</f>
        <v>http://www.linkedin.com/in/cameronchristian</v>
      </c>
      <c r="I444" s="2" t="s">
        <v>195</v>
      </c>
      <c r="J444" s="2" t="s">
        <v>144</v>
      </c>
      <c r="K444" s="2" t="s">
        <v>1386</v>
      </c>
    </row>
    <row r="445" ht="15.75" customHeight="1">
      <c r="A445" s="2">
        <v>234190.0</v>
      </c>
      <c r="B445" s="2" t="s">
        <v>1387</v>
      </c>
      <c r="C445" s="2" t="s">
        <v>1388</v>
      </c>
      <c r="D445" s="2" t="s">
        <v>1389</v>
      </c>
      <c r="E445" s="2" t="s">
        <v>1041</v>
      </c>
      <c r="F445" s="2">
        <v>143.0</v>
      </c>
      <c r="G445" s="2">
        <v>500.0</v>
      </c>
      <c r="H445" s="3" t="str">
        <f>HYPERLINK("http://www.linkedin.com/in/johnmartinoconnor","http://www.linkedin.com/in/johnmartinoconnor")</f>
        <v>http://www.linkedin.com/in/johnmartinoconnor</v>
      </c>
      <c r="I445" s="2" t="s">
        <v>1390</v>
      </c>
      <c r="J445" s="2" t="s">
        <v>102</v>
      </c>
      <c r="K445" s="2" t="s">
        <v>58</v>
      </c>
    </row>
    <row r="446" ht="15.75" customHeight="1">
      <c r="A446" s="2">
        <v>234383.0</v>
      </c>
      <c r="B446" s="2" t="s">
        <v>1391</v>
      </c>
      <c r="C446" s="2" t="s">
        <v>1392</v>
      </c>
      <c r="D446" s="2" t="s">
        <v>47</v>
      </c>
      <c r="E446" s="2" t="s">
        <v>136</v>
      </c>
      <c r="F446" s="2" t="s">
        <v>13</v>
      </c>
      <c r="G446" s="2">
        <v>500.0</v>
      </c>
      <c r="H446" s="3" t="str">
        <f>HYPERLINK("http://in.linkedin.com/in/santanub","http://in.linkedin.com/in/santanub")</f>
        <v>http://in.linkedin.com/in/santanub</v>
      </c>
      <c r="I446" s="2" t="s">
        <v>15</v>
      </c>
      <c r="J446" s="2" t="s">
        <v>102</v>
      </c>
      <c r="K446" s="2" t="s">
        <v>35</v>
      </c>
    </row>
    <row r="447" ht="15.75" customHeight="1">
      <c r="A447" s="2">
        <v>234411.0</v>
      </c>
      <c r="B447" s="2" t="s">
        <v>1393</v>
      </c>
      <c r="C447" s="2" t="s">
        <v>1394</v>
      </c>
      <c r="D447" s="2" t="s">
        <v>47</v>
      </c>
      <c r="E447" s="2" t="s">
        <v>235</v>
      </c>
      <c r="F447" s="2" t="s">
        <v>13</v>
      </c>
      <c r="G447" s="2">
        <v>467.0</v>
      </c>
      <c r="H447" s="3" t="str">
        <f>HYPERLINK("http://www.linkedin.com/pub/nessim-mezrahi/1/A98/61A","http://www.linkedin.com/pub/nessim-mezrahi/1/A98/61A")</f>
        <v>http://www.linkedin.com/pub/nessim-mezrahi/1/A98/61A</v>
      </c>
      <c r="I447" s="2" t="s">
        <v>621</v>
      </c>
      <c r="J447" s="2" t="s">
        <v>102</v>
      </c>
      <c r="K447" s="2" t="s">
        <v>58</v>
      </c>
    </row>
    <row r="448" ht="15.75" customHeight="1">
      <c r="A448" s="2">
        <v>234698.0</v>
      </c>
      <c r="B448" s="2" t="s">
        <v>302</v>
      </c>
      <c r="C448" s="2" t="s">
        <v>1395</v>
      </c>
      <c r="D448" s="2" t="s">
        <v>1396</v>
      </c>
      <c r="E448" s="2" t="s">
        <v>1397</v>
      </c>
      <c r="F448" s="2">
        <v>47.0</v>
      </c>
      <c r="G448" s="2">
        <v>500.0</v>
      </c>
      <c r="H448" s="3" t="str">
        <f>HYPERLINK("http://www.linkedin.com/in/billfowle","http://www.linkedin.com/in/billfowle")</f>
        <v>http://www.linkedin.com/in/billfowle</v>
      </c>
      <c r="I448" s="2" t="s">
        <v>1398</v>
      </c>
      <c r="J448" s="2" t="s">
        <v>16</v>
      </c>
      <c r="K448" s="2" t="s">
        <v>138</v>
      </c>
    </row>
    <row r="449" ht="15.75" customHeight="1">
      <c r="A449" s="2">
        <v>235190.0</v>
      </c>
      <c r="B449" s="2" t="s">
        <v>1399</v>
      </c>
      <c r="C449" s="2" t="s">
        <v>1400</v>
      </c>
      <c r="D449" s="2" t="s">
        <v>1401</v>
      </c>
      <c r="E449" s="2" t="s">
        <v>1402</v>
      </c>
      <c r="F449" s="2" t="s">
        <v>13</v>
      </c>
      <c r="G449" s="2">
        <v>500.0</v>
      </c>
      <c r="H449" s="3" t="str">
        <f>HYPERLINK("http://uk.linkedin.com/in/patilbhushan","http://uk.linkedin.com/in/patilbhushan")</f>
        <v>http://uk.linkedin.com/in/patilbhushan</v>
      </c>
      <c r="I449" s="2" t="s">
        <v>15</v>
      </c>
      <c r="J449" s="2" t="s">
        <v>53</v>
      </c>
      <c r="K449" s="2" t="s">
        <v>58</v>
      </c>
    </row>
    <row r="450" ht="15.75" customHeight="1">
      <c r="A450" s="2">
        <v>236107.0</v>
      </c>
      <c r="B450" s="2" t="s">
        <v>625</v>
      </c>
      <c r="C450" s="2" t="s">
        <v>1403</v>
      </c>
      <c r="D450" s="2" t="s">
        <v>47</v>
      </c>
      <c r="E450" s="2" t="s">
        <v>325</v>
      </c>
      <c r="F450" s="2" t="s">
        <v>13</v>
      </c>
      <c r="G450" s="2">
        <v>500.0</v>
      </c>
      <c r="H450" s="3" t="str">
        <f>HYPERLINK("http://ca.linkedin.com/pub/tim-thorsteinson/2/A15/605","http://ca.linkedin.com/pub/tim-thorsteinson/2/A15/605")</f>
        <v>http://ca.linkedin.com/pub/tim-thorsteinson/2/A15/605</v>
      </c>
      <c r="I450" s="2" t="s">
        <v>1012</v>
      </c>
      <c r="J450" s="2" t="s">
        <v>102</v>
      </c>
      <c r="K450" s="2" t="s">
        <v>58</v>
      </c>
    </row>
    <row r="451" ht="15.75" customHeight="1">
      <c r="A451" s="2">
        <v>236348.0</v>
      </c>
      <c r="B451" s="2" t="s">
        <v>1404</v>
      </c>
      <c r="C451" s="2" t="s">
        <v>548</v>
      </c>
      <c r="D451" s="2" t="s">
        <v>943</v>
      </c>
      <c r="E451" s="2" t="s">
        <v>142</v>
      </c>
      <c r="F451" s="2">
        <v>37.0</v>
      </c>
      <c r="G451" s="2">
        <v>500.0</v>
      </c>
      <c r="H451" s="3" t="str">
        <f>HYPERLINK("http://www.linkedin.com/in/bjcook","http://www.linkedin.com/in/bjcook")</f>
        <v>http://www.linkedin.com/in/bjcook</v>
      </c>
      <c r="I451" s="2" t="s">
        <v>105</v>
      </c>
      <c r="J451" s="2" t="s">
        <v>144</v>
      </c>
      <c r="K451" s="2" t="s">
        <v>35</v>
      </c>
    </row>
    <row r="452" ht="15.75" customHeight="1">
      <c r="A452" s="2">
        <v>236543.0</v>
      </c>
      <c r="B452" s="2" t="s">
        <v>1405</v>
      </c>
      <c r="C452" s="2" t="s">
        <v>1406</v>
      </c>
      <c r="D452" s="2" t="s">
        <v>13</v>
      </c>
      <c r="E452" s="2" t="s">
        <v>1407</v>
      </c>
      <c r="F452" s="2">
        <v>0.0</v>
      </c>
      <c r="G452" s="2">
        <v>500.0</v>
      </c>
      <c r="H452" s="3" t="str">
        <f>HYPERLINK("http://www.linkedin.com/in/ronflynn","http://www.linkedin.com/in/ronflynn")</f>
        <v>http://www.linkedin.com/in/ronflynn</v>
      </c>
      <c r="I452" s="2" t="s">
        <v>629</v>
      </c>
      <c r="J452" s="2" t="s">
        <v>102</v>
      </c>
      <c r="K452" s="2" t="s">
        <v>1408</v>
      </c>
    </row>
    <row r="453" ht="15.75" customHeight="1">
      <c r="A453" s="2">
        <v>236737.0</v>
      </c>
      <c r="B453" s="2" t="s">
        <v>1409</v>
      </c>
      <c r="C453" s="2" t="s">
        <v>1410</v>
      </c>
      <c r="D453" s="2" t="s">
        <v>289</v>
      </c>
      <c r="E453" s="2" t="s">
        <v>574</v>
      </c>
      <c r="F453" s="2">
        <v>9.0</v>
      </c>
      <c r="G453" s="2">
        <v>367.0</v>
      </c>
      <c r="H453" s="3" t="str">
        <f>HYPERLINK("http://in.linkedin.com/in/ashvannisrivastava","http://in.linkedin.com/in/ashvannisrivastava")</f>
        <v>http://in.linkedin.com/in/ashvannisrivastava</v>
      </c>
      <c r="I453" s="2" t="s">
        <v>15</v>
      </c>
      <c r="J453" s="2" t="s">
        <v>575</v>
      </c>
      <c r="K453" s="2" t="s">
        <v>22</v>
      </c>
    </row>
    <row r="454" ht="15.75" customHeight="1">
      <c r="A454" s="2">
        <v>236867.0</v>
      </c>
      <c r="B454" s="2" t="s">
        <v>1411</v>
      </c>
      <c r="C454" s="2" t="s">
        <v>1412</v>
      </c>
      <c r="D454" s="2" t="s">
        <v>1413</v>
      </c>
      <c r="E454" s="2" t="s">
        <v>1414</v>
      </c>
      <c r="F454" s="2" t="s">
        <v>13</v>
      </c>
      <c r="G454" s="2">
        <v>500.0</v>
      </c>
      <c r="H454" s="3" t="str">
        <f>HYPERLINK("http://uk.linkedin.com/in/gedcarroll","http://uk.linkedin.com/in/gedcarroll")</f>
        <v>http://uk.linkedin.com/in/gedcarroll</v>
      </c>
      <c r="I454" s="2" t="s">
        <v>105</v>
      </c>
      <c r="J454" s="2" t="s">
        <v>1047</v>
      </c>
      <c r="K454" s="2" t="s">
        <v>35</v>
      </c>
    </row>
    <row r="455" ht="15.75" customHeight="1">
      <c r="A455" s="2">
        <v>237362.0</v>
      </c>
      <c r="B455" s="2" t="s">
        <v>1415</v>
      </c>
      <c r="C455" s="2" t="s">
        <v>1416</v>
      </c>
      <c r="D455" s="2" t="s">
        <v>536</v>
      </c>
      <c r="E455" s="2" t="s">
        <v>783</v>
      </c>
      <c r="F455" s="2">
        <v>9.0</v>
      </c>
      <c r="G455" s="2">
        <v>500.0</v>
      </c>
      <c r="H455" s="3" t="str">
        <f>HYPERLINK("http://in.linkedin.com/in/mukindoggy","http://in.linkedin.com/in/mukindoggy")</f>
        <v>http://in.linkedin.com/in/mukindoggy</v>
      </c>
      <c r="I455" s="2" t="s">
        <v>15</v>
      </c>
      <c r="J455" s="2" t="s">
        <v>575</v>
      </c>
      <c r="K455" s="2" t="s">
        <v>22</v>
      </c>
    </row>
    <row r="456" ht="15.75" customHeight="1">
      <c r="A456" s="2">
        <v>238252.0</v>
      </c>
      <c r="B456" s="2" t="s">
        <v>1417</v>
      </c>
      <c r="C456" s="2" t="s">
        <v>1418</v>
      </c>
      <c r="D456" s="2" t="s">
        <v>1419</v>
      </c>
      <c r="E456" s="2" t="s">
        <v>1420</v>
      </c>
      <c r="F456" s="2">
        <v>9.0</v>
      </c>
      <c r="G456" s="2">
        <v>500.0</v>
      </c>
      <c r="H456" s="3" t="str">
        <f>HYPERLINK("http://www.linkedin.com/in/shortini","http://www.linkedin.com/in/shortini")</f>
        <v>http://www.linkedin.com/in/shortini</v>
      </c>
      <c r="I456" s="2" t="s">
        <v>1421</v>
      </c>
      <c r="J456" s="2" t="s">
        <v>16</v>
      </c>
      <c r="K456" s="2" t="s">
        <v>29</v>
      </c>
    </row>
    <row r="457" ht="15.75" customHeight="1">
      <c r="A457" s="2">
        <v>238447.0</v>
      </c>
      <c r="B457" s="2" t="s">
        <v>1422</v>
      </c>
      <c r="C457" s="2" t="s">
        <v>1423</v>
      </c>
      <c r="D457" s="2" t="s">
        <v>1424</v>
      </c>
      <c r="E457" s="2" t="s">
        <v>136</v>
      </c>
      <c r="F457" s="2" t="s">
        <v>13</v>
      </c>
      <c r="G457" s="2">
        <v>500.0</v>
      </c>
      <c r="H457" s="3" t="str">
        <f>HYPERLINK("http://www.linkedin.com/in/ronifontaine","http://www.linkedin.com/in/ronifontaine")</f>
        <v>http://www.linkedin.com/in/ronifontaine</v>
      </c>
      <c r="I457" s="2" t="s">
        <v>69</v>
      </c>
      <c r="J457" s="2" t="s">
        <v>102</v>
      </c>
      <c r="K457" s="2" t="s">
        <v>35</v>
      </c>
    </row>
    <row r="458" ht="15.75" customHeight="1">
      <c r="A458" s="2">
        <v>239002.0</v>
      </c>
      <c r="B458" s="2" t="s">
        <v>839</v>
      </c>
      <c r="C458" s="2" t="s">
        <v>1425</v>
      </c>
      <c r="D458" s="2" t="s">
        <v>1426</v>
      </c>
      <c r="E458" s="2" t="s">
        <v>1041</v>
      </c>
      <c r="F458" s="2" t="s">
        <v>13</v>
      </c>
      <c r="G458" s="2">
        <v>500.0</v>
      </c>
      <c r="H458" s="3" t="str">
        <f>HYPERLINK("http://www.linkedin.com/in/djlincoln","http://www.linkedin.com/in/djlincoln")</f>
        <v>http://www.linkedin.com/in/djlincoln</v>
      </c>
      <c r="I458" s="2" t="s">
        <v>119</v>
      </c>
      <c r="J458" s="2" t="s">
        <v>102</v>
      </c>
      <c r="K458" s="2" t="s">
        <v>97</v>
      </c>
    </row>
    <row r="459" ht="15.75" customHeight="1">
      <c r="A459" s="2">
        <v>239100.0</v>
      </c>
      <c r="B459" s="2" t="s">
        <v>1427</v>
      </c>
      <c r="C459" s="2" t="s">
        <v>1428</v>
      </c>
      <c r="D459" s="2" t="s">
        <v>1429</v>
      </c>
      <c r="E459" s="2" t="s">
        <v>1430</v>
      </c>
      <c r="F459" s="2">
        <v>18.0</v>
      </c>
      <c r="G459" s="2">
        <v>500.0</v>
      </c>
      <c r="H459" s="3" t="str">
        <f>HYPERLINK("http://pk.linkedin.com/in/mscrmexpert","http://pk.linkedin.com/in/mscrmexpert")</f>
        <v>http://pk.linkedin.com/in/mscrmexpert</v>
      </c>
      <c r="I459" s="2" t="s">
        <v>48</v>
      </c>
      <c r="J459" s="2" t="s">
        <v>1431</v>
      </c>
      <c r="K459" s="2" t="s">
        <v>35</v>
      </c>
    </row>
    <row r="460" ht="15.75" customHeight="1">
      <c r="A460" s="2">
        <v>239558.0</v>
      </c>
      <c r="B460" s="2" t="s">
        <v>1366</v>
      </c>
      <c r="C460" s="2" t="s">
        <v>1432</v>
      </c>
      <c r="D460" s="2" t="s">
        <v>1433</v>
      </c>
      <c r="E460" s="2" t="s">
        <v>1434</v>
      </c>
      <c r="F460" s="2">
        <v>1.0</v>
      </c>
      <c r="G460" s="2">
        <v>94.0</v>
      </c>
      <c r="H460" s="3" t="str">
        <f>HYPERLINK("http://www.linkedin.com/pub/peter-mccracken/1/199/48","http://www.linkedin.com/pub/peter-mccracken/1/199/48")</f>
        <v>http://www.linkedin.com/pub/peter-mccracken/1/199/48</v>
      </c>
      <c r="I460" s="2" t="s">
        <v>57</v>
      </c>
      <c r="J460" s="2" t="s">
        <v>28</v>
      </c>
      <c r="K460" s="2" t="s">
        <v>168</v>
      </c>
    </row>
    <row r="461" ht="15.75" customHeight="1">
      <c r="A461" s="2">
        <v>239566.0</v>
      </c>
      <c r="B461" s="2" t="s">
        <v>45</v>
      </c>
      <c r="C461" s="2" t="s">
        <v>1435</v>
      </c>
      <c r="D461" s="2" t="s">
        <v>1436</v>
      </c>
      <c r="E461" s="2" t="s">
        <v>136</v>
      </c>
      <c r="F461" s="2" t="s">
        <v>13</v>
      </c>
      <c r="G461" s="2">
        <v>500.0</v>
      </c>
      <c r="H461" s="3" t="str">
        <f>HYPERLINK("http://www.linkedin.com/in/carlosarmas","http://www.linkedin.com/in/carlosarmas")</f>
        <v>http://www.linkedin.com/in/carlosarmas</v>
      </c>
      <c r="I461" s="2" t="s">
        <v>873</v>
      </c>
      <c r="J461" s="2" t="s">
        <v>102</v>
      </c>
      <c r="K461" s="2" t="s">
        <v>58</v>
      </c>
    </row>
    <row r="462" ht="15.75" customHeight="1">
      <c r="A462" s="2">
        <v>239926.0</v>
      </c>
      <c r="B462" s="2" t="s">
        <v>1437</v>
      </c>
      <c r="C462" s="2" t="s">
        <v>1438</v>
      </c>
      <c r="D462" s="2" t="s">
        <v>1439</v>
      </c>
      <c r="E462" s="2" t="s">
        <v>1234</v>
      </c>
      <c r="F462" s="2">
        <v>4.0</v>
      </c>
      <c r="G462" s="2">
        <v>500.0</v>
      </c>
      <c r="H462" s="3" t="str">
        <f>HYPERLINK("http://www.linkedin.com/pub/al-haslam/2/535/501","http://www.linkedin.com/pub/al-haslam/2/535/501")</f>
        <v>http://www.linkedin.com/pub/al-haslam/2/535/501</v>
      </c>
      <c r="I462" s="2" t="s">
        <v>15</v>
      </c>
      <c r="J462" s="2" t="s">
        <v>102</v>
      </c>
      <c r="K462" s="2" t="s">
        <v>35</v>
      </c>
    </row>
    <row r="463" ht="15.75" customHeight="1">
      <c r="A463" s="2">
        <v>239931.0</v>
      </c>
      <c r="B463" s="2" t="s">
        <v>839</v>
      </c>
      <c r="C463" s="2" t="s">
        <v>1440</v>
      </c>
      <c r="D463" s="2" t="s">
        <v>1441</v>
      </c>
      <c r="E463" s="2" t="s">
        <v>836</v>
      </c>
      <c r="F463" s="2">
        <v>0.0</v>
      </c>
      <c r="G463" s="2">
        <v>500.0</v>
      </c>
      <c r="H463" s="3" t="str">
        <f>HYPERLINK("http://www.linkedin.com/in/davekiwi","http://www.linkedin.com/in/davekiwi")</f>
        <v>http://www.linkedin.com/in/davekiwi</v>
      </c>
      <c r="I463" s="2" t="s">
        <v>15</v>
      </c>
      <c r="J463" s="2" t="s">
        <v>837</v>
      </c>
      <c r="K463" s="2" t="s">
        <v>35</v>
      </c>
    </row>
    <row r="464" ht="15.75" customHeight="1">
      <c r="A464" s="2">
        <v>240773.0</v>
      </c>
      <c r="B464" s="2" t="s">
        <v>1442</v>
      </c>
      <c r="C464" s="2" t="s">
        <v>1443</v>
      </c>
      <c r="D464" s="2" t="s">
        <v>1444</v>
      </c>
      <c r="E464" s="2" t="s">
        <v>744</v>
      </c>
      <c r="F464" s="2" t="s">
        <v>13</v>
      </c>
      <c r="G464" s="2">
        <v>299.0</v>
      </c>
      <c r="H464" s="3" t="str">
        <f>HYPERLINK("http://www.linkedin.com/pub/artie-kaloz/7/240/92","http://www.linkedin.com/pub/artie-kaloz/7/240/92")</f>
        <v>http://www.linkedin.com/pub/artie-kaloz/7/240/92</v>
      </c>
      <c r="I464" s="2" t="s">
        <v>15</v>
      </c>
      <c r="J464" s="2" t="s">
        <v>102</v>
      </c>
      <c r="K464" s="2" t="s">
        <v>35</v>
      </c>
    </row>
    <row r="465" ht="15.75" customHeight="1">
      <c r="A465" s="2">
        <v>241157.0</v>
      </c>
      <c r="B465" s="2" t="s">
        <v>991</v>
      </c>
      <c r="C465" s="2" t="s">
        <v>1445</v>
      </c>
      <c r="D465" s="2" t="s">
        <v>1446</v>
      </c>
      <c r="E465" s="2" t="s">
        <v>403</v>
      </c>
      <c r="F465" s="2">
        <v>12.0</v>
      </c>
      <c r="G465" s="2">
        <v>500.0</v>
      </c>
      <c r="H465" s="3" t="str">
        <f>HYPERLINK("http://ca.linkedin.com/in/grahammarko","http://ca.linkedin.com/in/grahammarko")</f>
        <v>http://ca.linkedin.com/in/grahammarko</v>
      </c>
      <c r="I465" s="2" t="s">
        <v>48</v>
      </c>
      <c r="J465" s="2" t="s">
        <v>44</v>
      </c>
      <c r="K465" s="2" t="s">
        <v>35</v>
      </c>
    </row>
    <row r="466" ht="15.75" customHeight="1">
      <c r="A466" s="2">
        <v>241242.0</v>
      </c>
      <c r="B466" s="2" t="s">
        <v>1447</v>
      </c>
      <c r="C466" s="2" t="s">
        <v>1448</v>
      </c>
      <c r="D466" s="2" t="s">
        <v>1449</v>
      </c>
      <c r="E466" s="2" t="s">
        <v>142</v>
      </c>
      <c r="F466" s="2">
        <v>11.0</v>
      </c>
      <c r="G466" s="2">
        <v>500.0</v>
      </c>
      <c r="H466" s="3" t="str">
        <f>HYPERLINK("http://www.linkedin.com/in/caryking","http://www.linkedin.com/in/caryking")</f>
        <v>http://www.linkedin.com/in/caryking</v>
      </c>
      <c r="I466" s="2" t="s">
        <v>48</v>
      </c>
      <c r="J466" s="2" t="s">
        <v>144</v>
      </c>
      <c r="K466" s="2" t="s">
        <v>274</v>
      </c>
    </row>
    <row r="467" ht="15.75" customHeight="1">
      <c r="A467" s="2">
        <v>241468.0</v>
      </c>
      <c r="B467" s="2" t="s">
        <v>245</v>
      </c>
      <c r="C467" s="2" t="s">
        <v>1450</v>
      </c>
      <c r="D467" s="2" t="s">
        <v>1451</v>
      </c>
      <c r="E467" s="2" t="s">
        <v>136</v>
      </c>
      <c r="F467" s="2" t="s">
        <v>13</v>
      </c>
      <c r="G467" s="2">
        <v>387.0</v>
      </c>
      <c r="H467" s="3" t="str">
        <f>HYPERLINK("http://www.linkedin.com/in/stevenleung","http://www.linkedin.com/in/stevenleung")</f>
        <v>http://www.linkedin.com/in/stevenleung</v>
      </c>
      <c r="I467" s="2" t="s">
        <v>1452</v>
      </c>
      <c r="J467" s="2" t="s">
        <v>102</v>
      </c>
      <c r="K467" s="2" t="s">
        <v>35</v>
      </c>
    </row>
    <row r="468" ht="15.75" customHeight="1">
      <c r="A468" s="2">
        <v>241542.0</v>
      </c>
      <c r="B468" s="2" t="s">
        <v>754</v>
      </c>
      <c r="C468" s="2" t="s">
        <v>1218</v>
      </c>
      <c r="D468" s="2" t="s">
        <v>1453</v>
      </c>
      <c r="E468" s="2" t="s">
        <v>1370</v>
      </c>
      <c r="F468" s="2">
        <v>1.0</v>
      </c>
      <c r="G468" s="2">
        <v>457.0</v>
      </c>
      <c r="H468" s="3" t="str">
        <f>HYPERLINK("http://www.linkedin.com/in/gregmurphy","http://www.linkedin.com/in/gregmurphy")</f>
        <v>http://www.linkedin.com/in/gregmurphy</v>
      </c>
      <c r="I468" s="2" t="s">
        <v>27</v>
      </c>
      <c r="J468" s="2" t="s">
        <v>1371</v>
      </c>
      <c r="K468" s="2" t="s">
        <v>22</v>
      </c>
    </row>
    <row r="469" ht="15.75" customHeight="1">
      <c r="A469" s="2">
        <v>241915.0</v>
      </c>
      <c r="B469" s="2" t="s">
        <v>1454</v>
      </c>
      <c r="C469" s="2" t="s">
        <v>1455</v>
      </c>
      <c r="D469" s="2" t="s">
        <v>47</v>
      </c>
      <c r="E469" s="2" t="s">
        <v>808</v>
      </c>
      <c r="F469" s="2">
        <v>8.0</v>
      </c>
      <c r="G469" s="2">
        <v>500.0</v>
      </c>
      <c r="H469" s="3" t="str">
        <f>HYPERLINK("http://www.linkedin.com/in/arothman","http://www.linkedin.com/in/arothman")</f>
        <v>http://www.linkedin.com/in/arothman</v>
      </c>
      <c r="I469" s="2" t="s">
        <v>195</v>
      </c>
      <c r="J469" s="2" t="s">
        <v>102</v>
      </c>
      <c r="K469" s="2" t="s">
        <v>196</v>
      </c>
    </row>
    <row r="470" ht="15.75" customHeight="1">
      <c r="A470" s="2">
        <v>242163.0</v>
      </c>
      <c r="B470" s="2" t="s">
        <v>1456</v>
      </c>
      <c r="C470" s="2" t="s">
        <v>497</v>
      </c>
      <c r="D470" s="2" t="s">
        <v>1457</v>
      </c>
      <c r="E470" s="2" t="s">
        <v>39</v>
      </c>
      <c r="F470" s="2">
        <v>3.0</v>
      </c>
      <c r="G470" s="2">
        <v>500.0</v>
      </c>
      <c r="H470" s="3" t="str">
        <f>HYPERLINK("http://br.linkedin.com/pub/anderson-alves/2/54B/416","http://br.linkedin.com/pub/anderson-alves/2/54B/416")</f>
        <v>http://br.linkedin.com/pub/anderson-alves/2/54B/416</v>
      </c>
      <c r="I470" s="2" t="s">
        <v>57</v>
      </c>
      <c r="J470" s="2" t="s">
        <v>34</v>
      </c>
      <c r="K470" s="2" t="s">
        <v>58</v>
      </c>
    </row>
    <row r="471" ht="15.75" customHeight="1">
      <c r="A471" s="2">
        <v>242493.0</v>
      </c>
      <c r="B471" s="2" t="s">
        <v>1458</v>
      </c>
      <c r="C471" s="2" t="s">
        <v>1153</v>
      </c>
      <c r="D471" s="2" t="s">
        <v>444</v>
      </c>
      <c r="E471" s="2" t="s">
        <v>971</v>
      </c>
      <c r="F471" s="2">
        <v>10.0</v>
      </c>
      <c r="G471" s="2">
        <v>500.0</v>
      </c>
      <c r="H471" s="3" t="str">
        <f>HYPERLINK("http://www.linkedin.com/in/toddbrownaccesssciences","http://www.linkedin.com/in/toddbrownaccesssciences")</f>
        <v>http://www.linkedin.com/in/toddbrownaccesssciences</v>
      </c>
      <c r="I471" s="2" t="s">
        <v>15</v>
      </c>
      <c r="J471" s="2" t="s">
        <v>102</v>
      </c>
      <c r="K471" s="2" t="s">
        <v>35</v>
      </c>
    </row>
    <row r="472" ht="15.75" customHeight="1">
      <c r="A472" s="2">
        <v>242882.0</v>
      </c>
      <c r="B472" s="2" t="s">
        <v>1217</v>
      </c>
      <c r="C472" s="2" t="s">
        <v>1459</v>
      </c>
      <c r="D472" s="2" t="s">
        <v>42</v>
      </c>
      <c r="E472" s="2" t="s">
        <v>1460</v>
      </c>
      <c r="F472" s="2" t="s">
        <v>13</v>
      </c>
      <c r="G472" s="2">
        <v>500.0</v>
      </c>
      <c r="H472" s="3" t="str">
        <f>HYPERLINK("http://uk.linkedin.com/in/ianparkerjoseph","http://uk.linkedin.com/in/ianparkerjoseph")</f>
        <v>http://uk.linkedin.com/in/ianparkerjoseph</v>
      </c>
      <c r="I472" s="2" t="s">
        <v>15</v>
      </c>
      <c r="J472" s="2" t="s">
        <v>53</v>
      </c>
      <c r="K472" s="2" t="s">
        <v>35</v>
      </c>
    </row>
    <row r="473" ht="15.75" customHeight="1">
      <c r="A473" s="2">
        <v>242899.0</v>
      </c>
      <c r="B473" s="2" t="s">
        <v>1461</v>
      </c>
      <c r="C473" s="2" t="s">
        <v>1462</v>
      </c>
      <c r="D473" s="2" t="s">
        <v>47</v>
      </c>
      <c r="E473" s="2" t="s">
        <v>804</v>
      </c>
      <c r="F473" s="2">
        <v>21.0</v>
      </c>
      <c r="G473" s="2">
        <v>500.0</v>
      </c>
      <c r="H473" s="3" t="str">
        <f>HYPERLINK("http://www.linkedin.com/in/rosemary","http://www.linkedin.com/in/rosemary")</f>
        <v>http://www.linkedin.com/in/rosemary</v>
      </c>
      <c r="I473" s="2" t="s">
        <v>15</v>
      </c>
      <c r="J473" s="2" t="s">
        <v>102</v>
      </c>
      <c r="K473" s="2" t="s">
        <v>35</v>
      </c>
    </row>
    <row r="474" ht="15.75" customHeight="1">
      <c r="A474" s="2">
        <v>243060.0</v>
      </c>
      <c r="B474" s="2" t="s">
        <v>511</v>
      </c>
      <c r="C474" s="2" t="s">
        <v>1463</v>
      </c>
      <c r="D474" s="2" t="s">
        <v>114</v>
      </c>
      <c r="E474" s="2" t="s">
        <v>989</v>
      </c>
      <c r="F474" s="2" t="s">
        <v>13</v>
      </c>
      <c r="G474" s="2">
        <v>500.0</v>
      </c>
      <c r="H474" s="3" t="str">
        <f>HYPERLINK("http://www.linkedin.com/pub/mike-roth/0/6/357","http://www.linkedin.com/pub/mike-roth/0/6/357")</f>
        <v>http://www.linkedin.com/pub/mike-roth/0/6/357</v>
      </c>
      <c r="I474" s="2" t="s">
        <v>1390</v>
      </c>
      <c r="J474" s="2" t="s">
        <v>102</v>
      </c>
      <c r="K474" s="2" t="s">
        <v>58</v>
      </c>
    </row>
    <row r="475" ht="15.75" customHeight="1">
      <c r="A475" s="2">
        <v>243425.0</v>
      </c>
      <c r="B475" s="2" t="s">
        <v>631</v>
      </c>
      <c r="C475" s="2" t="s">
        <v>1464</v>
      </c>
      <c r="D475" s="2" t="s">
        <v>1465</v>
      </c>
      <c r="E475" s="2" t="s">
        <v>1466</v>
      </c>
      <c r="F475" s="2">
        <v>2.0</v>
      </c>
      <c r="G475" s="2">
        <v>500.0</v>
      </c>
      <c r="H475" s="3" t="str">
        <f>HYPERLINK("http://www.linkedin.com/pub/chris-longston/2/523/585","http://www.linkedin.com/pub/chris-longston/2/523/585")</f>
        <v>http://www.linkedin.com/pub/chris-longston/2/523/585</v>
      </c>
      <c r="I475" s="2" t="s">
        <v>422</v>
      </c>
      <c r="J475" s="2" t="s">
        <v>102</v>
      </c>
      <c r="K475" s="2" t="s">
        <v>183</v>
      </c>
    </row>
    <row r="476" ht="15.75" customHeight="1">
      <c r="A476" s="2">
        <v>243526.0</v>
      </c>
      <c r="B476" s="2" t="s">
        <v>1467</v>
      </c>
      <c r="C476" s="2" t="s">
        <v>1468</v>
      </c>
      <c r="D476" s="2" t="s">
        <v>1469</v>
      </c>
      <c r="E476" s="2" t="s">
        <v>235</v>
      </c>
      <c r="F476" s="2" t="s">
        <v>13</v>
      </c>
      <c r="G476" s="2">
        <v>500.0</v>
      </c>
      <c r="H476" s="3" t="str">
        <f>HYPERLINK("http://www.linkedin.com/in/mathewdovens","http://www.linkedin.com/in/mathewdovens")</f>
        <v>http://www.linkedin.com/in/mathewdovens</v>
      </c>
      <c r="I476" s="2" t="s">
        <v>69</v>
      </c>
      <c r="J476" s="2" t="s">
        <v>102</v>
      </c>
      <c r="K476" s="2" t="s">
        <v>35</v>
      </c>
    </row>
    <row r="477" ht="15.75" customHeight="1">
      <c r="A477" s="2">
        <v>243760.0</v>
      </c>
      <c r="B477" s="2" t="s">
        <v>1470</v>
      </c>
      <c r="C477" s="2" t="s">
        <v>1471</v>
      </c>
      <c r="D477" s="2" t="s">
        <v>1472</v>
      </c>
      <c r="E477" s="2" t="s">
        <v>1473</v>
      </c>
      <c r="F477" s="2">
        <v>5.0</v>
      </c>
      <c r="G477" s="2">
        <v>122.0</v>
      </c>
      <c r="H477" s="3" t="str">
        <f>HYPERLINK("http://www.linkedin.com/in/theinze","http://www.linkedin.com/in/theinze")</f>
        <v>http://www.linkedin.com/in/theinze</v>
      </c>
      <c r="I477" s="2" t="s">
        <v>69</v>
      </c>
      <c r="J477" s="2" t="s">
        <v>102</v>
      </c>
      <c r="K477" s="2" t="s">
        <v>35</v>
      </c>
    </row>
    <row r="478" ht="15.75" customHeight="1">
      <c r="A478" s="2">
        <v>243812.0</v>
      </c>
      <c r="B478" s="2" t="s">
        <v>752</v>
      </c>
      <c r="C478" s="2" t="s">
        <v>1474</v>
      </c>
      <c r="D478" s="2"/>
      <c r="E478" s="2" t="s">
        <v>909</v>
      </c>
      <c r="F478" s="2">
        <v>3.0</v>
      </c>
      <c r="G478" s="2">
        <v>220.0</v>
      </c>
      <c r="H478" s="3" t="str">
        <f>HYPERLINK("http://www.linkedin.com/in/jwphelan","http://www.linkedin.com/in/jwphelan")</f>
        <v>http://www.linkedin.com/in/jwphelan</v>
      </c>
      <c r="I478" s="2" t="s">
        <v>374</v>
      </c>
      <c r="J478" s="2" t="s">
        <v>273</v>
      </c>
      <c r="K478" s="2" t="s">
        <v>35</v>
      </c>
    </row>
    <row r="479" ht="15.75" customHeight="1">
      <c r="A479" s="2">
        <v>244279.0</v>
      </c>
      <c r="B479" s="2" t="s">
        <v>1475</v>
      </c>
      <c r="C479" s="2" t="s">
        <v>1476</v>
      </c>
      <c r="D479" s="2" t="s">
        <v>1477</v>
      </c>
      <c r="E479" s="2" t="s">
        <v>1478</v>
      </c>
      <c r="F479" s="2" t="s">
        <v>13</v>
      </c>
      <c r="G479" s="2">
        <v>446.0</v>
      </c>
      <c r="H479" s="3" t="str">
        <f>HYPERLINK("http://www.linkedin.com/pub/lisa-heck/23/616/928","http://www.linkedin.com/pub/lisa-heck/23/616/928")</f>
        <v>http://www.linkedin.com/pub/lisa-heck/23/616/928</v>
      </c>
      <c r="I479" s="2" t="s">
        <v>15</v>
      </c>
      <c r="J479" s="2" t="s">
        <v>102</v>
      </c>
      <c r="K479" s="2" t="s">
        <v>35</v>
      </c>
    </row>
    <row r="480" ht="15.75" customHeight="1">
      <c r="A480" s="2">
        <v>244381.0</v>
      </c>
      <c r="B480" s="2" t="s">
        <v>1479</v>
      </c>
      <c r="C480" s="2" t="s">
        <v>1480</v>
      </c>
      <c r="D480" s="2" t="s">
        <v>1481</v>
      </c>
      <c r="E480" s="2" t="s">
        <v>101</v>
      </c>
      <c r="F480" s="2" t="s">
        <v>13</v>
      </c>
      <c r="G480" s="2">
        <v>500.0</v>
      </c>
      <c r="H480" s="3" t="str">
        <f>HYPERLINK("http://www.linkedin.com/in/frankbaia","http://www.linkedin.com/in/frankbaia")</f>
        <v>http://www.linkedin.com/in/frankbaia</v>
      </c>
      <c r="I480" s="2" t="s">
        <v>105</v>
      </c>
      <c r="J480" s="2" t="s">
        <v>102</v>
      </c>
      <c r="K480" s="2" t="s">
        <v>58</v>
      </c>
    </row>
    <row r="481" ht="15.75" customHeight="1">
      <c r="A481" s="2">
        <v>244392.0</v>
      </c>
      <c r="B481" s="2" t="s">
        <v>414</v>
      </c>
      <c r="C481" s="2" t="s">
        <v>1482</v>
      </c>
      <c r="D481" s="2" t="s">
        <v>47</v>
      </c>
      <c r="E481" s="2" t="s">
        <v>136</v>
      </c>
      <c r="F481" s="2">
        <v>19.0</v>
      </c>
      <c r="G481" s="2">
        <v>500.0</v>
      </c>
      <c r="H481" s="3" t="str">
        <f>HYPERLINK("http://www.linkedin.com/pub/tom-thimot/0/308/988","http://www.linkedin.com/pub/tom-thimot/0/308/988")</f>
        <v>http://www.linkedin.com/pub/tom-thimot/0/308/988</v>
      </c>
      <c r="I481" s="2" t="s">
        <v>48</v>
      </c>
      <c r="J481" s="2" t="s">
        <v>102</v>
      </c>
      <c r="K481" s="2" t="s">
        <v>35</v>
      </c>
    </row>
    <row r="482" ht="15.75" customHeight="1">
      <c r="A482" s="2">
        <v>244557.0</v>
      </c>
      <c r="B482" s="2" t="s">
        <v>1483</v>
      </c>
      <c r="C482" s="2" t="s">
        <v>1484</v>
      </c>
      <c r="D482" s="2" t="s">
        <v>1485</v>
      </c>
      <c r="E482" s="2" t="s">
        <v>931</v>
      </c>
      <c r="F482" s="2">
        <v>9.0</v>
      </c>
      <c r="G482" s="2">
        <v>452.0</v>
      </c>
      <c r="H482" s="3" t="str">
        <f>HYPERLINK("http://uk.linkedin.com/in/trevorkennedy","http://uk.linkedin.com/in/trevorkennedy")</f>
        <v>http://uk.linkedin.com/in/trevorkennedy</v>
      </c>
      <c r="I482" s="2" t="s">
        <v>15</v>
      </c>
      <c r="J482" s="2" t="s">
        <v>53</v>
      </c>
      <c r="K482" s="2" t="s">
        <v>35</v>
      </c>
    </row>
    <row r="483" ht="15.75" customHeight="1">
      <c r="A483" s="2">
        <v>244611.0</v>
      </c>
      <c r="B483" s="2" t="s">
        <v>1486</v>
      </c>
      <c r="C483" s="2" t="s">
        <v>1487</v>
      </c>
      <c r="D483" s="2" t="s">
        <v>1488</v>
      </c>
      <c r="E483" s="2" t="s">
        <v>136</v>
      </c>
      <c r="F483" s="2">
        <v>5.0</v>
      </c>
      <c r="G483" s="2">
        <v>500.0</v>
      </c>
      <c r="H483" s="3" t="str">
        <f>HYPERLINK("http://www.linkedin.com/pub/amit-babaria/0/113/916","http://www.linkedin.com/pub/amit-babaria/0/113/916")</f>
        <v>http://www.linkedin.com/pub/amit-babaria/0/113/916</v>
      </c>
      <c r="I483" s="2" t="s">
        <v>1237</v>
      </c>
      <c r="J483" s="2" t="s">
        <v>102</v>
      </c>
      <c r="K483" s="2" t="s">
        <v>29</v>
      </c>
    </row>
    <row r="484" ht="15.75" customHeight="1">
      <c r="A484" s="2">
        <v>244621.0</v>
      </c>
      <c r="B484" s="2" t="s">
        <v>774</v>
      </c>
      <c r="C484" s="2" t="s">
        <v>1484</v>
      </c>
      <c r="D484" s="2" t="s">
        <v>47</v>
      </c>
      <c r="E484" s="2" t="s">
        <v>336</v>
      </c>
      <c r="F484" s="2">
        <v>1.0</v>
      </c>
      <c r="G484" s="2">
        <v>500.0</v>
      </c>
      <c r="H484" s="3" t="str">
        <f>HYPERLINK("http://au.linkedin.com/pub/bruce-kennedy/25/208/B51","http://au.linkedin.com/pub/bruce-kennedy/25/208/B51")</f>
        <v>http://au.linkedin.com/pub/bruce-kennedy/25/208/B51</v>
      </c>
      <c r="I484" s="2" t="s">
        <v>15</v>
      </c>
      <c r="J484" s="2" t="s">
        <v>337</v>
      </c>
      <c r="K484" s="2" t="s">
        <v>35</v>
      </c>
    </row>
    <row r="485" ht="15.75" customHeight="1">
      <c r="A485" s="2">
        <v>244676.0</v>
      </c>
      <c r="B485" s="2" t="s">
        <v>1489</v>
      </c>
      <c r="C485" s="2" t="s">
        <v>1490</v>
      </c>
      <c r="D485" s="2" t="s">
        <v>47</v>
      </c>
      <c r="E485" s="2" t="s">
        <v>136</v>
      </c>
      <c r="F485" s="2" t="s">
        <v>13</v>
      </c>
      <c r="G485" s="2">
        <v>275.0</v>
      </c>
      <c r="H485" s="3" t="str">
        <f>HYPERLINK("http://www.linkedin.com/pub/sherif-danish/0/39/B3A","http://www.linkedin.com/pub/sherif-danish/0/39/B3A")</f>
        <v>http://www.linkedin.com/pub/sherif-danish/0/39/B3A</v>
      </c>
      <c r="I485" s="2" t="s">
        <v>15</v>
      </c>
      <c r="J485" s="2" t="s">
        <v>102</v>
      </c>
      <c r="K485" s="2" t="s">
        <v>35</v>
      </c>
    </row>
    <row r="486" ht="15.75" customHeight="1">
      <c r="A486" s="2">
        <v>244753.0</v>
      </c>
      <c r="B486" s="2" t="s">
        <v>947</v>
      </c>
      <c r="C486" s="2" t="s">
        <v>1491</v>
      </c>
      <c r="D486" s="2" t="s">
        <v>1492</v>
      </c>
      <c r="E486" s="2" t="s">
        <v>301</v>
      </c>
      <c r="F486" s="2">
        <v>5.0</v>
      </c>
      <c r="G486" s="2">
        <v>500.0</v>
      </c>
      <c r="H486" s="3" t="str">
        <f>HYPERLINK("http://www.linkedin.com/in/glennplatkin","http://www.linkedin.com/in/glennplatkin")</f>
        <v>http://www.linkedin.com/in/glennplatkin</v>
      </c>
      <c r="I486" s="2" t="s">
        <v>48</v>
      </c>
      <c r="J486" s="2" t="s">
        <v>102</v>
      </c>
      <c r="K486" s="2" t="s">
        <v>35</v>
      </c>
    </row>
    <row r="487" ht="15.75" customHeight="1">
      <c r="A487" s="2">
        <v>244756.0</v>
      </c>
      <c r="B487" s="2" t="s">
        <v>998</v>
      </c>
      <c r="C487" s="2" t="s">
        <v>1493</v>
      </c>
      <c r="D487" s="2" t="s">
        <v>47</v>
      </c>
      <c r="E487" s="2" t="s">
        <v>136</v>
      </c>
      <c r="F487" s="2">
        <v>2.0</v>
      </c>
      <c r="G487" s="2">
        <v>500.0</v>
      </c>
      <c r="H487" s="3" t="str">
        <f>HYPERLINK("http://www.linkedin.com/in/raiyani","http://www.linkedin.com/in/raiyani")</f>
        <v>http://www.linkedin.com/in/raiyani</v>
      </c>
      <c r="I487" s="2" t="s">
        <v>1237</v>
      </c>
      <c r="J487" s="2" t="s">
        <v>102</v>
      </c>
      <c r="K487" s="2" t="s">
        <v>29</v>
      </c>
    </row>
    <row r="488" ht="15.75" customHeight="1">
      <c r="A488" s="2">
        <v>244785.0</v>
      </c>
      <c r="B488" s="2" t="s">
        <v>1173</v>
      </c>
      <c r="C488" s="2" t="s">
        <v>1494</v>
      </c>
      <c r="D488" s="2" t="s">
        <v>100</v>
      </c>
      <c r="E488" s="2" t="s">
        <v>1495</v>
      </c>
      <c r="F488" s="2">
        <v>2.0</v>
      </c>
      <c r="G488" s="2">
        <v>500.0</v>
      </c>
      <c r="H488" s="3" t="str">
        <f>HYPERLINK("http://www.linkedin.com/in/stevengaynor","http://www.linkedin.com/in/stevengaynor")</f>
        <v>http://www.linkedin.com/in/stevengaynor</v>
      </c>
      <c r="I488" s="2" t="s">
        <v>1496</v>
      </c>
      <c r="J488" s="2" t="s">
        <v>102</v>
      </c>
      <c r="K488" s="2" t="s">
        <v>97</v>
      </c>
    </row>
    <row r="489" ht="15.75" customHeight="1">
      <c r="A489" s="2">
        <v>244802.0</v>
      </c>
      <c r="B489" s="2" t="s">
        <v>1497</v>
      </c>
      <c r="C489" s="2" t="s">
        <v>1498</v>
      </c>
      <c r="D489" s="2" t="s">
        <v>304</v>
      </c>
      <c r="E489" s="2" t="s">
        <v>259</v>
      </c>
      <c r="F489" s="2">
        <v>26.0</v>
      </c>
      <c r="G489" s="2">
        <v>500.0</v>
      </c>
      <c r="H489" s="3" t="str">
        <f>HYPERLINK("http://www.linkedin.com/in/linktoroy","http://www.linkedin.com/in/linktoroy")</f>
        <v>http://www.linkedin.com/in/linktoroy</v>
      </c>
      <c r="I489" s="2" t="s">
        <v>612</v>
      </c>
      <c r="J489" s="2" t="s">
        <v>144</v>
      </c>
      <c r="K489" s="2" t="s">
        <v>58</v>
      </c>
    </row>
    <row r="490" ht="15.75" customHeight="1">
      <c r="A490" s="2">
        <v>244889.0</v>
      </c>
      <c r="B490" s="2" t="s">
        <v>1499</v>
      </c>
      <c r="C490" s="2" t="s">
        <v>1500</v>
      </c>
      <c r="D490" s="2" t="s">
        <v>1501</v>
      </c>
      <c r="E490" s="2" t="s">
        <v>136</v>
      </c>
      <c r="F490" s="2" t="s">
        <v>13</v>
      </c>
      <c r="G490" s="2">
        <v>500.0</v>
      </c>
      <c r="H490" s="3" t="str">
        <f>HYPERLINK("http://www.linkedin.com/pub/adrian-hodgson/2/156/550","http://www.linkedin.com/pub/adrian-hodgson/2/156/550")</f>
        <v>http://www.linkedin.com/pub/adrian-hodgson/2/156/550</v>
      </c>
      <c r="I490" s="2" t="s">
        <v>119</v>
      </c>
      <c r="J490" s="2" t="s">
        <v>102</v>
      </c>
      <c r="K490" s="2" t="s">
        <v>97</v>
      </c>
    </row>
    <row r="491" ht="15.75" customHeight="1">
      <c r="A491" s="2">
        <v>244982.0</v>
      </c>
      <c r="B491" s="2" t="s">
        <v>640</v>
      </c>
      <c r="C491" s="2" t="s">
        <v>1502</v>
      </c>
      <c r="D491" s="2" t="s">
        <v>517</v>
      </c>
      <c r="E491" s="2" t="s">
        <v>301</v>
      </c>
      <c r="F491" s="2" t="s">
        <v>13</v>
      </c>
      <c r="G491" s="2">
        <v>500.0</v>
      </c>
      <c r="H491" s="3" t="str">
        <f>HYPERLINK("http://de.linkedin.com/pub/joshua-cohen/2/769/211","http://de.linkedin.com/pub/joshua-cohen/2/769/211")</f>
        <v>http://de.linkedin.com/pub/joshua-cohen/2/769/211</v>
      </c>
      <c r="I491" s="2" t="s">
        <v>69</v>
      </c>
      <c r="J491" s="2" t="s">
        <v>102</v>
      </c>
      <c r="K491" s="2" t="s">
        <v>35</v>
      </c>
    </row>
    <row r="492" ht="15.75" customHeight="1">
      <c r="A492" s="2">
        <v>245056.0</v>
      </c>
      <c r="B492" s="2" t="s">
        <v>146</v>
      </c>
      <c r="C492" s="2" t="s">
        <v>1503</v>
      </c>
      <c r="D492" s="2" t="s">
        <v>1145</v>
      </c>
      <c r="E492" s="2" t="s">
        <v>301</v>
      </c>
      <c r="F492" s="2">
        <v>11.0</v>
      </c>
      <c r="G492" s="2">
        <v>500.0</v>
      </c>
      <c r="H492" s="3" t="str">
        <f>HYPERLINK("http://www.linkedin.com/in/smartconnections","http://www.linkedin.com/in/smartconnections")</f>
        <v>http://www.linkedin.com/in/smartconnections</v>
      </c>
      <c r="I492" s="2" t="s">
        <v>248</v>
      </c>
      <c r="J492" s="2" t="s">
        <v>102</v>
      </c>
      <c r="K492" s="2" t="s">
        <v>196</v>
      </c>
    </row>
    <row r="493" ht="15.75" customHeight="1">
      <c r="A493" s="2">
        <v>245067.0</v>
      </c>
      <c r="B493" s="2" t="s">
        <v>605</v>
      </c>
      <c r="C493" s="2" t="s">
        <v>1504</v>
      </c>
      <c r="D493" s="2" t="s">
        <v>47</v>
      </c>
      <c r="E493" s="2" t="s">
        <v>136</v>
      </c>
      <c r="F493" s="2">
        <v>3.0</v>
      </c>
      <c r="G493" s="2">
        <v>500.0</v>
      </c>
      <c r="H493" s="3" t="str">
        <f>HYPERLINK("http://www.linkedin.com/in/rangulo","http://www.linkedin.com/in/rangulo")</f>
        <v>http://www.linkedin.com/in/rangulo</v>
      </c>
      <c r="I493" s="2" t="s">
        <v>326</v>
      </c>
      <c r="J493" s="2" t="s">
        <v>102</v>
      </c>
      <c r="K493" s="2" t="s">
        <v>58</v>
      </c>
    </row>
    <row r="494" ht="15.75" customHeight="1">
      <c r="A494" s="2">
        <v>245139.0</v>
      </c>
      <c r="B494" s="2" t="s">
        <v>1505</v>
      </c>
      <c r="C494" s="2" t="s">
        <v>1506</v>
      </c>
      <c r="D494" s="2" t="s">
        <v>751</v>
      </c>
      <c r="E494" s="2" t="s">
        <v>301</v>
      </c>
      <c r="F494" s="2">
        <v>5.0</v>
      </c>
      <c r="G494" s="2">
        <v>240.0</v>
      </c>
      <c r="H494" s="3" t="str">
        <f>HYPERLINK("http://www.linkedin.com/in/lindarolle","http://www.linkedin.com/in/lindarolle")</f>
        <v>http://www.linkedin.com/in/lindarolle</v>
      </c>
      <c r="I494" s="2" t="s">
        <v>1507</v>
      </c>
      <c r="J494" s="2" t="s">
        <v>102</v>
      </c>
      <c r="K494" s="2" t="s">
        <v>138</v>
      </c>
    </row>
    <row r="495" ht="15.75" customHeight="1">
      <c r="A495" s="2">
        <v>245186.0</v>
      </c>
      <c r="B495" s="2" t="s">
        <v>784</v>
      </c>
      <c r="C495" s="2" t="s">
        <v>1508</v>
      </c>
      <c r="D495" s="2" t="s">
        <v>1509</v>
      </c>
      <c r="E495" s="2" t="s">
        <v>604</v>
      </c>
      <c r="F495" s="2">
        <v>0.0</v>
      </c>
      <c r="G495" s="2">
        <v>500.0</v>
      </c>
      <c r="H495" s="3" t="str">
        <f>HYPERLINK("http://www.linkedin.com/pub/jeff-kraatz/0/5B/214","http://www.linkedin.com/pub/jeff-kraatz/0/5B/214")</f>
        <v>http://www.linkedin.com/pub/jeff-kraatz/0/5B/214</v>
      </c>
      <c r="I495" s="2" t="s">
        <v>15</v>
      </c>
      <c r="J495" s="2" t="s">
        <v>16</v>
      </c>
      <c r="K495" s="2" t="s">
        <v>22</v>
      </c>
    </row>
    <row r="496" ht="15.75" customHeight="1">
      <c r="A496" s="2">
        <v>245360.0</v>
      </c>
      <c r="B496" s="2" t="s">
        <v>1510</v>
      </c>
      <c r="C496" s="2" t="s">
        <v>1511</v>
      </c>
      <c r="D496" s="2" t="s">
        <v>13</v>
      </c>
      <c r="E496" s="2" t="s">
        <v>791</v>
      </c>
      <c r="F496" s="2">
        <v>0.0</v>
      </c>
      <c r="G496" s="2">
        <v>500.0</v>
      </c>
      <c r="H496" s="3" t="str">
        <f>HYPERLINK("http://www.linkedin.com/pub/luke-davies/0/1b8/741","http://www.linkedin.com/pub/luke-davies/0/1b8/741")</f>
        <v>http://www.linkedin.com/pub/luke-davies/0/1b8/741</v>
      </c>
      <c r="I496" s="2" t="s">
        <v>69</v>
      </c>
      <c r="J496" s="2" t="s">
        <v>575</v>
      </c>
      <c r="K496" s="2" t="s">
        <v>35</v>
      </c>
    </row>
    <row r="497" ht="15.75" customHeight="1">
      <c r="A497" s="2">
        <v>245567.0</v>
      </c>
      <c r="B497" s="2" t="s">
        <v>1512</v>
      </c>
      <c r="C497" s="2" t="s">
        <v>1513</v>
      </c>
      <c r="D497" s="2" t="s">
        <v>1514</v>
      </c>
      <c r="E497" s="2" t="s">
        <v>1515</v>
      </c>
      <c r="F497" s="2">
        <v>56.0</v>
      </c>
      <c r="G497" s="2">
        <v>500.0</v>
      </c>
      <c r="H497" s="3" t="str">
        <f>HYPERLINK("http://www.linkedin.com/in/mbenedetti","http://www.linkedin.com/in/mbenedetti")</f>
        <v>http://www.linkedin.com/in/mbenedetti</v>
      </c>
      <c r="I497" s="2" t="s">
        <v>458</v>
      </c>
      <c r="J497" s="2" t="s">
        <v>28</v>
      </c>
      <c r="K497" s="2" t="s">
        <v>1516</v>
      </c>
    </row>
    <row r="498" ht="15.75" customHeight="1">
      <c r="A498" s="2">
        <v>245833.0</v>
      </c>
      <c r="B498" s="2" t="s">
        <v>1517</v>
      </c>
      <c r="C498" s="2" t="s">
        <v>1518</v>
      </c>
      <c r="D498" s="2" t="s">
        <v>1519</v>
      </c>
      <c r="E498" s="2" t="s">
        <v>1520</v>
      </c>
      <c r="F498" s="2">
        <v>21.0</v>
      </c>
      <c r="G498" s="2">
        <v>500.0</v>
      </c>
      <c r="H498" s="3" t="str">
        <f>HYPERLINK("http://uk.linkedin.com/in/carladiasbento","http://uk.linkedin.com/in/carladiasbento")</f>
        <v>http://uk.linkedin.com/in/carladiasbento</v>
      </c>
      <c r="I498" s="2" t="s">
        <v>15</v>
      </c>
      <c r="J498" s="2" t="s">
        <v>53</v>
      </c>
      <c r="K498" s="2" t="s">
        <v>35</v>
      </c>
    </row>
    <row r="499" ht="15.75" customHeight="1">
      <c r="A499" s="2">
        <v>247224.0</v>
      </c>
      <c r="B499" s="2" t="s">
        <v>845</v>
      </c>
      <c r="C499" s="2" t="s">
        <v>1521</v>
      </c>
      <c r="D499" s="2" t="s">
        <v>13</v>
      </c>
      <c r="E499" s="2" t="s">
        <v>1522</v>
      </c>
      <c r="F499" s="2">
        <v>0.0</v>
      </c>
      <c r="G499" s="2">
        <v>500.0</v>
      </c>
      <c r="H499" s="3" t="str">
        <f>HYPERLINK("https://www.linkedin.com/in/djost","https://www.linkedin.com/in/djost")</f>
        <v>https://www.linkedin.com/in/djost</v>
      </c>
      <c r="I499" s="2" t="s">
        <v>69</v>
      </c>
      <c r="J499" s="2" t="s">
        <v>102</v>
      </c>
      <c r="K499" s="2" t="s">
        <v>35</v>
      </c>
    </row>
    <row r="500" ht="15.75" customHeight="1">
      <c r="A500" s="2">
        <v>247327.0</v>
      </c>
      <c r="B500" s="2" t="s">
        <v>1523</v>
      </c>
      <c r="C500" s="2" t="s">
        <v>982</v>
      </c>
      <c r="D500" s="2" t="s">
        <v>13</v>
      </c>
      <c r="E500" s="2" t="s">
        <v>181</v>
      </c>
      <c r="F500" s="2">
        <v>0.0</v>
      </c>
      <c r="G500" s="2">
        <v>500.0</v>
      </c>
      <c r="H500" s="3" t="str">
        <f>HYPERLINK("http://www.linkedin.com/in/philipterry","http://www.linkedin.com/in/philipterry")</f>
        <v>http://www.linkedin.com/in/philipterry</v>
      </c>
      <c r="I500" s="2" t="s">
        <v>69</v>
      </c>
      <c r="J500" s="2" t="s">
        <v>102</v>
      </c>
      <c r="K500" s="2" t="s">
        <v>58</v>
      </c>
    </row>
    <row r="501" ht="15.75" customHeight="1">
      <c r="A501" s="2">
        <v>247462.0</v>
      </c>
      <c r="B501" s="2" t="s">
        <v>1524</v>
      </c>
      <c r="C501" s="2" t="s">
        <v>1525</v>
      </c>
      <c r="D501" s="2" t="s">
        <v>47</v>
      </c>
      <c r="E501" s="2" t="s">
        <v>762</v>
      </c>
      <c r="F501" s="2">
        <v>1.0</v>
      </c>
      <c r="G501" s="2">
        <v>500.0</v>
      </c>
      <c r="H501" s="3" t="str">
        <f>HYPERLINK("http://www.linkedin.com/pub/susanne-bowen/0/6B/8AB","http://www.linkedin.com/pub/susanne-bowen/0/6B/8AB")</f>
        <v>http://www.linkedin.com/pub/susanne-bowen/0/6B/8AB</v>
      </c>
      <c r="I501" s="2" t="s">
        <v>48</v>
      </c>
      <c r="J501" s="2" t="s">
        <v>102</v>
      </c>
      <c r="K501" s="2" t="s">
        <v>35</v>
      </c>
    </row>
    <row r="502" ht="15.75" customHeight="1">
      <c r="A502" s="2">
        <v>248009.0</v>
      </c>
      <c r="B502" s="2" t="s">
        <v>287</v>
      </c>
      <c r="C502" s="2" t="s">
        <v>1526</v>
      </c>
      <c r="D502" s="2" t="s">
        <v>289</v>
      </c>
      <c r="E502" s="2" t="s">
        <v>1172</v>
      </c>
      <c r="F502" s="2" t="s">
        <v>13</v>
      </c>
      <c r="G502" s="2">
        <v>500.0</v>
      </c>
      <c r="H502" s="3" t="str">
        <f>HYPERLINK("http://uk.linkedin.com/in/pauldakin","http://uk.linkedin.com/in/pauldakin")</f>
        <v>http://uk.linkedin.com/in/pauldakin</v>
      </c>
      <c r="I502" s="2" t="s">
        <v>15</v>
      </c>
      <c r="J502" s="2" t="s">
        <v>53</v>
      </c>
      <c r="K502" s="2" t="s">
        <v>35</v>
      </c>
    </row>
    <row r="503" ht="15.75" customHeight="1">
      <c r="A503" s="2">
        <v>248258.0</v>
      </c>
      <c r="B503" s="2" t="s">
        <v>1254</v>
      </c>
      <c r="C503" s="2" t="s">
        <v>1527</v>
      </c>
      <c r="D503" s="2" t="s">
        <v>1145</v>
      </c>
      <c r="E503" s="2" t="s">
        <v>136</v>
      </c>
      <c r="F503" s="2">
        <v>1.0</v>
      </c>
      <c r="G503" s="2">
        <v>500.0</v>
      </c>
      <c r="H503" s="3" t="str">
        <f>HYPERLINK("http://www.linkedin.com/in/rickkiwi","http://www.linkedin.com/in/rickkiwi")</f>
        <v>http://www.linkedin.com/in/rickkiwi</v>
      </c>
      <c r="I503" s="2" t="s">
        <v>48</v>
      </c>
      <c r="J503" s="2" t="s">
        <v>102</v>
      </c>
      <c r="K503" s="2" t="s">
        <v>35</v>
      </c>
    </row>
    <row r="504" ht="15.75" customHeight="1">
      <c r="A504" s="2">
        <v>248491.0</v>
      </c>
      <c r="B504" s="2" t="s">
        <v>1528</v>
      </c>
      <c r="C504" s="2" t="s">
        <v>1529</v>
      </c>
      <c r="D504" s="2" t="s">
        <v>1530</v>
      </c>
      <c r="E504" s="2" t="s">
        <v>1531</v>
      </c>
      <c r="F504" s="2" t="s">
        <v>13</v>
      </c>
      <c r="G504" s="2">
        <v>500.0</v>
      </c>
      <c r="H504" s="3" t="str">
        <f>HYPERLINK("http://uk.linkedin.com/in/guidodesimoni","http://uk.linkedin.com/in/guidodesimoni")</f>
        <v>http://uk.linkedin.com/in/guidodesimoni</v>
      </c>
      <c r="I504" s="2" t="s">
        <v>15</v>
      </c>
      <c r="J504" s="2" t="s">
        <v>53</v>
      </c>
      <c r="K504" s="2" t="s">
        <v>35</v>
      </c>
    </row>
    <row r="505" ht="15.75" customHeight="1">
      <c r="A505" s="2">
        <v>248762.0</v>
      </c>
      <c r="B505" s="2" t="s">
        <v>1532</v>
      </c>
      <c r="C505" s="2" t="s">
        <v>1533</v>
      </c>
      <c r="D505" s="2" t="s">
        <v>289</v>
      </c>
      <c r="E505" s="2" t="s">
        <v>1534</v>
      </c>
      <c r="F505" s="2">
        <v>8.0</v>
      </c>
      <c r="G505" s="2">
        <v>500.0</v>
      </c>
      <c r="H505" s="3" t="str">
        <f>HYPERLINK("http://www.linkedin.com/in/rohitchoubey","http://www.linkedin.com/in/rohitchoubey")</f>
        <v>http://www.linkedin.com/in/rohitchoubey</v>
      </c>
      <c r="I505" s="2" t="s">
        <v>1237</v>
      </c>
      <c r="J505" s="2" t="s">
        <v>87</v>
      </c>
      <c r="K505" s="2" t="s">
        <v>168</v>
      </c>
    </row>
    <row r="506" ht="15.75" customHeight="1">
      <c r="A506" s="2">
        <v>248934.0</v>
      </c>
      <c r="B506" s="2" t="s">
        <v>133</v>
      </c>
      <c r="C506" s="2" t="s">
        <v>1535</v>
      </c>
      <c r="D506" s="2" t="s">
        <v>13</v>
      </c>
      <c r="E506" s="2" t="s">
        <v>136</v>
      </c>
      <c r="F506" s="2">
        <v>0.0</v>
      </c>
      <c r="G506" s="2">
        <v>242.0</v>
      </c>
      <c r="H506" s="3" t="str">
        <f>HYPERLINK("https://www.linkedin.com/pub/michael-marubio/0/73/615","https://www.linkedin.com/pub/michael-marubio/0/73/615")</f>
        <v>https://www.linkedin.com/pub/michael-marubio/0/73/615</v>
      </c>
      <c r="I506" s="2" t="s">
        <v>48</v>
      </c>
      <c r="J506" s="2" t="s">
        <v>102</v>
      </c>
      <c r="K506" s="2" t="s">
        <v>35</v>
      </c>
    </row>
    <row r="507" ht="15.75" customHeight="1">
      <c r="A507" s="2">
        <v>248989.0</v>
      </c>
      <c r="B507" s="2" t="s">
        <v>1523</v>
      </c>
      <c r="C507" s="2" t="s">
        <v>1536</v>
      </c>
      <c r="D507" s="2" t="s">
        <v>1537</v>
      </c>
      <c r="E507" s="2" t="s">
        <v>136</v>
      </c>
      <c r="F507" s="2">
        <v>21.0</v>
      </c>
      <c r="G507" s="2">
        <v>500.0</v>
      </c>
      <c r="H507" s="3" t="str">
        <f>HYPERLINK("http://www.linkedin.com/pub/phil-steffora/0/120/378","http://www.linkedin.com/pub/phil-steffora/0/120/378")</f>
        <v>http://www.linkedin.com/pub/phil-steffora/0/120/378</v>
      </c>
      <c r="I507" s="2" t="s">
        <v>69</v>
      </c>
      <c r="J507" s="2" t="s">
        <v>102</v>
      </c>
      <c r="K507" s="2" t="s">
        <v>35</v>
      </c>
    </row>
    <row r="508" ht="15.75" customHeight="1">
      <c r="A508" s="2">
        <v>249025.0</v>
      </c>
      <c r="B508" s="2" t="s">
        <v>1538</v>
      </c>
      <c r="C508" s="2" t="s">
        <v>1539</v>
      </c>
      <c r="D508" s="2" t="s">
        <v>410</v>
      </c>
      <c r="E508" s="2" t="s">
        <v>301</v>
      </c>
      <c r="F508" s="2" t="s">
        <v>13</v>
      </c>
      <c r="G508" s="2">
        <v>500.0</v>
      </c>
      <c r="H508" s="3" t="str">
        <f>HYPERLINK("http://www.linkedin.com/in/dominickcomo","http://www.linkedin.com/in/dominickcomo")</f>
        <v>http://www.linkedin.com/in/dominickcomo</v>
      </c>
      <c r="I508" s="2" t="s">
        <v>105</v>
      </c>
      <c r="J508" s="2" t="s">
        <v>102</v>
      </c>
      <c r="K508" s="2" t="s">
        <v>58</v>
      </c>
    </row>
    <row r="509" ht="15.75" customHeight="1">
      <c r="A509" s="2">
        <v>249074.0</v>
      </c>
      <c r="B509" s="2" t="s">
        <v>313</v>
      </c>
      <c r="C509" s="2" t="s">
        <v>1540</v>
      </c>
      <c r="D509" s="2" t="s">
        <v>1541</v>
      </c>
      <c r="E509" s="2" t="s">
        <v>301</v>
      </c>
      <c r="F509" s="2">
        <v>13.0</v>
      </c>
      <c r="G509" s="2">
        <v>500.0</v>
      </c>
      <c r="H509" s="3" t="str">
        <f>HYPERLINK("http://www.linkedin.com/in/leewachter","http://www.linkedin.com/in/leewachter")</f>
        <v>http://www.linkedin.com/in/leewachter</v>
      </c>
      <c r="I509" s="2" t="s">
        <v>1012</v>
      </c>
      <c r="J509" s="2" t="s">
        <v>102</v>
      </c>
      <c r="K509" s="2" t="s">
        <v>58</v>
      </c>
    </row>
    <row r="510" ht="15.75" customHeight="1">
      <c r="A510" s="2">
        <v>249140.0</v>
      </c>
      <c r="B510" s="2" t="s">
        <v>511</v>
      </c>
      <c r="C510" s="2" t="s">
        <v>1542</v>
      </c>
      <c r="D510" s="2" t="s">
        <v>1543</v>
      </c>
      <c r="E510" s="2" t="s">
        <v>1544</v>
      </c>
      <c r="F510" s="2" t="s">
        <v>13</v>
      </c>
      <c r="G510" s="2">
        <v>280.0</v>
      </c>
      <c r="H510" s="3" t="str">
        <f>HYPERLINK("http://uk.linkedin.com/pub/mike-capstick/0/900/A36","http://uk.linkedin.com/pub/mike-capstick/0/900/A36")</f>
        <v>http://uk.linkedin.com/pub/mike-capstick/0/900/A36</v>
      </c>
      <c r="I510" s="2" t="s">
        <v>15</v>
      </c>
      <c r="J510" s="2" t="s">
        <v>53</v>
      </c>
      <c r="K510" s="2" t="s">
        <v>35</v>
      </c>
    </row>
    <row r="511" ht="15.75" customHeight="1">
      <c r="A511" s="2">
        <v>249336.0</v>
      </c>
      <c r="B511" s="2" t="s">
        <v>1545</v>
      </c>
      <c r="C511" s="2" t="s">
        <v>1546</v>
      </c>
      <c r="D511" s="2" t="s">
        <v>13</v>
      </c>
      <c r="E511" s="2" t="s">
        <v>1547</v>
      </c>
      <c r="F511" s="2">
        <v>0.0</v>
      </c>
      <c r="G511" s="2">
        <v>500.0</v>
      </c>
      <c r="H511" s="3" t="str">
        <f>HYPERLINK("http://www.linkedin.com/in/patricklilley","http://www.linkedin.com/in/patricklilley")</f>
        <v>http://www.linkedin.com/in/patricklilley</v>
      </c>
      <c r="I511" s="2" t="s">
        <v>48</v>
      </c>
      <c r="J511" s="2" t="s">
        <v>102</v>
      </c>
      <c r="K511" s="2" t="s">
        <v>35</v>
      </c>
    </row>
    <row r="512" ht="15.75" customHeight="1">
      <c r="A512" s="2">
        <v>249393.0</v>
      </c>
      <c r="B512" s="2" t="s">
        <v>1548</v>
      </c>
      <c r="C512" s="2" t="s">
        <v>1549</v>
      </c>
      <c r="D512" s="2" t="s">
        <v>1550</v>
      </c>
      <c r="E512" s="2" t="s">
        <v>136</v>
      </c>
      <c r="F512" s="2">
        <v>2.0</v>
      </c>
      <c r="G512" s="2">
        <v>500.0</v>
      </c>
      <c r="H512" s="3" t="str">
        <f>HYPERLINK("http://www.linkedin.com/in/niravtolia","http://www.linkedin.com/in/niravtolia")</f>
        <v>http://www.linkedin.com/in/niravtolia</v>
      </c>
      <c r="I512" s="2" t="s">
        <v>69</v>
      </c>
      <c r="J512" s="2" t="s">
        <v>102</v>
      </c>
      <c r="K512" s="2" t="s">
        <v>35</v>
      </c>
    </row>
    <row r="513" ht="15.75" customHeight="1">
      <c r="A513" s="2">
        <v>249490.0</v>
      </c>
      <c r="B513" s="2" t="s">
        <v>1551</v>
      </c>
      <c r="C513" s="2" t="s">
        <v>1552</v>
      </c>
      <c r="D513" s="2" t="s">
        <v>42</v>
      </c>
      <c r="E513" s="2" t="s">
        <v>1357</v>
      </c>
      <c r="F513" s="2">
        <v>1.0</v>
      </c>
      <c r="G513" s="2">
        <v>500.0</v>
      </c>
      <c r="H513" s="3" t="str">
        <f>HYPERLINK("http://au.linkedin.com/pub/christiane-biemann-chris-biemann-consulting-de-/1/61/51A","http://au.linkedin.com/pub/christiane-biemann-chris-biemann-consulting-de-/1/61/51A")</f>
        <v>http://au.linkedin.com/pub/christiane-biemann-chris-biemann-consulting-de-/1/61/51A</v>
      </c>
      <c r="I513" s="2" t="s">
        <v>15</v>
      </c>
      <c r="J513" s="2" t="s">
        <v>337</v>
      </c>
      <c r="K513" s="2" t="s">
        <v>35</v>
      </c>
    </row>
    <row r="514" ht="15.75" customHeight="1">
      <c r="A514" s="2">
        <v>249912.0</v>
      </c>
      <c r="B514" s="2" t="s">
        <v>1366</v>
      </c>
      <c r="C514" s="2" t="s">
        <v>1553</v>
      </c>
      <c r="D514" s="2" t="s">
        <v>400</v>
      </c>
      <c r="E514" s="2" t="s">
        <v>235</v>
      </c>
      <c r="F514" s="2">
        <v>11.0</v>
      </c>
      <c r="G514" s="2">
        <v>500.0</v>
      </c>
      <c r="H514" s="3" t="str">
        <f>HYPERLINK("http://www.linkedin.com/pub/peter-mellen/0/2B/A36","http://www.linkedin.com/pub/peter-mellen/0/2B/A36")</f>
        <v>http://www.linkedin.com/pub/peter-mellen/0/2B/A36</v>
      </c>
      <c r="I514" s="2" t="s">
        <v>1390</v>
      </c>
      <c r="J514" s="2" t="s">
        <v>102</v>
      </c>
      <c r="K514" s="2" t="s">
        <v>58</v>
      </c>
    </row>
    <row r="515" ht="15.75" customHeight="1">
      <c r="A515" s="2">
        <v>250084.0</v>
      </c>
      <c r="B515" s="2" t="s">
        <v>1554</v>
      </c>
      <c r="C515" s="2" t="s">
        <v>1555</v>
      </c>
      <c r="D515" s="2" t="s">
        <v>1556</v>
      </c>
      <c r="E515" s="2" t="s">
        <v>136</v>
      </c>
      <c r="F515" s="2">
        <v>1.0</v>
      </c>
      <c r="G515" s="2">
        <v>500.0</v>
      </c>
      <c r="H515" s="3" t="str">
        <f>HYPERLINK("http://www.linkedin.com/pub/feldo-nartapura/7/B85/494","http://www.linkedin.com/pub/feldo-nartapura/7/B85/494")</f>
        <v>http://www.linkedin.com/pub/feldo-nartapura/7/B85/494</v>
      </c>
      <c r="I515" s="2" t="s">
        <v>608</v>
      </c>
      <c r="J515" s="2" t="s">
        <v>102</v>
      </c>
      <c r="K515" s="2" t="s">
        <v>58</v>
      </c>
    </row>
    <row r="516" ht="15.75" customHeight="1">
      <c r="A516" s="2">
        <v>250134.0</v>
      </c>
      <c r="B516" s="2" t="s">
        <v>1177</v>
      </c>
      <c r="C516" s="2" t="s">
        <v>1557</v>
      </c>
      <c r="D516" s="2" t="s">
        <v>1558</v>
      </c>
      <c r="E516" s="2" t="s">
        <v>64</v>
      </c>
      <c r="F516" s="2">
        <v>6.0</v>
      </c>
      <c r="G516" s="2">
        <v>500.0</v>
      </c>
      <c r="H516" s="3" t="str">
        <f>HYPERLINK("http://fr.linkedin.com/in/shaunzelber","http://fr.linkedin.com/in/shaunzelber")</f>
        <v>http://fr.linkedin.com/in/shaunzelber</v>
      </c>
      <c r="I516" s="2" t="s">
        <v>15</v>
      </c>
      <c r="J516" s="2" t="s">
        <v>65</v>
      </c>
      <c r="K516" s="2" t="s">
        <v>35</v>
      </c>
    </row>
    <row r="517" ht="15.75" customHeight="1">
      <c r="A517" s="2">
        <v>250331.0</v>
      </c>
      <c r="B517" s="2" t="s">
        <v>1559</v>
      </c>
      <c r="C517" s="2" t="s">
        <v>1560</v>
      </c>
      <c r="D517" s="2" t="s">
        <v>13</v>
      </c>
      <c r="E517" s="2" t="s">
        <v>1561</v>
      </c>
      <c r="F517" s="2">
        <v>1.0</v>
      </c>
      <c r="G517" s="2">
        <v>500.0</v>
      </c>
      <c r="H517" s="3" t="str">
        <f>HYPERLINK("http://www.linkedin.com/pub/mary-ann-massad/0/a0b/a84","http://www.linkedin.com/pub/mary-ann-massad/0/a0b/a84")</f>
        <v>http://www.linkedin.com/pub/mary-ann-massad/0/a0b/a84</v>
      </c>
      <c r="I517" s="2" t="s">
        <v>57</v>
      </c>
      <c r="J517" s="2" t="s">
        <v>44</v>
      </c>
      <c r="K517" s="2" t="s">
        <v>35</v>
      </c>
    </row>
    <row r="518" ht="15.75" customHeight="1">
      <c r="A518" s="2">
        <v>250576.0</v>
      </c>
      <c r="B518" s="2" t="s">
        <v>275</v>
      </c>
      <c r="C518" s="2" t="s">
        <v>1562</v>
      </c>
      <c r="D518" s="2" t="s">
        <v>47</v>
      </c>
      <c r="E518" s="2" t="s">
        <v>301</v>
      </c>
      <c r="F518" s="2">
        <v>1.0</v>
      </c>
      <c r="G518" s="2">
        <v>500.0</v>
      </c>
      <c r="H518" s="3" t="str">
        <f>HYPERLINK("http://www.linkedin.com/pub/mark-edwards/0/169/7A0","http://www.linkedin.com/pub/mark-edwards/0/169/7A0")</f>
        <v>http://www.linkedin.com/pub/mark-edwards/0/169/7A0</v>
      </c>
      <c r="I518" s="2" t="s">
        <v>48</v>
      </c>
      <c r="J518" s="2" t="s">
        <v>102</v>
      </c>
      <c r="K518" s="2" t="s">
        <v>35</v>
      </c>
    </row>
    <row r="519" ht="15.75" customHeight="1">
      <c r="A519" s="2">
        <v>251381.0</v>
      </c>
      <c r="B519" s="2" t="s">
        <v>839</v>
      </c>
      <c r="C519" s="2" t="s">
        <v>1563</v>
      </c>
      <c r="D519" s="2" t="s">
        <v>1564</v>
      </c>
      <c r="E519" s="2" t="s">
        <v>136</v>
      </c>
      <c r="F519" s="2">
        <v>2.0</v>
      </c>
      <c r="G519" s="2">
        <v>500.0</v>
      </c>
      <c r="H519" s="3" t="str">
        <f>HYPERLINK("http://www.linkedin.com/pub/dave-wippich/0/1BB/7B4","http://www.linkedin.com/pub/dave-wippich/0/1BB/7B4")</f>
        <v>http://www.linkedin.com/pub/dave-wippich/0/1BB/7B4</v>
      </c>
      <c r="I519" s="2" t="s">
        <v>48</v>
      </c>
      <c r="J519" s="2" t="s">
        <v>102</v>
      </c>
      <c r="K519" s="2" t="s">
        <v>35</v>
      </c>
    </row>
    <row r="520" ht="15.75" customHeight="1">
      <c r="A520" s="2">
        <v>251407.0</v>
      </c>
      <c r="B520" s="2" t="s">
        <v>1565</v>
      </c>
      <c r="C520" s="2" t="s">
        <v>1566</v>
      </c>
      <c r="D520" s="2"/>
      <c r="E520" s="2" t="s">
        <v>574</v>
      </c>
      <c r="F520" s="2">
        <v>0.0</v>
      </c>
      <c r="G520" s="2">
        <v>500.0</v>
      </c>
      <c r="H520" s="3" t="str">
        <f>HYPERLINK("http://www.linkedin.com/pub/gopal-rangachary/0/663/574","http://www.linkedin.com/pub/gopal-rangachary/0/663/574")</f>
        <v>http://www.linkedin.com/pub/gopal-rangachary/0/663/574</v>
      </c>
      <c r="I520" s="2" t="s">
        <v>15</v>
      </c>
      <c r="J520" s="2" t="s">
        <v>575</v>
      </c>
      <c r="K520" s="2" t="s">
        <v>22</v>
      </c>
    </row>
    <row r="521" ht="15.75" customHeight="1">
      <c r="A521" s="2">
        <v>251595.0</v>
      </c>
      <c r="B521" s="2" t="s">
        <v>1567</v>
      </c>
      <c r="C521" s="2" t="s">
        <v>1568</v>
      </c>
      <c r="D521" s="2" t="s">
        <v>13</v>
      </c>
      <c r="E521" s="2" t="s">
        <v>836</v>
      </c>
      <c r="F521" s="2">
        <v>0.0</v>
      </c>
      <c r="G521" s="2">
        <v>500.0</v>
      </c>
      <c r="H521" s="3" t="str">
        <f>HYPERLINK("http://www.linkedin.com/pub/joris-jonker/0/211/983","http://www.linkedin.com/pub/joris-jonker/0/211/983")</f>
        <v>http://www.linkedin.com/pub/joris-jonker/0/211/983</v>
      </c>
      <c r="I521" s="2" t="s">
        <v>69</v>
      </c>
      <c r="J521" s="2" t="s">
        <v>837</v>
      </c>
      <c r="K521" s="2" t="s">
        <v>35</v>
      </c>
    </row>
    <row r="522" ht="15.75" customHeight="1">
      <c r="A522" s="2">
        <v>252405.0</v>
      </c>
      <c r="B522" s="2" t="s">
        <v>1475</v>
      </c>
      <c r="C522" s="2" t="s">
        <v>1569</v>
      </c>
      <c r="D522" s="2" t="s">
        <v>13</v>
      </c>
      <c r="E522" s="2" t="s">
        <v>403</v>
      </c>
      <c r="F522" s="2">
        <v>0.0</v>
      </c>
      <c r="G522" s="2">
        <v>500.0</v>
      </c>
      <c r="H522" s="3" t="str">
        <f>HYPERLINK("http://www.linkedin.com/pub/lisa-cullingworth/0/259/417","http://www.linkedin.com/pub/lisa-cullingworth/0/259/417")</f>
        <v>http://www.linkedin.com/pub/lisa-cullingworth/0/259/417</v>
      </c>
      <c r="I522" s="2" t="s">
        <v>248</v>
      </c>
      <c r="J522" s="2" t="s">
        <v>44</v>
      </c>
      <c r="K522" s="2" t="s">
        <v>196</v>
      </c>
    </row>
    <row r="523" ht="15.75" customHeight="1">
      <c r="A523" s="2">
        <v>252428.0</v>
      </c>
      <c r="B523" s="2" t="s">
        <v>1570</v>
      </c>
      <c r="C523" s="2" t="s">
        <v>1571</v>
      </c>
      <c r="D523" s="2" t="s">
        <v>1572</v>
      </c>
      <c r="E523" s="2" t="s">
        <v>457</v>
      </c>
      <c r="F523" s="2">
        <v>0.0</v>
      </c>
      <c r="G523" s="2">
        <v>451.0</v>
      </c>
      <c r="H523" s="3" t="str">
        <f>HYPERLINK("http://www.linkedin.com/pub/drew-maginnis/4/4B9/A3A","http://www.linkedin.com/pub/drew-maginnis/4/4B9/A3A")</f>
        <v>http://www.linkedin.com/pub/drew-maginnis/4/4B9/A3A</v>
      </c>
      <c r="I523" s="2" t="s">
        <v>240</v>
      </c>
      <c r="J523" s="2" t="s">
        <v>102</v>
      </c>
      <c r="K523" s="2" t="s">
        <v>1191</v>
      </c>
    </row>
    <row r="524" ht="15.75" customHeight="1">
      <c r="A524" s="2">
        <v>252531.0</v>
      </c>
      <c r="B524" s="2" t="s">
        <v>1019</v>
      </c>
      <c r="C524" s="2" t="s">
        <v>1573</v>
      </c>
      <c r="D524" s="2" t="s">
        <v>75</v>
      </c>
      <c r="E524" s="2" t="s">
        <v>136</v>
      </c>
      <c r="F524" s="2">
        <v>2.0</v>
      </c>
      <c r="G524" s="2">
        <v>305.0</v>
      </c>
      <c r="H524" s="3" t="str">
        <f>HYPERLINK("http://www.linkedin.com/in/mattburgoon","http://www.linkedin.com/in/mattburgoon")</f>
        <v>http://www.linkedin.com/in/mattburgoon</v>
      </c>
      <c r="I524" s="2" t="s">
        <v>69</v>
      </c>
      <c r="J524" s="2" t="s">
        <v>102</v>
      </c>
      <c r="K524" s="2" t="s">
        <v>35</v>
      </c>
    </row>
    <row r="525" ht="15.75" customHeight="1">
      <c r="A525" s="2">
        <v>252733.0</v>
      </c>
      <c r="B525" s="2" t="s">
        <v>398</v>
      </c>
      <c r="C525" s="2" t="s">
        <v>1574</v>
      </c>
      <c r="D525" s="2"/>
      <c r="E525" s="2" t="s">
        <v>783</v>
      </c>
      <c r="F525" s="2">
        <v>0.0</v>
      </c>
      <c r="G525" s="2">
        <v>477.0</v>
      </c>
      <c r="H525" s="3" t="str">
        <f>HYPERLINK("http://www.linkedin.com/pub/colin-pinto/0/B17/732","http://www.linkedin.com/pub/colin-pinto/0/B17/732")</f>
        <v>http://www.linkedin.com/pub/colin-pinto/0/B17/732</v>
      </c>
      <c r="I525" s="2" t="s">
        <v>15</v>
      </c>
      <c r="J525" s="2" t="s">
        <v>575</v>
      </c>
      <c r="K525" s="2" t="s">
        <v>22</v>
      </c>
    </row>
    <row r="526" ht="15.75" customHeight="1">
      <c r="A526" s="2">
        <v>252804.0</v>
      </c>
      <c r="B526" s="2" t="s">
        <v>1380</v>
      </c>
      <c r="C526" s="2" t="s">
        <v>1575</v>
      </c>
      <c r="D526" s="2" t="s">
        <v>47</v>
      </c>
      <c r="E526" s="2" t="s">
        <v>1576</v>
      </c>
      <c r="F526" s="2">
        <v>1.0</v>
      </c>
      <c r="G526" s="2">
        <v>500.0</v>
      </c>
      <c r="H526" s="3" t="str">
        <f>HYPERLINK("http://www.linkedin.com/pub/randy-bernard/0/960/646","http://www.linkedin.com/pub/randy-bernard/0/960/646")</f>
        <v>http://www.linkedin.com/pub/randy-bernard/0/960/646</v>
      </c>
      <c r="I526" s="2" t="s">
        <v>910</v>
      </c>
      <c r="J526" s="2" t="s">
        <v>102</v>
      </c>
      <c r="K526" s="2" t="s">
        <v>58</v>
      </c>
    </row>
    <row r="527" ht="15.75" customHeight="1">
      <c r="A527" s="2">
        <v>253074.0</v>
      </c>
      <c r="B527" s="2" t="s">
        <v>1577</v>
      </c>
      <c r="C527" s="2" t="s">
        <v>1578</v>
      </c>
      <c r="D527" s="2" t="s">
        <v>1579</v>
      </c>
      <c r="E527" s="2" t="s">
        <v>278</v>
      </c>
      <c r="F527" s="2" t="s">
        <v>13</v>
      </c>
      <c r="G527" s="2">
        <v>500.0</v>
      </c>
      <c r="H527" s="3" t="str">
        <f>HYPERLINK("http://www.linkedin.com/pub/dana-dotoli/0/332/221","http://www.linkedin.com/pub/dana-dotoli/0/332/221")</f>
        <v>http://www.linkedin.com/pub/dana-dotoli/0/332/221</v>
      </c>
      <c r="I527" s="2" t="s">
        <v>182</v>
      </c>
      <c r="J527" s="2" t="s">
        <v>28</v>
      </c>
      <c r="K527" s="2" t="s">
        <v>138</v>
      </c>
    </row>
    <row r="528" ht="15.75" customHeight="1">
      <c r="A528" s="2">
        <v>253292.0</v>
      </c>
      <c r="B528" s="2" t="s">
        <v>1580</v>
      </c>
      <c r="C528" s="2" t="s">
        <v>1581</v>
      </c>
      <c r="D528" s="2"/>
      <c r="E528" s="2" t="s">
        <v>783</v>
      </c>
      <c r="F528" s="2">
        <v>1.0</v>
      </c>
      <c r="G528" s="2">
        <v>500.0</v>
      </c>
      <c r="H528" s="3" t="str">
        <f>HYPERLINK("http://www.linkedin.com/in/sonalchadha","http://www.linkedin.com/in/sonalchadha")</f>
        <v>http://www.linkedin.com/in/sonalchadha</v>
      </c>
      <c r="I528" s="2" t="s">
        <v>48</v>
      </c>
      <c r="J528" s="2" t="s">
        <v>575</v>
      </c>
      <c r="K528" s="2" t="s">
        <v>22</v>
      </c>
    </row>
    <row r="529" ht="15.75" customHeight="1">
      <c r="A529" s="2">
        <v>253357.0</v>
      </c>
      <c r="B529" s="2" t="s">
        <v>1582</v>
      </c>
      <c r="C529" s="2" t="s">
        <v>1583</v>
      </c>
      <c r="D529" s="2" t="s">
        <v>13</v>
      </c>
      <c r="E529" s="2" t="s">
        <v>136</v>
      </c>
      <c r="F529" s="2">
        <v>0.0</v>
      </c>
      <c r="G529" s="2">
        <v>500.0</v>
      </c>
      <c r="H529" s="3" t="str">
        <f>HYPERLINK("http://www.linkedin.com/pub/erin-cannelli-cresta/0/208/a16","http://www.linkedin.com/pub/erin-cannelli-cresta/0/208/a16")</f>
        <v>http://www.linkedin.com/pub/erin-cannelli-cresta/0/208/a16</v>
      </c>
      <c r="I529" s="2" t="s">
        <v>48</v>
      </c>
      <c r="J529" s="2" t="s">
        <v>102</v>
      </c>
      <c r="K529" s="2" t="s">
        <v>35</v>
      </c>
    </row>
    <row r="530" ht="15.75" customHeight="1">
      <c r="A530" s="2">
        <v>253607.0</v>
      </c>
      <c r="B530" s="2" t="s">
        <v>1584</v>
      </c>
      <c r="C530" s="2" t="s">
        <v>13</v>
      </c>
      <c r="D530" s="2" t="s">
        <v>13</v>
      </c>
      <c r="E530" s="2" t="s">
        <v>397</v>
      </c>
      <c r="F530" s="2">
        <v>0.0</v>
      </c>
      <c r="G530" s="2">
        <v>500.0</v>
      </c>
      <c r="H530" s="3" t="str">
        <f>HYPERLINK("https://www.linkedin.com/in/jeffragovin","https://www.linkedin.com/in/jeffragovin")</f>
        <v>https://www.linkedin.com/in/jeffragovin</v>
      </c>
      <c r="I530" s="2" t="s">
        <v>326</v>
      </c>
      <c r="J530" s="2" t="s">
        <v>102</v>
      </c>
      <c r="K530" s="2" t="s">
        <v>58</v>
      </c>
    </row>
    <row r="531" ht="15.75" customHeight="1">
      <c r="A531" s="2">
        <v>253676.0</v>
      </c>
      <c r="B531" s="2" t="s">
        <v>1585</v>
      </c>
      <c r="C531" s="2" t="s">
        <v>1586</v>
      </c>
      <c r="D531" s="2" t="s">
        <v>42</v>
      </c>
      <c r="E531" s="2" t="s">
        <v>1587</v>
      </c>
      <c r="F531" s="2">
        <v>1.0</v>
      </c>
      <c r="G531" s="2">
        <v>500.0</v>
      </c>
      <c r="H531" s="3" t="str">
        <f>HYPERLINK("http://www.linkedin.com/pub/thomas-hughes/0/230/258","http://www.linkedin.com/pub/thomas-hughes/0/230/258")</f>
        <v>http://www.linkedin.com/pub/thomas-hughes/0/230/258</v>
      </c>
      <c r="I531" s="2" t="s">
        <v>248</v>
      </c>
      <c r="J531" s="2" t="s">
        <v>273</v>
      </c>
      <c r="K531" s="2" t="s">
        <v>22</v>
      </c>
    </row>
    <row r="532" ht="15.75" customHeight="1">
      <c r="A532" s="2">
        <v>253852.0</v>
      </c>
      <c r="B532" s="2" t="s">
        <v>460</v>
      </c>
      <c r="C532" s="2" t="s">
        <v>1588</v>
      </c>
      <c r="D532" s="2" t="s">
        <v>416</v>
      </c>
      <c r="E532" s="2" t="s">
        <v>1329</v>
      </c>
      <c r="F532" s="2">
        <v>1.0</v>
      </c>
      <c r="G532" s="2">
        <v>500.0</v>
      </c>
      <c r="H532" s="3" t="str">
        <f>HYPERLINK("http://www.linkedin.com/in/cloudcto","http://www.linkedin.com/in/cloudcto")</f>
        <v>http://www.linkedin.com/in/cloudcto</v>
      </c>
      <c r="I532" s="2" t="s">
        <v>48</v>
      </c>
      <c r="J532" s="2" t="s">
        <v>102</v>
      </c>
      <c r="K532" s="2" t="s">
        <v>35</v>
      </c>
    </row>
    <row r="533" ht="15.75" customHeight="1">
      <c r="A533" s="2">
        <v>254205.0</v>
      </c>
      <c r="B533" s="2" t="s">
        <v>558</v>
      </c>
      <c r="C533" s="2" t="s">
        <v>1589</v>
      </c>
      <c r="D533" s="2" t="s">
        <v>42</v>
      </c>
      <c r="E533" s="2" t="s">
        <v>136</v>
      </c>
      <c r="F533" s="2" t="s">
        <v>13</v>
      </c>
      <c r="G533" s="2">
        <v>2.0</v>
      </c>
      <c r="H533" s="3" t="str">
        <f>HYPERLINK("http://www.linkedin.com/pub/ted-girard/0/443/680","http://www.linkedin.com/pub/ted-girard/0/443/680")</f>
        <v>http://www.linkedin.com/pub/ted-girard/0/443/680</v>
      </c>
      <c r="I533" s="2" t="s">
        <v>105</v>
      </c>
      <c r="J533" s="2" t="s">
        <v>102</v>
      </c>
      <c r="K533" s="2" t="s">
        <v>58</v>
      </c>
    </row>
    <row r="534" ht="15.75" customHeight="1">
      <c r="A534" s="2">
        <v>255074.0</v>
      </c>
      <c r="B534" s="2" t="s">
        <v>1590</v>
      </c>
      <c r="C534" s="2" t="s">
        <v>1591</v>
      </c>
      <c r="D534" s="2" t="s">
        <v>1592</v>
      </c>
      <c r="E534" s="2" t="s">
        <v>574</v>
      </c>
      <c r="F534" s="2">
        <v>7.0</v>
      </c>
      <c r="G534" s="2">
        <v>268.0</v>
      </c>
      <c r="H534" s="3" t="str">
        <f>HYPERLINK("http://in.linkedin.com/in/yashks","http://in.linkedin.com/in/yashks")</f>
        <v>http://in.linkedin.com/in/yashks</v>
      </c>
      <c r="I534" s="2" t="s">
        <v>48</v>
      </c>
      <c r="J534" s="2" t="s">
        <v>575</v>
      </c>
      <c r="K534" s="2" t="s">
        <v>22</v>
      </c>
    </row>
    <row r="535" ht="15.75" customHeight="1">
      <c r="A535" s="2">
        <v>255272.0</v>
      </c>
      <c r="B535" s="2" t="s">
        <v>1593</v>
      </c>
      <c r="C535" s="2" t="s">
        <v>1594</v>
      </c>
      <c r="D535" s="2" t="s">
        <v>1595</v>
      </c>
      <c r="E535" s="2" t="s">
        <v>1596</v>
      </c>
      <c r="F535" s="2" t="s">
        <v>13</v>
      </c>
      <c r="G535" s="2">
        <v>500.0</v>
      </c>
      <c r="H535" s="3" t="str">
        <f>HYPERLINK("http://uk.linkedin.com/in/desanges","http://uk.linkedin.com/in/desanges")</f>
        <v>http://uk.linkedin.com/in/desanges</v>
      </c>
      <c r="I535" s="2" t="s">
        <v>15</v>
      </c>
      <c r="J535" s="2" t="s">
        <v>53</v>
      </c>
      <c r="K535" s="2" t="s">
        <v>35</v>
      </c>
    </row>
    <row r="536" ht="15.75" customHeight="1">
      <c r="A536" s="2">
        <v>255924.0</v>
      </c>
      <c r="B536" s="2" t="s">
        <v>1597</v>
      </c>
      <c r="C536" s="2" t="s">
        <v>1598</v>
      </c>
      <c r="D536" s="2" t="s">
        <v>1073</v>
      </c>
      <c r="E536" s="2" t="s">
        <v>259</v>
      </c>
      <c r="F536" s="2">
        <v>9.0</v>
      </c>
      <c r="G536" s="2">
        <v>500.0</v>
      </c>
      <c r="H536" s="3" t="str">
        <f>HYPERLINK("http://www.linkedin.com/pub/geno-zaharie/5/602/463","http://www.linkedin.com/pub/geno-zaharie/5/602/463")</f>
        <v>http://www.linkedin.com/pub/geno-zaharie/5/602/463</v>
      </c>
      <c r="I536" s="2" t="s">
        <v>48</v>
      </c>
      <c r="J536" s="2" t="s">
        <v>144</v>
      </c>
      <c r="K536" s="2" t="s">
        <v>145</v>
      </c>
    </row>
    <row r="537" ht="15.75" customHeight="1">
      <c r="A537" s="2">
        <v>256220.0</v>
      </c>
      <c r="B537" s="2" t="s">
        <v>1599</v>
      </c>
      <c r="C537" s="2" t="s">
        <v>1600</v>
      </c>
      <c r="D537" s="2" t="s">
        <v>835</v>
      </c>
      <c r="E537" s="2" t="s">
        <v>1037</v>
      </c>
      <c r="F537" s="2">
        <v>28.0</v>
      </c>
      <c r="G537" s="2">
        <v>500.0</v>
      </c>
      <c r="H537" s="3" t="str">
        <f>HYPERLINK("http://www.linkedin.com/in/oliverschmid","http://www.linkedin.com/in/oliverschmid")</f>
        <v>http://www.linkedin.com/in/oliverschmid</v>
      </c>
      <c r="I537" s="2" t="s">
        <v>15</v>
      </c>
      <c r="J537" s="2" t="s">
        <v>144</v>
      </c>
      <c r="K537" s="2" t="s">
        <v>58</v>
      </c>
    </row>
    <row r="538" ht="15.75" customHeight="1">
      <c r="A538" s="2">
        <v>256561.0</v>
      </c>
      <c r="B538" s="2" t="s">
        <v>1601</v>
      </c>
      <c r="C538" s="2" t="s">
        <v>1602</v>
      </c>
      <c r="D538" s="2" t="s">
        <v>1603</v>
      </c>
      <c r="E538" s="2" t="s">
        <v>971</v>
      </c>
      <c r="F538" s="2">
        <v>66.0</v>
      </c>
      <c r="G538" s="2">
        <v>500.0</v>
      </c>
      <c r="H538" s="3" t="str">
        <f>HYPERLINK("http://www.linkedin.com/in/prestiva","http://www.linkedin.com/in/prestiva")</f>
        <v>http://www.linkedin.com/in/prestiva</v>
      </c>
      <c r="I538" s="2" t="s">
        <v>579</v>
      </c>
      <c r="J538" s="2" t="s">
        <v>102</v>
      </c>
      <c r="K538" s="2" t="s">
        <v>97</v>
      </c>
    </row>
    <row r="539" ht="15.75" customHeight="1">
      <c r="A539" s="2">
        <v>256954.0</v>
      </c>
      <c r="B539" s="2" t="s">
        <v>1604</v>
      </c>
      <c r="C539" s="2" t="s">
        <v>13</v>
      </c>
      <c r="D539" s="2" t="s">
        <v>13</v>
      </c>
      <c r="E539" s="2" t="s">
        <v>1605</v>
      </c>
      <c r="F539" s="2">
        <v>0.0</v>
      </c>
      <c r="G539" s="2">
        <v>500.0</v>
      </c>
      <c r="H539" s="3" t="str">
        <f>HYPERLINK("http://ca.linkedin.com/in/alexmccallum/","http://ca.linkedin.com/in/alexmccallum/")</f>
        <v>http://ca.linkedin.com/in/alexmccallum/</v>
      </c>
      <c r="I539" s="2" t="s">
        <v>15</v>
      </c>
      <c r="J539" s="2" t="s">
        <v>44</v>
      </c>
      <c r="K539" s="2" t="s">
        <v>97</v>
      </c>
    </row>
    <row r="540" ht="15.75" customHeight="1">
      <c r="A540" s="2">
        <v>257047.0</v>
      </c>
      <c r="B540" s="2" t="s">
        <v>1606</v>
      </c>
      <c r="C540" s="2" t="s">
        <v>1607</v>
      </c>
      <c r="D540" s="2" t="s">
        <v>1608</v>
      </c>
      <c r="E540" s="2" t="s">
        <v>136</v>
      </c>
      <c r="F540" s="2">
        <v>3.0</v>
      </c>
      <c r="G540" s="2">
        <v>500.0</v>
      </c>
      <c r="H540" s="3" t="str">
        <f>HYPERLINK("http://www.linkedin.com/in/andrasboross","http://www.linkedin.com/in/andrasboross")</f>
        <v>http://www.linkedin.com/in/andrasboross</v>
      </c>
      <c r="I540" s="2" t="s">
        <v>48</v>
      </c>
      <c r="J540" s="2" t="s">
        <v>102</v>
      </c>
      <c r="K540" s="2" t="s">
        <v>35</v>
      </c>
    </row>
    <row r="541" ht="15.75" customHeight="1">
      <c r="A541" s="2">
        <v>257600.0</v>
      </c>
      <c r="B541" s="2" t="s">
        <v>1364</v>
      </c>
      <c r="C541" s="2" t="s">
        <v>1038</v>
      </c>
      <c r="D541" s="2" t="s">
        <v>1609</v>
      </c>
      <c r="E541" s="2" t="s">
        <v>136</v>
      </c>
      <c r="F541" s="2">
        <v>1.0</v>
      </c>
      <c r="G541" s="2">
        <v>459.0</v>
      </c>
      <c r="H541" s="3" t="str">
        <f>HYPERLINK("http://www.linkedin.com/pub/dennis-chen/0/A/22B","http://www.linkedin.com/pub/dennis-chen/0/A/22B")</f>
        <v>http://www.linkedin.com/pub/dennis-chen/0/A/22B</v>
      </c>
      <c r="I541" s="2" t="s">
        <v>48</v>
      </c>
      <c r="J541" s="2" t="s">
        <v>102</v>
      </c>
      <c r="K541" s="2" t="s">
        <v>35</v>
      </c>
    </row>
    <row r="542" ht="15.75" customHeight="1">
      <c r="A542" s="2">
        <v>258093.0</v>
      </c>
      <c r="B542" s="2" t="s">
        <v>1610</v>
      </c>
      <c r="C542" s="2" t="s">
        <v>1611</v>
      </c>
      <c r="D542" s="2" t="s">
        <v>1612</v>
      </c>
      <c r="E542" s="2" t="s">
        <v>301</v>
      </c>
      <c r="F542" s="2">
        <v>4.0</v>
      </c>
      <c r="G542" s="2">
        <v>489.0</v>
      </c>
      <c r="H542" s="3" t="str">
        <f>HYPERLINK("http://www.linkedin.com/in/msureshk","http://www.linkedin.com/in/msureshk")</f>
        <v>http://www.linkedin.com/in/msureshk</v>
      </c>
      <c r="I542" s="2" t="s">
        <v>15</v>
      </c>
      <c r="J542" s="2" t="s">
        <v>102</v>
      </c>
      <c r="K542" s="2" t="s">
        <v>35</v>
      </c>
    </row>
    <row r="543" ht="15.75" customHeight="1">
      <c r="A543" s="2">
        <v>258877.0</v>
      </c>
      <c r="B543" s="2" t="s">
        <v>133</v>
      </c>
      <c r="C543" s="2" t="s">
        <v>1613</v>
      </c>
      <c r="D543" s="2" t="s">
        <v>1614</v>
      </c>
      <c r="E543" s="2" t="s">
        <v>1615</v>
      </c>
      <c r="F543" s="2">
        <v>121.0</v>
      </c>
      <c r="G543" s="2">
        <v>500.0</v>
      </c>
      <c r="H543" s="3" t="str">
        <f>HYPERLINK("http://www.linkedin.com/pub/michael-glinter/6/713/580","http://www.linkedin.com/pub/michael-glinter/6/713/580")</f>
        <v>http://www.linkedin.com/pub/michael-glinter/6/713/580</v>
      </c>
      <c r="I543" s="2" t="s">
        <v>248</v>
      </c>
      <c r="J543" s="2" t="s">
        <v>102</v>
      </c>
      <c r="K543" s="2" t="s">
        <v>58</v>
      </c>
    </row>
    <row r="544" ht="15.75" customHeight="1">
      <c r="A544" s="2">
        <v>259417.0</v>
      </c>
      <c r="B544" s="2" t="s">
        <v>1616</v>
      </c>
      <c r="C544" s="2" t="s">
        <v>1617</v>
      </c>
      <c r="D544" s="2" t="s">
        <v>47</v>
      </c>
      <c r="E544" s="2" t="s">
        <v>136</v>
      </c>
      <c r="F544" s="2">
        <v>7.0</v>
      </c>
      <c r="G544" s="2">
        <v>500.0</v>
      </c>
      <c r="H544" s="3" t="str">
        <f>HYPERLINK("http://www.linkedin.com/in/trebryan","http://www.linkedin.com/in/trebryan")</f>
        <v>http://www.linkedin.com/in/trebryan</v>
      </c>
      <c r="I544" s="2" t="s">
        <v>69</v>
      </c>
      <c r="J544" s="2" t="s">
        <v>102</v>
      </c>
      <c r="K544" s="2" t="s">
        <v>35</v>
      </c>
    </row>
    <row r="545" ht="15.75" customHeight="1">
      <c r="A545" s="2">
        <v>260292.0</v>
      </c>
      <c r="B545" s="2" t="s">
        <v>1618</v>
      </c>
      <c r="C545" s="2" t="s">
        <v>1619</v>
      </c>
      <c r="D545" s="2" t="s">
        <v>1620</v>
      </c>
      <c r="E545" s="2" t="s">
        <v>1534</v>
      </c>
      <c r="F545" s="2">
        <v>13.0</v>
      </c>
      <c r="G545" s="2">
        <v>500.0</v>
      </c>
      <c r="H545" s="3" t="str">
        <f>HYPERLINK("http://in.linkedin.com/pub/rahul-gandhi/0/62/5B5","http://in.linkedin.com/pub/rahul-gandhi/0/62/5B5")</f>
        <v>http://in.linkedin.com/pub/rahul-gandhi/0/62/5B5</v>
      </c>
      <c r="I545" s="2" t="s">
        <v>15</v>
      </c>
      <c r="J545" s="2" t="s">
        <v>87</v>
      </c>
      <c r="K545" s="2" t="s">
        <v>35</v>
      </c>
    </row>
    <row r="546" ht="15.75" customHeight="1">
      <c r="A546" s="2">
        <v>260331.0</v>
      </c>
      <c r="B546" s="2" t="s">
        <v>1004</v>
      </c>
      <c r="C546" s="2" t="s">
        <v>1621</v>
      </c>
      <c r="D546" s="2" t="s">
        <v>47</v>
      </c>
      <c r="E546" s="2" t="s">
        <v>136</v>
      </c>
      <c r="F546" s="2">
        <v>26.0</v>
      </c>
      <c r="G546" s="2">
        <v>500.0</v>
      </c>
      <c r="H546" s="3" t="str">
        <f>HYPERLINK("http://www.linkedin.com/in/scottwharton","http://www.linkedin.com/in/scottwharton")</f>
        <v>http://www.linkedin.com/in/scottwharton</v>
      </c>
      <c r="I546" s="2" t="s">
        <v>77</v>
      </c>
      <c r="J546" s="2" t="s">
        <v>102</v>
      </c>
      <c r="K546" s="2" t="s">
        <v>97</v>
      </c>
    </row>
    <row r="547" ht="15.75" customHeight="1">
      <c r="A547" s="2">
        <v>260603.0</v>
      </c>
      <c r="B547" s="2" t="s">
        <v>1622</v>
      </c>
      <c r="C547" s="2" t="s">
        <v>1623</v>
      </c>
      <c r="D547" s="2" t="s">
        <v>1624</v>
      </c>
      <c r="E547" s="2" t="s">
        <v>301</v>
      </c>
      <c r="F547" s="2" t="s">
        <v>13</v>
      </c>
      <c r="G547" s="2">
        <v>500.0</v>
      </c>
      <c r="H547" s="3" t="str">
        <f>HYPERLINK("http://www.linkedin.com/in/mikenaj","http://www.linkedin.com/in/mikenaj")</f>
        <v>http://www.linkedin.com/in/mikenaj</v>
      </c>
      <c r="I547" s="2" t="s">
        <v>15</v>
      </c>
      <c r="J547" s="2" t="s">
        <v>102</v>
      </c>
      <c r="K547" s="2" t="s">
        <v>35</v>
      </c>
    </row>
    <row r="548" ht="15.75" customHeight="1">
      <c r="A548" s="2">
        <v>260761.0</v>
      </c>
      <c r="B548" s="2" t="s">
        <v>839</v>
      </c>
      <c r="C548" s="2" t="s">
        <v>1004</v>
      </c>
      <c r="D548" s="2" t="s">
        <v>13</v>
      </c>
      <c r="E548" s="2" t="s">
        <v>136</v>
      </c>
      <c r="F548" s="2">
        <v>0.0</v>
      </c>
      <c r="G548" s="2">
        <v>500.0</v>
      </c>
      <c r="H548" s="3" t="str">
        <f>HYPERLINK("https://www.linkedin.com/in/davescott00","https://www.linkedin.com/in/davescott00")</f>
        <v>https://www.linkedin.com/in/davescott00</v>
      </c>
      <c r="I548" s="2" t="s">
        <v>105</v>
      </c>
      <c r="J548" s="2" t="s">
        <v>102</v>
      </c>
      <c r="K548" s="2" t="s">
        <v>35</v>
      </c>
    </row>
    <row r="549" ht="15.75" customHeight="1">
      <c r="A549" s="2">
        <v>260808.0</v>
      </c>
      <c r="B549" s="2" t="s">
        <v>1625</v>
      </c>
      <c r="C549" s="2" t="s">
        <v>1626</v>
      </c>
      <c r="D549" s="2" t="s">
        <v>1627</v>
      </c>
      <c r="E549" s="2" t="s">
        <v>136</v>
      </c>
      <c r="F549" s="2">
        <v>2.0</v>
      </c>
      <c r="G549" s="2">
        <v>500.0</v>
      </c>
      <c r="H549" s="3" t="str">
        <f>HYPERLINK("http://www.linkedin.com/pub/durga-das/0/4A/124","http://www.linkedin.com/pub/durga-das/0/4A/124")</f>
        <v>http://www.linkedin.com/pub/durga-das/0/4A/124</v>
      </c>
      <c r="I549" s="2" t="s">
        <v>115</v>
      </c>
      <c r="J549" s="2" t="s">
        <v>102</v>
      </c>
      <c r="K549" s="2" t="s">
        <v>58</v>
      </c>
    </row>
    <row r="550" ht="15.75" customHeight="1">
      <c r="A550" s="2">
        <v>260953.0</v>
      </c>
      <c r="B550" s="2" t="s">
        <v>341</v>
      </c>
      <c r="C550" s="2" t="s">
        <v>313</v>
      </c>
      <c r="D550" s="2" t="s">
        <v>13</v>
      </c>
      <c r="E550" s="2" t="s">
        <v>181</v>
      </c>
      <c r="F550" s="2">
        <v>0.0</v>
      </c>
      <c r="G550" s="2">
        <v>500.0</v>
      </c>
      <c r="H550" s="3" t="str">
        <f>HYPERLINK("http://www.linkedin.com/in/semguru","http://www.linkedin.com/in/semguru")</f>
        <v>http://www.linkedin.com/in/semguru</v>
      </c>
      <c r="I550" s="2" t="s">
        <v>105</v>
      </c>
      <c r="J550" s="2" t="s">
        <v>102</v>
      </c>
      <c r="K550" s="2" t="s">
        <v>58</v>
      </c>
    </row>
    <row r="551" ht="15.75" customHeight="1">
      <c r="A551" s="2">
        <v>261041.0</v>
      </c>
      <c r="B551" s="2" t="s">
        <v>1366</v>
      </c>
      <c r="C551" s="2" t="s">
        <v>1628</v>
      </c>
      <c r="D551" s="2" t="s">
        <v>1629</v>
      </c>
      <c r="E551" s="2" t="s">
        <v>1630</v>
      </c>
      <c r="F551" s="2">
        <v>13.0</v>
      </c>
      <c r="G551" s="2">
        <v>500.0</v>
      </c>
      <c r="H551" s="3" t="str">
        <f>HYPERLINK("http://ca.linkedin.com/in/peterjubb","http://ca.linkedin.com/in/peterjubb")</f>
        <v>http://ca.linkedin.com/in/peterjubb</v>
      </c>
      <c r="I551" s="2" t="s">
        <v>69</v>
      </c>
      <c r="J551" s="2" t="s">
        <v>44</v>
      </c>
      <c r="K551" s="2" t="s">
        <v>35</v>
      </c>
    </row>
    <row r="552" ht="15.75" customHeight="1">
      <c r="A552" s="2">
        <v>261159.0</v>
      </c>
      <c r="B552" s="2" t="s">
        <v>1479</v>
      </c>
      <c r="C552" s="2" t="s">
        <v>1502</v>
      </c>
      <c r="D552" s="2" t="s">
        <v>81</v>
      </c>
      <c r="E552" s="2" t="s">
        <v>136</v>
      </c>
      <c r="F552" s="2">
        <v>3.0</v>
      </c>
      <c r="G552" s="2">
        <v>500.0</v>
      </c>
      <c r="H552" s="3" t="str">
        <f>HYPERLINK("http://www.linkedin.com/in/fcohen","http://www.linkedin.com/in/fcohen")</f>
        <v>http://www.linkedin.com/in/fcohen</v>
      </c>
      <c r="I552" s="2" t="s">
        <v>48</v>
      </c>
      <c r="J552" s="2" t="s">
        <v>102</v>
      </c>
      <c r="K552" s="2" t="s">
        <v>35</v>
      </c>
    </row>
    <row r="553" ht="15.75" customHeight="1">
      <c r="A553" s="2">
        <v>261754.0</v>
      </c>
      <c r="B553" s="2" t="s">
        <v>1631</v>
      </c>
      <c r="C553" s="2" t="s">
        <v>1632</v>
      </c>
      <c r="D553" s="2"/>
      <c r="E553" s="2" t="s">
        <v>1633</v>
      </c>
      <c r="F553" s="2">
        <v>3.0</v>
      </c>
      <c r="G553" s="2">
        <v>77.0</v>
      </c>
      <c r="H553" s="3" t="str">
        <f>HYPERLINK("http://www.linkedin.com/pub/jocelyn-reynolds/0/6A0/B62","http://www.linkedin.com/pub/jocelyn-reynolds/0/6A0/B62")</f>
        <v>http://www.linkedin.com/pub/jocelyn-reynolds/0/6A0/B62</v>
      </c>
      <c r="I553" s="2" t="s">
        <v>57</v>
      </c>
      <c r="J553" s="2" t="s">
        <v>16</v>
      </c>
      <c r="K553" s="2" t="s">
        <v>35</v>
      </c>
    </row>
    <row r="554" ht="15.75" customHeight="1">
      <c r="A554" s="2">
        <v>261803.0</v>
      </c>
      <c r="B554" s="2" t="s">
        <v>511</v>
      </c>
      <c r="C554" s="2" t="s">
        <v>1634</v>
      </c>
      <c r="D554" s="2" t="s">
        <v>47</v>
      </c>
      <c r="E554" s="2" t="s">
        <v>301</v>
      </c>
      <c r="F554" s="2">
        <v>12.0</v>
      </c>
      <c r="G554" s="2">
        <v>500.0</v>
      </c>
      <c r="H554" s="3" t="str">
        <f>HYPERLINK("http://www.linkedin.com/in/mikesong","http://www.linkedin.com/in/mikesong")</f>
        <v>http://www.linkedin.com/in/mikesong</v>
      </c>
      <c r="I554" s="2" t="s">
        <v>1390</v>
      </c>
      <c r="J554" s="2" t="s">
        <v>102</v>
      </c>
      <c r="K554" s="2" t="s">
        <v>58</v>
      </c>
    </row>
    <row r="555" ht="15.75" customHeight="1">
      <c r="A555" s="2">
        <v>262043.0</v>
      </c>
      <c r="B555" s="2" t="s">
        <v>1635</v>
      </c>
      <c r="C555" s="2" t="s">
        <v>1636</v>
      </c>
      <c r="D555" s="2" t="s">
        <v>1637</v>
      </c>
      <c r="E555" s="2" t="s">
        <v>748</v>
      </c>
      <c r="F555" s="2">
        <v>3.0</v>
      </c>
      <c r="G555" s="2">
        <v>500.0</v>
      </c>
      <c r="H555" s="3" t="str">
        <f>HYPERLINK("http://www.linkedin.com/pub/marie-longserre/0/23/386","http://www.linkedin.com/pub/marie-longserre/0/23/386")</f>
        <v>http://www.linkedin.com/pub/marie-longserre/0/23/386</v>
      </c>
      <c r="I555" s="2" t="s">
        <v>422</v>
      </c>
      <c r="J555" s="2" t="s">
        <v>28</v>
      </c>
      <c r="K555" s="2" t="s">
        <v>138</v>
      </c>
    </row>
    <row r="556" ht="15.75" customHeight="1">
      <c r="A556" s="2">
        <v>262109.0</v>
      </c>
      <c r="B556" s="2" t="s">
        <v>1497</v>
      </c>
      <c r="C556" s="2" t="s">
        <v>1638</v>
      </c>
      <c r="D556" s="2" t="s">
        <v>1639</v>
      </c>
      <c r="E556" s="2" t="s">
        <v>804</v>
      </c>
      <c r="F556" s="2">
        <v>13.0</v>
      </c>
      <c r="G556" s="2">
        <v>500.0</v>
      </c>
      <c r="H556" s="3" t="str">
        <f>HYPERLINK("http://www.linkedin.com/in/roykoons","http://www.linkedin.com/in/roykoons")</f>
        <v>http://www.linkedin.com/in/roykoons</v>
      </c>
      <c r="I556" s="2" t="s">
        <v>15</v>
      </c>
      <c r="J556" s="2" t="s">
        <v>102</v>
      </c>
      <c r="K556" s="2" t="s">
        <v>35</v>
      </c>
    </row>
    <row r="557" ht="15.75" customHeight="1">
      <c r="A557" s="2">
        <v>262127.0</v>
      </c>
      <c r="B557" s="2" t="s">
        <v>1640</v>
      </c>
      <c r="C557" s="2" t="s">
        <v>399</v>
      </c>
      <c r="D557" s="2" t="s">
        <v>1641</v>
      </c>
      <c r="E557" s="2" t="s">
        <v>278</v>
      </c>
      <c r="F557" s="2">
        <v>8.0</v>
      </c>
      <c r="G557" s="2">
        <v>500.0</v>
      </c>
      <c r="H557" s="3" t="str">
        <f>HYPERLINK("http://www.linkedin.com/in/webbjo","http://www.linkedin.com/in/webbjo")</f>
        <v>http://www.linkedin.com/in/webbjo</v>
      </c>
      <c r="I557" s="2" t="s">
        <v>57</v>
      </c>
      <c r="J557" s="2" t="s">
        <v>28</v>
      </c>
      <c r="K557" s="2" t="s">
        <v>1642</v>
      </c>
    </row>
    <row r="558" ht="15.75" customHeight="1">
      <c r="A558" s="2">
        <v>262132.0</v>
      </c>
      <c r="B558" s="2" t="s">
        <v>1366</v>
      </c>
      <c r="C558" s="2" t="s">
        <v>1643</v>
      </c>
      <c r="D558" s="2" t="s">
        <v>1320</v>
      </c>
      <c r="E558" s="2" t="s">
        <v>1644</v>
      </c>
      <c r="F558" s="2">
        <v>2.0</v>
      </c>
      <c r="G558" s="2">
        <v>500.0</v>
      </c>
      <c r="H558" s="3" t="str">
        <f>HYPERLINK("http://www.linkedin.com/pub/peter-mckay/0/52/207","http://www.linkedin.com/pub/peter-mckay/0/52/207")</f>
        <v>http://www.linkedin.com/pub/peter-mckay/0/52/207</v>
      </c>
      <c r="I558" s="2" t="s">
        <v>48</v>
      </c>
      <c r="J558" s="2" t="s">
        <v>102</v>
      </c>
      <c r="K558" s="2" t="s">
        <v>35</v>
      </c>
    </row>
    <row r="559" ht="15.75" customHeight="1">
      <c r="A559" s="2">
        <v>262355.0</v>
      </c>
      <c r="B559" s="2" t="s">
        <v>1645</v>
      </c>
      <c r="C559" s="2" t="s">
        <v>1646</v>
      </c>
      <c r="D559" s="2"/>
      <c r="E559" s="2" t="s">
        <v>748</v>
      </c>
      <c r="F559" s="2">
        <v>4.0</v>
      </c>
      <c r="G559" s="2">
        <v>477.0</v>
      </c>
      <c r="H559" s="3" t="str">
        <f>HYPERLINK("http://www.linkedin.com/pub/belinda-snyder/0/5/B64","http://www.linkedin.com/pub/belinda-snyder/0/5/B64")</f>
        <v>http://www.linkedin.com/pub/belinda-snyder/0/5/B64</v>
      </c>
      <c r="I559" s="2" t="s">
        <v>709</v>
      </c>
      <c r="J559" s="2" t="s">
        <v>28</v>
      </c>
      <c r="K559" s="2" t="s">
        <v>35</v>
      </c>
    </row>
    <row r="560" ht="15.75" customHeight="1">
      <c r="A560" s="2">
        <v>262736.0</v>
      </c>
      <c r="B560" s="2" t="s">
        <v>133</v>
      </c>
      <c r="C560" s="2" t="s">
        <v>845</v>
      </c>
      <c r="D560" s="2" t="s">
        <v>1647</v>
      </c>
      <c r="E560" s="2" t="s">
        <v>278</v>
      </c>
      <c r="F560" s="2">
        <v>2.0</v>
      </c>
      <c r="G560" s="2">
        <v>64.0</v>
      </c>
      <c r="H560" s="3" t="str">
        <f>HYPERLINK("http://www.linkedin.com/pub/michael-david/0/2A/A4A","http://www.linkedin.com/pub/michael-david/0/2A/A4A")</f>
        <v>http://www.linkedin.com/pub/michael-david/0/2A/A4A</v>
      </c>
      <c r="I560" s="2" t="s">
        <v>57</v>
      </c>
      <c r="J560" s="2" t="s">
        <v>28</v>
      </c>
      <c r="K560" s="2" t="s">
        <v>168</v>
      </c>
    </row>
    <row r="561" ht="15.75" customHeight="1">
      <c r="A561" s="2">
        <v>262925.0</v>
      </c>
      <c r="B561" s="2" t="s">
        <v>1648</v>
      </c>
      <c r="C561" s="2" t="s">
        <v>1649</v>
      </c>
      <c r="D561" s="2" t="s">
        <v>1650</v>
      </c>
      <c r="E561" s="2" t="s">
        <v>971</v>
      </c>
      <c r="F561" s="2">
        <v>17.0</v>
      </c>
      <c r="G561" s="2">
        <v>500.0</v>
      </c>
      <c r="H561" s="3" t="str">
        <f>HYPERLINK("http://www.linkedin.com/in/cyndydavis","http://www.linkedin.com/in/cyndydavis")</f>
        <v>http://www.linkedin.com/in/cyndydavis</v>
      </c>
      <c r="I561" s="2" t="s">
        <v>15</v>
      </c>
      <c r="J561" s="2" t="s">
        <v>102</v>
      </c>
      <c r="K561" s="2" t="s">
        <v>196</v>
      </c>
    </row>
    <row r="562" ht="15.75" customHeight="1">
      <c r="A562" s="2">
        <v>263034.0</v>
      </c>
      <c r="B562" s="2" t="s">
        <v>1651</v>
      </c>
      <c r="C562" s="2" t="s">
        <v>1652</v>
      </c>
      <c r="D562" s="2" t="s">
        <v>309</v>
      </c>
      <c r="E562" s="2" t="s">
        <v>1099</v>
      </c>
      <c r="F562" s="2">
        <v>3.0</v>
      </c>
      <c r="G562" s="2">
        <v>476.0</v>
      </c>
      <c r="H562" s="3" t="str">
        <f>HYPERLINK("http://www.linkedin.com/in/darencoudriet","http://www.linkedin.com/in/darencoudriet")</f>
        <v>http://www.linkedin.com/in/darencoudriet</v>
      </c>
      <c r="I562" s="2" t="s">
        <v>105</v>
      </c>
      <c r="J562" s="2" t="s">
        <v>144</v>
      </c>
      <c r="K562" s="2" t="s">
        <v>35</v>
      </c>
    </row>
    <row r="563" ht="15.75" customHeight="1">
      <c r="A563" s="2">
        <v>263185.0</v>
      </c>
      <c r="B563" s="2" t="s">
        <v>1653</v>
      </c>
      <c r="C563" s="2" t="s">
        <v>1654</v>
      </c>
      <c r="D563" s="2" t="s">
        <v>100</v>
      </c>
      <c r="E563" s="2" t="s">
        <v>235</v>
      </c>
      <c r="F563" s="2">
        <v>10.0</v>
      </c>
      <c r="G563" s="2">
        <v>500.0</v>
      </c>
      <c r="H563" s="3" t="str">
        <f>HYPERLINK("http://www.linkedin.com/in/dougroper","http://www.linkedin.com/in/dougroper")</f>
        <v>http://www.linkedin.com/in/dougroper</v>
      </c>
      <c r="I563" s="2" t="s">
        <v>248</v>
      </c>
      <c r="J563" s="2" t="s">
        <v>102</v>
      </c>
      <c r="K563" s="2" t="s">
        <v>196</v>
      </c>
    </row>
    <row r="564" ht="15.75" customHeight="1">
      <c r="A564" s="2">
        <v>263258.0</v>
      </c>
      <c r="B564" s="2" t="s">
        <v>511</v>
      </c>
      <c r="C564" s="2" t="s">
        <v>1655</v>
      </c>
      <c r="D564" s="2" t="s">
        <v>42</v>
      </c>
      <c r="E564" s="2" t="s">
        <v>1656</v>
      </c>
      <c r="F564" s="2">
        <v>6.0</v>
      </c>
      <c r="G564" s="2">
        <v>500.0</v>
      </c>
      <c r="H564" s="3" t="str">
        <f>HYPERLINK("http://www.linkedin.com/in/mikeottcpc","http://www.linkedin.com/in/mikeottcpc")</f>
        <v>http://www.linkedin.com/in/mikeottcpc</v>
      </c>
      <c r="I564" s="2" t="s">
        <v>248</v>
      </c>
      <c r="J564" s="2" t="s">
        <v>102</v>
      </c>
      <c r="K564" s="2" t="s">
        <v>196</v>
      </c>
    </row>
    <row r="565" ht="15.75" customHeight="1">
      <c r="A565" s="2">
        <v>263420.0</v>
      </c>
      <c r="B565" s="2" t="s">
        <v>1185</v>
      </c>
      <c r="C565" s="2" t="s">
        <v>1657</v>
      </c>
      <c r="D565" s="2" t="s">
        <v>13</v>
      </c>
      <c r="E565" s="2" t="s">
        <v>64</v>
      </c>
      <c r="F565" s="2">
        <v>2.0</v>
      </c>
      <c r="G565" s="2">
        <v>500.0</v>
      </c>
      <c r="H565" s="3" t="str">
        <f>HYPERLINK("http://www.linkedin.com/in/xavierblanchot","http://www.linkedin.com/in/xavierblanchot")</f>
        <v>http://www.linkedin.com/in/xavierblanchot</v>
      </c>
      <c r="I565" s="2" t="s">
        <v>15</v>
      </c>
      <c r="J565" s="2" t="s">
        <v>65</v>
      </c>
      <c r="K565" s="2" t="s">
        <v>35</v>
      </c>
    </row>
    <row r="566" ht="15.75" customHeight="1">
      <c r="A566" s="2">
        <v>263430.0</v>
      </c>
      <c r="B566" s="2" t="s">
        <v>116</v>
      </c>
      <c r="C566" s="2" t="s">
        <v>1658</v>
      </c>
      <c r="D566" s="2" t="s">
        <v>47</v>
      </c>
      <c r="E566" s="2" t="s">
        <v>136</v>
      </c>
      <c r="F566" s="2" t="s">
        <v>13</v>
      </c>
      <c r="G566" s="2">
        <v>500.0</v>
      </c>
      <c r="H566" s="3" t="str">
        <f>HYPERLINK("http://www.linkedin.com/in/moukas","http://www.linkedin.com/in/moukas")</f>
        <v>http://www.linkedin.com/in/moukas</v>
      </c>
      <c r="I566" s="2" t="s">
        <v>48</v>
      </c>
      <c r="J566" s="2" t="s">
        <v>102</v>
      </c>
      <c r="K566" s="2" t="s">
        <v>35</v>
      </c>
    </row>
    <row r="567" ht="15.75" customHeight="1">
      <c r="A567" s="2">
        <v>263574.0</v>
      </c>
      <c r="B567" s="2" t="s">
        <v>1659</v>
      </c>
      <c r="C567" s="2" t="s">
        <v>1617</v>
      </c>
      <c r="D567" s="2" t="s">
        <v>13</v>
      </c>
      <c r="E567" s="2" t="s">
        <v>1317</v>
      </c>
      <c r="F567" s="2">
        <v>2.0</v>
      </c>
      <c r="G567" s="2">
        <v>500.0</v>
      </c>
      <c r="H567" s="3" t="str">
        <f>HYPERLINK("http://www.linkedin.com/in/janryanaustin/","http://www.linkedin.com/in/janryanaustin/")</f>
        <v>http://www.linkedin.com/in/janryanaustin/</v>
      </c>
      <c r="I567" s="2" t="s">
        <v>48</v>
      </c>
      <c r="J567" s="2" t="s">
        <v>102</v>
      </c>
      <c r="K567" s="2" t="s">
        <v>35</v>
      </c>
    </row>
    <row r="568" ht="15.75" customHeight="1">
      <c r="A568" s="2">
        <v>263686.0</v>
      </c>
      <c r="B568" s="2" t="s">
        <v>1660</v>
      </c>
      <c r="C568" s="2" t="s">
        <v>1661</v>
      </c>
      <c r="D568" s="2" t="s">
        <v>13</v>
      </c>
      <c r="E568" s="2" t="s">
        <v>136</v>
      </c>
      <c r="F568" s="2">
        <v>0.0</v>
      </c>
      <c r="G568" s="2">
        <v>500.0</v>
      </c>
      <c r="H568" s="3" t="str">
        <f>HYPERLINK("http://www.linkedin.com/in/laurencenathanson","http://www.linkedin.com/in/laurencenathanson")</f>
        <v>http://www.linkedin.com/in/laurencenathanson</v>
      </c>
      <c r="I568" s="2" t="s">
        <v>69</v>
      </c>
      <c r="J568" s="2" t="s">
        <v>102</v>
      </c>
      <c r="K568" s="2" t="s">
        <v>35</v>
      </c>
    </row>
    <row r="569" ht="15.75" customHeight="1">
      <c r="A569" s="2">
        <v>263962.0</v>
      </c>
      <c r="B569" s="2" t="s">
        <v>302</v>
      </c>
      <c r="C569" s="2" t="s">
        <v>1662</v>
      </c>
      <c r="D569" s="2" t="s">
        <v>1663</v>
      </c>
      <c r="E569" s="2" t="s">
        <v>1664</v>
      </c>
      <c r="F569" s="2">
        <v>3.0</v>
      </c>
      <c r="G569" s="2">
        <v>500.0</v>
      </c>
      <c r="H569" s="3" t="str">
        <f>HYPERLINK("http://www.linkedin.com/in/idtfreedom","http://www.linkedin.com/in/idtfreedom")</f>
        <v>http://www.linkedin.com/in/idtfreedom</v>
      </c>
      <c r="I569" s="2" t="s">
        <v>621</v>
      </c>
      <c r="J569" s="2" t="s">
        <v>102</v>
      </c>
      <c r="K569" s="2" t="s">
        <v>29</v>
      </c>
    </row>
    <row r="570" ht="15.75" customHeight="1">
      <c r="A570" s="2">
        <v>264219.0</v>
      </c>
      <c r="B570" s="2" t="s">
        <v>1665</v>
      </c>
      <c r="C570" s="2" t="s">
        <v>647</v>
      </c>
      <c r="D570" s="2" t="s">
        <v>1666</v>
      </c>
      <c r="E570" s="2" t="s">
        <v>136</v>
      </c>
      <c r="F570" s="2">
        <v>14.0</v>
      </c>
      <c r="G570" s="2">
        <v>500.0</v>
      </c>
      <c r="H570" s="3" t="str">
        <f>HYPERLINK("http://www.linkedin.com/in/kathee","http://www.linkedin.com/in/kathee")</f>
        <v>http://www.linkedin.com/in/kathee</v>
      </c>
      <c r="I570" s="2" t="s">
        <v>69</v>
      </c>
      <c r="J570" s="2" t="s">
        <v>102</v>
      </c>
      <c r="K570" s="2" t="s">
        <v>35</v>
      </c>
    </row>
    <row r="571" ht="15.75" customHeight="1">
      <c r="A571" s="2">
        <v>264265.0</v>
      </c>
      <c r="B571" s="2" t="s">
        <v>845</v>
      </c>
      <c r="C571" s="2" t="s">
        <v>1257</v>
      </c>
      <c r="D571" s="2" t="s">
        <v>1667</v>
      </c>
      <c r="E571" s="2" t="s">
        <v>1668</v>
      </c>
      <c r="F571" s="2">
        <v>14.0</v>
      </c>
      <c r="G571" s="2">
        <v>500.0</v>
      </c>
      <c r="H571" s="3" t="str">
        <f>HYPERLINK("http://www.linkedin.com/pub/david-drummond/0/57/261","http://www.linkedin.com/pub/david-drummond/0/57/261")</f>
        <v>http://www.linkedin.com/pub/david-drummond/0/57/261</v>
      </c>
      <c r="I571" s="2" t="s">
        <v>279</v>
      </c>
      <c r="J571" s="2" t="s">
        <v>1669</v>
      </c>
      <c r="K571" s="2" t="s">
        <v>522</v>
      </c>
    </row>
    <row r="572" ht="15.75" customHeight="1">
      <c r="A572" s="2">
        <v>264731.0</v>
      </c>
      <c r="B572" s="2" t="s">
        <v>1670</v>
      </c>
      <c r="C572" s="2" t="s">
        <v>1671</v>
      </c>
      <c r="D572" s="2" t="s">
        <v>42</v>
      </c>
      <c r="E572" s="2" t="s">
        <v>1672</v>
      </c>
      <c r="F572" s="2">
        <v>5.0</v>
      </c>
      <c r="G572" s="2">
        <v>196.0</v>
      </c>
      <c r="H572" s="3" t="str">
        <f>HYPERLINK("http://uk.linkedin.com/in/monalika","http://uk.linkedin.com/in/monalika")</f>
        <v>http://uk.linkedin.com/in/monalika</v>
      </c>
      <c r="I572" s="2" t="s">
        <v>15</v>
      </c>
      <c r="J572" s="2" t="s">
        <v>53</v>
      </c>
      <c r="K572" s="2" t="s">
        <v>35</v>
      </c>
    </row>
    <row r="573" ht="15.75" customHeight="1">
      <c r="A573" s="2">
        <v>265384.0</v>
      </c>
      <c r="B573" s="2" t="s">
        <v>839</v>
      </c>
      <c r="C573" s="2" t="s">
        <v>1673</v>
      </c>
      <c r="D573" s="2" t="s">
        <v>1674</v>
      </c>
      <c r="E573" s="2" t="s">
        <v>301</v>
      </c>
      <c r="F573" s="2">
        <v>19.0</v>
      </c>
      <c r="G573" s="2">
        <v>500.0</v>
      </c>
      <c r="H573" s="3" t="str">
        <f>HYPERLINK("http://www.linkedin.com/in/davekerpen","http://www.linkedin.com/in/davekerpen")</f>
        <v>http://www.linkedin.com/in/davekerpen</v>
      </c>
      <c r="I573" s="2" t="s">
        <v>105</v>
      </c>
      <c r="J573" s="2" t="s">
        <v>102</v>
      </c>
      <c r="K573" s="2" t="s">
        <v>58</v>
      </c>
    </row>
    <row r="574" ht="15.75" customHeight="1">
      <c r="A574" s="2">
        <v>265470.0</v>
      </c>
      <c r="B574" s="2" t="s">
        <v>940</v>
      </c>
      <c r="C574" s="2" t="s">
        <v>1675</v>
      </c>
      <c r="D574" s="2" t="s">
        <v>108</v>
      </c>
      <c r="E574" s="2" t="s">
        <v>136</v>
      </c>
      <c r="F574" s="2" t="s">
        <v>13</v>
      </c>
      <c r="G574" s="2">
        <v>500.0</v>
      </c>
      <c r="H574" s="3" t="str">
        <f>HYPERLINK("http://www.linkedin.com/pub/bob-friday/0/39/88B","http://www.linkedin.com/pub/bob-friday/0/39/88B")</f>
        <v>http://www.linkedin.com/pub/bob-friday/0/39/88B</v>
      </c>
      <c r="I574" s="2" t="s">
        <v>873</v>
      </c>
      <c r="J574" s="2" t="s">
        <v>102</v>
      </c>
      <c r="K574" s="2" t="s">
        <v>58</v>
      </c>
    </row>
    <row r="575" ht="15.75" customHeight="1">
      <c r="A575" s="2">
        <v>265541.0</v>
      </c>
      <c r="B575" s="2" t="s">
        <v>1676</v>
      </c>
      <c r="C575" s="2" t="s">
        <v>1677</v>
      </c>
      <c r="D575" s="2" t="s">
        <v>1678</v>
      </c>
      <c r="E575" s="2" t="s">
        <v>204</v>
      </c>
      <c r="F575" s="2">
        <v>0.0</v>
      </c>
      <c r="G575" s="2">
        <v>209.0</v>
      </c>
      <c r="H575" s="3" t="str">
        <f>HYPERLINK("http://www.linkedin.com/in/raultenorio","http://www.linkedin.com/in/raultenorio")</f>
        <v>http://www.linkedin.com/in/raultenorio</v>
      </c>
      <c r="I575" s="2" t="s">
        <v>1679</v>
      </c>
      <c r="J575" s="2" t="s">
        <v>28</v>
      </c>
      <c r="K575" s="2" t="s">
        <v>522</v>
      </c>
    </row>
    <row r="576" ht="15.75" customHeight="1">
      <c r="A576" s="2">
        <v>265943.0</v>
      </c>
      <c r="B576" s="2" t="s">
        <v>1680</v>
      </c>
      <c r="C576" s="2" t="s">
        <v>1681</v>
      </c>
      <c r="D576" s="2" t="s">
        <v>1682</v>
      </c>
      <c r="E576" s="2" t="s">
        <v>1683</v>
      </c>
      <c r="F576" s="2">
        <v>5.0</v>
      </c>
      <c r="G576" s="2">
        <v>336.0</v>
      </c>
      <c r="H576" s="3" t="str">
        <f>HYPERLINK("http://ca.linkedin.com/in/sheilahobeck","http://ca.linkedin.com/in/sheilahobeck")</f>
        <v>http://ca.linkedin.com/in/sheilahobeck</v>
      </c>
      <c r="I576" s="2" t="s">
        <v>48</v>
      </c>
      <c r="J576" s="2" t="s">
        <v>44</v>
      </c>
      <c r="K576" s="2" t="s">
        <v>35</v>
      </c>
    </row>
    <row r="577" ht="15.75" customHeight="1">
      <c r="A577" s="2">
        <v>266145.0</v>
      </c>
      <c r="B577" s="2" t="s">
        <v>1684</v>
      </c>
      <c r="C577" s="2" t="s">
        <v>1685</v>
      </c>
      <c r="D577" s="2" t="s">
        <v>1686</v>
      </c>
      <c r="E577" s="2" t="s">
        <v>235</v>
      </c>
      <c r="F577" s="2">
        <v>18.0</v>
      </c>
      <c r="G577" s="2">
        <v>500.0</v>
      </c>
      <c r="H577" s="3" t="str">
        <f>HYPERLINK("http://www.linkedin.com/pub/eddie-tuvin-etuv-aol-com-/0/5A9/916","http://www.linkedin.com/pub/eddie-tuvin-etuv-aol-com-/0/5A9/916")</f>
        <v>http://www.linkedin.com/pub/eddie-tuvin-etuv-aol-com-/0/5A9/916</v>
      </c>
      <c r="I577" s="2" t="s">
        <v>1679</v>
      </c>
      <c r="J577" s="2" t="s">
        <v>102</v>
      </c>
      <c r="K577" s="2" t="s">
        <v>58</v>
      </c>
    </row>
    <row r="578" ht="15.75" customHeight="1">
      <c r="A578" s="2">
        <v>266994.0</v>
      </c>
      <c r="B578" s="2" t="s">
        <v>1687</v>
      </c>
      <c r="C578" s="2" t="s">
        <v>1688</v>
      </c>
      <c r="D578" s="2" t="s">
        <v>1689</v>
      </c>
      <c r="E578" s="2" t="s">
        <v>1690</v>
      </c>
      <c r="F578" s="2">
        <v>3.0</v>
      </c>
      <c r="G578" s="2">
        <v>500.0</v>
      </c>
      <c r="H578" s="3" t="str">
        <f>HYPERLINK("http://www.linkedin.com/in/leiffrykman","http://www.linkedin.com/in/leiffrykman")</f>
        <v>http://www.linkedin.com/in/leiffrykman</v>
      </c>
      <c r="I578" s="2" t="s">
        <v>621</v>
      </c>
      <c r="J578" s="2" t="s">
        <v>1691</v>
      </c>
      <c r="K578" s="2" t="s">
        <v>1692</v>
      </c>
    </row>
    <row r="579" ht="15.75" customHeight="1">
      <c r="A579" s="2">
        <v>268355.0</v>
      </c>
      <c r="B579" s="2" t="s">
        <v>193</v>
      </c>
      <c r="C579" s="2" t="s">
        <v>1693</v>
      </c>
      <c r="D579" s="2" t="s">
        <v>1694</v>
      </c>
      <c r="E579" s="2" t="s">
        <v>26</v>
      </c>
      <c r="F579" s="2" t="s">
        <v>13</v>
      </c>
      <c r="G579" s="2">
        <v>500.0</v>
      </c>
      <c r="H579" s="3" t="str">
        <f>HYPERLINK("http://mx.linkedin.com/pub/guillermo-cb/27/1AA/44","http://mx.linkedin.com/pub/guillermo-cb/27/1AA/44")</f>
        <v>http://mx.linkedin.com/pub/guillermo-cb/27/1AA/44</v>
      </c>
      <c r="I579" s="2" t="s">
        <v>910</v>
      </c>
      <c r="J579" s="2" t="s">
        <v>28</v>
      </c>
      <c r="K579" s="2" t="s">
        <v>35</v>
      </c>
    </row>
    <row r="580" ht="15.75" customHeight="1">
      <c r="A580" s="2">
        <v>269073.0</v>
      </c>
      <c r="B580" s="2" t="s">
        <v>998</v>
      </c>
      <c r="C580" s="2" t="s">
        <v>1695</v>
      </c>
      <c r="D580" s="2" t="s">
        <v>309</v>
      </c>
      <c r="E580" s="2" t="s">
        <v>136</v>
      </c>
      <c r="F580" s="2">
        <v>1.0</v>
      </c>
      <c r="G580" s="2">
        <v>500.0</v>
      </c>
      <c r="H580" s="3" t="str">
        <f>HYPERLINK("http://www.linkedin.com/in/arorasamir","http://www.linkedin.com/in/arorasamir")</f>
        <v>http://www.linkedin.com/in/arorasamir</v>
      </c>
      <c r="I580" s="2" t="s">
        <v>69</v>
      </c>
      <c r="J580" s="2" t="s">
        <v>102</v>
      </c>
      <c r="K580" s="2" t="s">
        <v>35</v>
      </c>
    </row>
    <row r="581" ht="15.75" customHeight="1">
      <c r="A581" s="2">
        <v>269253.0</v>
      </c>
      <c r="B581" s="2" t="s">
        <v>460</v>
      </c>
      <c r="C581" s="2" t="s">
        <v>1696</v>
      </c>
      <c r="D581" s="2" t="s">
        <v>1697</v>
      </c>
      <c r="E581" s="2" t="s">
        <v>1009</v>
      </c>
      <c r="F581" s="2" t="s">
        <v>13</v>
      </c>
      <c r="G581" s="2">
        <v>500.0</v>
      </c>
      <c r="H581" s="3" t="str">
        <f>HYPERLINK("http://www.linkedin.com/pub/john-lopes/8/16A/B62","http://www.linkedin.com/pub/john-lopes/8/16A/B62")</f>
        <v>http://www.linkedin.com/pub/john-lopes/8/16A/B62</v>
      </c>
      <c r="I581" s="2" t="s">
        <v>1698</v>
      </c>
      <c r="J581" s="2" t="s">
        <v>87</v>
      </c>
      <c r="K581" s="2" t="s">
        <v>357</v>
      </c>
    </row>
    <row r="582" ht="15.75" customHeight="1">
      <c r="A582" s="2">
        <v>269687.0</v>
      </c>
      <c r="B582" s="2" t="s">
        <v>1699</v>
      </c>
      <c r="C582" s="2" t="s">
        <v>1700</v>
      </c>
      <c r="D582" s="2" t="s">
        <v>1701</v>
      </c>
      <c r="E582" s="2" t="s">
        <v>1702</v>
      </c>
      <c r="F582" s="2">
        <v>9.0</v>
      </c>
      <c r="G582" s="2">
        <v>500.0</v>
      </c>
      <c r="H582" s="3" t="str">
        <f>HYPERLINK("http://www.linkedin.com/pub/prabhakar-chitrapu/2/42B/104","http://www.linkedin.com/pub/prabhakar-chitrapu/2/42B/104")</f>
        <v>http://www.linkedin.com/pub/prabhakar-chitrapu/2/42B/104</v>
      </c>
      <c r="I582" s="2" t="s">
        <v>1496</v>
      </c>
      <c r="J582" s="2" t="s">
        <v>1703</v>
      </c>
      <c r="K582" s="2" t="s">
        <v>97</v>
      </c>
    </row>
    <row r="583" ht="15.75" customHeight="1">
      <c r="A583" s="2">
        <v>270296.0</v>
      </c>
      <c r="B583" s="2" t="s">
        <v>1704</v>
      </c>
      <c r="C583" s="2" t="s">
        <v>1705</v>
      </c>
      <c r="D583" s="2" t="s">
        <v>1706</v>
      </c>
      <c r="E583" s="2" t="s">
        <v>1707</v>
      </c>
      <c r="F583" s="2">
        <v>6.0</v>
      </c>
      <c r="G583" s="2">
        <v>500.0</v>
      </c>
      <c r="H583" s="3" t="str">
        <f>HYPERLINK("http://www.linkedin.com/in/parmila","http://www.linkedin.com/in/parmila")</f>
        <v>http://www.linkedin.com/in/parmila</v>
      </c>
      <c r="I583" s="2" t="s">
        <v>248</v>
      </c>
      <c r="J583" s="2" t="s">
        <v>273</v>
      </c>
      <c r="K583" s="2" t="s">
        <v>22</v>
      </c>
    </row>
    <row r="584" ht="15.75" customHeight="1">
      <c r="A584" s="2">
        <v>271363.0</v>
      </c>
      <c r="B584" s="2" t="s">
        <v>1708</v>
      </c>
      <c r="C584" s="2" t="s">
        <v>1709</v>
      </c>
      <c r="D584" s="2" t="s">
        <v>1710</v>
      </c>
      <c r="E584" s="2" t="s">
        <v>136</v>
      </c>
      <c r="F584" s="2">
        <v>12.0</v>
      </c>
      <c r="G584" s="2">
        <v>500.0</v>
      </c>
      <c r="H584" s="3" t="str">
        <f>HYPERLINK("http://www.linkedin.com/in/ankitkumarshah","http://www.linkedin.com/in/ankitkumarshah")</f>
        <v>http://www.linkedin.com/in/ankitkumarshah</v>
      </c>
      <c r="I584" s="2" t="s">
        <v>15</v>
      </c>
      <c r="J584" s="2" t="s">
        <v>102</v>
      </c>
      <c r="K584" s="2" t="s">
        <v>35</v>
      </c>
    </row>
    <row r="585" ht="15.75" customHeight="1">
      <c r="A585" s="2">
        <v>271394.0</v>
      </c>
      <c r="B585" s="2" t="s">
        <v>1711</v>
      </c>
      <c r="C585" s="2" t="s">
        <v>93</v>
      </c>
      <c r="D585" s="2" t="s">
        <v>373</v>
      </c>
      <c r="E585" s="2" t="s">
        <v>1712</v>
      </c>
      <c r="F585" s="2">
        <v>2.0</v>
      </c>
      <c r="G585" s="2">
        <v>225.0</v>
      </c>
      <c r="H585" s="3" t="str">
        <f>HYPERLINK("http://br.linkedin.com/pub/joice-oliveira/29/795/95B","http://br.linkedin.com/pub/joice-oliveira/29/795/95B")</f>
        <v>http://br.linkedin.com/pub/joice-oliveira/29/795/95B</v>
      </c>
      <c r="I585" s="2" t="s">
        <v>27</v>
      </c>
      <c r="J585" s="2" t="s">
        <v>34</v>
      </c>
      <c r="K585" s="2" t="s">
        <v>22</v>
      </c>
    </row>
    <row r="586" ht="15.75" customHeight="1">
      <c r="A586" s="2">
        <v>271476.0</v>
      </c>
      <c r="B586" s="2" t="s">
        <v>1713</v>
      </c>
      <c r="C586" s="2" t="s">
        <v>1714</v>
      </c>
      <c r="D586" s="2" t="s">
        <v>1715</v>
      </c>
      <c r="E586" s="2" t="s">
        <v>136</v>
      </c>
      <c r="F586" s="2">
        <v>7.0</v>
      </c>
      <c r="G586" s="2">
        <v>500.0</v>
      </c>
      <c r="H586" s="3" t="str">
        <f>HYPERLINK("http://www.linkedin.com/pub/marte-formico/0/837/609","http://www.linkedin.com/pub/marte-formico/0/837/609")</f>
        <v>http://www.linkedin.com/pub/marte-formico/0/837/609</v>
      </c>
      <c r="I586" s="2" t="s">
        <v>681</v>
      </c>
      <c r="J586" s="2" t="s">
        <v>102</v>
      </c>
      <c r="K586" s="2" t="s">
        <v>58</v>
      </c>
    </row>
    <row r="587" ht="15.75" customHeight="1">
      <c r="A587" s="2">
        <v>271619.0</v>
      </c>
      <c r="B587" s="2" t="s">
        <v>1716</v>
      </c>
      <c r="C587" s="2" t="s">
        <v>1717</v>
      </c>
      <c r="D587" s="2" t="s">
        <v>13</v>
      </c>
      <c r="E587" s="2" t="s">
        <v>1718</v>
      </c>
      <c r="F587" s="2">
        <v>0.0</v>
      </c>
      <c r="G587" s="2">
        <v>500.0</v>
      </c>
      <c r="H587" s="3" t="str">
        <f>HYPERLINK("https://www.linkedin.com/in/larsbell","https://www.linkedin.com/in/larsbell")</f>
        <v>https://www.linkedin.com/in/larsbell</v>
      </c>
      <c r="I587" s="2" t="s">
        <v>48</v>
      </c>
      <c r="J587" s="2" t="s">
        <v>102</v>
      </c>
      <c r="K587" s="2" t="s">
        <v>35</v>
      </c>
    </row>
    <row r="588" ht="15.75" customHeight="1">
      <c r="A588" s="2">
        <v>272344.0</v>
      </c>
      <c r="B588" s="2" t="s">
        <v>1719</v>
      </c>
      <c r="C588" s="2" t="s">
        <v>1720</v>
      </c>
      <c r="D588" s="2" t="s">
        <v>1721</v>
      </c>
      <c r="E588" s="2" t="s">
        <v>39</v>
      </c>
      <c r="F588" s="2">
        <v>0.0</v>
      </c>
      <c r="G588" s="2">
        <v>302.0</v>
      </c>
      <c r="H588" s="3" t="str">
        <f>HYPERLINK("http://www.linkedin.com/pub/camilo-bianchi/23/190/354","http://www.linkedin.com/pub/camilo-bianchi/23/190/354")</f>
        <v>http://www.linkedin.com/pub/camilo-bianchi/23/190/354</v>
      </c>
      <c r="I588" s="2" t="s">
        <v>1679</v>
      </c>
      <c r="J588" s="2" t="s">
        <v>34</v>
      </c>
      <c r="K588" s="2" t="s">
        <v>97</v>
      </c>
    </row>
    <row r="589" ht="15.75" customHeight="1">
      <c r="A589" s="2">
        <v>272350.0</v>
      </c>
      <c r="B589" s="2" t="s">
        <v>1456</v>
      </c>
      <c r="C589" s="2" t="s">
        <v>1722</v>
      </c>
      <c r="D589" s="2" t="s">
        <v>1723</v>
      </c>
      <c r="E589" s="2" t="s">
        <v>706</v>
      </c>
      <c r="F589" s="2" t="s">
        <v>13</v>
      </c>
      <c r="G589" s="2">
        <v>57.0</v>
      </c>
      <c r="H589" s="3" t="str">
        <f>HYPERLINK("http://br.linkedin.com/pub/anderson-pessoa/2A/A64/23A","http://br.linkedin.com/pub/anderson-pessoa/2A/A64/23A")</f>
        <v>http://br.linkedin.com/pub/anderson-pessoa/2A/A64/23A</v>
      </c>
      <c r="I589" s="2" t="s">
        <v>268</v>
      </c>
      <c r="J589" s="2" t="s">
        <v>34</v>
      </c>
      <c r="K589" s="2" t="s">
        <v>22</v>
      </c>
    </row>
    <row r="590" ht="15.75" customHeight="1">
      <c r="A590" s="2">
        <v>272446.0</v>
      </c>
      <c r="B590" s="2" t="s">
        <v>1724</v>
      </c>
      <c r="C590" s="2" t="s">
        <v>1725</v>
      </c>
      <c r="D590" s="2" t="s">
        <v>1726</v>
      </c>
      <c r="E590" s="2" t="s">
        <v>1727</v>
      </c>
      <c r="F590" s="2" t="s">
        <v>13</v>
      </c>
      <c r="G590" s="2">
        <v>126.0</v>
      </c>
      <c r="H590" s="3" t="str">
        <f>HYPERLINK("http://br.linkedin.com/pub/gabriel-fernando-yaginuma/2B/5/57","http://br.linkedin.com/pub/gabriel-fernando-yaginuma/2B/5/57")</f>
        <v>http://br.linkedin.com/pub/gabriel-fernando-yaginuma/2B/5/57</v>
      </c>
      <c r="I590" s="2" t="s">
        <v>1728</v>
      </c>
      <c r="J590" s="2" t="s">
        <v>34</v>
      </c>
      <c r="K590" s="2" t="s">
        <v>522</v>
      </c>
    </row>
    <row r="591" ht="15.75" customHeight="1">
      <c r="A591" s="2">
        <v>272527.0</v>
      </c>
      <c r="B591" s="2" t="s">
        <v>221</v>
      </c>
      <c r="C591" s="2" t="s">
        <v>1729</v>
      </c>
      <c r="D591" s="2" t="s">
        <v>42</v>
      </c>
      <c r="E591" s="2" t="s">
        <v>429</v>
      </c>
      <c r="F591" s="2" t="s">
        <v>13</v>
      </c>
      <c r="G591" s="2">
        <v>500.0</v>
      </c>
      <c r="H591" s="3" t="str">
        <f>HYPERLINK("http://www.linkedin.com/pub/miguel-martinez/1/169/B88","http://www.linkedin.com/pub/miguel-martinez/1/169/B88")</f>
        <v>http://www.linkedin.com/pub/miguel-martinez/1/169/B88</v>
      </c>
      <c r="I591" s="2" t="s">
        <v>1237</v>
      </c>
      <c r="J591" s="2" t="s">
        <v>430</v>
      </c>
      <c r="K591" s="2" t="s">
        <v>29</v>
      </c>
    </row>
    <row r="592" ht="15.75" customHeight="1">
      <c r="A592" s="2">
        <v>272962.0</v>
      </c>
      <c r="B592" s="2" t="s">
        <v>1730</v>
      </c>
      <c r="C592" s="2" t="s">
        <v>1456</v>
      </c>
      <c r="D592" s="2" t="s">
        <v>47</v>
      </c>
      <c r="E592" s="2" t="s">
        <v>136</v>
      </c>
      <c r="F592" s="2">
        <v>9.0</v>
      </c>
      <c r="G592" s="2">
        <v>500.0</v>
      </c>
      <c r="H592" s="3" t="str">
        <f>HYPERLINK("http://www.linkedin.com/pub/lynn-anderson/3/923/639","http://www.linkedin.com/pub/lynn-anderson/3/923/639")</f>
        <v>http://www.linkedin.com/pub/lynn-anderson/3/923/639</v>
      </c>
      <c r="I592" s="2" t="s">
        <v>195</v>
      </c>
      <c r="J592" s="2" t="s">
        <v>102</v>
      </c>
      <c r="K592" s="2" t="s">
        <v>196</v>
      </c>
    </row>
    <row r="593" ht="15.75" customHeight="1">
      <c r="A593" s="2">
        <v>273167.0</v>
      </c>
      <c r="B593" s="2" t="s">
        <v>341</v>
      </c>
      <c r="C593" s="2" t="s">
        <v>1731</v>
      </c>
      <c r="D593" s="2" t="s">
        <v>1732</v>
      </c>
      <c r="E593" s="2" t="s">
        <v>765</v>
      </c>
      <c r="F593" s="2">
        <v>1.0</v>
      </c>
      <c r="G593" s="2">
        <v>500.0</v>
      </c>
      <c r="H593" s="3" t="str">
        <f>HYPERLINK("http://www.linkedin.com/in/kevinjudice","http://www.linkedin.com/in/kevinjudice")</f>
        <v>http://www.linkedin.com/in/kevinjudice</v>
      </c>
      <c r="I593" s="2" t="s">
        <v>696</v>
      </c>
      <c r="J593" s="2" t="s">
        <v>144</v>
      </c>
      <c r="K593" s="2" t="s">
        <v>1733</v>
      </c>
    </row>
    <row r="594" ht="15.75" customHeight="1">
      <c r="A594" s="2">
        <v>273439.0</v>
      </c>
      <c r="B594" s="2" t="s">
        <v>845</v>
      </c>
      <c r="C594" s="2" t="s">
        <v>1734</v>
      </c>
      <c r="D594" s="2" t="s">
        <v>289</v>
      </c>
      <c r="E594" s="2" t="s">
        <v>1735</v>
      </c>
      <c r="F594" s="2" t="s">
        <v>13</v>
      </c>
      <c r="G594" s="2">
        <v>500.0</v>
      </c>
      <c r="H594" s="3" t="str">
        <f>HYPERLINK("http://uk.linkedin.com/in/daveward","http://uk.linkedin.com/in/daveward")</f>
        <v>http://uk.linkedin.com/in/daveward</v>
      </c>
      <c r="I594" s="2" t="s">
        <v>15</v>
      </c>
      <c r="J594" s="2" t="s">
        <v>53</v>
      </c>
      <c r="K594" s="2" t="s">
        <v>35</v>
      </c>
    </row>
    <row r="595" ht="15.75" customHeight="1">
      <c r="A595" s="2">
        <v>273510.0</v>
      </c>
      <c r="B595" s="2" t="s">
        <v>1736</v>
      </c>
      <c r="C595" s="2" t="s">
        <v>1737</v>
      </c>
      <c r="D595" s="2" t="s">
        <v>1738</v>
      </c>
      <c r="E595" s="2" t="s">
        <v>1739</v>
      </c>
      <c r="F595" s="2">
        <v>1.0</v>
      </c>
      <c r="G595" s="2">
        <v>500.0</v>
      </c>
      <c r="H595" s="3" t="str">
        <f>HYPERLINK("http://fr.linkedin.com/pub/yassine-benaddi/0/71A/189","http://fr.linkedin.com/pub/yassine-benaddi/0/71A/189")</f>
        <v>http://fr.linkedin.com/pub/yassine-benaddi/0/71A/189</v>
      </c>
      <c r="I595" s="2" t="s">
        <v>15</v>
      </c>
      <c r="J595" s="2" t="s">
        <v>65</v>
      </c>
      <c r="K595" s="2" t="s">
        <v>35</v>
      </c>
    </row>
    <row r="596" ht="15.75" customHeight="1">
      <c r="A596" s="2">
        <v>273577.0</v>
      </c>
      <c r="B596" s="2" t="s">
        <v>1173</v>
      </c>
      <c r="C596" s="2" t="s">
        <v>1153</v>
      </c>
      <c r="D596" s="2" t="s">
        <v>47</v>
      </c>
      <c r="E596" s="2" t="s">
        <v>136</v>
      </c>
      <c r="F596" s="2" t="s">
        <v>13</v>
      </c>
      <c r="G596" s="2">
        <v>500.0</v>
      </c>
      <c r="H596" s="3" t="str">
        <f>HYPERLINK("http://www.linkedin.com/in/brown2020","http://www.linkedin.com/in/brown2020")</f>
        <v>http://www.linkedin.com/in/brown2020</v>
      </c>
      <c r="I596" s="2" t="s">
        <v>1740</v>
      </c>
      <c r="J596" s="2" t="s">
        <v>102</v>
      </c>
      <c r="K596" s="2" t="s">
        <v>35</v>
      </c>
    </row>
    <row r="597" ht="15.75" customHeight="1">
      <c r="A597" s="2">
        <v>273889.0</v>
      </c>
      <c r="B597" s="2" t="s">
        <v>1741</v>
      </c>
      <c r="C597" s="2" t="s">
        <v>13</v>
      </c>
      <c r="D597" s="2" t="s">
        <v>13</v>
      </c>
      <c r="E597" s="2" t="s">
        <v>574</v>
      </c>
      <c r="F597" s="2">
        <v>0.0</v>
      </c>
      <c r="G597" s="2">
        <v>500.0</v>
      </c>
      <c r="H597" s="3" t="str">
        <f>HYPERLINK("http://in.linkedin.com/pub/kanagalu-manoj/2/931/B9A","http://in.linkedin.com/pub/kanagalu-manoj/2/931/B9A")</f>
        <v>http://in.linkedin.com/pub/kanagalu-manoj/2/931/B9A</v>
      </c>
      <c r="I597" s="2" t="s">
        <v>77</v>
      </c>
      <c r="J597" s="2" t="s">
        <v>575</v>
      </c>
      <c r="K597" s="2" t="s">
        <v>111</v>
      </c>
    </row>
    <row r="598" ht="15.75" customHeight="1">
      <c r="A598" s="2">
        <v>274020.0</v>
      </c>
      <c r="B598" s="2" t="s">
        <v>1096</v>
      </c>
      <c r="C598" s="2" t="s">
        <v>1742</v>
      </c>
      <c r="D598" s="2" t="s">
        <v>47</v>
      </c>
      <c r="E598" s="2" t="s">
        <v>1288</v>
      </c>
      <c r="F598" s="2">
        <v>21.0</v>
      </c>
      <c r="G598" s="2">
        <v>355.0</v>
      </c>
      <c r="H598" s="3" t="str">
        <f>HYPERLINK("http://uk.linkedin.com/pub/tony-newman/0/4BA/B74","http://uk.linkedin.com/pub/tony-newman/0/4BA/B74")</f>
        <v>http://uk.linkedin.com/pub/tony-newman/0/4BA/B74</v>
      </c>
      <c r="I598" s="2" t="s">
        <v>15</v>
      </c>
      <c r="J598" s="2" t="s">
        <v>53</v>
      </c>
      <c r="K598" s="2" t="s">
        <v>35</v>
      </c>
    </row>
    <row r="599" ht="15.75" customHeight="1">
      <c r="A599" s="2">
        <v>274157.0</v>
      </c>
      <c r="B599" s="2" t="s">
        <v>1743</v>
      </c>
      <c r="C599" s="2" t="s">
        <v>1744</v>
      </c>
      <c r="D599" s="2" t="s">
        <v>13</v>
      </c>
      <c r="E599" s="2" t="s">
        <v>1745</v>
      </c>
      <c r="F599" s="2">
        <v>0.0</v>
      </c>
      <c r="G599" s="2">
        <v>212.0</v>
      </c>
      <c r="H599" s="3" t="str">
        <f>HYPERLINK("http://www.linkedin.com/pub/megan-o-malley-hasak/4/227/179","http://www.linkedin.com/pub/megan-o-malley-hasak/4/227/179")</f>
        <v>http://www.linkedin.com/pub/megan-o-malley-hasak/4/227/179</v>
      </c>
      <c r="I599" s="2" t="s">
        <v>422</v>
      </c>
      <c r="J599" s="2" t="s">
        <v>102</v>
      </c>
      <c r="K599" s="2" t="s">
        <v>1191</v>
      </c>
    </row>
    <row r="600" ht="15.75" customHeight="1">
      <c r="A600" s="2">
        <v>274354.0</v>
      </c>
      <c r="B600" s="2" t="s">
        <v>1746</v>
      </c>
      <c r="C600" s="3" t="str">
        <f>HYPERLINK("http://linkedinglobalgids.com","linkedinglobalgids.com")</f>
        <v>linkedinglobalgids.com</v>
      </c>
      <c r="D600" s="2" t="s">
        <v>42</v>
      </c>
      <c r="E600" s="2" t="s">
        <v>101</v>
      </c>
      <c r="F600" s="2">
        <v>1.0</v>
      </c>
      <c r="G600" s="2">
        <v>500.0</v>
      </c>
      <c r="H600" s="3" t="str">
        <f>HYPERLINK("http://www.linkedin.com/in/nashn","http://www.linkedin.com/in/nashn")</f>
        <v>http://www.linkedin.com/in/nashn</v>
      </c>
      <c r="I600" s="2" t="s">
        <v>15</v>
      </c>
      <c r="J600" s="2" t="s">
        <v>102</v>
      </c>
      <c r="K600" s="2" t="s">
        <v>35</v>
      </c>
    </row>
    <row r="601" ht="15.75" customHeight="1">
      <c r="A601" s="2">
        <v>275400.0</v>
      </c>
      <c r="B601" s="2" t="s">
        <v>275</v>
      </c>
      <c r="C601" s="2" t="s">
        <v>1747</v>
      </c>
      <c r="D601" s="2" t="s">
        <v>47</v>
      </c>
      <c r="E601" s="2" t="s">
        <v>1605</v>
      </c>
      <c r="F601" s="2" t="s">
        <v>13</v>
      </c>
      <c r="G601" s="2">
        <v>45.0</v>
      </c>
      <c r="H601" s="3" t="str">
        <f>HYPERLINK("http://ca.linkedin.com/pub/mark-kiddell/0/744/B1B","http://ca.linkedin.com/pub/mark-kiddell/0/744/B1B")</f>
        <v>http://ca.linkedin.com/pub/mark-kiddell/0/744/B1B</v>
      </c>
      <c r="I601" s="2" t="s">
        <v>608</v>
      </c>
      <c r="J601" s="2" t="s">
        <v>44</v>
      </c>
      <c r="K601" s="2" t="s">
        <v>196</v>
      </c>
    </row>
    <row r="602" ht="15.75" customHeight="1">
      <c r="A602" s="2">
        <v>275531.0</v>
      </c>
      <c r="B602" s="2" t="s">
        <v>1748</v>
      </c>
      <c r="C602" s="2" t="s">
        <v>1749</v>
      </c>
      <c r="D602" s="2" t="s">
        <v>1750</v>
      </c>
      <c r="E602" s="2" t="s">
        <v>1473</v>
      </c>
      <c r="F602" s="2">
        <v>5.0</v>
      </c>
      <c r="G602" s="2">
        <v>500.0</v>
      </c>
      <c r="H602" s="3" t="str">
        <f>HYPERLINK("http://in.linkedin.com/in/sandeepmalviya001","http://in.linkedin.com/in/sandeepmalviya001")</f>
        <v>http://in.linkedin.com/in/sandeepmalviya001</v>
      </c>
      <c r="I602" s="2" t="s">
        <v>15</v>
      </c>
      <c r="J602" s="2" t="s">
        <v>102</v>
      </c>
      <c r="K602" s="2" t="s">
        <v>35</v>
      </c>
    </row>
    <row r="603" ht="15.75" customHeight="1">
      <c r="A603" s="2">
        <v>275836.0</v>
      </c>
      <c r="B603" s="2" t="s">
        <v>275</v>
      </c>
      <c r="C603" s="2" t="s">
        <v>1751</v>
      </c>
      <c r="D603" s="2" t="s">
        <v>400</v>
      </c>
      <c r="E603" s="2" t="s">
        <v>762</v>
      </c>
      <c r="F603" s="2" t="s">
        <v>13</v>
      </c>
      <c r="G603" s="2">
        <v>500.0</v>
      </c>
      <c r="H603" s="3" t="str">
        <f>HYPERLINK("http://www.linkedin.com/pub/mark-elliott/0/B10/99","http://www.linkedin.com/pub/mark-elliott/0/B10/99")</f>
        <v>http://www.linkedin.com/pub/mark-elliott/0/B10/99</v>
      </c>
      <c r="I603" s="2" t="s">
        <v>160</v>
      </c>
      <c r="J603" s="2" t="s">
        <v>102</v>
      </c>
      <c r="K603" s="2" t="s">
        <v>97</v>
      </c>
    </row>
    <row r="604" ht="15.75" customHeight="1">
      <c r="A604" s="2">
        <v>275913.0</v>
      </c>
      <c r="B604" s="2" t="s">
        <v>1752</v>
      </c>
      <c r="C604" s="2" t="s">
        <v>1753</v>
      </c>
      <c r="D604" s="2"/>
      <c r="E604" s="2" t="s">
        <v>278</v>
      </c>
      <c r="F604" s="2">
        <v>1.0</v>
      </c>
      <c r="G604" s="2">
        <v>475.0</v>
      </c>
      <c r="H604" s="3" t="str">
        <f>HYPERLINK("http://www.linkedin.com/pub/darrell-arne/0/B15/575","http://www.linkedin.com/pub/darrell-arne/0/B15/575")</f>
        <v>http://www.linkedin.com/pub/darrell-arne/0/B15/575</v>
      </c>
      <c r="I604" s="2" t="s">
        <v>279</v>
      </c>
      <c r="J604" s="2" t="s">
        <v>28</v>
      </c>
      <c r="K604" s="2" t="s">
        <v>35</v>
      </c>
    </row>
    <row r="605" ht="15.75" customHeight="1">
      <c r="A605" s="2">
        <v>276427.0</v>
      </c>
      <c r="B605" s="2" t="s">
        <v>1754</v>
      </c>
      <c r="C605" s="2" t="s">
        <v>1755</v>
      </c>
      <c r="D605" s="2" t="s">
        <v>13</v>
      </c>
      <c r="E605" s="2" t="s">
        <v>101</v>
      </c>
      <c r="F605" s="2">
        <v>0.0</v>
      </c>
      <c r="G605" s="2">
        <v>463.0</v>
      </c>
      <c r="H605" s="3" t="str">
        <f>HYPERLINK("http://www.linkedin.com/pub/christine-a-wright-mba/0/72/a96","http://www.linkedin.com/pub/christine-a-wright-mba/0/72/a96")</f>
        <v>http://www.linkedin.com/pub/christine-a-wright-mba/0/72/a96</v>
      </c>
      <c r="I605" s="2" t="s">
        <v>709</v>
      </c>
      <c r="J605" s="2" t="s">
        <v>102</v>
      </c>
      <c r="K605" s="2" t="s">
        <v>58</v>
      </c>
    </row>
    <row r="606" ht="15.75" customHeight="1">
      <c r="A606" s="2">
        <v>276837.0</v>
      </c>
      <c r="B606" s="2" t="s">
        <v>245</v>
      </c>
      <c r="C606" s="2" t="s">
        <v>1756</v>
      </c>
      <c r="D606" s="2" t="s">
        <v>47</v>
      </c>
      <c r="E606" s="2" t="s">
        <v>791</v>
      </c>
      <c r="F606" s="2">
        <v>4.0</v>
      </c>
      <c r="G606" s="2">
        <v>173.0</v>
      </c>
      <c r="H606" s="3" t="str">
        <f>HYPERLINK("http://ca.linkedin.com/in/stevenkader","http://ca.linkedin.com/in/stevenkader")</f>
        <v>http://ca.linkedin.com/in/stevenkader</v>
      </c>
      <c r="I606" s="2" t="s">
        <v>48</v>
      </c>
      <c r="J606" s="2" t="s">
        <v>575</v>
      </c>
      <c r="K606" s="2" t="s">
        <v>35</v>
      </c>
    </row>
    <row r="607" ht="15.75" customHeight="1">
      <c r="A607" s="2">
        <v>276944.0</v>
      </c>
      <c r="B607" s="2" t="s">
        <v>1757</v>
      </c>
      <c r="C607" s="2" t="s">
        <v>1758</v>
      </c>
      <c r="D607" s="2" t="s">
        <v>400</v>
      </c>
      <c r="E607" s="2" t="s">
        <v>1759</v>
      </c>
      <c r="F607" s="2">
        <v>3.0</v>
      </c>
      <c r="G607" s="2">
        <v>151.0</v>
      </c>
      <c r="H607" s="3" t="str">
        <f>HYPERLINK("http://www.linkedin.com/pub/hal-stitt/1/856/AAA","http://www.linkedin.com/pub/hal-stitt/1/856/AAA")</f>
        <v>http://www.linkedin.com/pub/hal-stitt/1/856/AAA</v>
      </c>
      <c r="I607" s="2" t="s">
        <v>1390</v>
      </c>
      <c r="J607" s="2" t="s">
        <v>144</v>
      </c>
      <c r="K607" s="2" t="s">
        <v>58</v>
      </c>
    </row>
    <row r="608" ht="15.75" customHeight="1">
      <c r="A608" s="2">
        <v>277613.0</v>
      </c>
      <c r="B608" s="2" t="s">
        <v>1004</v>
      </c>
      <c r="C608" s="2" t="s">
        <v>1760</v>
      </c>
      <c r="D608" s="2" t="s">
        <v>416</v>
      </c>
      <c r="E608" s="2" t="s">
        <v>101</v>
      </c>
      <c r="F608" s="2">
        <v>21.0</v>
      </c>
      <c r="G608" s="2">
        <v>500.0</v>
      </c>
      <c r="H608" s="3" t="str">
        <f>HYPERLINK("http://www.linkedin.com/in/scottburkett","http://www.linkedin.com/in/scottburkett")</f>
        <v>http://www.linkedin.com/in/scottburkett</v>
      </c>
      <c r="I608" s="2" t="s">
        <v>15</v>
      </c>
      <c r="J608" s="2" t="s">
        <v>102</v>
      </c>
      <c r="K608" s="2" t="s">
        <v>35</v>
      </c>
    </row>
    <row r="609" ht="15.75" customHeight="1">
      <c r="A609" s="2">
        <v>277655.0</v>
      </c>
      <c r="B609" s="2" t="s">
        <v>133</v>
      </c>
      <c r="C609" s="2" t="s">
        <v>1761</v>
      </c>
      <c r="D609" s="2" t="s">
        <v>1762</v>
      </c>
      <c r="E609" s="2" t="s">
        <v>1763</v>
      </c>
      <c r="F609" s="2" t="s">
        <v>13</v>
      </c>
      <c r="G609" s="2">
        <v>55.0</v>
      </c>
      <c r="H609" s="3" t="str">
        <f>HYPERLINK("http://www.linkedin.com/pub/michael-najera/1/901/6A8","http://www.linkedin.com/pub/michael-najera/1/901/6A8")</f>
        <v>http://www.linkedin.com/pub/michael-najera/1/901/6A8</v>
      </c>
      <c r="I609" s="2" t="s">
        <v>172</v>
      </c>
      <c r="J609" s="2" t="s">
        <v>28</v>
      </c>
      <c r="K609" s="2" t="s">
        <v>58</v>
      </c>
    </row>
    <row r="610" ht="15.75" customHeight="1">
      <c r="A610" s="2">
        <v>278422.0</v>
      </c>
      <c r="B610" s="2" t="s">
        <v>631</v>
      </c>
      <c r="C610" s="2" t="s">
        <v>1764</v>
      </c>
      <c r="D610" s="2" t="s">
        <v>1765</v>
      </c>
      <c r="E610" s="2" t="s">
        <v>1766</v>
      </c>
      <c r="F610" s="2">
        <v>1.0</v>
      </c>
      <c r="G610" s="2">
        <v>500.0</v>
      </c>
      <c r="H610" s="3" t="str">
        <f>HYPERLINK("http://www.linkedin.com/in/residualife","http://www.linkedin.com/in/residualife")</f>
        <v>http://www.linkedin.com/in/residualife</v>
      </c>
      <c r="I610" s="2" t="s">
        <v>69</v>
      </c>
      <c r="J610" s="2" t="s">
        <v>102</v>
      </c>
      <c r="K610" s="2" t="s">
        <v>35</v>
      </c>
    </row>
    <row r="611" ht="15.75" customHeight="1">
      <c r="A611" s="2">
        <v>278888.0</v>
      </c>
      <c r="B611" s="2" t="s">
        <v>1767</v>
      </c>
      <c r="C611" s="2" t="s">
        <v>1768</v>
      </c>
      <c r="D611" s="2" t="s">
        <v>1769</v>
      </c>
      <c r="E611" s="2" t="s">
        <v>235</v>
      </c>
      <c r="F611" s="2">
        <v>9.0</v>
      </c>
      <c r="G611" s="2">
        <v>500.0</v>
      </c>
      <c r="H611" s="3" t="str">
        <f>HYPERLINK("http://www.linkedin.com/pub/erik-buice/1/159/A04","http://www.linkedin.com/pub/erik-buice/1/159/A04")</f>
        <v>http://www.linkedin.com/pub/erik-buice/1/159/A04</v>
      </c>
      <c r="I611" s="2" t="s">
        <v>15</v>
      </c>
      <c r="J611" s="2" t="s">
        <v>102</v>
      </c>
      <c r="K611" s="2" t="s">
        <v>35</v>
      </c>
    </row>
    <row r="612" ht="15.75" customHeight="1">
      <c r="A612" s="2">
        <v>279040.0</v>
      </c>
      <c r="B612" s="2" t="s">
        <v>295</v>
      </c>
      <c r="C612" s="2" t="s">
        <v>1770</v>
      </c>
      <c r="D612" s="2" t="s">
        <v>1771</v>
      </c>
      <c r="E612" s="2" t="s">
        <v>1772</v>
      </c>
      <c r="F612" s="2">
        <v>4.0</v>
      </c>
      <c r="G612" s="2">
        <v>217.0</v>
      </c>
      <c r="H612" s="3" t="str">
        <f>HYPERLINK("http://www.linkedin.com/in/pyrello","http://www.linkedin.com/in/pyrello")</f>
        <v>http://www.linkedin.com/in/pyrello</v>
      </c>
      <c r="I612" s="2" t="s">
        <v>69</v>
      </c>
      <c r="J612" s="2" t="s">
        <v>102</v>
      </c>
      <c r="K612" s="2" t="s">
        <v>35</v>
      </c>
    </row>
    <row r="613" ht="15.75" customHeight="1">
      <c r="A613" s="2">
        <v>279347.0</v>
      </c>
      <c r="B613" s="2" t="s">
        <v>1635</v>
      </c>
      <c r="C613" s="2" t="s">
        <v>1773</v>
      </c>
      <c r="D613" s="2" t="s">
        <v>1774</v>
      </c>
      <c r="E613" s="2" t="s">
        <v>808</v>
      </c>
      <c r="F613" s="2">
        <v>5.0</v>
      </c>
      <c r="G613" s="2">
        <v>500.0</v>
      </c>
      <c r="H613" s="3" t="str">
        <f>HYPERLINK("http://www.linkedin.com/pub/marie-rourke/1/1A5/700","http://www.linkedin.com/pub/marie-rourke/1/1A5/700")</f>
        <v>http://www.linkedin.com/pub/marie-rourke/1/1A5/700</v>
      </c>
      <c r="I613" s="2" t="s">
        <v>15</v>
      </c>
      <c r="J613" s="2" t="s">
        <v>102</v>
      </c>
      <c r="K613" s="2" t="s">
        <v>35</v>
      </c>
    </row>
    <row r="614" ht="15.75" customHeight="1">
      <c r="A614" s="2">
        <v>279370.0</v>
      </c>
      <c r="B614" s="2" t="s">
        <v>287</v>
      </c>
      <c r="C614" s="2" t="s">
        <v>1775</v>
      </c>
      <c r="D614" s="2" t="s">
        <v>309</v>
      </c>
      <c r="E614" s="2" t="s">
        <v>301</v>
      </c>
      <c r="F614" s="2">
        <v>3.0</v>
      </c>
      <c r="G614" s="2">
        <v>500.0</v>
      </c>
      <c r="H614" s="3" t="str">
        <f>HYPERLINK("http://www.linkedin.com/in/paulpak","http://www.linkedin.com/in/paulpak")</f>
        <v>http://www.linkedin.com/in/paulpak</v>
      </c>
      <c r="I614" s="2" t="s">
        <v>48</v>
      </c>
      <c r="J614" s="2" t="s">
        <v>102</v>
      </c>
      <c r="K614" s="2" t="s">
        <v>35</v>
      </c>
    </row>
    <row r="615" ht="15.75" customHeight="1">
      <c r="A615" s="2">
        <v>279791.0</v>
      </c>
      <c r="B615" s="2" t="s">
        <v>460</v>
      </c>
      <c r="C615" s="2" t="s">
        <v>1776</v>
      </c>
      <c r="D615" s="2" t="s">
        <v>1777</v>
      </c>
      <c r="E615" s="2" t="s">
        <v>122</v>
      </c>
      <c r="F615" s="2" t="s">
        <v>13</v>
      </c>
      <c r="G615" s="2">
        <v>500.0</v>
      </c>
      <c r="H615" s="3" t="str">
        <f>HYPERLINK("http://uk.linkedin.com/in/johnwrightlinkedinprofile","http://uk.linkedin.com/in/johnwrightlinkedinprofile")</f>
        <v>http://uk.linkedin.com/in/johnwrightlinkedinprofile</v>
      </c>
      <c r="I615" s="2" t="s">
        <v>15</v>
      </c>
      <c r="J615" s="2" t="s">
        <v>53</v>
      </c>
      <c r="K615" s="2" t="s">
        <v>35</v>
      </c>
    </row>
    <row r="616" ht="15.75" customHeight="1">
      <c r="A616" s="2">
        <v>280003.0</v>
      </c>
      <c r="B616" s="2" t="s">
        <v>1778</v>
      </c>
      <c r="C616" s="2" t="s">
        <v>1779</v>
      </c>
      <c r="D616" s="2" t="s">
        <v>1780</v>
      </c>
      <c r="E616" s="2" t="s">
        <v>1781</v>
      </c>
      <c r="F616" s="2">
        <v>18.0</v>
      </c>
      <c r="G616" s="2">
        <v>500.0</v>
      </c>
      <c r="H616" s="3" t="str">
        <f>HYPERLINK("http://www.linkedin.com/in/shashionip","http://www.linkedin.com/in/shashionip")</f>
        <v>http://www.linkedin.com/in/shashionip</v>
      </c>
      <c r="I616" s="2" t="s">
        <v>77</v>
      </c>
      <c r="J616" s="2" t="s">
        <v>102</v>
      </c>
      <c r="K616" s="2" t="s">
        <v>97</v>
      </c>
    </row>
    <row r="617" ht="15.75" customHeight="1">
      <c r="A617" s="2">
        <v>280272.0</v>
      </c>
      <c r="B617" s="2" t="s">
        <v>710</v>
      </c>
      <c r="C617" s="2" t="s">
        <v>1782</v>
      </c>
      <c r="D617" s="2" t="s">
        <v>1783</v>
      </c>
      <c r="E617" s="2" t="s">
        <v>301</v>
      </c>
      <c r="F617" s="2">
        <v>1.0</v>
      </c>
      <c r="G617" s="2">
        <v>147.0</v>
      </c>
      <c r="H617" s="3" t="str">
        <f>HYPERLINK("http://www.linkedin.com/in/jasoncoyle","http://www.linkedin.com/in/jasoncoyle")</f>
        <v>http://www.linkedin.com/in/jasoncoyle</v>
      </c>
      <c r="I617" s="2" t="s">
        <v>69</v>
      </c>
      <c r="J617" s="2" t="s">
        <v>102</v>
      </c>
      <c r="K617" s="2" t="s">
        <v>35</v>
      </c>
    </row>
    <row r="618" ht="15.75" customHeight="1">
      <c r="A618" s="2">
        <v>280461.0</v>
      </c>
      <c r="B618" s="2" t="s">
        <v>1104</v>
      </c>
      <c r="C618" s="2" t="s">
        <v>1784</v>
      </c>
      <c r="D618" s="2" t="s">
        <v>1785</v>
      </c>
      <c r="E618" s="2" t="s">
        <v>964</v>
      </c>
      <c r="F618" s="2">
        <v>81.0</v>
      </c>
      <c r="G618" s="2">
        <v>500.0</v>
      </c>
      <c r="H618" s="3" t="str">
        <f>HYPERLINK("http://www.linkedin.com/in/jaymcbain","http://www.linkedin.com/in/jaymcbain")</f>
        <v>http://www.linkedin.com/in/jaymcbain</v>
      </c>
      <c r="I618" s="2" t="s">
        <v>15</v>
      </c>
      <c r="J618" s="2" t="s">
        <v>102</v>
      </c>
      <c r="K618" s="2" t="s">
        <v>35</v>
      </c>
    </row>
    <row r="619" ht="15.75" customHeight="1">
      <c r="A619" s="2">
        <v>280593.0</v>
      </c>
      <c r="B619" s="2" t="s">
        <v>1786</v>
      </c>
      <c r="C619" s="2" t="s">
        <v>1787</v>
      </c>
      <c r="D619" s="2" t="s">
        <v>400</v>
      </c>
      <c r="E619" s="2" t="s">
        <v>744</v>
      </c>
      <c r="F619" s="2">
        <v>12.0</v>
      </c>
      <c r="G619" s="2">
        <v>500.0</v>
      </c>
      <c r="H619" s="3" t="str">
        <f>HYPERLINK("http://www.linkedin.com/in/marilyncarpenter","http://www.linkedin.com/in/marilyncarpenter")</f>
        <v>http://www.linkedin.com/in/marilyncarpenter</v>
      </c>
      <c r="I619" s="2" t="s">
        <v>1788</v>
      </c>
      <c r="J619" s="2" t="s">
        <v>102</v>
      </c>
      <c r="K619" s="2" t="s">
        <v>58</v>
      </c>
    </row>
    <row r="620" ht="15.75" customHeight="1">
      <c r="A620" s="2">
        <v>280760.0</v>
      </c>
      <c r="B620" s="2" t="s">
        <v>842</v>
      </c>
      <c r="C620" s="2" t="s">
        <v>1789</v>
      </c>
      <c r="D620" s="2" t="s">
        <v>1790</v>
      </c>
      <c r="E620" s="2" t="s">
        <v>1791</v>
      </c>
      <c r="F620" s="2" t="s">
        <v>13</v>
      </c>
      <c r="G620" s="2">
        <v>500.0</v>
      </c>
      <c r="H620" s="3" t="str">
        <f>HYPERLINK("http://uk.linkedin.com/pub/stuart-wilson/21/A25/204","http://uk.linkedin.com/pub/stuart-wilson/21/A25/204")</f>
        <v>http://uk.linkedin.com/pub/stuart-wilson/21/A25/204</v>
      </c>
      <c r="I620" s="2" t="s">
        <v>15</v>
      </c>
      <c r="J620" s="2" t="s">
        <v>53</v>
      </c>
      <c r="K620" s="2" t="s">
        <v>35</v>
      </c>
    </row>
    <row r="621" ht="15.75" customHeight="1">
      <c r="A621" s="2">
        <v>280927.0</v>
      </c>
      <c r="B621" s="2" t="s">
        <v>1792</v>
      </c>
      <c r="C621" s="2" t="s">
        <v>1793</v>
      </c>
      <c r="D621" s="2" t="s">
        <v>1794</v>
      </c>
      <c r="E621" s="2" t="s">
        <v>574</v>
      </c>
      <c r="F621" s="2">
        <v>19.0</v>
      </c>
      <c r="G621" s="2">
        <v>500.0</v>
      </c>
      <c r="H621" s="3" t="str">
        <f>HYPERLINK("http://www.linkedin.com/in/gauravzibbu","http://www.linkedin.com/in/gauravzibbu")</f>
        <v>http://www.linkedin.com/in/gauravzibbu</v>
      </c>
      <c r="I621" s="2" t="s">
        <v>15</v>
      </c>
      <c r="J621" s="2" t="s">
        <v>575</v>
      </c>
      <c r="K621" s="2" t="s">
        <v>22</v>
      </c>
    </row>
    <row r="622" ht="15.75" customHeight="1">
      <c r="A622" s="2">
        <v>281128.0</v>
      </c>
      <c r="B622" s="2" t="s">
        <v>1795</v>
      </c>
      <c r="C622" s="2" t="s">
        <v>1796</v>
      </c>
      <c r="D622" s="2" t="s">
        <v>410</v>
      </c>
      <c r="E622" s="2" t="s">
        <v>1797</v>
      </c>
      <c r="F622" s="2">
        <v>1.0</v>
      </c>
      <c r="G622" s="2">
        <v>500.0</v>
      </c>
      <c r="H622" s="3" t="str">
        <f>HYPERLINK("http://uk.linkedin.com/in/dushyant","http://uk.linkedin.com/in/dushyant")</f>
        <v>http://uk.linkedin.com/in/dushyant</v>
      </c>
      <c r="I622" s="2" t="s">
        <v>15</v>
      </c>
      <c r="J622" s="2" t="s">
        <v>87</v>
      </c>
      <c r="K622" s="2" t="s">
        <v>35</v>
      </c>
    </row>
    <row r="623" ht="15.75" customHeight="1">
      <c r="A623" s="2">
        <v>281417.0</v>
      </c>
      <c r="B623" s="2" t="s">
        <v>1798</v>
      </c>
      <c r="C623" s="2" t="s">
        <v>1799</v>
      </c>
      <c r="D623" s="2" t="s">
        <v>42</v>
      </c>
      <c r="E623" s="2" t="s">
        <v>882</v>
      </c>
      <c r="F623" s="2" t="s">
        <v>13</v>
      </c>
      <c r="G623" s="2">
        <v>311.0</v>
      </c>
      <c r="H623" s="3" t="str">
        <f>HYPERLINK("http://www.linkedin.com/pub/seth-tapper/1/3AA/467","http://www.linkedin.com/pub/seth-tapper/1/3AA/467")</f>
        <v>http://www.linkedin.com/pub/seth-tapper/1/3AA/467</v>
      </c>
      <c r="I623" s="2" t="s">
        <v>48</v>
      </c>
      <c r="J623" s="2" t="s">
        <v>102</v>
      </c>
      <c r="K623" s="2" t="s">
        <v>138</v>
      </c>
    </row>
    <row r="624" ht="15.75" customHeight="1">
      <c r="A624" s="2">
        <v>281568.0</v>
      </c>
      <c r="B624" s="2" t="s">
        <v>1800</v>
      </c>
      <c r="C624" s="2" t="s">
        <v>1801</v>
      </c>
      <c r="D624" s="2" t="s">
        <v>959</v>
      </c>
      <c r="E624" s="2" t="s">
        <v>1802</v>
      </c>
      <c r="F624" s="2">
        <v>3.0</v>
      </c>
      <c r="G624" s="2">
        <v>500.0</v>
      </c>
      <c r="H624" s="3" t="str">
        <f>HYPERLINK("http://www.linkedin.com/in/tarekelhadidi","http://www.linkedin.com/in/tarekelhadidi")</f>
        <v>http://www.linkedin.com/in/tarekelhadidi</v>
      </c>
      <c r="I624" s="2" t="s">
        <v>669</v>
      </c>
      <c r="J624" s="2" t="s">
        <v>1803</v>
      </c>
      <c r="K624" s="2" t="s">
        <v>58</v>
      </c>
    </row>
    <row r="625" ht="15.75" customHeight="1">
      <c r="A625" s="2">
        <v>282320.0</v>
      </c>
      <c r="B625" s="2" t="s">
        <v>302</v>
      </c>
      <c r="C625" s="2" t="s">
        <v>1804</v>
      </c>
      <c r="D625" s="2" t="s">
        <v>1805</v>
      </c>
      <c r="E625" s="2" t="s">
        <v>1806</v>
      </c>
      <c r="F625" s="2">
        <v>30.0</v>
      </c>
      <c r="G625" s="2">
        <v>500.0</v>
      </c>
      <c r="H625" s="3" t="str">
        <f>HYPERLINK("http://www.linkedin.com/in/billschuler","http://www.linkedin.com/in/billschuler")</f>
        <v>http://www.linkedin.com/in/billschuler</v>
      </c>
      <c r="I625" s="2" t="s">
        <v>48</v>
      </c>
      <c r="J625" s="2" t="s">
        <v>102</v>
      </c>
      <c r="K625" s="2" t="s">
        <v>35</v>
      </c>
    </row>
    <row r="626" ht="15.75" customHeight="1">
      <c r="A626" s="2">
        <v>282480.0</v>
      </c>
      <c r="B626" s="2" t="s">
        <v>412</v>
      </c>
      <c r="C626" s="2" t="s">
        <v>1807</v>
      </c>
      <c r="D626" s="2" t="s">
        <v>1808</v>
      </c>
      <c r="E626" s="2" t="s">
        <v>122</v>
      </c>
      <c r="F626" s="2" t="s">
        <v>13</v>
      </c>
      <c r="G626" s="2">
        <v>500.0</v>
      </c>
      <c r="H626" s="3" t="str">
        <f>HYPERLINK("http://uk.linkedin.com/in/globalwealth","http://uk.linkedin.com/in/globalwealth")</f>
        <v>http://uk.linkedin.com/in/globalwealth</v>
      </c>
      <c r="I626" s="2" t="s">
        <v>15</v>
      </c>
      <c r="J626" s="2" t="s">
        <v>53</v>
      </c>
      <c r="K626" s="2" t="s">
        <v>35</v>
      </c>
    </row>
    <row r="627" ht="15.75" customHeight="1">
      <c r="A627" s="2">
        <v>282800.0</v>
      </c>
      <c r="B627" s="2" t="s">
        <v>1809</v>
      </c>
      <c r="C627" s="2" t="s">
        <v>1810</v>
      </c>
      <c r="D627" s="2" t="s">
        <v>13</v>
      </c>
      <c r="E627" s="2" t="s">
        <v>992</v>
      </c>
      <c r="F627" s="2">
        <v>0.0</v>
      </c>
      <c r="G627" s="2">
        <v>500.0</v>
      </c>
      <c r="H627" s="3" t="str">
        <f>HYPERLINK("https://www.linkedin.com/in/pujalakhlani","https://www.linkedin.com/in/pujalakhlani")</f>
        <v>https://www.linkedin.com/in/pujalakhlani</v>
      </c>
      <c r="I627" s="2" t="s">
        <v>48</v>
      </c>
      <c r="J627" s="2" t="s">
        <v>102</v>
      </c>
      <c r="K627" s="2" t="s">
        <v>97</v>
      </c>
    </row>
    <row r="628" ht="15.75" customHeight="1">
      <c r="A628" s="2">
        <v>282835.0</v>
      </c>
      <c r="B628" s="2" t="s">
        <v>1811</v>
      </c>
      <c r="C628" s="2" t="s">
        <v>13</v>
      </c>
      <c r="D628" s="2" t="s">
        <v>13</v>
      </c>
      <c r="E628" s="2" t="s">
        <v>181</v>
      </c>
      <c r="F628" s="2">
        <v>0.0</v>
      </c>
      <c r="G628" s="2">
        <v>500.0</v>
      </c>
      <c r="H628" s="3" t="str">
        <f>HYPERLINK("https://www.linkedin.com/in/scissons","https://www.linkedin.com/in/scissons")</f>
        <v>https://www.linkedin.com/in/scissons</v>
      </c>
      <c r="I628" s="2" t="s">
        <v>105</v>
      </c>
      <c r="J628" s="2" t="s">
        <v>102</v>
      </c>
      <c r="K628" s="2" t="s">
        <v>58</v>
      </c>
    </row>
    <row r="629" ht="15.75" customHeight="1">
      <c r="A629" s="2">
        <v>283065.0</v>
      </c>
      <c r="B629" s="2" t="s">
        <v>1812</v>
      </c>
      <c r="C629" s="2" t="s">
        <v>1813</v>
      </c>
      <c r="D629" s="2" t="s">
        <v>42</v>
      </c>
      <c r="E629" s="2" t="s">
        <v>301</v>
      </c>
      <c r="F629" s="2" t="s">
        <v>13</v>
      </c>
      <c r="G629" s="2">
        <v>500.0</v>
      </c>
      <c r="H629" s="3" t="str">
        <f>HYPERLINK("http://www.linkedin.com/pub/nic-alicandri/0/942/126","http://www.linkedin.com/pub/nic-alicandri/0/942/126")</f>
        <v>http://www.linkedin.com/pub/nic-alicandri/0/942/126</v>
      </c>
      <c r="I629" s="2" t="s">
        <v>15</v>
      </c>
      <c r="J629" s="2" t="s">
        <v>102</v>
      </c>
      <c r="K629" s="2" t="s">
        <v>35</v>
      </c>
    </row>
    <row r="630" ht="15.75" customHeight="1">
      <c r="A630" s="2">
        <v>283272.0</v>
      </c>
      <c r="B630" s="2" t="s">
        <v>998</v>
      </c>
      <c r="C630" s="2" t="s">
        <v>1814</v>
      </c>
      <c r="D630" s="2" t="s">
        <v>1815</v>
      </c>
      <c r="E630" s="2" t="s">
        <v>301</v>
      </c>
      <c r="F630" s="2">
        <v>9.0</v>
      </c>
      <c r="G630" s="2">
        <v>500.0</v>
      </c>
      <c r="H630" s="3" t="str">
        <f>HYPERLINK("http://www.linkedin.com/in/singhsamir","http://www.linkedin.com/in/singhsamir")</f>
        <v>http://www.linkedin.com/in/singhsamir</v>
      </c>
      <c r="I630" s="2" t="s">
        <v>15</v>
      </c>
      <c r="J630" s="2" t="s">
        <v>102</v>
      </c>
      <c r="K630" s="2" t="s">
        <v>35</v>
      </c>
    </row>
    <row r="631" ht="15.75" customHeight="1">
      <c r="A631" s="2">
        <v>283494.0</v>
      </c>
      <c r="B631" s="2" t="s">
        <v>1816</v>
      </c>
      <c r="C631" s="2" t="s">
        <v>1817</v>
      </c>
      <c r="D631" s="2" t="s">
        <v>13</v>
      </c>
      <c r="E631" s="2" t="s">
        <v>1818</v>
      </c>
      <c r="F631" s="2">
        <v>0.0</v>
      </c>
      <c r="G631" s="2">
        <v>500.0</v>
      </c>
      <c r="H631" s="3" t="str">
        <f>HYPERLINK("http://www.linkedin.com/in/jeffreyneilfox","http://www.linkedin.com/in/jeffreyneilfox")</f>
        <v>http://www.linkedin.com/in/jeffreyneilfox</v>
      </c>
      <c r="I631" s="2" t="s">
        <v>105</v>
      </c>
      <c r="J631" s="2" t="s">
        <v>102</v>
      </c>
      <c r="K631" s="2" t="s">
        <v>58</v>
      </c>
    </row>
    <row r="632" ht="15.75" customHeight="1">
      <c r="A632" s="2">
        <v>283567.0</v>
      </c>
      <c r="B632" s="2" t="s">
        <v>275</v>
      </c>
      <c r="C632" s="2" t="s">
        <v>1819</v>
      </c>
      <c r="D632" s="2" t="s">
        <v>1820</v>
      </c>
      <c r="E632" s="2" t="s">
        <v>136</v>
      </c>
      <c r="F632" s="2">
        <v>10.0</v>
      </c>
      <c r="G632" s="2">
        <v>500.0</v>
      </c>
      <c r="H632" s="3" t="str">
        <f>HYPERLINK("http://www.linkedin.com/in/markcavender","http://www.linkedin.com/in/markcavender")</f>
        <v>http://www.linkedin.com/in/markcavender</v>
      </c>
      <c r="I632" s="2" t="s">
        <v>1390</v>
      </c>
      <c r="J632" s="2" t="s">
        <v>102</v>
      </c>
      <c r="K632" s="2" t="s">
        <v>58</v>
      </c>
    </row>
    <row r="633" ht="15.75" customHeight="1">
      <c r="A633" s="2">
        <v>283599.0</v>
      </c>
      <c r="B633" s="2" t="s">
        <v>1821</v>
      </c>
      <c r="C633" s="2" t="s">
        <v>1822</v>
      </c>
      <c r="D633" s="2" t="s">
        <v>47</v>
      </c>
      <c r="E633" s="2" t="s">
        <v>101</v>
      </c>
      <c r="F633" s="2" t="s">
        <v>13</v>
      </c>
      <c r="G633" s="2">
        <v>500.0</v>
      </c>
      <c r="H633" s="3" t="str">
        <f>HYPERLINK("http://www.linkedin.com/in/klanders","http://www.linkedin.com/in/klanders")</f>
        <v>http://www.linkedin.com/in/klanders</v>
      </c>
      <c r="I633" s="2" t="s">
        <v>48</v>
      </c>
      <c r="J633" s="2" t="s">
        <v>102</v>
      </c>
      <c r="K633" s="2" t="s">
        <v>35</v>
      </c>
    </row>
    <row r="634" ht="15.75" customHeight="1">
      <c r="A634" s="2">
        <v>283707.0</v>
      </c>
      <c r="B634" s="2" t="s">
        <v>1823</v>
      </c>
      <c r="C634" s="2" t="s">
        <v>1824</v>
      </c>
      <c r="D634" s="2" t="s">
        <v>1825</v>
      </c>
      <c r="E634" s="2" t="s">
        <v>136</v>
      </c>
      <c r="F634" s="2">
        <v>6.0</v>
      </c>
      <c r="G634" s="2">
        <v>500.0</v>
      </c>
      <c r="H634" s="3" t="str">
        <f>HYPERLINK("http://www.linkedin.com/in/iramarks","http://www.linkedin.com/in/iramarks")</f>
        <v>http://www.linkedin.com/in/iramarks</v>
      </c>
      <c r="I634" s="2" t="s">
        <v>248</v>
      </c>
      <c r="J634" s="2" t="s">
        <v>102</v>
      </c>
      <c r="K634" s="2" t="s">
        <v>196</v>
      </c>
    </row>
    <row r="635" ht="15.75" customHeight="1">
      <c r="A635" s="2">
        <v>283873.0</v>
      </c>
      <c r="B635" s="2" t="s">
        <v>1617</v>
      </c>
      <c r="C635" s="2" t="s">
        <v>1826</v>
      </c>
      <c r="D635" s="2" t="s">
        <v>114</v>
      </c>
      <c r="E635" s="2" t="s">
        <v>1759</v>
      </c>
      <c r="F635" s="2">
        <v>11.0</v>
      </c>
      <c r="G635" s="2">
        <v>500.0</v>
      </c>
      <c r="H635" s="3" t="str">
        <f>HYPERLINK("http://www.linkedin.com/pub/ryan-eliason/0/15/3A1","http://www.linkedin.com/pub/ryan-eliason/0/15/3A1")</f>
        <v>http://www.linkedin.com/pub/ryan-eliason/0/15/3A1</v>
      </c>
      <c r="I635" s="2" t="s">
        <v>1390</v>
      </c>
      <c r="J635" s="2" t="s">
        <v>144</v>
      </c>
      <c r="K635" s="2" t="s">
        <v>196</v>
      </c>
    </row>
    <row r="636" ht="15.75" customHeight="1">
      <c r="A636" s="2">
        <v>283973.0</v>
      </c>
      <c r="B636" s="2" t="s">
        <v>1827</v>
      </c>
      <c r="C636" s="2" t="s">
        <v>1828</v>
      </c>
      <c r="D636" s="2" t="s">
        <v>304</v>
      </c>
      <c r="E636" s="2" t="s">
        <v>136</v>
      </c>
      <c r="F636" s="2">
        <v>2.0</v>
      </c>
      <c r="G636" s="2">
        <v>500.0</v>
      </c>
      <c r="H636" s="3" t="str">
        <f>HYPERLINK("http://www.linkedin.com/in/shandu123","http://www.linkedin.com/in/shandu123")</f>
        <v>http://www.linkedin.com/in/shandu123</v>
      </c>
      <c r="I636" s="2" t="s">
        <v>422</v>
      </c>
      <c r="J636" s="2" t="s">
        <v>102</v>
      </c>
      <c r="K636" s="2" t="s">
        <v>974</v>
      </c>
    </row>
    <row r="637" ht="15.75" customHeight="1">
      <c r="A637" s="2">
        <v>284014.0</v>
      </c>
      <c r="B637" s="2" t="s">
        <v>1829</v>
      </c>
      <c r="C637" s="2" t="s">
        <v>1830</v>
      </c>
      <c r="D637" s="2" t="s">
        <v>1831</v>
      </c>
      <c r="E637" s="2" t="s">
        <v>1832</v>
      </c>
      <c r="F637" s="2">
        <v>3.0</v>
      </c>
      <c r="G637" s="2">
        <v>500.0</v>
      </c>
      <c r="H637" s="3" t="str">
        <f>HYPERLINK("http://www.linkedin.com/in/borisb07","http://www.linkedin.com/in/borisb07")</f>
        <v>http://www.linkedin.com/in/borisb07</v>
      </c>
      <c r="I637" s="2" t="s">
        <v>1496</v>
      </c>
      <c r="J637" s="2" t="s">
        <v>102</v>
      </c>
      <c r="K637" s="2" t="s">
        <v>35</v>
      </c>
    </row>
    <row r="638" ht="15.75" customHeight="1">
      <c r="A638" s="2">
        <v>284031.0</v>
      </c>
      <c r="B638" s="2" t="s">
        <v>1375</v>
      </c>
      <c r="C638" s="2" t="s">
        <v>1833</v>
      </c>
      <c r="D638" s="2" t="s">
        <v>47</v>
      </c>
      <c r="E638" s="2" t="s">
        <v>136</v>
      </c>
      <c r="F638" s="2">
        <v>1.0</v>
      </c>
      <c r="G638" s="2">
        <v>318.0</v>
      </c>
      <c r="H638" s="3" t="str">
        <f>HYPERLINK("http://www.linkedin.com/in/sureshmadhavan","http://www.linkedin.com/in/sureshmadhavan")</f>
        <v>http://www.linkedin.com/in/sureshmadhavan</v>
      </c>
      <c r="I638" s="2" t="s">
        <v>48</v>
      </c>
      <c r="J638" s="2" t="s">
        <v>102</v>
      </c>
      <c r="K638" s="2" t="s">
        <v>35</v>
      </c>
    </row>
    <row r="639" ht="15.75" customHeight="1">
      <c r="A639" s="2">
        <v>284228.0</v>
      </c>
      <c r="B639" s="2" t="s">
        <v>1834</v>
      </c>
      <c r="C639" s="2" t="s">
        <v>1835</v>
      </c>
      <c r="D639" s="2"/>
      <c r="E639" s="2" t="s">
        <v>14</v>
      </c>
      <c r="F639" s="2">
        <v>13.0</v>
      </c>
      <c r="G639" s="2">
        <v>500.0</v>
      </c>
      <c r="H639" s="3" t="str">
        <f>HYPERLINK("http://www.linkedin.com/in/christinacheney","http://www.linkedin.com/in/christinacheney")</f>
        <v>http://www.linkedin.com/in/christinacheney</v>
      </c>
      <c r="I639" s="2" t="s">
        <v>15</v>
      </c>
      <c r="J639" s="2" t="s">
        <v>16</v>
      </c>
      <c r="K639" s="2" t="s">
        <v>22</v>
      </c>
    </row>
    <row r="640" ht="15.75" customHeight="1">
      <c r="A640" s="2">
        <v>284372.0</v>
      </c>
      <c r="B640" s="2" t="s">
        <v>1836</v>
      </c>
      <c r="C640" s="2" t="s">
        <v>1837</v>
      </c>
      <c r="D640" s="2" t="s">
        <v>13</v>
      </c>
      <c r="E640" s="2" t="s">
        <v>64</v>
      </c>
      <c r="F640" s="2">
        <v>0.0</v>
      </c>
      <c r="G640" s="2">
        <v>500.0</v>
      </c>
      <c r="H640" s="3" t="str">
        <f>HYPERLINK("http://www.linkedin.com/in/fhougard","http://www.linkedin.com/in/fhougard")</f>
        <v>http://www.linkedin.com/in/fhougard</v>
      </c>
      <c r="I640" s="2" t="s">
        <v>69</v>
      </c>
      <c r="J640" s="2" t="s">
        <v>65</v>
      </c>
      <c r="K640" s="2" t="s">
        <v>35</v>
      </c>
    </row>
    <row r="641" ht="15.75" customHeight="1">
      <c r="A641" s="2">
        <v>284718.0</v>
      </c>
      <c r="B641" s="2" t="s">
        <v>295</v>
      </c>
      <c r="C641" s="2" t="s">
        <v>1838</v>
      </c>
      <c r="D641" s="2" t="s">
        <v>13</v>
      </c>
      <c r="E641" s="2" t="s">
        <v>1605</v>
      </c>
      <c r="F641" s="2">
        <v>67.0</v>
      </c>
      <c r="G641" s="2">
        <v>500.0</v>
      </c>
      <c r="H641" s="3" t="str">
        <f>HYPERLINK("http://www.linkedin.com/pub/sean-bredin/0/39/79","http://www.linkedin.com/pub/sean-bredin/0/39/79")</f>
        <v>http://www.linkedin.com/pub/sean-bredin/0/39/79</v>
      </c>
      <c r="I641" s="2" t="s">
        <v>15</v>
      </c>
      <c r="J641" s="2" t="s">
        <v>44</v>
      </c>
      <c r="K641" s="2" t="s">
        <v>35</v>
      </c>
    </row>
    <row r="642" ht="15.75" customHeight="1">
      <c r="A642" s="2">
        <v>284722.0</v>
      </c>
      <c r="B642" s="2" t="s">
        <v>1839</v>
      </c>
      <c r="C642" s="2" t="s">
        <v>1840</v>
      </c>
      <c r="D642" s="2" t="s">
        <v>304</v>
      </c>
      <c r="E642" s="2" t="s">
        <v>136</v>
      </c>
      <c r="F642" s="2">
        <v>6.0</v>
      </c>
      <c r="G642" s="2">
        <v>500.0</v>
      </c>
      <c r="H642" s="3" t="str">
        <f>HYPERLINK("http://www.linkedin.com/in/donato","http://www.linkedin.com/in/donato")</f>
        <v>http://www.linkedin.com/in/donato</v>
      </c>
      <c r="I642" s="2" t="s">
        <v>1841</v>
      </c>
      <c r="J642" s="2" t="s">
        <v>102</v>
      </c>
      <c r="K642" s="2" t="s">
        <v>58</v>
      </c>
    </row>
    <row r="643" ht="15.75" customHeight="1">
      <c r="A643" s="2">
        <v>285755.0</v>
      </c>
      <c r="B643" s="2" t="s">
        <v>1842</v>
      </c>
      <c r="C643" s="2" t="s">
        <v>1843</v>
      </c>
      <c r="D643" s="2" t="s">
        <v>13</v>
      </c>
      <c r="E643" s="2" t="s">
        <v>783</v>
      </c>
      <c r="F643" s="2">
        <v>0.0</v>
      </c>
      <c r="G643" s="2">
        <v>500.0</v>
      </c>
      <c r="H643" s="3" t="str">
        <f>HYPERLINK("http://www.linkedin.com/pub/rupesh-shah/0/93/497","http://www.linkedin.com/pub/rupesh-shah/0/93/497")</f>
        <v>http://www.linkedin.com/pub/rupesh-shah/0/93/497</v>
      </c>
      <c r="I643" s="2" t="s">
        <v>663</v>
      </c>
      <c r="J643" s="2" t="s">
        <v>575</v>
      </c>
      <c r="K643" s="2" t="s">
        <v>522</v>
      </c>
    </row>
    <row r="644" ht="15.75" customHeight="1">
      <c r="A644" s="2">
        <v>285835.0</v>
      </c>
      <c r="B644" s="2" t="s">
        <v>1844</v>
      </c>
      <c r="C644" s="2" t="s">
        <v>1845</v>
      </c>
      <c r="D644" s="2" t="s">
        <v>1750</v>
      </c>
      <c r="E644" s="2" t="s">
        <v>1041</v>
      </c>
      <c r="F644" s="2">
        <v>6.0</v>
      </c>
      <c r="G644" s="2">
        <v>500.0</v>
      </c>
      <c r="H644" s="3" t="str">
        <f>HYPERLINK("http://www.linkedin.com/in/marissakg","http://www.linkedin.com/in/marissakg")</f>
        <v>http://www.linkedin.com/in/marissakg</v>
      </c>
      <c r="I644" s="2" t="s">
        <v>48</v>
      </c>
      <c r="J644" s="2" t="s">
        <v>102</v>
      </c>
      <c r="K644" s="2" t="s">
        <v>35</v>
      </c>
    </row>
    <row r="645" ht="15.75" customHeight="1">
      <c r="A645" s="2">
        <v>286022.0</v>
      </c>
      <c r="B645" s="2" t="s">
        <v>1846</v>
      </c>
      <c r="C645" s="2" t="s">
        <v>1847</v>
      </c>
      <c r="D645" s="2" t="s">
        <v>1848</v>
      </c>
      <c r="E645" s="2" t="s">
        <v>325</v>
      </c>
      <c r="F645" s="2">
        <v>10.0</v>
      </c>
      <c r="G645" s="2">
        <v>500.0</v>
      </c>
      <c r="H645" s="3" t="str">
        <f>HYPERLINK("http://www.linkedin.com/pub/walter-l-caudill/11/905/123","http://www.linkedin.com/pub/walter-l-caudill/11/905/123")</f>
        <v>http://www.linkedin.com/pub/walter-l-caudill/11/905/123</v>
      </c>
      <c r="I645" s="2" t="s">
        <v>1237</v>
      </c>
      <c r="J645" s="2" t="s">
        <v>102</v>
      </c>
      <c r="K645" s="2" t="s">
        <v>168</v>
      </c>
    </row>
    <row r="646" ht="15.75" customHeight="1">
      <c r="A646" s="2">
        <v>286412.0</v>
      </c>
      <c r="B646" s="2" t="s">
        <v>582</v>
      </c>
      <c r="C646" s="2" t="s">
        <v>1849</v>
      </c>
      <c r="D646" s="2" t="s">
        <v>13</v>
      </c>
      <c r="E646" s="2" t="s">
        <v>1850</v>
      </c>
      <c r="F646" s="2">
        <v>57.0</v>
      </c>
      <c r="G646" s="2">
        <v>500.0</v>
      </c>
      <c r="H646" s="3" t="str">
        <f>HYPERLINK("http://www.linkedin.com/pub/alexandre-falsarella-ricoy/1/411/9b6","http://www.linkedin.com/pub/alexandre-falsarella-ricoy/1/411/9b6")</f>
        <v>http://www.linkedin.com/pub/alexandre-falsarella-ricoy/1/411/9b6</v>
      </c>
      <c r="I646" s="2" t="s">
        <v>15</v>
      </c>
      <c r="J646" s="2" t="s">
        <v>34</v>
      </c>
      <c r="K646" s="2" t="s">
        <v>58</v>
      </c>
    </row>
    <row r="647" ht="15.75" customHeight="1">
      <c r="A647" s="2">
        <v>286452.0</v>
      </c>
      <c r="B647" s="2" t="s">
        <v>1851</v>
      </c>
      <c r="C647" s="2" t="s">
        <v>1852</v>
      </c>
      <c r="D647" s="2" t="s">
        <v>13</v>
      </c>
      <c r="E647" s="2" t="s">
        <v>136</v>
      </c>
      <c r="F647" s="2">
        <v>0.0</v>
      </c>
      <c r="G647" s="2">
        <v>500.0</v>
      </c>
      <c r="H647" s="3" t="str">
        <f>HYPERLINK("http://www.linkedin.com/in/omergotlieb","http://www.linkedin.com/in/omergotlieb")</f>
        <v>http://www.linkedin.com/in/omergotlieb</v>
      </c>
      <c r="I647" s="2" t="s">
        <v>48</v>
      </c>
      <c r="J647" s="2" t="s">
        <v>102</v>
      </c>
      <c r="K647" s="2" t="s">
        <v>35</v>
      </c>
    </row>
    <row r="648" ht="15.75" customHeight="1">
      <c r="A648" s="2">
        <v>286615.0</v>
      </c>
      <c r="B648" s="2" t="s">
        <v>1853</v>
      </c>
      <c r="C648" s="2" t="s">
        <v>1854</v>
      </c>
      <c r="D648" s="2" t="s">
        <v>13</v>
      </c>
      <c r="E648" s="2" t="s">
        <v>136</v>
      </c>
      <c r="F648" s="2">
        <v>0.0</v>
      </c>
      <c r="G648" s="2">
        <v>500.0</v>
      </c>
      <c r="H648" s="3" t="str">
        <f>HYPERLINK("https://www.linkedin.com/in/sylvialuneau","https://www.linkedin.com/in/sylvialuneau")</f>
        <v>https://www.linkedin.com/in/sylvialuneau</v>
      </c>
      <c r="I648" s="2" t="s">
        <v>248</v>
      </c>
      <c r="J648" s="2" t="s">
        <v>102</v>
      </c>
      <c r="K648" s="2" t="s">
        <v>196</v>
      </c>
    </row>
    <row r="649" ht="15.75" customHeight="1">
      <c r="A649" s="2">
        <v>287822.0</v>
      </c>
      <c r="B649" s="2" t="s">
        <v>1855</v>
      </c>
      <c r="C649" s="2" t="s">
        <v>1856</v>
      </c>
      <c r="D649" s="2" t="s">
        <v>13</v>
      </c>
      <c r="E649" s="2" t="s">
        <v>136</v>
      </c>
      <c r="F649" s="2">
        <v>4.0</v>
      </c>
      <c r="G649" s="2">
        <v>500.0</v>
      </c>
      <c r="H649" s="3" t="str">
        <f>HYPERLINK("http://www.linkedin.com/in/mioffe","http://www.linkedin.com/in/mioffe")</f>
        <v>http://www.linkedin.com/in/mioffe</v>
      </c>
      <c r="I649" s="2" t="s">
        <v>48</v>
      </c>
      <c r="J649" s="2" t="s">
        <v>102</v>
      </c>
      <c r="K649" s="2" t="s">
        <v>35</v>
      </c>
    </row>
    <row r="650" ht="15.75" customHeight="1">
      <c r="A650" s="2">
        <v>287853.0</v>
      </c>
      <c r="B650" s="2" t="s">
        <v>845</v>
      </c>
      <c r="C650" s="2" t="s">
        <v>1857</v>
      </c>
      <c r="D650" s="2" t="s">
        <v>1858</v>
      </c>
      <c r="E650" s="2" t="s">
        <v>136</v>
      </c>
      <c r="F650" s="2" t="s">
        <v>13</v>
      </c>
      <c r="G650" s="2">
        <v>135.0</v>
      </c>
      <c r="H650" s="3" t="str">
        <f>HYPERLINK("http://www.linkedin.com/pub/david-davoudzadeh/0/744/B4","http://www.linkedin.com/pub/david-davoudzadeh/0/744/B4")</f>
        <v>http://www.linkedin.com/pub/david-davoudzadeh/0/744/B4</v>
      </c>
      <c r="I650" s="2" t="s">
        <v>714</v>
      </c>
      <c r="J650" s="2" t="s">
        <v>102</v>
      </c>
      <c r="K650" s="2" t="s">
        <v>58</v>
      </c>
    </row>
    <row r="651" ht="15.75" customHeight="1">
      <c r="A651" s="2">
        <v>288423.0</v>
      </c>
      <c r="B651" s="2" t="s">
        <v>1499</v>
      </c>
      <c r="C651" s="2" t="s">
        <v>1859</v>
      </c>
      <c r="D651" s="2" t="s">
        <v>114</v>
      </c>
      <c r="E651" s="2" t="s">
        <v>136</v>
      </c>
      <c r="F651" s="2" t="s">
        <v>13</v>
      </c>
      <c r="G651" s="2">
        <v>500.0</v>
      </c>
      <c r="H651" s="3" t="str">
        <f>HYPERLINK("http://www.linkedin.com/in/afunnell","http://www.linkedin.com/in/afunnell")</f>
        <v>http://www.linkedin.com/in/afunnell</v>
      </c>
      <c r="I651" s="2" t="s">
        <v>105</v>
      </c>
      <c r="J651" s="2" t="s">
        <v>102</v>
      </c>
      <c r="K651" s="2" t="s">
        <v>58</v>
      </c>
    </row>
    <row r="652" ht="15.75" customHeight="1">
      <c r="A652" s="2">
        <v>288952.0</v>
      </c>
      <c r="B652" s="2" t="s">
        <v>631</v>
      </c>
      <c r="C652" s="2" t="s">
        <v>1860</v>
      </c>
      <c r="D652" s="2" t="s">
        <v>1861</v>
      </c>
      <c r="E652" s="2" t="s">
        <v>1862</v>
      </c>
      <c r="F652" s="2">
        <v>16.0</v>
      </c>
      <c r="G652" s="2">
        <v>500.0</v>
      </c>
      <c r="H652" s="3" t="str">
        <f>HYPERLINK("http://www.linkedin.com/in/chrislhardin","http://www.linkedin.com/in/chrislhardin")</f>
        <v>http://www.linkedin.com/in/chrislhardin</v>
      </c>
      <c r="I652" s="2" t="s">
        <v>48</v>
      </c>
      <c r="J652" s="2" t="s">
        <v>102</v>
      </c>
      <c r="K652" s="2" t="s">
        <v>35</v>
      </c>
    </row>
    <row r="653" ht="15.75" customHeight="1">
      <c r="A653" s="2">
        <v>289601.0</v>
      </c>
      <c r="B653" s="2" t="s">
        <v>1863</v>
      </c>
      <c r="C653" s="2" t="s">
        <v>1864</v>
      </c>
      <c r="D653" s="2" t="s">
        <v>1865</v>
      </c>
      <c r="E653" s="2" t="s">
        <v>1866</v>
      </c>
      <c r="F653" s="2">
        <v>0.0</v>
      </c>
      <c r="G653" s="2">
        <v>500.0</v>
      </c>
      <c r="H653" s="3" t="str">
        <f>HYPERLINK("http://www.linkedin.com/pub/konain-moore-mk-rebels-gmail-com-/9/118/BB4","http://www.linkedin.com/pub/konain-moore-mk-rebels-gmail-com-/9/118/BB4")</f>
        <v>http://www.linkedin.com/pub/konain-moore-mk-rebels-gmail-com-/9/118/BB4</v>
      </c>
      <c r="I653" s="2" t="s">
        <v>105</v>
      </c>
      <c r="J653" s="2" t="s">
        <v>1867</v>
      </c>
      <c r="K653" s="2" t="s">
        <v>196</v>
      </c>
    </row>
    <row r="654" ht="15.75" customHeight="1">
      <c r="A654" s="2">
        <v>289923.0</v>
      </c>
      <c r="B654" s="2" t="s">
        <v>1380</v>
      </c>
      <c r="C654" s="2" t="s">
        <v>288</v>
      </c>
      <c r="D654" s="2" t="s">
        <v>959</v>
      </c>
      <c r="E654" s="2" t="s">
        <v>1009</v>
      </c>
      <c r="F654" s="2">
        <v>0.0</v>
      </c>
      <c r="G654" s="2">
        <v>500.0</v>
      </c>
      <c r="H654" s="3" t="str">
        <f>HYPERLINK("http://www.linkedin.com/in/randydavis317","http://www.linkedin.com/in/randydavis317")</f>
        <v>http://www.linkedin.com/in/randydavis317</v>
      </c>
      <c r="I654" s="2" t="s">
        <v>560</v>
      </c>
      <c r="J654" s="2" t="s">
        <v>87</v>
      </c>
      <c r="K654" s="2" t="s">
        <v>196</v>
      </c>
    </row>
    <row r="655" ht="15.75" customHeight="1">
      <c r="A655" s="2">
        <v>290352.0</v>
      </c>
      <c r="B655" s="2" t="s">
        <v>1868</v>
      </c>
      <c r="C655" s="2" t="s">
        <v>1869</v>
      </c>
      <c r="D655" s="2" t="s">
        <v>400</v>
      </c>
      <c r="E655" s="2" t="s">
        <v>765</v>
      </c>
      <c r="F655" s="2">
        <v>1.0</v>
      </c>
      <c r="G655" s="2">
        <v>500.0</v>
      </c>
      <c r="H655" s="3" t="str">
        <f>HYPERLINK("http://www.linkedin.com/pub/jack-myers/0/7A4/377","http://www.linkedin.com/pub/jack-myers/0/7A4/377")</f>
        <v>http://www.linkedin.com/pub/jack-myers/0/7A4/377</v>
      </c>
      <c r="I655" s="2" t="s">
        <v>560</v>
      </c>
      <c r="J655" s="2" t="s">
        <v>144</v>
      </c>
      <c r="K655" s="2" t="s">
        <v>138</v>
      </c>
    </row>
    <row r="656" ht="15.75" customHeight="1">
      <c r="A656" s="2">
        <v>290353.0</v>
      </c>
      <c r="B656" s="2" t="s">
        <v>897</v>
      </c>
      <c r="C656" s="2" t="s">
        <v>1870</v>
      </c>
      <c r="D656" s="2" t="s">
        <v>1871</v>
      </c>
      <c r="E656" s="2" t="s">
        <v>235</v>
      </c>
      <c r="F656" s="2">
        <v>1.0</v>
      </c>
      <c r="G656" s="2">
        <v>184.0</v>
      </c>
      <c r="H656" s="3" t="str">
        <f>HYPERLINK("http://www.linkedin.com/in/jamietre","http://www.linkedin.com/in/jamietre")</f>
        <v>http://www.linkedin.com/in/jamietre</v>
      </c>
      <c r="I656" s="2" t="s">
        <v>48</v>
      </c>
      <c r="J656" s="2" t="s">
        <v>102</v>
      </c>
      <c r="K656" s="2" t="s">
        <v>35</v>
      </c>
    </row>
    <row r="657" ht="15.75" customHeight="1">
      <c r="A657" s="2">
        <v>290496.0</v>
      </c>
      <c r="B657" s="2" t="s">
        <v>227</v>
      </c>
      <c r="C657" s="2" t="s">
        <v>1872</v>
      </c>
      <c r="D657" s="2" t="s">
        <v>42</v>
      </c>
      <c r="E657" s="2" t="s">
        <v>1873</v>
      </c>
      <c r="F657" s="2">
        <v>1.0</v>
      </c>
      <c r="G657" s="2">
        <v>500.0</v>
      </c>
      <c r="H657" s="3" t="str">
        <f>HYPERLINK("http://br.linkedin.com/pub/jorge-biesczad-jr-/6/B48/671","http://br.linkedin.com/pub/jorge-biesczad-jr-/6/B48/671")</f>
        <v>http://br.linkedin.com/pub/jorge-biesczad-jr-/6/B48/671</v>
      </c>
      <c r="I657" s="2" t="s">
        <v>15</v>
      </c>
      <c r="J657" s="2" t="s">
        <v>34</v>
      </c>
      <c r="K657" s="2" t="s">
        <v>35</v>
      </c>
    </row>
    <row r="658" ht="15.75" customHeight="1">
      <c r="A658" s="2">
        <v>291253.0</v>
      </c>
      <c r="B658" s="2" t="s">
        <v>625</v>
      </c>
      <c r="C658" s="2" t="s">
        <v>1874</v>
      </c>
      <c r="D658" s="2" t="s">
        <v>1875</v>
      </c>
      <c r="E658" s="2" t="s">
        <v>628</v>
      </c>
      <c r="F658" s="2">
        <v>4.0</v>
      </c>
      <c r="G658" s="2">
        <v>500.0</v>
      </c>
      <c r="H658" s="3" t="str">
        <f>HYPERLINK("http://www.linkedin.com/pub/tim-calkins/0/466/90","http://www.linkedin.com/pub/tim-calkins/0/466/90")</f>
        <v>http://www.linkedin.com/pub/tim-calkins/0/466/90</v>
      </c>
      <c r="I658" s="2" t="s">
        <v>240</v>
      </c>
      <c r="J658" s="2" t="s">
        <v>102</v>
      </c>
      <c r="K658" s="2" t="s">
        <v>183</v>
      </c>
    </row>
    <row r="659" ht="15.75" customHeight="1">
      <c r="A659" s="2">
        <v>291381.0</v>
      </c>
      <c r="B659" s="2" t="s">
        <v>1876</v>
      </c>
      <c r="C659" s="2" t="s">
        <v>1877</v>
      </c>
      <c r="D659" s="2" t="s">
        <v>517</v>
      </c>
      <c r="E659" s="2" t="s">
        <v>136</v>
      </c>
      <c r="F659" s="2">
        <v>10.0</v>
      </c>
      <c r="G659" s="2">
        <v>500.0</v>
      </c>
      <c r="H659" s="3" t="str">
        <f>HYPERLINK("http://www.linkedin.com/in/dariusdunlap","http://www.linkedin.com/in/dariusdunlap")</f>
        <v>http://www.linkedin.com/in/dariusdunlap</v>
      </c>
      <c r="I659" s="2" t="s">
        <v>15</v>
      </c>
      <c r="J659" s="2" t="s">
        <v>102</v>
      </c>
      <c r="K659" s="2" t="s">
        <v>35</v>
      </c>
    </row>
    <row r="660" ht="15.75" customHeight="1">
      <c r="A660" s="2">
        <v>291427.0</v>
      </c>
      <c r="B660" s="2" t="s">
        <v>1878</v>
      </c>
      <c r="C660" s="2" t="s">
        <v>1879</v>
      </c>
      <c r="D660" s="2" t="s">
        <v>1880</v>
      </c>
      <c r="E660" s="2" t="s">
        <v>1881</v>
      </c>
      <c r="F660" s="2">
        <v>3.0</v>
      </c>
      <c r="G660" s="2">
        <v>500.0</v>
      </c>
      <c r="H660" s="3" t="str">
        <f>HYPERLINK("http://www.linkedin.com/pub/shiraz-hasan/0/B6A/77","http://www.linkedin.com/pub/shiraz-hasan/0/B6A/77")</f>
        <v>http://www.linkedin.com/pub/shiraz-hasan/0/B6A/77</v>
      </c>
      <c r="I660" s="2" t="s">
        <v>57</v>
      </c>
      <c r="J660" s="2" t="s">
        <v>16</v>
      </c>
      <c r="K660" s="2" t="s">
        <v>35</v>
      </c>
    </row>
    <row r="661" ht="15.75" customHeight="1">
      <c r="A661" s="2">
        <v>292095.0</v>
      </c>
      <c r="B661" s="2" t="s">
        <v>637</v>
      </c>
      <c r="C661" s="2" t="s">
        <v>93</v>
      </c>
      <c r="D661" s="2" t="s">
        <v>1882</v>
      </c>
      <c r="E661" s="2" t="s">
        <v>187</v>
      </c>
      <c r="F661" s="2">
        <v>0.0</v>
      </c>
      <c r="G661" s="2">
        <v>31.0</v>
      </c>
      <c r="H661" s="3" t="str">
        <f>HYPERLINK("http://www.linkedin.com/pub/leonardo-oliveira/27/1B/638","http://www.linkedin.com/pub/leonardo-oliveira/27/1B/638")</f>
        <v>http://www.linkedin.com/pub/leonardo-oliveira/27/1B/638</v>
      </c>
      <c r="I661" s="2" t="s">
        <v>629</v>
      </c>
      <c r="J661" s="2" t="s">
        <v>34</v>
      </c>
      <c r="K661" s="2" t="s">
        <v>1883</v>
      </c>
    </row>
    <row r="662" ht="15.75" customHeight="1">
      <c r="A662" s="2">
        <v>292350.0</v>
      </c>
      <c r="B662" s="2" t="s">
        <v>414</v>
      </c>
      <c r="C662" s="2" t="s">
        <v>1884</v>
      </c>
      <c r="D662" s="2" t="s">
        <v>1885</v>
      </c>
      <c r="E662" s="2" t="s">
        <v>1886</v>
      </c>
      <c r="F662" s="2">
        <v>8.0</v>
      </c>
      <c r="G662" s="2">
        <v>500.0</v>
      </c>
      <c r="H662" s="3" t="str">
        <f>HYPERLINK("http://www.linkedin.com/pub/tom-stiling/0/85/B34","http://www.linkedin.com/pub/tom-stiling/0/85/B34")</f>
        <v>http://www.linkedin.com/pub/tom-stiling/0/85/B34</v>
      </c>
      <c r="I662" s="2" t="s">
        <v>48</v>
      </c>
      <c r="J662" s="2" t="s">
        <v>102</v>
      </c>
      <c r="K662" s="2" t="s">
        <v>35</v>
      </c>
    </row>
    <row r="663" ht="15.75" customHeight="1">
      <c r="A663" s="2">
        <v>292375.0</v>
      </c>
      <c r="B663" s="2" t="s">
        <v>1096</v>
      </c>
      <c r="C663" s="2" t="s">
        <v>1887</v>
      </c>
      <c r="D663" s="2" t="s">
        <v>1888</v>
      </c>
      <c r="E663" s="2" t="s">
        <v>989</v>
      </c>
      <c r="F663" s="2">
        <v>9.0</v>
      </c>
      <c r="G663" s="2">
        <v>500.0</v>
      </c>
      <c r="H663" s="3" t="str">
        <f>HYPERLINK("http://www.linkedin.com/in/strictlyacquisition","http://www.linkedin.com/in/strictlyacquisition")</f>
        <v>http://www.linkedin.com/in/strictlyacquisition</v>
      </c>
      <c r="I663" s="2" t="s">
        <v>15</v>
      </c>
      <c r="J663" s="2" t="s">
        <v>102</v>
      </c>
      <c r="K663" s="2" t="s">
        <v>35</v>
      </c>
    </row>
    <row r="664" ht="15.75" customHeight="1">
      <c r="A664" s="2">
        <v>292602.0</v>
      </c>
      <c r="B664" s="2" t="s">
        <v>511</v>
      </c>
      <c r="C664" s="2" t="s">
        <v>1889</v>
      </c>
      <c r="D664" s="2" t="s">
        <v>1890</v>
      </c>
      <c r="E664" s="2" t="s">
        <v>1891</v>
      </c>
      <c r="F664" s="2">
        <v>16.0</v>
      </c>
      <c r="G664" s="2">
        <v>252.0</v>
      </c>
      <c r="H664" s="3" t="str">
        <f>HYPERLINK("http://www.linkedin.com/in/mikediehn","http://www.linkedin.com/in/mikediehn")</f>
        <v>http://www.linkedin.com/in/mikediehn</v>
      </c>
      <c r="I664" s="2" t="s">
        <v>15</v>
      </c>
      <c r="J664" s="2" t="s">
        <v>952</v>
      </c>
      <c r="K664" s="2" t="s">
        <v>766</v>
      </c>
    </row>
    <row r="665" ht="15.75" customHeight="1">
      <c r="A665" s="2">
        <v>292650.0</v>
      </c>
      <c r="B665" s="2" t="s">
        <v>1892</v>
      </c>
      <c r="C665" s="2" t="s">
        <v>1893</v>
      </c>
      <c r="D665" s="2" t="s">
        <v>1894</v>
      </c>
      <c r="E665" s="2" t="s">
        <v>1190</v>
      </c>
      <c r="F665" s="2">
        <v>14.0</v>
      </c>
      <c r="G665" s="2">
        <v>500.0</v>
      </c>
      <c r="H665" s="3" t="str">
        <f>HYPERLINK("http://www.linkedin.com/in/claudinevainrub","http://www.linkedin.com/in/claudinevainrub")</f>
        <v>http://www.linkedin.com/in/claudinevainrub</v>
      </c>
      <c r="I665" s="2" t="s">
        <v>1390</v>
      </c>
      <c r="J665" s="2" t="s">
        <v>102</v>
      </c>
      <c r="K665" s="2" t="s">
        <v>1895</v>
      </c>
    </row>
    <row r="666" ht="15.75" customHeight="1">
      <c r="A666" s="2">
        <v>292960.0</v>
      </c>
      <c r="B666" s="2" t="s">
        <v>1896</v>
      </c>
      <c r="C666" s="2" t="s">
        <v>1897</v>
      </c>
      <c r="D666" s="2" t="s">
        <v>47</v>
      </c>
      <c r="E666" s="2" t="s">
        <v>1001</v>
      </c>
      <c r="F666" s="2" t="s">
        <v>13</v>
      </c>
      <c r="G666" s="2">
        <v>500.0</v>
      </c>
      <c r="H666" s="3" t="str">
        <f>HYPERLINK("http://il.linkedin.com/pub/ehud-rokach/1/819/341","http://il.linkedin.com/pub/ehud-rokach/1/819/341")</f>
        <v>http://il.linkedin.com/pub/ehud-rokach/1/819/341</v>
      </c>
      <c r="I666" s="2" t="s">
        <v>15</v>
      </c>
      <c r="J666" s="2" t="s">
        <v>1898</v>
      </c>
      <c r="K666" s="2" t="s">
        <v>35</v>
      </c>
    </row>
    <row r="667" ht="15.75" customHeight="1">
      <c r="A667" s="2">
        <v>293071.0</v>
      </c>
      <c r="B667" s="2" t="s">
        <v>1899</v>
      </c>
      <c r="C667" s="2" t="s">
        <v>1900</v>
      </c>
      <c r="D667" s="2" t="s">
        <v>1901</v>
      </c>
      <c r="E667" s="2" t="s">
        <v>1781</v>
      </c>
      <c r="F667" s="2">
        <v>8.0</v>
      </c>
      <c r="G667" s="2">
        <v>500.0</v>
      </c>
      <c r="H667" s="3" t="str">
        <f>HYPERLINK("http://www.linkedin.com/in/tirupatur","http://www.linkedin.com/in/tirupatur")</f>
        <v>http://www.linkedin.com/in/tirupatur</v>
      </c>
      <c r="I667" s="2" t="s">
        <v>77</v>
      </c>
      <c r="J667" s="2" t="s">
        <v>102</v>
      </c>
      <c r="K667" s="2" t="s">
        <v>97</v>
      </c>
    </row>
    <row r="668" ht="15.75" customHeight="1">
      <c r="A668" s="2">
        <v>293076.0</v>
      </c>
      <c r="B668" s="2" t="s">
        <v>1015</v>
      </c>
      <c r="C668" s="2" t="s">
        <v>1902</v>
      </c>
      <c r="D668" s="2" t="s">
        <v>13</v>
      </c>
      <c r="E668" s="2" t="s">
        <v>14</v>
      </c>
      <c r="F668" s="2">
        <v>0.0</v>
      </c>
      <c r="G668" s="2">
        <v>500.0</v>
      </c>
      <c r="H668" s="3" t="str">
        <f>HYPERLINK("http://www.linkedin.com/in/brianmallorysurgicalconsultant","http://www.linkedin.com/in/brianmallorysurgicalconsultant")</f>
        <v>http://www.linkedin.com/in/brianmallorysurgicalconsultant</v>
      </c>
      <c r="I668" s="2" t="s">
        <v>865</v>
      </c>
      <c r="J668" s="2" t="s">
        <v>16</v>
      </c>
      <c r="K668" s="2" t="s">
        <v>522</v>
      </c>
    </row>
    <row r="669" ht="15.75" customHeight="1">
      <c r="A669" s="2">
        <v>293203.0</v>
      </c>
      <c r="B669" s="2" t="s">
        <v>1903</v>
      </c>
      <c r="C669" s="2" t="s">
        <v>1904</v>
      </c>
      <c r="D669" s="2" t="s">
        <v>1905</v>
      </c>
      <c r="E669" s="2" t="s">
        <v>301</v>
      </c>
      <c r="F669" s="2" t="s">
        <v>13</v>
      </c>
      <c r="G669" s="2">
        <v>500.0</v>
      </c>
      <c r="H669" s="3" t="str">
        <f>HYPERLINK("http://www.linkedin.com/in/beyda","http://www.linkedin.com/in/beyda")</f>
        <v>http://www.linkedin.com/in/beyda</v>
      </c>
      <c r="I669" s="2" t="s">
        <v>709</v>
      </c>
      <c r="J669" s="2" t="s">
        <v>102</v>
      </c>
      <c r="K669" s="2" t="s">
        <v>58</v>
      </c>
    </row>
    <row r="670" ht="15.75" customHeight="1">
      <c r="A670" s="2">
        <v>293299.0</v>
      </c>
      <c r="B670" s="2" t="s">
        <v>1906</v>
      </c>
      <c r="C670" s="2" t="s">
        <v>1907</v>
      </c>
      <c r="D670" s="2" t="s">
        <v>1905</v>
      </c>
      <c r="E670" s="2" t="s">
        <v>1908</v>
      </c>
      <c r="F670" s="2" t="s">
        <v>13</v>
      </c>
      <c r="G670" s="2">
        <v>500.0</v>
      </c>
      <c r="H670" s="3" t="str">
        <f>HYPERLINK("http://eg.linkedin.com/in/karimmajid","http://eg.linkedin.com/in/karimmajid")</f>
        <v>http://eg.linkedin.com/in/karimmajid</v>
      </c>
      <c r="I670" s="2" t="s">
        <v>105</v>
      </c>
      <c r="J670" s="2" t="s">
        <v>144</v>
      </c>
      <c r="K670" s="2" t="s">
        <v>58</v>
      </c>
    </row>
    <row r="671" ht="15.75" customHeight="1">
      <c r="A671" s="2">
        <v>293341.0</v>
      </c>
      <c r="B671" s="2" t="s">
        <v>1548</v>
      </c>
      <c r="C671" s="2" t="s">
        <v>1909</v>
      </c>
      <c r="D671" s="2" t="s">
        <v>1910</v>
      </c>
      <c r="E671" s="2" t="s">
        <v>136</v>
      </c>
      <c r="F671" s="2">
        <v>8.0</v>
      </c>
      <c r="G671" s="2">
        <v>500.0</v>
      </c>
      <c r="H671" s="3" t="str">
        <f>HYPERLINK("https://www.linkedin.com/in/niravchhatrapati","https://www.linkedin.com/in/niravchhatrapati")</f>
        <v>https://www.linkedin.com/in/niravchhatrapati</v>
      </c>
      <c r="I671" s="2" t="s">
        <v>48</v>
      </c>
      <c r="J671" s="2" t="s">
        <v>102</v>
      </c>
      <c r="K671" s="2" t="s">
        <v>35</v>
      </c>
    </row>
    <row r="672" ht="15.75" customHeight="1">
      <c r="A672" s="2">
        <v>293761.0</v>
      </c>
      <c r="B672" s="2" t="s">
        <v>471</v>
      </c>
      <c r="C672" s="2" t="s">
        <v>1911</v>
      </c>
      <c r="D672" s="2" t="s">
        <v>1912</v>
      </c>
      <c r="E672" s="2" t="s">
        <v>301</v>
      </c>
      <c r="F672" s="2">
        <v>1.0</v>
      </c>
      <c r="G672" s="2">
        <v>500.0</v>
      </c>
      <c r="H672" s="3" t="str">
        <f>HYPERLINK("http://www.linkedin.com/in/danfeldman","http://www.linkedin.com/in/danfeldman")</f>
        <v>http://www.linkedin.com/in/danfeldman</v>
      </c>
      <c r="I672" s="2" t="s">
        <v>69</v>
      </c>
      <c r="J672" s="2" t="s">
        <v>102</v>
      </c>
      <c r="K672" s="2" t="s">
        <v>35</v>
      </c>
    </row>
    <row r="673" ht="15.75" customHeight="1">
      <c r="A673" s="2">
        <v>294630.0</v>
      </c>
      <c r="B673" s="2" t="s">
        <v>1019</v>
      </c>
      <c r="C673" s="2" t="s">
        <v>1913</v>
      </c>
      <c r="D673" s="2" t="s">
        <v>13</v>
      </c>
      <c r="E673" s="2" t="s">
        <v>64</v>
      </c>
      <c r="F673" s="2">
        <v>0.0</v>
      </c>
      <c r="G673" s="2">
        <v>500.0</v>
      </c>
      <c r="H673" s="3" t="str">
        <f>HYPERLINK("http://www.linkedin.com/in/matthieuchereau","http://www.linkedin.com/in/matthieuchereau")</f>
        <v>http://www.linkedin.com/in/matthieuchereau</v>
      </c>
      <c r="I673" s="2" t="s">
        <v>69</v>
      </c>
      <c r="J673" s="2" t="s">
        <v>65</v>
      </c>
      <c r="K673" s="2" t="s">
        <v>35</v>
      </c>
    </row>
    <row r="674" ht="15.75" customHeight="1">
      <c r="A674" s="2">
        <v>295004.0</v>
      </c>
      <c r="B674" s="2" t="s">
        <v>1071</v>
      </c>
      <c r="C674" s="2" t="s">
        <v>1914</v>
      </c>
      <c r="D674" s="2" t="s">
        <v>1915</v>
      </c>
      <c r="E674" s="2" t="s">
        <v>235</v>
      </c>
      <c r="F674" s="2">
        <v>10.0</v>
      </c>
      <c r="G674" s="2">
        <v>500.0</v>
      </c>
      <c r="H674" s="3" t="str">
        <f>HYPERLINK("http://www.linkedin.com/pub/eric-koefoot/0/91/89","http://www.linkedin.com/pub/eric-koefoot/0/91/89")</f>
        <v>http://www.linkedin.com/pub/eric-koefoot/0/91/89</v>
      </c>
      <c r="I674" s="2" t="s">
        <v>69</v>
      </c>
      <c r="J674" s="2" t="s">
        <v>102</v>
      </c>
      <c r="K674" s="2" t="s">
        <v>35</v>
      </c>
    </row>
    <row r="675" ht="15.75" customHeight="1">
      <c r="A675" s="2">
        <v>295254.0</v>
      </c>
      <c r="B675" s="2" t="s">
        <v>275</v>
      </c>
      <c r="C675" s="2" t="s">
        <v>1916</v>
      </c>
      <c r="D675" s="2" t="s">
        <v>1917</v>
      </c>
      <c r="E675" s="2" t="s">
        <v>1918</v>
      </c>
      <c r="F675" s="2">
        <v>4.0</v>
      </c>
      <c r="G675" s="2">
        <v>500.0</v>
      </c>
      <c r="H675" s="3" t="str">
        <f>HYPERLINK("http://www.linkedin.com/in/markbenton","http://www.linkedin.com/in/markbenton")</f>
        <v>http://www.linkedin.com/in/markbenton</v>
      </c>
      <c r="I675" s="2" t="s">
        <v>1452</v>
      </c>
      <c r="J675" s="2" t="s">
        <v>102</v>
      </c>
      <c r="K675" s="2" t="s">
        <v>729</v>
      </c>
    </row>
    <row r="676" ht="15.75" customHeight="1">
      <c r="A676" s="2">
        <v>295282.0</v>
      </c>
      <c r="B676" s="2" t="s">
        <v>1919</v>
      </c>
      <c r="C676" s="2" t="s">
        <v>774</v>
      </c>
      <c r="D676" s="2" t="s">
        <v>100</v>
      </c>
      <c r="E676" s="2" t="s">
        <v>101</v>
      </c>
      <c r="F676" s="2" t="s">
        <v>13</v>
      </c>
      <c r="G676" s="2">
        <v>500.0</v>
      </c>
      <c r="H676" s="3" t="str">
        <f>HYPERLINK("http://www.linkedin.com/in/larrybruce","http://www.linkedin.com/in/larrybruce")</f>
        <v>http://www.linkedin.com/in/larrybruce</v>
      </c>
      <c r="I676" s="2" t="s">
        <v>248</v>
      </c>
      <c r="J676" s="2" t="s">
        <v>102</v>
      </c>
      <c r="K676" s="2" t="s">
        <v>196</v>
      </c>
    </row>
    <row r="677" ht="15.75" customHeight="1">
      <c r="A677" s="2">
        <v>295719.0</v>
      </c>
      <c r="B677" s="2" t="s">
        <v>1593</v>
      </c>
      <c r="C677" s="2" t="s">
        <v>1920</v>
      </c>
      <c r="D677" s="2" t="s">
        <v>1921</v>
      </c>
      <c r="E677" s="2" t="s">
        <v>259</v>
      </c>
      <c r="F677" s="2">
        <v>35.0</v>
      </c>
      <c r="G677" s="2">
        <v>500.0</v>
      </c>
      <c r="H677" s="3" t="str">
        <f>HYPERLINK("http://www.linkedin.com/in/adamboettiger","http://www.linkedin.com/in/adamboettiger")</f>
        <v>http://www.linkedin.com/in/adamboettiger</v>
      </c>
      <c r="I677" s="2" t="s">
        <v>105</v>
      </c>
      <c r="J677" s="2" t="s">
        <v>144</v>
      </c>
      <c r="K677" s="2" t="s">
        <v>29</v>
      </c>
    </row>
    <row r="678" ht="15.75" customHeight="1">
      <c r="A678" s="2">
        <v>296306.0</v>
      </c>
      <c r="B678" s="2" t="s">
        <v>133</v>
      </c>
      <c r="C678" s="2" t="s">
        <v>1922</v>
      </c>
      <c r="D678" s="2" t="s">
        <v>47</v>
      </c>
      <c r="E678" s="2" t="s">
        <v>136</v>
      </c>
      <c r="F678" s="2" t="s">
        <v>13</v>
      </c>
      <c r="G678" s="2">
        <v>500.0</v>
      </c>
      <c r="H678" s="3" t="str">
        <f>HYPERLINK("http://www.linkedin.com/in/michaelworkman","http://www.linkedin.com/in/michaelworkman")</f>
        <v>http://www.linkedin.com/in/michaelworkman</v>
      </c>
      <c r="I678" s="2" t="s">
        <v>15</v>
      </c>
      <c r="J678" s="2" t="s">
        <v>102</v>
      </c>
      <c r="K678" s="2" t="s">
        <v>35</v>
      </c>
    </row>
    <row r="679" ht="15.75" customHeight="1">
      <c r="A679" s="2">
        <v>296438.0</v>
      </c>
      <c r="B679" s="2" t="s">
        <v>460</v>
      </c>
      <c r="C679" s="2" t="s">
        <v>1923</v>
      </c>
      <c r="D679" s="2" t="s">
        <v>114</v>
      </c>
      <c r="E679" s="2" t="s">
        <v>1924</v>
      </c>
      <c r="F679" s="2">
        <v>0.0</v>
      </c>
      <c r="G679" s="2">
        <v>500.0</v>
      </c>
      <c r="H679" s="3" t="str">
        <f>HYPERLINK("http://www.linkedin.com/pub/john-murry/4/8/323","http://www.linkedin.com/pub/john-murry/4/8/323")</f>
        <v>http://www.linkedin.com/pub/john-murry/4/8/323</v>
      </c>
      <c r="I679" s="2" t="s">
        <v>240</v>
      </c>
      <c r="J679" s="2" t="s">
        <v>102</v>
      </c>
      <c r="K679" s="2" t="s">
        <v>183</v>
      </c>
    </row>
    <row r="680" ht="15.75" customHeight="1">
      <c r="A680" s="2">
        <v>296523.0</v>
      </c>
      <c r="B680" s="2" t="s">
        <v>1925</v>
      </c>
      <c r="C680" s="2" t="s">
        <v>1926</v>
      </c>
      <c r="D680" s="2" t="s">
        <v>1927</v>
      </c>
      <c r="E680" s="2" t="s">
        <v>142</v>
      </c>
      <c r="F680" s="2">
        <v>114.0</v>
      </c>
      <c r="G680" s="2">
        <v>500.0</v>
      </c>
      <c r="H680" s="3" t="str">
        <f>HYPERLINK("http://www.linkedin.com/in/tonyalessandra","http://www.linkedin.com/in/tonyalessandra")</f>
        <v>http://www.linkedin.com/in/tonyalessandra</v>
      </c>
      <c r="I680" s="2" t="s">
        <v>1390</v>
      </c>
      <c r="J680" s="2" t="s">
        <v>144</v>
      </c>
      <c r="K680" s="2" t="s">
        <v>97</v>
      </c>
    </row>
    <row r="681" ht="15.75" customHeight="1">
      <c r="A681" s="2">
        <v>297520.0</v>
      </c>
      <c r="B681" s="2" t="s">
        <v>1928</v>
      </c>
      <c r="C681" s="2" t="s">
        <v>1929</v>
      </c>
      <c r="D681" s="2" t="s">
        <v>1930</v>
      </c>
      <c r="E681" s="2" t="s">
        <v>1190</v>
      </c>
      <c r="F681" s="2">
        <v>4.0</v>
      </c>
      <c r="G681" s="2">
        <v>500.0</v>
      </c>
      <c r="H681" s="3" t="str">
        <f>HYPERLINK("http://www.linkedin.com/pub/mercy-acosta/5/282/128","http://www.linkedin.com/pub/mercy-acosta/5/282/128")</f>
        <v>http://www.linkedin.com/pub/mercy-acosta/5/282/128</v>
      </c>
      <c r="I681" s="2" t="s">
        <v>1931</v>
      </c>
      <c r="J681" s="2" t="s">
        <v>102</v>
      </c>
      <c r="K681" s="2" t="s">
        <v>1176</v>
      </c>
    </row>
    <row r="682" ht="15.75" customHeight="1">
      <c r="A682" s="2">
        <v>297743.0</v>
      </c>
      <c r="B682" s="2" t="s">
        <v>1932</v>
      </c>
      <c r="C682" s="2" t="s">
        <v>1511</v>
      </c>
      <c r="D682" s="2" t="s">
        <v>309</v>
      </c>
      <c r="E682" s="2" t="s">
        <v>1933</v>
      </c>
      <c r="F682" s="2" t="s">
        <v>13</v>
      </c>
      <c r="G682" s="2">
        <v>500.0</v>
      </c>
      <c r="H682" s="3" t="str">
        <f>HYPERLINK("http://ca.linkedin.com/in/michelledavies","http://ca.linkedin.com/in/michelledavies")</f>
        <v>http://ca.linkedin.com/in/michelledavies</v>
      </c>
      <c r="I682" s="2" t="s">
        <v>326</v>
      </c>
      <c r="J682" s="2" t="s">
        <v>44</v>
      </c>
      <c r="K682" s="2" t="s">
        <v>58</v>
      </c>
    </row>
    <row r="683" ht="15.75" customHeight="1">
      <c r="A683" s="2">
        <v>298903.0</v>
      </c>
      <c r="B683" s="2" t="s">
        <v>275</v>
      </c>
      <c r="C683" s="2" t="s">
        <v>1144</v>
      </c>
      <c r="D683" s="2" t="s">
        <v>13</v>
      </c>
      <c r="E683" s="2" t="s">
        <v>136</v>
      </c>
      <c r="F683" s="2">
        <v>0.0</v>
      </c>
      <c r="G683" s="2">
        <v>500.0</v>
      </c>
      <c r="H683" s="3" t="str">
        <f>HYPERLINK("http://www.linkedin.com/in/markfelderallen","http://www.linkedin.com/in/markfelderallen")</f>
        <v>http://www.linkedin.com/in/markfelderallen</v>
      </c>
      <c r="I683" s="2" t="s">
        <v>48</v>
      </c>
      <c r="J683" s="2" t="s">
        <v>102</v>
      </c>
      <c r="K683" s="2" t="s">
        <v>35</v>
      </c>
    </row>
    <row r="684" ht="15.75" customHeight="1">
      <c r="A684" s="2">
        <v>298906.0</v>
      </c>
      <c r="B684" s="2" t="s">
        <v>460</v>
      </c>
      <c r="C684" s="2" t="s">
        <v>1934</v>
      </c>
      <c r="D684" s="2" t="s">
        <v>1935</v>
      </c>
      <c r="E684" s="2" t="s">
        <v>136</v>
      </c>
      <c r="F684" s="2">
        <v>5.0</v>
      </c>
      <c r="G684" s="2">
        <v>500.0</v>
      </c>
      <c r="H684" s="3" t="str">
        <f>HYPERLINK("http://www.linkedin.com/in/johnkellyblackstone","http://www.linkedin.com/in/johnkellyblackstone")</f>
        <v>http://www.linkedin.com/in/johnkellyblackstone</v>
      </c>
      <c r="I684" s="2" t="s">
        <v>621</v>
      </c>
      <c r="J684" s="2" t="s">
        <v>102</v>
      </c>
      <c r="K684" s="2" t="s">
        <v>58</v>
      </c>
    </row>
    <row r="685" ht="15.75" customHeight="1">
      <c r="A685" s="2">
        <v>298957.0</v>
      </c>
      <c r="B685" s="2" t="s">
        <v>314</v>
      </c>
      <c r="C685" s="2" t="s">
        <v>1936</v>
      </c>
      <c r="D685" s="2" t="s">
        <v>42</v>
      </c>
      <c r="E685" s="2" t="s">
        <v>39</v>
      </c>
      <c r="F685" s="2" t="s">
        <v>13</v>
      </c>
      <c r="G685" s="2">
        <v>500.0</v>
      </c>
      <c r="H685" s="3" t="str">
        <f>HYPERLINK("http://br.linkedin.com/pub/marcos-morato/3/997/428","http://br.linkedin.com/pub/marcos-morato/3/997/428")</f>
        <v>http://br.linkedin.com/pub/marcos-morato/3/997/428</v>
      </c>
      <c r="I685" s="2" t="s">
        <v>15</v>
      </c>
      <c r="J685" s="2" t="s">
        <v>34</v>
      </c>
      <c r="K685" s="2" t="s">
        <v>35</v>
      </c>
    </row>
    <row r="686" ht="15.75" customHeight="1">
      <c r="A686" s="2">
        <v>299381.0</v>
      </c>
      <c r="B686" s="2" t="s">
        <v>1937</v>
      </c>
      <c r="C686" s="2" t="s">
        <v>1938</v>
      </c>
      <c r="D686" s="2" t="s">
        <v>1939</v>
      </c>
      <c r="E686" s="2" t="s">
        <v>325</v>
      </c>
      <c r="F686" s="2" t="s">
        <v>13</v>
      </c>
      <c r="G686" s="2">
        <v>500.0</v>
      </c>
      <c r="H686" s="3" t="str">
        <f>HYPERLINK("http://www.linkedin.com/in/terranceknecht","http://www.linkedin.com/in/terranceknecht")</f>
        <v>http://www.linkedin.com/in/terranceknecht</v>
      </c>
      <c r="I686" s="2" t="s">
        <v>15</v>
      </c>
      <c r="J686" s="2" t="s">
        <v>102</v>
      </c>
      <c r="K686" s="2" t="s">
        <v>35</v>
      </c>
    </row>
    <row r="687" ht="15.75" customHeight="1">
      <c r="A687" s="2">
        <v>300362.0</v>
      </c>
      <c r="B687" s="2" t="s">
        <v>1940</v>
      </c>
      <c r="C687" s="2" t="s">
        <v>1941</v>
      </c>
      <c r="D687" s="2"/>
      <c r="E687" s="2" t="s">
        <v>1414</v>
      </c>
      <c r="F687" s="2">
        <v>0.0</v>
      </c>
      <c r="G687" s="2">
        <v>500.0</v>
      </c>
      <c r="H687" s="3" t="str">
        <f>HYPERLINK("http://www.linkedin.com/in/lucyjacobs","http://www.linkedin.com/in/lucyjacobs")</f>
        <v>http://www.linkedin.com/in/lucyjacobs</v>
      </c>
      <c r="I687" s="2" t="s">
        <v>69</v>
      </c>
      <c r="J687" s="2" t="s">
        <v>1047</v>
      </c>
      <c r="K687" s="2" t="s">
        <v>22</v>
      </c>
    </row>
    <row r="688" ht="15.75" customHeight="1">
      <c r="A688" s="2">
        <v>300957.0</v>
      </c>
      <c r="B688" s="2" t="s">
        <v>1942</v>
      </c>
      <c r="C688" s="2" t="s">
        <v>1943</v>
      </c>
      <c r="D688" s="2" t="s">
        <v>1944</v>
      </c>
      <c r="E688" s="2" t="s">
        <v>101</v>
      </c>
      <c r="F688" s="2" t="s">
        <v>13</v>
      </c>
      <c r="G688" s="2">
        <v>303.0</v>
      </c>
      <c r="H688" s="3" t="str">
        <f>HYPERLINK("http://www.linkedin.com/in/ingridkellyowens","http://www.linkedin.com/in/ingridkellyowens")</f>
        <v>http://www.linkedin.com/in/ingridkellyowens</v>
      </c>
      <c r="I688" s="2" t="s">
        <v>1361</v>
      </c>
      <c r="J688" s="2" t="s">
        <v>102</v>
      </c>
      <c r="K688" s="2" t="s">
        <v>1945</v>
      </c>
    </row>
    <row r="689" ht="15.75" customHeight="1">
      <c r="A689" s="2">
        <v>301188.0</v>
      </c>
      <c r="B689" s="2" t="s">
        <v>1946</v>
      </c>
      <c r="C689" s="2" t="s">
        <v>1947</v>
      </c>
      <c r="D689" s="2" t="s">
        <v>13</v>
      </c>
      <c r="E689" s="2" t="s">
        <v>181</v>
      </c>
      <c r="F689" s="2">
        <v>14.0</v>
      </c>
      <c r="G689" s="2">
        <v>500.0</v>
      </c>
      <c r="H689" s="3" t="str">
        <f>HYPERLINK("http://in.linkedin.com/in/rahulbhangay","http://in.linkedin.com/in/rahulbhangay")</f>
        <v>http://in.linkedin.com/in/rahulbhangay</v>
      </c>
      <c r="I689" s="2" t="s">
        <v>1948</v>
      </c>
      <c r="J689" s="2" t="s">
        <v>102</v>
      </c>
      <c r="K689" s="2" t="s">
        <v>58</v>
      </c>
    </row>
    <row r="690" ht="15.75" customHeight="1">
      <c r="A690" s="2">
        <v>301609.0</v>
      </c>
      <c r="B690" s="2" t="s">
        <v>1659</v>
      </c>
      <c r="C690" s="2" t="s">
        <v>1949</v>
      </c>
      <c r="D690" s="2" t="s">
        <v>1950</v>
      </c>
      <c r="E690" s="2" t="s">
        <v>136</v>
      </c>
      <c r="F690" s="2">
        <v>3.0</v>
      </c>
      <c r="G690" s="2">
        <v>405.0</v>
      </c>
      <c r="H690" s="3" t="str">
        <f>HYPERLINK("http://www.linkedin.com/in/jansilverman","http://www.linkedin.com/in/jansilverman")</f>
        <v>http://www.linkedin.com/in/jansilverman</v>
      </c>
      <c r="I690" s="2" t="s">
        <v>15</v>
      </c>
      <c r="J690" s="2" t="s">
        <v>102</v>
      </c>
      <c r="K690" s="2" t="s">
        <v>35</v>
      </c>
    </row>
    <row r="691" ht="15.75" customHeight="1">
      <c r="A691" s="2">
        <v>301690.0</v>
      </c>
      <c r="B691" s="2" t="s">
        <v>178</v>
      </c>
      <c r="C691" s="2" t="s">
        <v>1951</v>
      </c>
      <c r="D691" s="2" t="s">
        <v>42</v>
      </c>
      <c r="E691" s="2" t="s">
        <v>1952</v>
      </c>
      <c r="F691" s="2">
        <v>1.0</v>
      </c>
      <c r="G691" s="2">
        <v>68.0</v>
      </c>
      <c r="H691" s="3" t="str">
        <f>HYPERLINK("http://www.linkedin.com/pub/joe-amadeo/0/900/428","http://www.linkedin.com/pub/joe-amadeo/0/900/428")</f>
        <v>http://www.linkedin.com/pub/joe-amadeo/0/900/428</v>
      </c>
      <c r="I691" s="2" t="s">
        <v>96</v>
      </c>
      <c r="J691" s="2" t="s">
        <v>102</v>
      </c>
      <c r="K691" s="2" t="s">
        <v>58</v>
      </c>
    </row>
    <row r="692" ht="15.75" customHeight="1">
      <c r="A692" s="2">
        <v>302467.0</v>
      </c>
      <c r="B692" s="2" t="s">
        <v>1953</v>
      </c>
      <c r="C692" s="2" t="s">
        <v>1954</v>
      </c>
      <c r="D692" s="2" t="s">
        <v>1955</v>
      </c>
      <c r="E692" s="2" t="s">
        <v>1956</v>
      </c>
      <c r="F692" s="2">
        <v>0.0</v>
      </c>
      <c r="G692" s="2">
        <v>197.0</v>
      </c>
      <c r="H692" s="3" t="str">
        <f>HYPERLINK("http://www.linkedin.com/pub/aya-yamaura-timms/8/119/647","http://www.linkedin.com/pub/aya-yamaura-timms/8/119/647")</f>
        <v>http://www.linkedin.com/pub/aya-yamaura-timms/8/119/647</v>
      </c>
      <c r="I692" s="2" t="s">
        <v>374</v>
      </c>
      <c r="J692" s="2" t="s">
        <v>273</v>
      </c>
      <c r="K692" s="2" t="s">
        <v>35</v>
      </c>
    </row>
    <row r="693" ht="15.75" customHeight="1">
      <c r="A693" s="2">
        <v>302754.0</v>
      </c>
      <c r="B693" s="2" t="s">
        <v>245</v>
      </c>
      <c r="C693" s="2" t="s">
        <v>1957</v>
      </c>
      <c r="D693" s="2" t="s">
        <v>1958</v>
      </c>
      <c r="E693" s="2" t="s">
        <v>628</v>
      </c>
      <c r="F693" s="2">
        <v>12.0</v>
      </c>
      <c r="G693" s="2">
        <v>500.0</v>
      </c>
      <c r="H693" s="3" t="str">
        <f>HYPERLINK("http://www.linkedin.com/in/stevensteinfeld","http://www.linkedin.com/in/stevensteinfeld")</f>
        <v>http://www.linkedin.com/in/stevensteinfeld</v>
      </c>
      <c r="I693" s="2" t="s">
        <v>1390</v>
      </c>
      <c r="J693" s="2" t="s">
        <v>102</v>
      </c>
      <c r="K693" s="2" t="s">
        <v>357</v>
      </c>
    </row>
    <row r="694" ht="15.75" customHeight="1">
      <c r="A694" s="2">
        <v>303307.0</v>
      </c>
      <c r="B694" s="2" t="s">
        <v>1959</v>
      </c>
      <c r="C694" s="2" t="s">
        <v>672</v>
      </c>
      <c r="D694" s="2" t="s">
        <v>1960</v>
      </c>
      <c r="E694" s="2" t="s">
        <v>1961</v>
      </c>
      <c r="F694" s="2" t="s">
        <v>13</v>
      </c>
      <c r="G694" s="2">
        <v>500.0</v>
      </c>
      <c r="H694" s="3" t="str">
        <f>HYPERLINK("http://br.linkedin.com/pub/s%C3%A9rgio-teixeira/19/160/85A","http://br.linkedin.com/pub/s%C3%A9rgio-teixeira/19/160/85A")</f>
        <v>http://br.linkedin.com/pub/s%C3%A9rgio-teixeira/19/160/85A</v>
      </c>
      <c r="I694" s="2" t="s">
        <v>48</v>
      </c>
      <c r="J694" s="2" t="s">
        <v>34</v>
      </c>
      <c r="K694" s="2" t="s">
        <v>35</v>
      </c>
    </row>
    <row r="695" ht="15.75" customHeight="1">
      <c r="A695" s="2">
        <v>303331.0</v>
      </c>
      <c r="B695" s="2" t="s">
        <v>1545</v>
      </c>
      <c r="C695" s="2" t="s">
        <v>1962</v>
      </c>
      <c r="D695" s="2" t="s">
        <v>636</v>
      </c>
      <c r="E695" s="2" t="s">
        <v>505</v>
      </c>
      <c r="F695" s="2">
        <v>5.0</v>
      </c>
      <c r="G695" s="2">
        <v>500.0</v>
      </c>
      <c r="H695" s="3" t="str">
        <f>HYPERLINK("http://www.linkedin.com/pub/pat-goetz/0/AA4/A79","http://www.linkedin.com/pub/pat-goetz/0/AA4/A79")</f>
        <v>http://www.linkedin.com/pub/pat-goetz/0/AA4/A79</v>
      </c>
      <c r="I695" s="2" t="s">
        <v>15</v>
      </c>
      <c r="J695" s="2" t="s">
        <v>102</v>
      </c>
      <c r="K695" s="2" t="s">
        <v>35</v>
      </c>
    </row>
    <row r="696" ht="15.75" customHeight="1">
      <c r="A696" s="2">
        <v>303398.0</v>
      </c>
      <c r="B696" s="2" t="s">
        <v>1963</v>
      </c>
      <c r="C696" s="2" t="s">
        <v>1964</v>
      </c>
      <c r="D696" s="2" t="s">
        <v>841</v>
      </c>
      <c r="E696" s="2" t="s">
        <v>301</v>
      </c>
      <c r="F696" s="2" t="s">
        <v>13</v>
      </c>
      <c r="G696" s="2">
        <v>500.0</v>
      </c>
      <c r="H696" s="3" t="str">
        <f>HYPERLINK("http://www.linkedin.com/in/sardhaz","http://www.linkedin.com/in/sardhaz")</f>
        <v>http://www.linkedin.com/in/sardhaz</v>
      </c>
      <c r="I696" s="2" t="s">
        <v>15</v>
      </c>
      <c r="J696" s="2" t="s">
        <v>102</v>
      </c>
      <c r="K696" s="2" t="s">
        <v>35</v>
      </c>
    </row>
    <row r="697" ht="15.75" customHeight="1">
      <c r="A697" s="2">
        <v>303589.0</v>
      </c>
      <c r="B697" s="2" t="s">
        <v>1023</v>
      </c>
      <c r="C697" s="2" t="s">
        <v>1965</v>
      </c>
      <c r="D697" s="2" t="s">
        <v>1966</v>
      </c>
      <c r="E697" s="2" t="s">
        <v>1630</v>
      </c>
      <c r="F697" s="2">
        <v>6.0</v>
      </c>
      <c r="G697" s="2">
        <v>500.0</v>
      </c>
      <c r="H697" s="3" t="str">
        <f>HYPERLINK("http://ca.linkedin.com/in/cameronlaker","http://ca.linkedin.com/in/cameronlaker")</f>
        <v>http://ca.linkedin.com/in/cameronlaker</v>
      </c>
      <c r="I697" s="2" t="s">
        <v>248</v>
      </c>
      <c r="J697" s="2" t="s">
        <v>44</v>
      </c>
      <c r="K697" s="2" t="s">
        <v>196</v>
      </c>
    </row>
    <row r="698" ht="15.75" customHeight="1">
      <c r="A698" s="2">
        <v>303825.0</v>
      </c>
      <c r="B698" s="2" t="s">
        <v>287</v>
      </c>
      <c r="C698" s="2" t="s">
        <v>1967</v>
      </c>
      <c r="D698" s="2" t="s">
        <v>13</v>
      </c>
      <c r="E698" s="2" t="s">
        <v>1968</v>
      </c>
      <c r="F698" s="2">
        <v>0.0</v>
      </c>
      <c r="G698" s="2">
        <v>380.0</v>
      </c>
      <c r="H698" s="3" t="str">
        <f>HYPERLINK("http://www.linkedin.com/pub/paul-bramy/0/68a/a21","http://www.linkedin.com/pub/paul-bramy/0/68a/a21")</f>
        <v>http://www.linkedin.com/pub/paul-bramy/0/68a/a21</v>
      </c>
      <c r="I698" s="2" t="s">
        <v>48</v>
      </c>
      <c r="J698" s="2" t="s">
        <v>65</v>
      </c>
      <c r="K698" s="2" t="s">
        <v>35</v>
      </c>
    </row>
    <row r="699" ht="15.75" customHeight="1">
      <c r="A699" s="2">
        <v>304160.0</v>
      </c>
      <c r="B699" s="2" t="s">
        <v>84</v>
      </c>
      <c r="C699" s="2" t="s">
        <v>1814</v>
      </c>
      <c r="D699" s="2" t="s">
        <v>47</v>
      </c>
      <c r="E699" s="2" t="s">
        <v>1288</v>
      </c>
      <c r="F699" s="2" t="s">
        <v>13</v>
      </c>
      <c r="G699" s="2">
        <v>500.0</v>
      </c>
      <c r="H699" s="3" t="str">
        <f>HYPERLINK("http://ca.linkedin.com/in/davidsmith555","http://ca.linkedin.com/in/davidsmith555")</f>
        <v>http://ca.linkedin.com/in/davidsmith555</v>
      </c>
      <c r="I699" s="2" t="s">
        <v>15</v>
      </c>
      <c r="J699" s="2" t="s">
        <v>53</v>
      </c>
      <c r="K699" s="2" t="s">
        <v>35</v>
      </c>
    </row>
    <row r="700" ht="15.75" customHeight="1">
      <c r="A700" s="2">
        <v>304169.0</v>
      </c>
      <c r="B700" s="2" t="s">
        <v>1969</v>
      </c>
      <c r="C700" s="2" t="s">
        <v>1970</v>
      </c>
      <c r="D700" s="2" t="s">
        <v>1971</v>
      </c>
      <c r="E700" s="2" t="s">
        <v>914</v>
      </c>
      <c r="F700" s="2">
        <v>0.0</v>
      </c>
      <c r="G700" s="2">
        <v>198.0</v>
      </c>
      <c r="H700" s="3" t="str">
        <f>HYPERLINK("http://www.linkedin.com/in/vincentcarmosino","http://www.linkedin.com/in/vincentcarmosino")</f>
        <v>http://www.linkedin.com/in/vincentcarmosino</v>
      </c>
      <c r="I700" s="2" t="s">
        <v>15</v>
      </c>
      <c r="J700" s="2" t="s">
        <v>102</v>
      </c>
      <c r="K700" s="2" t="s">
        <v>522</v>
      </c>
    </row>
    <row r="701" ht="15.75" customHeight="1">
      <c r="A701" s="2">
        <v>304403.0</v>
      </c>
      <c r="B701" s="2" t="s">
        <v>1972</v>
      </c>
      <c r="C701" s="2" t="s">
        <v>369</v>
      </c>
      <c r="D701" s="2" t="s">
        <v>1973</v>
      </c>
      <c r="E701" s="2" t="s">
        <v>1956</v>
      </c>
      <c r="F701" s="2">
        <v>3.0</v>
      </c>
      <c r="G701" s="2">
        <v>500.0</v>
      </c>
      <c r="H701" s="3" t="str">
        <f>HYPERLINK("http://www.linkedin.com/pub/gaurav-sharma/1A/317/146","http://www.linkedin.com/pub/gaurav-sharma/1A/317/146")</f>
        <v>http://www.linkedin.com/pub/gaurav-sharma/1A/317/146</v>
      </c>
      <c r="I701" s="2" t="s">
        <v>15</v>
      </c>
      <c r="J701" s="2" t="s">
        <v>273</v>
      </c>
      <c r="K701" s="2" t="s">
        <v>1974</v>
      </c>
    </row>
    <row r="702" ht="15.75" customHeight="1">
      <c r="A702" s="2">
        <v>304705.0</v>
      </c>
      <c r="B702" s="2" t="s">
        <v>471</v>
      </c>
      <c r="C702" s="2" t="s">
        <v>1975</v>
      </c>
      <c r="D702" s="2" t="s">
        <v>13</v>
      </c>
      <c r="E702" s="2" t="s">
        <v>136</v>
      </c>
      <c r="F702" s="2">
        <v>0.0</v>
      </c>
      <c r="G702" s="2">
        <v>500.0</v>
      </c>
      <c r="H702" s="3" t="str">
        <f>HYPERLINK("http://www.linkedin.com/pub/dan-lankford/2/269/137","http://www.linkedin.com/pub/dan-lankford/2/269/137")</f>
        <v>http://www.linkedin.com/pub/dan-lankford/2/269/137</v>
      </c>
      <c r="I702" s="2" t="s">
        <v>669</v>
      </c>
      <c r="J702" s="2" t="s">
        <v>102</v>
      </c>
      <c r="K702" s="2" t="s">
        <v>58</v>
      </c>
    </row>
    <row r="703" ht="15.75" customHeight="1">
      <c r="A703" s="2">
        <v>304806.0</v>
      </c>
      <c r="B703" s="2" t="s">
        <v>824</v>
      </c>
      <c r="C703" s="2" t="s">
        <v>1976</v>
      </c>
      <c r="D703" s="2" t="s">
        <v>114</v>
      </c>
      <c r="E703" s="2" t="s">
        <v>301</v>
      </c>
      <c r="F703" s="2">
        <v>13.0</v>
      </c>
      <c r="G703" s="2">
        <v>500.0</v>
      </c>
      <c r="H703" s="3" t="str">
        <f>HYPERLINK("http://www.linkedin.com/in/vorticom","http://www.linkedin.com/in/vorticom")</f>
        <v>http://www.linkedin.com/in/vorticom</v>
      </c>
      <c r="I703" s="2" t="s">
        <v>844</v>
      </c>
      <c r="J703" s="2" t="s">
        <v>102</v>
      </c>
      <c r="K703" s="2" t="s">
        <v>58</v>
      </c>
    </row>
    <row r="704" ht="15.75" customHeight="1">
      <c r="A704" s="2">
        <v>304912.0</v>
      </c>
      <c r="B704" s="2" t="s">
        <v>1977</v>
      </c>
      <c r="C704" s="2" t="s">
        <v>1978</v>
      </c>
      <c r="D704" s="2" t="s">
        <v>1979</v>
      </c>
      <c r="E704" s="2" t="s">
        <v>301</v>
      </c>
      <c r="F704" s="2">
        <v>21.0</v>
      </c>
      <c r="G704" s="2">
        <v>500.0</v>
      </c>
      <c r="H704" s="3" t="str">
        <f>HYPERLINK("http://il.linkedin.com/in/joelleyden","http://il.linkedin.com/in/joelleyden")</f>
        <v>http://il.linkedin.com/in/joelleyden</v>
      </c>
      <c r="I704" s="2" t="s">
        <v>844</v>
      </c>
      <c r="J704" s="2" t="s">
        <v>102</v>
      </c>
      <c r="K704" s="2" t="s">
        <v>58</v>
      </c>
    </row>
    <row r="705" ht="15.75" customHeight="1">
      <c r="A705" s="2">
        <v>305852.0</v>
      </c>
      <c r="B705" s="2" t="s">
        <v>1980</v>
      </c>
      <c r="C705" s="2" t="s">
        <v>1981</v>
      </c>
      <c r="D705" s="2" t="s">
        <v>1982</v>
      </c>
      <c r="E705" s="2" t="s">
        <v>744</v>
      </c>
      <c r="F705" s="2">
        <v>1.0</v>
      </c>
      <c r="G705" s="2">
        <v>500.0</v>
      </c>
      <c r="H705" s="3" t="str">
        <f>HYPERLINK("http://www.linkedin.com/in/imesimaging","http://www.linkedin.com/in/imesimaging")</f>
        <v>http://www.linkedin.com/in/imesimaging</v>
      </c>
      <c r="I705" s="2" t="s">
        <v>865</v>
      </c>
      <c r="J705" s="2" t="s">
        <v>102</v>
      </c>
      <c r="K705" s="2" t="s">
        <v>58</v>
      </c>
    </row>
    <row r="706" ht="15.75" customHeight="1">
      <c r="A706" s="2">
        <v>306066.0</v>
      </c>
      <c r="B706" s="2" t="s">
        <v>1366</v>
      </c>
      <c r="C706" s="2" t="s">
        <v>1983</v>
      </c>
      <c r="D706" s="2" t="s">
        <v>416</v>
      </c>
      <c r="E706" s="2" t="s">
        <v>882</v>
      </c>
      <c r="F706" s="2">
        <v>14.0</v>
      </c>
      <c r="G706" s="2">
        <v>500.0</v>
      </c>
      <c r="H706" s="3" t="str">
        <f>HYPERLINK("http://www.linkedin.com/in/peterquintas","http://www.linkedin.com/in/peterquintas")</f>
        <v>http://www.linkedin.com/in/peterquintas</v>
      </c>
      <c r="I706" s="2" t="s">
        <v>96</v>
      </c>
      <c r="J706" s="2" t="s">
        <v>102</v>
      </c>
      <c r="K706" s="2" t="s">
        <v>58</v>
      </c>
    </row>
    <row r="707" ht="15.75" customHeight="1">
      <c r="A707" s="2">
        <v>306148.0</v>
      </c>
      <c r="B707" s="2" t="s">
        <v>1984</v>
      </c>
      <c r="C707" s="2" t="s">
        <v>1325</v>
      </c>
      <c r="D707" s="2"/>
      <c r="E707" s="2" t="s">
        <v>748</v>
      </c>
      <c r="F707" s="2">
        <v>0.0</v>
      </c>
      <c r="G707" s="2">
        <v>314.0</v>
      </c>
      <c r="H707" s="3" t="str">
        <f>HYPERLINK("http://www.linkedin.com/pub/anne-miller/0/2A/B91","http://www.linkedin.com/pub/anne-miller/0/2A/B91")</f>
        <v>http://www.linkedin.com/pub/anne-miller/0/2A/B91</v>
      </c>
      <c r="I707" s="2" t="s">
        <v>57</v>
      </c>
      <c r="J707" s="2" t="s">
        <v>28</v>
      </c>
      <c r="K707" s="2" t="s">
        <v>168</v>
      </c>
    </row>
    <row r="708" ht="15.75" customHeight="1">
      <c r="A708" s="2">
        <v>306291.0</v>
      </c>
      <c r="B708" s="2" t="s">
        <v>1985</v>
      </c>
      <c r="C708" s="2" t="s">
        <v>1986</v>
      </c>
      <c r="D708" s="2" t="s">
        <v>1987</v>
      </c>
      <c r="E708" s="2" t="s">
        <v>1615</v>
      </c>
      <c r="F708" s="2" t="s">
        <v>13</v>
      </c>
      <c r="G708" s="2">
        <v>500.0</v>
      </c>
      <c r="H708" s="3" t="str">
        <f>HYPERLINK("http://www.linkedin.com/pub/karen-l-parker/0/43/26","http://www.linkedin.com/pub/karen-l-parker/0/43/26")</f>
        <v>http://www.linkedin.com/pub/karen-l-parker/0/43/26</v>
      </c>
      <c r="I708" s="2" t="s">
        <v>475</v>
      </c>
      <c r="J708" s="2" t="s">
        <v>102</v>
      </c>
      <c r="K708" s="2" t="s">
        <v>58</v>
      </c>
    </row>
    <row r="709" ht="15.75" customHeight="1">
      <c r="A709" s="2">
        <v>306822.0</v>
      </c>
      <c r="B709" s="2" t="s">
        <v>1405</v>
      </c>
      <c r="C709" s="2" t="s">
        <v>1776</v>
      </c>
      <c r="D709" s="2" t="s">
        <v>1988</v>
      </c>
      <c r="E709" s="2" t="s">
        <v>235</v>
      </c>
      <c r="F709" s="2" t="s">
        <v>13</v>
      </c>
      <c r="G709" s="2">
        <v>500.0</v>
      </c>
      <c r="H709" s="3" t="str">
        <f>HYPERLINK("http://www.linkedin.com/pub/ron-wright/0/136/826","http://www.linkedin.com/pub/ron-wright/0/136/826")</f>
        <v>http://www.linkedin.com/pub/ron-wright/0/136/826</v>
      </c>
      <c r="I709" s="2" t="s">
        <v>709</v>
      </c>
      <c r="J709" s="2" t="s">
        <v>102</v>
      </c>
      <c r="K709" s="2" t="s">
        <v>58</v>
      </c>
    </row>
    <row r="710" ht="15.75" customHeight="1">
      <c r="A710" s="2">
        <v>307029.0</v>
      </c>
      <c r="B710" s="2" t="s">
        <v>1593</v>
      </c>
      <c r="C710" s="2" t="s">
        <v>1989</v>
      </c>
      <c r="D710" s="2" t="s">
        <v>114</v>
      </c>
      <c r="E710" s="2" t="s">
        <v>259</v>
      </c>
      <c r="F710" s="2">
        <v>11.0</v>
      </c>
      <c r="G710" s="2">
        <v>500.0</v>
      </c>
      <c r="H710" s="3" t="str">
        <f>HYPERLINK("http://www.linkedin.com/in/adampeterson","http://www.linkedin.com/in/adampeterson")</f>
        <v>http://www.linkedin.com/in/adampeterson</v>
      </c>
      <c r="I710" s="2" t="s">
        <v>248</v>
      </c>
      <c r="J710" s="2" t="s">
        <v>144</v>
      </c>
      <c r="K710" s="2" t="s">
        <v>29</v>
      </c>
    </row>
    <row r="711" ht="15.75" customHeight="1">
      <c r="A711" s="2">
        <v>307361.0</v>
      </c>
      <c r="B711" s="2" t="s">
        <v>1366</v>
      </c>
      <c r="C711" s="2" t="s">
        <v>1990</v>
      </c>
      <c r="D711" s="2" t="s">
        <v>1991</v>
      </c>
      <c r="E711" s="2" t="s">
        <v>14</v>
      </c>
      <c r="F711" s="2">
        <v>22.0</v>
      </c>
      <c r="G711" s="2">
        <v>500.0</v>
      </c>
      <c r="H711" s="3" t="str">
        <f>HYPERLINK("https://www.linkedin.com/in/peterliu47","https://www.linkedin.com/in/peterliu47")</f>
        <v>https://www.linkedin.com/in/peterliu47</v>
      </c>
      <c r="I711" s="2" t="s">
        <v>105</v>
      </c>
      <c r="J711" s="2" t="s">
        <v>16</v>
      </c>
      <c r="K711" s="2" t="s">
        <v>97</v>
      </c>
    </row>
    <row r="712" ht="15.75" customHeight="1">
      <c r="A712" s="2">
        <v>307711.0</v>
      </c>
      <c r="B712" s="2" t="s">
        <v>1585</v>
      </c>
      <c r="C712" s="2" t="s">
        <v>1992</v>
      </c>
      <c r="D712" s="2" t="s">
        <v>42</v>
      </c>
      <c r="E712" s="2" t="s">
        <v>136</v>
      </c>
      <c r="F712" s="2" t="s">
        <v>13</v>
      </c>
      <c r="G712" s="2">
        <v>209.0</v>
      </c>
      <c r="H712" s="3" t="str">
        <f>HYPERLINK("http://www.linkedin.com/in/thomasrota","http://www.linkedin.com/in/thomasrota")</f>
        <v>http://www.linkedin.com/in/thomasrota</v>
      </c>
      <c r="I712" s="2" t="s">
        <v>119</v>
      </c>
      <c r="J712" s="2" t="s">
        <v>102</v>
      </c>
      <c r="K712" s="2" t="s">
        <v>97</v>
      </c>
    </row>
    <row r="713" ht="15.75" customHeight="1">
      <c r="A713" s="2">
        <v>307725.0</v>
      </c>
      <c r="B713" s="2" t="s">
        <v>1173</v>
      </c>
      <c r="C713" s="2" t="s">
        <v>1993</v>
      </c>
      <c r="D713" s="2" t="s">
        <v>13</v>
      </c>
      <c r="E713" s="2" t="s">
        <v>1994</v>
      </c>
      <c r="F713" s="2">
        <v>0.0</v>
      </c>
      <c r="G713" s="2">
        <v>500.0</v>
      </c>
      <c r="H713" s="3" t="str">
        <f>HYPERLINK("http://www.linkedin.com/in/stevesubar","http://www.linkedin.com/in/stevesubar")</f>
        <v>http://www.linkedin.com/in/stevesubar</v>
      </c>
      <c r="I713" s="2" t="s">
        <v>48</v>
      </c>
      <c r="J713" s="2" t="s">
        <v>102</v>
      </c>
      <c r="K713" s="2" t="s">
        <v>35</v>
      </c>
    </row>
    <row r="714" ht="15.75" customHeight="1">
      <c r="A714" s="2">
        <v>308108.0</v>
      </c>
      <c r="B714" s="2" t="s">
        <v>1995</v>
      </c>
      <c r="C714" s="2" t="s">
        <v>1996</v>
      </c>
      <c r="D714" s="2" t="s">
        <v>13</v>
      </c>
      <c r="E714" s="2" t="s">
        <v>181</v>
      </c>
      <c r="F714" s="2">
        <v>0.0</v>
      </c>
      <c r="G714" s="2">
        <v>500.0</v>
      </c>
      <c r="H714" s="3" t="str">
        <f>HYPERLINK("http://www.linkedin.com/in/hemantnadakuditi","http://www.linkedin.com/in/hemantnadakuditi")</f>
        <v>http://www.linkedin.com/in/hemantnadakuditi</v>
      </c>
      <c r="I714" s="2" t="s">
        <v>279</v>
      </c>
      <c r="J714" s="2" t="s">
        <v>102</v>
      </c>
      <c r="K714" s="2" t="s">
        <v>58</v>
      </c>
    </row>
    <row r="715" ht="15.75" customHeight="1">
      <c r="A715" s="2">
        <v>308303.0</v>
      </c>
      <c r="B715" s="2" t="s">
        <v>839</v>
      </c>
      <c r="C715" s="2" t="s">
        <v>1997</v>
      </c>
      <c r="D715" s="2" t="s">
        <v>1998</v>
      </c>
      <c r="E715" s="2" t="s">
        <v>1999</v>
      </c>
      <c r="F715" s="2" t="s">
        <v>13</v>
      </c>
      <c r="G715" s="2">
        <v>500.0</v>
      </c>
      <c r="H715" s="3" t="str">
        <f>HYPERLINK("http://www.linkedin.com/in/davearcher","http://www.linkedin.com/in/davearcher")</f>
        <v>http://www.linkedin.com/in/davearcher</v>
      </c>
      <c r="I715" s="2" t="s">
        <v>2000</v>
      </c>
      <c r="J715" s="2" t="s">
        <v>102</v>
      </c>
      <c r="K715" s="2" t="s">
        <v>58</v>
      </c>
    </row>
    <row r="716" ht="15.75" customHeight="1">
      <c r="A716" s="2">
        <v>308363.0</v>
      </c>
      <c r="B716" s="2" t="s">
        <v>2001</v>
      </c>
      <c r="C716" s="2" t="s">
        <v>2002</v>
      </c>
      <c r="D716" s="2" t="s">
        <v>13</v>
      </c>
      <c r="E716" s="2" t="s">
        <v>136</v>
      </c>
      <c r="F716" s="2">
        <v>0.0</v>
      </c>
      <c r="G716" s="2">
        <v>500.0</v>
      </c>
      <c r="H716" s="3" t="str">
        <f>HYPERLINK("http://www.linkedin.com/pub/pankaj-mayor/0/145/B5B","http://www.linkedin.com/pub/pankaj-mayor/0/145/B5B")</f>
        <v>http://www.linkedin.com/pub/pankaj-mayor/0/145/B5B</v>
      </c>
      <c r="I716" s="2" t="s">
        <v>48</v>
      </c>
      <c r="J716" s="2" t="s">
        <v>102</v>
      </c>
      <c r="K716" s="2" t="s">
        <v>58</v>
      </c>
    </row>
    <row r="717" ht="15.75" customHeight="1">
      <c r="A717" s="2">
        <v>308463.0</v>
      </c>
      <c r="B717" s="2" t="s">
        <v>2003</v>
      </c>
      <c r="C717" s="2" t="s">
        <v>2004</v>
      </c>
      <c r="D717" s="2" t="s">
        <v>2005</v>
      </c>
      <c r="E717" s="2" t="s">
        <v>604</v>
      </c>
      <c r="F717" s="2">
        <v>5.0</v>
      </c>
      <c r="G717" s="2">
        <v>500.0</v>
      </c>
      <c r="H717" s="3" t="str">
        <f>HYPERLINK("http://www.linkedin.com/in/valerielarson","http://www.linkedin.com/in/valerielarson")</f>
        <v>http://www.linkedin.com/in/valerielarson</v>
      </c>
      <c r="I717" s="2" t="s">
        <v>365</v>
      </c>
      <c r="J717" s="2" t="s">
        <v>16</v>
      </c>
      <c r="K717" s="2" t="s">
        <v>29</v>
      </c>
    </row>
    <row r="718" ht="15.75" customHeight="1">
      <c r="A718" s="2">
        <v>308553.0</v>
      </c>
      <c r="B718" s="2" t="s">
        <v>460</v>
      </c>
      <c r="C718" s="2" t="s">
        <v>2006</v>
      </c>
      <c r="D718" s="2" t="s">
        <v>2007</v>
      </c>
      <c r="E718" s="2" t="s">
        <v>101</v>
      </c>
      <c r="F718" s="2" t="s">
        <v>13</v>
      </c>
      <c r="G718" s="2">
        <v>500.0</v>
      </c>
      <c r="H718" s="3" t="str">
        <f>HYPERLINK("http://www.linkedin.com/pub/john-gilbert/0/39B/B94","http://www.linkedin.com/pub/john-gilbert/0/39B/B94")</f>
        <v>http://www.linkedin.com/pub/john-gilbert/0/39B/B94</v>
      </c>
      <c r="I718" s="2" t="s">
        <v>69</v>
      </c>
      <c r="J718" s="2" t="s">
        <v>102</v>
      </c>
      <c r="K718" s="2" t="s">
        <v>35</v>
      </c>
    </row>
    <row r="719" ht="15.75" customHeight="1">
      <c r="A719" s="2">
        <v>308999.0</v>
      </c>
      <c r="B719" s="2" t="s">
        <v>2008</v>
      </c>
      <c r="C719" s="2" t="s">
        <v>2009</v>
      </c>
      <c r="D719" s="2" t="s">
        <v>2010</v>
      </c>
      <c r="E719" s="2" t="s">
        <v>2011</v>
      </c>
      <c r="F719" s="2">
        <v>8.0</v>
      </c>
      <c r="G719" s="2">
        <v>500.0</v>
      </c>
      <c r="H719" s="3" t="str">
        <f>HYPERLINK("http://www.linkedin.com/in/djwinter","http://www.linkedin.com/in/djwinter")</f>
        <v>http://www.linkedin.com/in/djwinter</v>
      </c>
      <c r="I719" s="2" t="s">
        <v>105</v>
      </c>
      <c r="J719" s="2" t="s">
        <v>16</v>
      </c>
      <c r="K719" s="2" t="s">
        <v>22</v>
      </c>
    </row>
    <row r="720" ht="15.75" customHeight="1">
      <c r="A720" s="2">
        <v>309214.0</v>
      </c>
      <c r="B720" s="2" t="s">
        <v>1969</v>
      </c>
      <c r="C720" s="2" t="s">
        <v>2012</v>
      </c>
      <c r="D720" s="2"/>
      <c r="E720" s="2" t="s">
        <v>2013</v>
      </c>
      <c r="F720" s="2">
        <v>0.0</v>
      </c>
      <c r="G720" s="2">
        <v>407.0</v>
      </c>
      <c r="H720" s="3" t="str">
        <f>HYPERLINK("http://www.linkedin.com/pub/vince-cannon/2/4A7/525","http://www.linkedin.com/pub/vince-cannon/2/4A7/525")</f>
        <v>http://www.linkedin.com/pub/vince-cannon/2/4A7/525</v>
      </c>
      <c r="I720" s="2" t="s">
        <v>1496</v>
      </c>
      <c r="J720" s="2" t="s">
        <v>16</v>
      </c>
      <c r="K720" s="2" t="s">
        <v>522</v>
      </c>
    </row>
    <row r="721" ht="15.75" customHeight="1">
      <c r="A721" s="2">
        <v>310020.0</v>
      </c>
      <c r="B721" s="2" t="s">
        <v>2014</v>
      </c>
      <c r="C721" s="2" t="s">
        <v>2015</v>
      </c>
      <c r="D721" s="2" t="s">
        <v>2016</v>
      </c>
      <c r="E721" s="2" t="s">
        <v>457</v>
      </c>
      <c r="F721" s="2">
        <v>0.0</v>
      </c>
      <c r="G721" s="2">
        <v>500.0</v>
      </c>
      <c r="H721" s="3" t="str">
        <f>HYPERLINK("http://www.linkedin.com/pub/ken-malek/3/619/795","http://www.linkedin.com/pub/ken-malek/3/619/795")</f>
        <v>http://www.linkedin.com/pub/ken-malek/3/619/795</v>
      </c>
      <c r="I721" s="2" t="s">
        <v>96</v>
      </c>
      <c r="J721" s="2" t="s">
        <v>102</v>
      </c>
      <c r="K721" s="2" t="s">
        <v>1408</v>
      </c>
    </row>
    <row r="722" ht="15.75" customHeight="1">
      <c r="A722" s="2">
        <v>310584.0</v>
      </c>
      <c r="B722" s="2" t="s">
        <v>302</v>
      </c>
      <c r="C722" s="2" t="s">
        <v>2017</v>
      </c>
      <c r="D722" s="2" t="s">
        <v>309</v>
      </c>
      <c r="E722" s="2" t="s">
        <v>762</v>
      </c>
      <c r="F722" s="2">
        <v>17.0</v>
      </c>
      <c r="G722" s="2">
        <v>500.0</v>
      </c>
      <c r="H722" s="3" t="str">
        <f>HYPERLINK("http://www.linkedin.com/in/billwiemann","http://www.linkedin.com/in/billwiemann")</f>
        <v>http://www.linkedin.com/in/billwiemann</v>
      </c>
      <c r="I722" s="2" t="s">
        <v>326</v>
      </c>
      <c r="J722" s="2" t="s">
        <v>102</v>
      </c>
      <c r="K722" s="2" t="s">
        <v>58</v>
      </c>
    </row>
    <row r="723" ht="15.75" customHeight="1">
      <c r="A723" s="2">
        <v>311490.0</v>
      </c>
      <c r="B723" s="2" t="s">
        <v>1100</v>
      </c>
      <c r="C723" s="2" t="s">
        <v>2018</v>
      </c>
      <c r="D723" s="2" t="s">
        <v>1145</v>
      </c>
      <c r="E723" s="2" t="s">
        <v>136</v>
      </c>
      <c r="F723" s="2" t="s">
        <v>13</v>
      </c>
      <c r="G723" s="2">
        <v>500.0</v>
      </c>
      <c r="H723" s="3" t="str">
        <f>HYPERLINK("http://www.linkedin.com/pub/ram-jayam/1/445/230","http://www.linkedin.com/pub/ram-jayam/1/445/230")</f>
        <v>http://www.linkedin.com/pub/ram-jayam/1/445/230</v>
      </c>
      <c r="I723" s="2" t="s">
        <v>160</v>
      </c>
      <c r="J723" s="2" t="s">
        <v>102</v>
      </c>
      <c r="K723" s="2" t="s">
        <v>97</v>
      </c>
    </row>
    <row r="724" ht="15.75" customHeight="1">
      <c r="A724" s="2">
        <v>311740.0</v>
      </c>
      <c r="B724" s="2" t="s">
        <v>993</v>
      </c>
      <c r="C724" s="2" t="s">
        <v>2019</v>
      </c>
      <c r="D724" s="2" t="s">
        <v>304</v>
      </c>
      <c r="E724" s="2" t="s">
        <v>1041</v>
      </c>
      <c r="F724" s="2" t="s">
        <v>13</v>
      </c>
      <c r="G724" s="2">
        <v>500.0</v>
      </c>
      <c r="H724" s="3" t="str">
        <f>HYPERLINK("http://www.linkedin.com/in/jonturner","http://www.linkedin.com/in/jonturner")</f>
        <v>http://www.linkedin.com/in/jonturner</v>
      </c>
      <c r="I724" s="2" t="s">
        <v>57</v>
      </c>
      <c r="J724" s="2" t="s">
        <v>102</v>
      </c>
      <c r="K724" s="2" t="s">
        <v>58</v>
      </c>
    </row>
    <row r="725" ht="15.75" customHeight="1">
      <c r="A725" s="2">
        <v>312974.0</v>
      </c>
      <c r="B725" s="2" t="s">
        <v>2020</v>
      </c>
      <c r="C725" s="2" t="s">
        <v>2021</v>
      </c>
      <c r="D725" s="2" t="s">
        <v>1935</v>
      </c>
      <c r="E725" s="2" t="s">
        <v>2022</v>
      </c>
      <c r="F725" s="2">
        <v>0.0</v>
      </c>
      <c r="G725" s="2">
        <v>325.0</v>
      </c>
      <c r="H725" s="3" t="str">
        <f>HYPERLINK("http://www.linkedin.com/pub/monte-bailey/4/695/238","http://www.linkedin.com/pub/monte-bailey/4/695/238")</f>
        <v>http://www.linkedin.com/pub/monte-bailey/4/695/238</v>
      </c>
      <c r="I725" s="2" t="s">
        <v>2023</v>
      </c>
      <c r="J725" s="2" t="s">
        <v>87</v>
      </c>
      <c r="K725" s="2" t="s">
        <v>97</v>
      </c>
    </row>
    <row r="726" ht="15.75" customHeight="1">
      <c r="A726" s="2">
        <v>313015.0</v>
      </c>
      <c r="B726" s="2" t="s">
        <v>2024</v>
      </c>
      <c r="C726" s="2" t="s">
        <v>2025</v>
      </c>
      <c r="D726" s="2" t="s">
        <v>2026</v>
      </c>
      <c r="E726" s="2" t="s">
        <v>136</v>
      </c>
      <c r="F726" s="2">
        <v>2.0</v>
      </c>
      <c r="G726" s="2">
        <v>500.0</v>
      </c>
      <c r="H726" s="3" t="str">
        <f>HYPERLINK("http://www.linkedin.com/pub/conor-mcgann/0/7A/A8B","http://www.linkedin.com/pub/conor-mcgann/0/7A/A8B")</f>
        <v>http://www.linkedin.com/pub/conor-mcgann/0/7A/A8B</v>
      </c>
      <c r="I726" s="2" t="s">
        <v>48</v>
      </c>
      <c r="J726" s="2" t="s">
        <v>102</v>
      </c>
      <c r="K726" s="2" t="s">
        <v>35</v>
      </c>
    </row>
    <row r="727" ht="15.75" customHeight="1">
      <c r="A727" s="2">
        <v>313388.0</v>
      </c>
      <c r="B727" s="2" t="s">
        <v>1919</v>
      </c>
      <c r="C727" s="2" t="s">
        <v>2027</v>
      </c>
      <c r="D727" s="2" t="s">
        <v>304</v>
      </c>
      <c r="E727" s="2" t="s">
        <v>136</v>
      </c>
      <c r="F727" s="2" t="s">
        <v>13</v>
      </c>
      <c r="G727" s="2">
        <v>500.0</v>
      </c>
      <c r="H727" s="3" t="str">
        <f>HYPERLINK("http://www.linkedin.com/pub/larry-dillon/0/46/377","http://www.linkedin.com/pub/larry-dillon/0/46/377")</f>
        <v>http://www.linkedin.com/pub/larry-dillon/0/46/377</v>
      </c>
      <c r="I727" s="2" t="s">
        <v>248</v>
      </c>
      <c r="J727" s="2" t="s">
        <v>102</v>
      </c>
      <c r="K727" s="2" t="s">
        <v>196</v>
      </c>
    </row>
    <row r="728" ht="15.75" customHeight="1">
      <c r="A728" s="2">
        <v>314106.0</v>
      </c>
      <c r="B728" s="2" t="s">
        <v>2028</v>
      </c>
      <c r="C728" s="2" t="s">
        <v>2029</v>
      </c>
      <c r="D728" s="2" t="s">
        <v>2030</v>
      </c>
      <c r="E728" s="2" t="s">
        <v>136</v>
      </c>
      <c r="F728" s="2">
        <v>4.0</v>
      </c>
      <c r="G728" s="2">
        <v>388.0</v>
      </c>
      <c r="H728" s="3" t="str">
        <f>HYPERLINK("http://www.linkedin.com/pub/antoine-e-pirson/0/678/B7B","http://www.linkedin.com/pub/antoine-e-pirson/0/678/B7B")</f>
        <v>http://www.linkedin.com/pub/antoine-e-pirson/0/678/B7B</v>
      </c>
      <c r="I728" s="2" t="s">
        <v>475</v>
      </c>
      <c r="J728" s="2" t="s">
        <v>102</v>
      </c>
      <c r="K728" s="2" t="s">
        <v>2031</v>
      </c>
    </row>
    <row r="729" ht="15.75" customHeight="1">
      <c r="A729" s="2">
        <v>314338.0</v>
      </c>
      <c r="B729" s="2" t="s">
        <v>2032</v>
      </c>
      <c r="C729" s="2" t="s">
        <v>2033</v>
      </c>
      <c r="D729" s="2" t="s">
        <v>2034</v>
      </c>
      <c r="E729" s="2" t="s">
        <v>2035</v>
      </c>
      <c r="F729" s="2">
        <v>6.0</v>
      </c>
      <c r="G729" s="2">
        <v>500.0</v>
      </c>
      <c r="H729" s="3" t="str">
        <f>HYPERLINK("http://www.linkedin.com/pub/prasad-lion-%5D/24/813/A7B","http://www.linkedin.com/pub/prasad-lion-%5D/24/813/A7B")</f>
        <v>http://www.linkedin.com/pub/prasad-lion-%5D/24/813/A7B</v>
      </c>
      <c r="I729" s="2" t="s">
        <v>248</v>
      </c>
      <c r="J729" s="2" t="s">
        <v>273</v>
      </c>
      <c r="K729" s="2" t="s">
        <v>1306</v>
      </c>
    </row>
    <row r="730" ht="15.75" customHeight="1">
      <c r="A730" s="2">
        <v>314349.0</v>
      </c>
      <c r="B730" s="2" t="s">
        <v>2036</v>
      </c>
      <c r="C730" s="2" t="s">
        <v>2037</v>
      </c>
      <c r="D730" s="2" t="s">
        <v>47</v>
      </c>
      <c r="E730" s="2" t="s">
        <v>2038</v>
      </c>
      <c r="F730" s="2" t="s">
        <v>13</v>
      </c>
      <c r="G730" s="2">
        <v>500.0</v>
      </c>
      <c r="H730" s="3" t="str">
        <f>HYPERLINK("http://uk.linkedin.com/in/anitali","http://uk.linkedin.com/in/anitali")</f>
        <v>http://uk.linkedin.com/in/anitali</v>
      </c>
      <c r="I730" s="2" t="s">
        <v>69</v>
      </c>
      <c r="J730" s="2" t="s">
        <v>53</v>
      </c>
      <c r="K730" s="2" t="s">
        <v>35</v>
      </c>
    </row>
    <row r="731" ht="15.75" customHeight="1">
      <c r="A731" s="2">
        <v>314354.0</v>
      </c>
      <c r="B731" s="2" t="s">
        <v>511</v>
      </c>
      <c r="C731" s="2" t="s">
        <v>2039</v>
      </c>
      <c r="D731" s="2" t="s">
        <v>42</v>
      </c>
      <c r="E731" s="2" t="s">
        <v>166</v>
      </c>
      <c r="F731" s="2" t="s">
        <v>13</v>
      </c>
      <c r="G731" s="2">
        <v>120.0</v>
      </c>
      <c r="H731" s="3" t="str">
        <f>HYPERLINK("http://www.linkedin.com/pub/mike-riddle/4/78B/271","http://www.linkedin.com/pub/mike-riddle/4/78B/271")</f>
        <v>http://www.linkedin.com/pub/mike-riddle/4/78B/271</v>
      </c>
      <c r="I731" s="2" t="s">
        <v>48</v>
      </c>
      <c r="J731" s="2" t="s">
        <v>102</v>
      </c>
      <c r="K731" s="2" t="s">
        <v>35</v>
      </c>
    </row>
    <row r="732" ht="15.75" customHeight="1">
      <c r="A732" s="2">
        <v>314775.0</v>
      </c>
      <c r="B732" s="2" t="s">
        <v>2040</v>
      </c>
      <c r="C732" s="2" t="s">
        <v>2041</v>
      </c>
      <c r="D732" s="2" t="s">
        <v>47</v>
      </c>
      <c r="E732" s="2" t="s">
        <v>301</v>
      </c>
      <c r="F732" s="2">
        <v>8.0</v>
      </c>
      <c r="G732" s="2">
        <v>500.0</v>
      </c>
      <c r="H732" s="3" t="str">
        <f>HYPERLINK("http://pt.linkedin.com/in/sofiacostaquintas","http://pt.linkedin.com/in/sofiacostaquintas")</f>
        <v>http://pt.linkedin.com/in/sofiacostaquintas</v>
      </c>
      <c r="I732" s="2" t="s">
        <v>1390</v>
      </c>
      <c r="J732" s="2" t="s">
        <v>102</v>
      </c>
      <c r="K732" s="2" t="s">
        <v>58</v>
      </c>
    </row>
    <row r="733" ht="15.75" customHeight="1">
      <c r="A733" s="2">
        <v>314989.0</v>
      </c>
      <c r="B733" s="2" t="s">
        <v>2042</v>
      </c>
      <c r="C733" s="2" t="s">
        <v>2043</v>
      </c>
      <c r="D733" s="2" t="s">
        <v>13</v>
      </c>
      <c r="E733" s="2" t="s">
        <v>2044</v>
      </c>
      <c r="F733" s="2">
        <v>64.0</v>
      </c>
      <c r="G733" s="2">
        <v>500.0</v>
      </c>
      <c r="H733" s="3" t="str">
        <f>HYPERLINK("http://www.linkedin.com/pub/jonathon-solomons/1/6b0/28a","http://www.linkedin.com/pub/jonathon-solomons/1/6b0/28a")</f>
        <v>http://www.linkedin.com/pub/jonathon-solomons/1/6b0/28a</v>
      </c>
      <c r="I733" s="2" t="s">
        <v>48</v>
      </c>
      <c r="J733" s="2" t="s">
        <v>53</v>
      </c>
      <c r="K733" s="2" t="s">
        <v>35</v>
      </c>
    </row>
    <row r="734" ht="15.75" customHeight="1">
      <c r="A734" s="2">
        <v>315050.0</v>
      </c>
      <c r="B734" s="2" t="s">
        <v>460</v>
      </c>
      <c r="C734" s="2" t="s">
        <v>2045</v>
      </c>
      <c r="D734" s="2" t="s">
        <v>13</v>
      </c>
      <c r="E734" s="2" t="s">
        <v>397</v>
      </c>
      <c r="F734" s="2">
        <v>4.0</v>
      </c>
      <c r="G734" s="2">
        <v>500.0</v>
      </c>
      <c r="H734" s="3" t="str">
        <f>HYPERLINK("http://www.linkedin.com/in/johneaton2012","http://www.linkedin.com/in/johneaton2012")</f>
        <v>http://www.linkedin.com/in/johneaton2012</v>
      </c>
      <c r="I734" s="2" t="s">
        <v>2046</v>
      </c>
      <c r="J734" s="2" t="s">
        <v>102</v>
      </c>
      <c r="K734" s="2" t="s">
        <v>58</v>
      </c>
    </row>
    <row r="735" ht="15.75" customHeight="1">
      <c r="A735" s="2">
        <v>315479.0</v>
      </c>
      <c r="B735" s="2" t="s">
        <v>1167</v>
      </c>
      <c r="C735" s="2" t="s">
        <v>2047</v>
      </c>
      <c r="D735" s="2" t="s">
        <v>2048</v>
      </c>
      <c r="E735" s="2" t="s">
        <v>142</v>
      </c>
      <c r="F735" s="2">
        <v>1.0</v>
      </c>
      <c r="G735" s="2">
        <v>500.0</v>
      </c>
      <c r="H735" s="3" t="str">
        <f>HYPERLINK("http://www.linkedin.com/pub/ben-norton/0/B09/174","http://www.linkedin.com/pub/ben-norton/0/B09/174")</f>
        <v>http://www.linkedin.com/pub/ben-norton/0/B09/174</v>
      </c>
      <c r="I735" s="2" t="s">
        <v>69</v>
      </c>
      <c r="J735" s="2" t="s">
        <v>144</v>
      </c>
      <c r="K735" s="2" t="s">
        <v>196</v>
      </c>
    </row>
    <row r="736" ht="15.75" customHeight="1">
      <c r="A736" s="2">
        <v>315883.0</v>
      </c>
      <c r="B736" s="2" t="s">
        <v>2049</v>
      </c>
      <c r="C736" s="2" t="s">
        <v>2050</v>
      </c>
      <c r="D736" s="2" t="s">
        <v>2051</v>
      </c>
      <c r="E736" s="2" t="s">
        <v>1334</v>
      </c>
      <c r="F736" s="2" t="s">
        <v>13</v>
      </c>
      <c r="G736" s="2">
        <v>75.0</v>
      </c>
      <c r="H736" s="3" t="str">
        <f>HYPERLINK("http://www.linkedin.com/pub/stephanie-cistrunk/2/145/496","http://www.linkedin.com/pub/stephanie-cistrunk/2/145/496")</f>
        <v>http://www.linkedin.com/pub/stephanie-cistrunk/2/145/496</v>
      </c>
      <c r="I736" s="2" t="s">
        <v>599</v>
      </c>
      <c r="J736" s="2" t="s">
        <v>16</v>
      </c>
      <c r="K736" s="2" t="s">
        <v>357</v>
      </c>
    </row>
    <row r="737" ht="15.75" customHeight="1">
      <c r="A737" s="2">
        <v>315913.0</v>
      </c>
      <c r="B737" s="2" t="s">
        <v>2052</v>
      </c>
      <c r="C737" s="2" t="s">
        <v>2053</v>
      </c>
      <c r="D737" s="2" t="s">
        <v>400</v>
      </c>
      <c r="E737" s="2" t="s">
        <v>325</v>
      </c>
      <c r="F737" s="2" t="s">
        <v>13</v>
      </c>
      <c r="G737" s="2">
        <v>290.0</v>
      </c>
      <c r="H737" s="3" t="str">
        <f>HYPERLINK("http://www.linkedin.com/in/chrisfoxgilson","http://www.linkedin.com/in/chrisfoxgilson")</f>
        <v>http://www.linkedin.com/in/chrisfoxgilson</v>
      </c>
      <c r="I737" s="2" t="s">
        <v>1740</v>
      </c>
      <c r="J737" s="2" t="s">
        <v>102</v>
      </c>
      <c r="K737" s="2" t="s">
        <v>58</v>
      </c>
    </row>
    <row r="738" ht="15.75" customHeight="1">
      <c r="A738" s="2">
        <v>316049.0</v>
      </c>
      <c r="B738" s="2" t="s">
        <v>2054</v>
      </c>
      <c r="C738" s="2" t="s">
        <v>2055</v>
      </c>
      <c r="D738" s="2" t="s">
        <v>2056</v>
      </c>
      <c r="E738" s="2" t="s">
        <v>136</v>
      </c>
      <c r="F738" s="2">
        <v>8.0</v>
      </c>
      <c r="G738" s="2">
        <v>500.0</v>
      </c>
      <c r="H738" s="3" t="str">
        <f>HYPERLINK("http://www.linkedin.com/pub/bud-broomhead/0/21/741","http://www.linkedin.com/pub/bud-broomhead/0/21/741")</f>
        <v>http://www.linkedin.com/pub/bud-broomhead/0/21/741</v>
      </c>
      <c r="I738" s="2" t="s">
        <v>15</v>
      </c>
      <c r="J738" s="2" t="s">
        <v>102</v>
      </c>
      <c r="K738" s="2" t="s">
        <v>35</v>
      </c>
    </row>
    <row r="739" ht="15.75" customHeight="1">
      <c r="A739" s="2">
        <v>316087.0</v>
      </c>
      <c r="B739" s="2" t="s">
        <v>845</v>
      </c>
      <c r="C739" s="2" t="s">
        <v>313</v>
      </c>
      <c r="D739" s="2" t="s">
        <v>2057</v>
      </c>
      <c r="E739" s="2" t="s">
        <v>2058</v>
      </c>
      <c r="F739" s="2">
        <v>0.0</v>
      </c>
      <c r="G739" s="2">
        <v>500.0</v>
      </c>
      <c r="H739" s="3" t="str">
        <f>HYPERLINK("http://www.linkedin.com/in/dclee","http://www.linkedin.com/in/dclee")</f>
        <v>http://www.linkedin.com/in/dclee</v>
      </c>
      <c r="I739" s="2" t="s">
        <v>1361</v>
      </c>
      <c r="J739" s="2" t="s">
        <v>102</v>
      </c>
      <c r="K739" s="2" t="s">
        <v>138</v>
      </c>
    </row>
    <row r="740" ht="15.75" customHeight="1">
      <c r="A740" s="2">
        <v>316305.0</v>
      </c>
      <c r="B740" s="2" t="s">
        <v>874</v>
      </c>
      <c r="C740" s="2" t="s">
        <v>2059</v>
      </c>
      <c r="D740" s="2" t="s">
        <v>13</v>
      </c>
      <c r="E740" s="2" t="s">
        <v>136</v>
      </c>
      <c r="F740" s="2">
        <v>0.0</v>
      </c>
      <c r="G740" s="2">
        <v>500.0</v>
      </c>
      <c r="H740" s="3" t="str">
        <f>HYPERLINK("http://www.linkedin.com/pub/timothy-eades/5/177/667","http://www.linkedin.com/pub/timothy-eades/5/177/667")</f>
        <v>http://www.linkedin.com/pub/timothy-eades/5/177/667</v>
      </c>
      <c r="I740" s="2" t="s">
        <v>48</v>
      </c>
      <c r="J740" s="2" t="s">
        <v>102</v>
      </c>
      <c r="K740" s="2" t="s">
        <v>35</v>
      </c>
    </row>
    <row r="741" ht="15.75" customHeight="1">
      <c r="A741" s="2">
        <v>316855.0</v>
      </c>
      <c r="B741" s="2" t="s">
        <v>2060</v>
      </c>
      <c r="C741" s="2" t="s">
        <v>2061</v>
      </c>
      <c r="D741" s="2" t="s">
        <v>42</v>
      </c>
      <c r="E741" s="2" t="s">
        <v>765</v>
      </c>
      <c r="F741" s="2">
        <v>7.0</v>
      </c>
      <c r="G741" s="2">
        <v>500.0</v>
      </c>
      <c r="H741" s="3" t="str">
        <f>HYPERLINK("http://www.linkedin.com/in/russwhite","http://www.linkedin.com/in/russwhite")</f>
        <v>http://www.linkedin.com/in/russwhite</v>
      </c>
      <c r="I741" s="2" t="s">
        <v>48</v>
      </c>
      <c r="J741" s="2" t="s">
        <v>144</v>
      </c>
      <c r="K741" s="2" t="s">
        <v>2062</v>
      </c>
    </row>
    <row r="742" ht="15.75" customHeight="1">
      <c r="A742" s="2">
        <v>317695.0</v>
      </c>
      <c r="B742" s="2" t="s">
        <v>511</v>
      </c>
      <c r="C742" s="2" t="s">
        <v>2063</v>
      </c>
      <c r="D742" s="2" t="s">
        <v>42</v>
      </c>
      <c r="E742" s="2" t="s">
        <v>166</v>
      </c>
      <c r="F742" s="2">
        <v>11.0</v>
      </c>
      <c r="G742" s="2">
        <v>500.0</v>
      </c>
      <c r="H742" s="3" t="str">
        <f>HYPERLINK("http://www.linkedin.com/in/mikehayashiselfdefense","http://www.linkedin.com/in/mikehayashiselfdefense")</f>
        <v>http://www.linkedin.com/in/mikehayashiselfdefense</v>
      </c>
      <c r="I742" s="2" t="s">
        <v>1390</v>
      </c>
      <c r="J742" s="2" t="s">
        <v>102</v>
      </c>
      <c r="K742" s="2" t="s">
        <v>58</v>
      </c>
    </row>
    <row r="743" ht="15.75" customHeight="1">
      <c r="A743" s="2">
        <v>318204.0</v>
      </c>
      <c r="B743" s="2" t="s">
        <v>2064</v>
      </c>
      <c r="C743" s="2" t="s">
        <v>2065</v>
      </c>
      <c r="D743" s="2" t="s">
        <v>2066</v>
      </c>
      <c r="E743" s="2" t="s">
        <v>1561</v>
      </c>
      <c r="F743" s="2" t="s">
        <v>13</v>
      </c>
      <c r="G743" s="2">
        <v>500.0</v>
      </c>
      <c r="H743" s="3" t="str">
        <f>HYPERLINK("http://ca.linkedin.com/in/annemarieeventplanner","http://ca.linkedin.com/in/annemarieeventplanner")</f>
        <v>http://ca.linkedin.com/in/annemarieeventplanner</v>
      </c>
      <c r="I743" s="2" t="s">
        <v>137</v>
      </c>
      <c r="J743" s="2" t="s">
        <v>44</v>
      </c>
      <c r="K743" s="2" t="s">
        <v>138</v>
      </c>
    </row>
    <row r="744" ht="15.75" customHeight="1">
      <c r="A744" s="2">
        <v>318279.0</v>
      </c>
      <c r="B744" s="2" t="s">
        <v>754</v>
      </c>
      <c r="C744" s="2" t="s">
        <v>2067</v>
      </c>
      <c r="D744" s="2" t="s">
        <v>2068</v>
      </c>
      <c r="E744" s="2" t="s">
        <v>2069</v>
      </c>
      <c r="F744" s="2">
        <v>5.0</v>
      </c>
      <c r="G744" s="2">
        <v>192.0</v>
      </c>
      <c r="H744" s="3" t="str">
        <f>HYPERLINK("http://www.linkedin.com/in/grepory","http://www.linkedin.com/in/grepory")</f>
        <v>http://www.linkedin.com/in/grepory</v>
      </c>
      <c r="I744" s="2" t="s">
        <v>225</v>
      </c>
      <c r="J744" s="2" t="s">
        <v>28</v>
      </c>
      <c r="K744" s="2" t="s">
        <v>97</v>
      </c>
    </row>
    <row r="745" ht="15.75" customHeight="1">
      <c r="A745" s="2">
        <v>318758.0</v>
      </c>
      <c r="B745" s="2" t="s">
        <v>2070</v>
      </c>
      <c r="C745" s="2" t="s">
        <v>2071</v>
      </c>
      <c r="D745" s="2" t="s">
        <v>42</v>
      </c>
      <c r="E745" s="2" t="s">
        <v>791</v>
      </c>
      <c r="F745" s="2">
        <v>32.0</v>
      </c>
      <c r="G745" s="2">
        <v>500.0</v>
      </c>
      <c r="H745" s="3" t="str">
        <f>HYPERLINK("http://www.linkedin.com/in/stephanboutboul","http://www.linkedin.com/in/stephanboutboul")</f>
        <v>http://www.linkedin.com/in/stephanboutboul</v>
      </c>
      <c r="I745" s="2" t="s">
        <v>873</v>
      </c>
      <c r="J745" s="2" t="s">
        <v>575</v>
      </c>
      <c r="K745" s="2" t="s">
        <v>766</v>
      </c>
    </row>
    <row r="746" ht="15.75" customHeight="1">
      <c r="A746" s="2">
        <v>319228.0</v>
      </c>
      <c r="B746" s="2" t="s">
        <v>275</v>
      </c>
      <c r="C746" s="2" t="s">
        <v>2072</v>
      </c>
      <c r="D746" s="2" t="s">
        <v>47</v>
      </c>
      <c r="E746" s="2" t="s">
        <v>136</v>
      </c>
      <c r="F746" s="2" t="s">
        <v>13</v>
      </c>
      <c r="G746" s="2">
        <v>500.0</v>
      </c>
      <c r="H746" s="3" t="str">
        <f>HYPERLINK("http://www.linkedin.com/in/marktolliver","http://www.linkedin.com/in/marktolliver")</f>
        <v>http://www.linkedin.com/in/marktolliver</v>
      </c>
      <c r="I746" s="2" t="s">
        <v>48</v>
      </c>
      <c r="J746" s="2" t="s">
        <v>102</v>
      </c>
      <c r="K746" s="2" t="s">
        <v>35</v>
      </c>
    </row>
    <row r="747" ht="15.75" customHeight="1">
      <c r="A747" s="2">
        <v>319347.0</v>
      </c>
      <c r="B747" s="2" t="s">
        <v>285</v>
      </c>
      <c r="C747" s="2" t="s">
        <v>2073</v>
      </c>
      <c r="D747" s="2" t="s">
        <v>114</v>
      </c>
      <c r="E747" s="2" t="s">
        <v>235</v>
      </c>
      <c r="F747" s="2">
        <v>15.0</v>
      </c>
      <c r="G747" s="2">
        <v>500.0</v>
      </c>
      <c r="H747" s="3" t="str">
        <f>HYPERLINK("http://www.linkedin.com/in/opportunitysearch","http://www.linkedin.com/in/opportunitysearch")</f>
        <v>http://www.linkedin.com/in/opportunitysearch</v>
      </c>
      <c r="I747" s="2" t="s">
        <v>458</v>
      </c>
      <c r="J747" s="2" t="s">
        <v>102</v>
      </c>
      <c r="K747" s="2" t="s">
        <v>58</v>
      </c>
    </row>
    <row r="748" ht="15.75" customHeight="1">
      <c r="A748" s="2">
        <v>319457.0</v>
      </c>
      <c r="B748" s="2" t="s">
        <v>2074</v>
      </c>
      <c r="C748" s="2" t="s">
        <v>2075</v>
      </c>
      <c r="D748" s="2" t="s">
        <v>2076</v>
      </c>
      <c r="E748" s="2" t="s">
        <v>429</v>
      </c>
      <c r="F748" s="2">
        <v>0.0</v>
      </c>
      <c r="G748" s="2">
        <v>500.0</v>
      </c>
      <c r="H748" s="3" t="str">
        <f>HYPERLINK("http://www.linkedin.com/pub/yuri-porras/4/BA1/B61","http://www.linkedin.com/pub/yuri-porras/4/BA1/B61")</f>
        <v>http://www.linkedin.com/pub/yuri-porras/4/BA1/B61</v>
      </c>
      <c r="I748" s="2" t="s">
        <v>48</v>
      </c>
      <c r="J748" s="2" t="s">
        <v>430</v>
      </c>
      <c r="K748" s="2" t="s">
        <v>766</v>
      </c>
    </row>
    <row r="749" ht="15.75" customHeight="1">
      <c r="A749" s="2">
        <v>319746.0</v>
      </c>
      <c r="B749" s="2" t="s">
        <v>2077</v>
      </c>
      <c r="C749" s="2" t="s">
        <v>2078</v>
      </c>
      <c r="D749" s="2" t="s">
        <v>2079</v>
      </c>
      <c r="E749" s="2" t="s">
        <v>2080</v>
      </c>
      <c r="F749" s="2">
        <v>26.0</v>
      </c>
      <c r="G749" s="2">
        <v>500.0</v>
      </c>
      <c r="H749" s="3" t="str">
        <f>HYPERLINK("http://www.linkedin.com/in/fineman","http://www.linkedin.com/in/fineman")</f>
        <v>http://www.linkedin.com/in/fineman</v>
      </c>
      <c r="I749" s="2" t="s">
        <v>2081</v>
      </c>
      <c r="J749" s="2" t="s">
        <v>102</v>
      </c>
      <c r="K749" s="2" t="s">
        <v>58</v>
      </c>
    </row>
    <row r="750" ht="15.75" customHeight="1">
      <c r="A750" s="2">
        <v>319852.0</v>
      </c>
      <c r="B750" s="2" t="s">
        <v>362</v>
      </c>
      <c r="C750" s="2" t="s">
        <v>2082</v>
      </c>
      <c r="D750" s="2" t="s">
        <v>2083</v>
      </c>
      <c r="E750" s="2" t="s">
        <v>1334</v>
      </c>
      <c r="F750" s="2">
        <v>0.0</v>
      </c>
      <c r="G750" s="2">
        <v>500.0</v>
      </c>
      <c r="H750" s="3" t="str">
        <f>HYPERLINK("http://www.linkedin.com/pub/javier-carrion/2/263/949","http://www.linkedin.com/pub/javier-carrion/2/263/949")</f>
        <v>http://www.linkedin.com/pub/javier-carrion/2/263/949</v>
      </c>
      <c r="I750" s="2" t="s">
        <v>15</v>
      </c>
      <c r="J750" s="2" t="s">
        <v>16</v>
      </c>
      <c r="K750" s="2" t="s">
        <v>22</v>
      </c>
    </row>
    <row r="751" ht="15.75" customHeight="1">
      <c r="A751" s="2">
        <v>319921.0</v>
      </c>
      <c r="B751" s="2" t="s">
        <v>2084</v>
      </c>
      <c r="C751" s="2" t="s">
        <v>2085</v>
      </c>
      <c r="D751" s="2" t="s">
        <v>2086</v>
      </c>
      <c r="E751" s="2" t="s">
        <v>574</v>
      </c>
      <c r="F751" s="2">
        <v>13.0</v>
      </c>
      <c r="G751" s="2">
        <v>500.0</v>
      </c>
      <c r="H751" s="3" t="str">
        <f>HYPERLINK("http://in.linkedin.com/in/akshayhartalkar","http://in.linkedin.com/in/akshayhartalkar")</f>
        <v>http://in.linkedin.com/in/akshayhartalkar</v>
      </c>
      <c r="I751" s="2" t="s">
        <v>48</v>
      </c>
      <c r="J751" s="2" t="s">
        <v>575</v>
      </c>
      <c r="K751" s="2" t="s">
        <v>22</v>
      </c>
    </row>
    <row r="752" ht="15.75" customHeight="1">
      <c r="A752" s="2">
        <v>320605.0</v>
      </c>
      <c r="B752" s="2" t="s">
        <v>2087</v>
      </c>
      <c r="C752" s="2" t="s">
        <v>2088</v>
      </c>
      <c r="D752" s="2" t="s">
        <v>2089</v>
      </c>
      <c r="E752" s="2" t="s">
        <v>2090</v>
      </c>
      <c r="F752" s="2">
        <v>20.0</v>
      </c>
      <c r="G752" s="2">
        <v>500.0</v>
      </c>
      <c r="H752" s="3" t="str">
        <f>HYPERLINK("http://ca.linkedin.com/in/guiwong","http://ca.linkedin.com/in/guiwong")</f>
        <v>http://ca.linkedin.com/in/guiwong</v>
      </c>
      <c r="I752" s="2" t="s">
        <v>422</v>
      </c>
      <c r="J752" s="2" t="s">
        <v>44</v>
      </c>
      <c r="K752" s="2" t="s">
        <v>1176</v>
      </c>
    </row>
    <row r="753" ht="15.75" customHeight="1">
      <c r="A753" s="2">
        <v>321002.0</v>
      </c>
      <c r="B753" s="2" t="s">
        <v>845</v>
      </c>
      <c r="C753" s="2" t="s">
        <v>2091</v>
      </c>
      <c r="D753" s="2" t="s">
        <v>304</v>
      </c>
      <c r="E753" s="2" t="s">
        <v>122</v>
      </c>
      <c r="F753" s="2" t="s">
        <v>13</v>
      </c>
      <c r="G753" s="2">
        <v>500.0</v>
      </c>
      <c r="H753" s="3" t="str">
        <f>HYPERLINK("http://uk.linkedin.com/pub/david-large/2/556/96B","http://uk.linkedin.com/pub/david-large/2/556/96B")</f>
        <v>http://uk.linkedin.com/pub/david-large/2/556/96B</v>
      </c>
      <c r="I753" s="2" t="s">
        <v>48</v>
      </c>
      <c r="J753" s="2" t="s">
        <v>53</v>
      </c>
      <c r="K753" s="2" t="s">
        <v>35</v>
      </c>
    </row>
    <row r="754" ht="15.75" customHeight="1">
      <c r="A754" s="2">
        <v>321033.0</v>
      </c>
      <c r="B754" s="2" t="s">
        <v>721</v>
      </c>
      <c r="C754" s="2" t="s">
        <v>2092</v>
      </c>
      <c r="D754" s="2" t="s">
        <v>304</v>
      </c>
      <c r="E754" s="2" t="s">
        <v>1866</v>
      </c>
      <c r="F754" s="2" t="s">
        <v>13</v>
      </c>
      <c r="G754" s="2">
        <v>359.0</v>
      </c>
      <c r="H754" s="3" t="str">
        <f>HYPERLINK("http://www.linkedin.com/pub/andrew-levy/0/58B/930","http://www.linkedin.com/pub/andrew-levy/0/58B/930")</f>
        <v>http://www.linkedin.com/pub/andrew-levy/0/58B/930</v>
      </c>
      <c r="I754" s="2" t="s">
        <v>621</v>
      </c>
      <c r="J754" s="2" t="s">
        <v>1867</v>
      </c>
      <c r="K754" s="2" t="s">
        <v>357</v>
      </c>
    </row>
    <row r="755" ht="15.75" customHeight="1">
      <c r="A755" s="2">
        <v>321236.0</v>
      </c>
      <c r="B755" s="2" t="s">
        <v>1377</v>
      </c>
      <c r="C755" s="2" t="s">
        <v>1789</v>
      </c>
      <c r="D755" s="2" t="s">
        <v>2093</v>
      </c>
      <c r="E755" s="2" t="s">
        <v>101</v>
      </c>
      <c r="F755" s="2">
        <v>3.0</v>
      </c>
      <c r="G755" s="2">
        <v>500.0</v>
      </c>
      <c r="H755" s="3" t="str">
        <f>HYPERLINK("http://www.linkedin.com/pub/marty-wilson/0/5A7/B24","http://www.linkedin.com/pub/marty-wilson/0/5A7/B24")</f>
        <v>http://www.linkedin.com/pub/marty-wilson/0/5A7/B24</v>
      </c>
      <c r="I755" s="2" t="s">
        <v>77</v>
      </c>
      <c r="J755" s="2" t="s">
        <v>102</v>
      </c>
      <c r="K755" s="2" t="s">
        <v>97</v>
      </c>
    </row>
    <row r="756" ht="15.75" customHeight="1">
      <c r="A756" s="2">
        <v>321305.0</v>
      </c>
      <c r="B756" s="2" t="s">
        <v>2094</v>
      </c>
      <c r="C756" s="2" t="s">
        <v>2095</v>
      </c>
      <c r="D756" s="2" t="s">
        <v>2096</v>
      </c>
      <c r="E756" s="2" t="s">
        <v>2097</v>
      </c>
      <c r="F756" s="2">
        <v>1.0</v>
      </c>
      <c r="G756" s="2">
        <v>500.0</v>
      </c>
      <c r="H756" s="3" t="str">
        <f>HYPERLINK("http://www.linkedin.com/in/claytonreidmmgworldwide","http://www.linkedin.com/in/claytonreidmmgworldwide")</f>
        <v>http://www.linkedin.com/in/claytonreidmmgworldwide</v>
      </c>
      <c r="I756" s="2" t="s">
        <v>1421</v>
      </c>
      <c r="J756" s="2" t="s">
        <v>102</v>
      </c>
      <c r="K756" s="2" t="s">
        <v>97</v>
      </c>
    </row>
    <row r="757" ht="15.75" customHeight="1">
      <c r="A757" s="2">
        <v>321942.0</v>
      </c>
      <c r="B757" s="2" t="s">
        <v>1096</v>
      </c>
      <c r="C757" s="2" t="s">
        <v>2098</v>
      </c>
      <c r="D757" s="2" t="s">
        <v>114</v>
      </c>
      <c r="E757" s="2" t="s">
        <v>235</v>
      </c>
      <c r="F757" s="2">
        <v>2.0</v>
      </c>
      <c r="G757" s="2">
        <v>500.0</v>
      </c>
      <c r="H757" s="3" t="str">
        <f>HYPERLINK("http://www.linkedin.com/pub/tony-bucciero-jdusa%5D/0/61A/763","http://www.linkedin.com/pub/tony-bucciero-jdusa%5D/0/61A/763")</f>
        <v>http://www.linkedin.com/pub/tony-bucciero-jdusa%5D/0/61A/763</v>
      </c>
      <c r="I757" s="2" t="s">
        <v>77</v>
      </c>
      <c r="J757" s="2" t="s">
        <v>102</v>
      </c>
      <c r="K757" s="2" t="s">
        <v>97</v>
      </c>
    </row>
    <row r="758" ht="15.75" customHeight="1">
      <c r="A758" s="2">
        <v>322281.0</v>
      </c>
      <c r="B758" s="2" t="s">
        <v>2099</v>
      </c>
      <c r="C758" s="2" t="s">
        <v>2100</v>
      </c>
      <c r="D758" s="2" t="s">
        <v>42</v>
      </c>
      <c r="E758" s="2" t="s">
        <v>101</v>
      </c>
      <c r="F758" s="2">
        <v>3.0</v>
      </c>
      <c r="G758" s="2">
        <v>499.0</v>
      </c>
      <c r="H758" s="3" t="str">
        <f>HYPERLINK("http://www.linkedin.com/in/charlesbennettcpa","http://www.linkedin.com/in/charlesbennettcpa")</f>
        <v>http://www.linkedin.com/in/charlesbennettcpa</v>
      </c>
      <c r="I758" s="2" t="s">
        <v>57</v>
      </c>
      <c r="J758" s="2" t="s">
        <v>102</v>
      </c>
      <c r="K758" s="2" t="s">
        <v>58</v>
      </c>
    </row>
    <row r="759" ht="15.75" customHeight="1">
      <c r="A759" s="2">
        <v>322853.0</v>
      </c>
      <c r="B759" s="2" t="s">
        <v>2101</v>
      </c>
      <c r="C759" s="2" t="s">
        <v>2102</v>
      </c>
      <c r="D759" s="2" t="s">
        <v>2103</v>
      </c>
      <c r="E759" s="2" t="s">
        <v>574</v>
      </c>
      <c r="F759" s="2">
        <v>2.0</v>
      </c>
      <c r="G759" s="2">
        <v>500.0</v>
      </c>
      <c r="H759" s="3" t="str">
        <f>HYPERLINK("http://www.linkedin.com/pub/sanjeev-malhotra/1/8A0/625","http://www.linkedin.com/pub/sanjeev-malhotra/1/8A0/625")</f>
        <v>http://www.linkedin.com/pub/sanjeev-malhotra/1/8A0/625</v>
      </c>
      <c r="I759" s="2" t="s">
        <v>48</v>
      </c>
      <c r="J759" s="2" t="s">
        <v>575</v>
      </c>
      <c r="K759" s="2" t="s">
        <v>22</v>
      </c>
    </row>
    <row r="760" ht="15.75" customHeight="1">
      <c r="A760" s="2">
        <v>322975.0</v>
      </c>
      <c r="B760" s="2" t="s">
        <v>2104</v>
      </c>
      <c r="C760" s="2" t="s">
        <v>2105</v>
      </c>
      <c r="D760" s="2" t="s">
        <v>108</v>
      </c>
      <c r="E760" s="2" t="s">
        <v>136</v>
      </c>
      <c r="F760" s="2" t="s">
        <v>13</v>
      </c>
      <c r="G760" s="2">
        <v>341.0</v>
      </c>
      <c r="H760" s="3" t="str">
        <f>HYPERLINK("http://www.linkedin.com/pub/burak-gokturk/2/379/898","http://www.linkedin.com/pub/burak-gokturk/2/379/898")</f>
        <v>http://www.linkedin.com/pub/burak-gokturk/2/379/898</v>
      </c>
      <c r="I760" s="2" t="s">
        <v>69</v>
      </c>
      <c r="J760" s="2" t="s">
        <v>102</v>
      </c>
      <c r="K760" s="2" t="s">
        <v>35</v>
      </c>
    </row>
    <row r="761" ht="15.75" customHeight="1">
      <c r="A761" s="2">
        <v>323895.0</v>
      </c>
      <c r="B761" s="2" t="s">
        <v>133</v>
      </c>
      <c r="C761" s="2" t="s">
        <v>2106</v>
      </c>
      <c r="D761" s="2" t="s">
        <v>1196</v>
      </c>
      <c r="E761" s="2" t="s">
        <v>882</v>
      </c>
      <c r="F761" s="2" t="s">
        <v>13</v>
      </c>
      <c r="G761" s="2">
        <v>500.0</v>
      </c>
      <c r="H761" s="3" t="str">
        <f>HYPERLINK("http://www.linkedin.com/pub/michael-facchinei/10/538/395","http://www.linkedin.com/pub/michael-facchinei/10/538/395")</f>
        <v>http://www.linkedin.com/pub/michael-facchinei/10/538/395</v>
      </c>
      <c r="I761" s="2" t="s">
        <v>48</v>
      </c>
      <c r="J761" s="2" t="s">
        <v>102</v>
      </c>
      <c r="K761" s="2" t="s">
        <v>35</v>
      </c>
    </row>
    <row r="762" ht="15.75" customHeight="1">
      <c r="A762" s="2">
        <v>324213.0</v>
      </c>
      <c r="B762" s="2" t="s">
        <v>1523</v>
      </c>
      <c r="C762" s="2" t="s">
        <v>2107</v>
      </c>
      <c r="D762" s="2" t="s">
        <v>2108</v>
      </c>
      <c r="E762" s="2" t="s">
        <v>122</v>
      </c>
      <c r="F762" s="2" t="s">
        <v>13</v>
      </c>
      <c r="G762" s="2">
        <v>500.0</v>
      </c>
      <c r="H762" s="3" t="str">
        <f>HYPERLINK("http://uk.linkedin.com/pub/phil-peters/0/B0B/998","http://uk.linkedin.com/pub/phil-peters/0/B0B/998")</f>
        <v>http://uk.linkedin.com/pub/phil-peters/0/B0B/998</v>
      </c>
      <c r="I762" s="2" t="s">
        <v>69</v>
      </c>
      <c r="J762" s="2" t="s">
        <v>53</v>
      </c>
      <c r="K762" s="2" t="s">
        <v>35</v>
      </c>
    </row>
    <row r="763" ht="15.75" customHeight="1">
      <c r="A763" s="2">
        <v>324239.0</v>
      </c>
      <c r="B763" s="2" t="s">
        <v>2109</v>
      </c>
      <c r="C763" s="2" t="s">
        <v>2110</v>
      </c>
      <c r="D763" s="2" t="s">
        <v>42</v>
      </c>
      <c r="E763" s="2" t="s">
        <v>136</v>
      </c>
      <c r="F763" s="2" t="s">
        <v>13</v>
      </c>
      <c r="G763" s="2">
        <v>500.0</v>
      </c>
      <c r="H763" s="3" t="str">
        <f>HYPERLINK("http://www.linkedin.com/pub/rob-gorlin/2/72B/665","http://www.linkedin.com/pub/rob-gorlin/2/72B/665")</f>
        <v>http://www.linkedin.com/pub/rob-gorlin/2/72B/665</v>
      </c>
      <c r="I763" s="2" t="s">
        <v>182</v>
      </c>
      <c r="J763" s="2" t="s">
        <v>102</v>
      </c>
      <c r="K763" s="2" t="s">
        <v>138</v>
      </c>
    </row>
    <row r="764" ht="15.75" customHeight="1">
      <c r="A764" s="2">
        <v>325553.0</v>
      </c>
      <c r="B764" s="2" t="s">
        <v>592</v>
      </c>
      <c r="C764" s="2" t="s">
        <v>2111</v>
      </c>
      <c r="D764" s="2" t="s">
        <v>13</v>
      </c>
      <c r="E764" s="2" t="s">
        <v>1630</v>
      </c>
      <c r="F764" s="2">
        <v>1.0</v>
      </c>
      <c r="G764" s="2">
        <v>500.0</v>
      </c>
      <c r="H764" s="3" t="str">
        <f>HYPERLINK("http://www.linkedin.com/in/barryjinks","http://www.linkedin.com/in/barryjinks")</f>
        <v>http://www.linkedin.com/in/barryjinks</v>
      </c>
      <c r="I764" s="2" t="s">
        <v>48</v>
      </c>
      <c r="J764" s="2" t="s">
        <v>44</v>
      </c>
      <c r="K764" s="2" t="s">
        <v>35</v>
      </c>
    </row>
    <row r="765" ht="15.75" customHeight="1">
      <c r="A765" s="2">
        <v>325699.0</v>
      </c>
      <c r="B765" s="2" t="s">
        <v>2101</v>
      </c>
      <c r="C765" s="2" t="s">
        <v>2112</v>
      </c>
      <c r="D765" s="2" t="s">
        <v>1320</v>
      </c>
      <c r="E765" s="2" t="s">
        <v>136</v>
      </c>
      <c r="F765" s="2" t="s">
        <v>13</v>
      </c>
      <c r="G765" s="2">
        <v>500.0</v>
      </c>
      <c r="H765" s="3" t="str">
        <f>HYPERLINK("http://www.linkedin.com/pub/sanjeev-chawla/1/AA7/99","http://www.linkedin.com/pub/sanjeev-chawla/1/AA7/99")</f>
        <v>http://www.linkedin.com/pub/sanjeev-chawla/1/AA7/99</v>
      </c>
      <c r="I765" s="2" t="s">
        <v>77</v>
      </c>
      <c r="J765" s="2" t="s">
        <v>102</v>
      </c>
      <c r="K765" s="2" t="s">
        <v>97</v>
      </c>
    </row>
    <row r="766" ht="15.75" customHeight="1">
      <c r="A766" s="2">
        <v>325820.0</v>
      </c>
      <c r="B766" s="2" t="s">
        <v>2113</v>
      </c>
      <c r="C766" s="2" t="s">
        <v>2114</v>
      </c>
      <c r="D766" s="2" t="s">
        <v>2115</v>
      </c>
      <c r="E766" s="2" t="s">
        <v>728</v>
      </c>
      <c r="F766" s="2">
        <v>7.0</v>
      </c>
      <c r="G766" s="2">
        <v>500.0</v>
      </c>
      <c r="H766" s="3" t="str">
        <f>HYPERLINK("http://www.linkedin.com/in/sjsteinbeck","http://www.linkedin.com/in/sjsteinbeck")</f>
        <v>http://www.linkedin.com/in/sjsteinbeck</v>
      </c>
      <c r="I766" s="2" t="s">
        <v>306</v>
      </c>
      <c r="J766" s="2" t="s">
        <v>102</v>
      </c>
      <c r="K766" s="2" t="s">
        <v>2116</v>
      </c>
    </row>
    <row r="767" ht="15.75" customHeight="1">
      <c r="A767" s="2">
        <v>325830.0</v>
      </c>
      <c r="B767" s="2" t="s">
        <v>2117</v>
      </c>
      <c r="C767" s="2" t="s">
        <v>2118</v>
      </c>
      <c r="D767" s="2" t="s">
        <v>2119</v>
      </c>
      <c r="E767" s="2" t="s">
        <v>450</v>
      </c>
      <c r="F767" s="2">
        <v>0.0</v>
      </c>
      <c r="G767" s="2">
        <v>71.0</v>
      </c>
      <c r="H767" s="3" t="str">
        <f>HYPERLINK("http://www.linkedin.com/pub/cheryl-baldwin/6/9BA/452","http://www.linkedin.com/pub/cheryl-baldwin/6/9BA/452")</f>
        <v>http://www.linkedin.com/pub/cheryl-baldwin/6/9BA/452</v>
      </c>
      <c r="I767" s="2" t="s">
        <v>1094</v>
      </c>
      <c r="J767" s="2" t="s">
        <v>273</v>
      </c>
      <c r="K767" s="2" t="s">
        <v>29</v>
      </c>
    </row>
    <row r="768" ht="15.75" customHeight="1">
      <c r="A768" s="2">
        <v>326518.0</v>
      </c>
      <c r="B768" s="2" t="s">
        <v>2120</v>
      </c>
      <c r="C768" s="2" t="s">
        <v>2121</v>
      </c>
      <c r="D768" s="2" t="s">
        <v>2122</v>
      </c>
      <c r="E768" s="2" t="s">
        <v>871</v>
      </c>
      <c r="F768" s="2">
        <v>6.0</v>
      </c>
      <c r="G768" s="2">
        <v>394.0</v>
      </c>
      <c r="H768" s="3" t="str">
        <f>HYPERLINK("http://www.linkedin.com/in/gautamgoswami","http://www.linkedin.com/in/gautamgoswami")</f>
        <v>http://www.linkedin.com/in/gautamgoswami</v>
      </c>
      <c r="I768" s="2" t="s">
        <v>48</v>
      </c>
      <c r="J768" s="2" t="s">
        <v>102</v>
      </c>
      <c r="K768" s="2" t="s">
        <v>35</v>
      </c>
    </row>
    <row r="769" ht="15.75" customHeight="1">
      <c r="A769" s="2">
        <v>326551.0</v>
      </c>
      <c r="B769" s="2" t="s">
        <v>1068</v>
      </c>
      <c r="C769" s="3" t="str">
        <f>HYPERLINK("http://jerrysbellsoftinc.com","jerrysbellsoftinc.com")</f>
        <v>jerrysbellsoftinc.com</v>
      </c>
      <c r="D769" s="2" t="s">
        <v>2123</v>
      </c>
      <c r="E769" s="2" t="s">
        <v>1334</v>
      </c>
      <c r="F769" s="2">
        <v>0.0</v>
      </c>
      <c r="G769" s="2">
        <v>500.0</v>
      </c>
      <c r="H769" s="3" t="str">
        <f>HYPERLINK("http://www.linkedin.com/in/jerrysbellsoft","http://www.linkedin.com/in/jerrysbellsoft")</f>
        <v>http://www.linkedin.com/in/jerrysbellsoft</v>
      </c>
      <c r="I769" s="2" t="s">
        <v>15</v>
      </c>
      <c r="J769" s="2" t="s">
        <v>16</v>
      </c>
      <c r="K769" s="2" t="s">
        <v>1306</v>
      </c>
    </row>
    <row r="770" ht="15.75" customHeight="1">
      <c r="A770" s="2">
        <v>326914.0</v>
      </c>
      <c r="B770" s="2" t="s">
        <v>2124</v>
      </c>
      <c r="C770" s="2" t="s">
        <v>2125</v>
      </c>
      <c r="D770" s="2" t="s">
        <v>13</v>
      </c>
      <c r="E770" s="2" t="s">
        <v>181</v>
      </c>
      <c r="F770" s="2">
        <v>0.0</v>
      </c>
      <c r="G770" s="2">
        <v>500.0</v>
      </c>
      <c r="H770" s="3" t="str">
        <f>HYPERLINK("http://www.linkedin.com/in/jchenard","http://www.linkedin.com/in/jchenard")</f>
        <v>http://www.linkedin.com/in/jchenard</v>
      </c>
      <c r="I770" s="2" t="s">
        <v>69</v>
      </c>
      <c r="J770" s="2" t="s">
        <v>102</v>
      </c>
      <c r="K770" s="2" t="s">
        <v>35</v>
      </c>
    </row>
    <row r="771" ht="15.75" customHeight="1">
      <c r="A771" s="2">
        <v>326967.0</v>
      </c>
      <c r="B771" s="2" t="s">
        <v>2126</v>
      </c>
      <c r="C771" s="2" t="s">
        <v>2127</v>
      </c>
      <c r="D771" s="2" t="s">
        <v>2128</v>
      </c>
      <c r="E771" s="2" t="s">
        <v>64</v>
      </c>
      <c r="F771" s="2" t="s">
        <v>13</v>
      </c>
      <c r="G771" s="2">
        <v>500.0</v>
      </c>
      <c r="H771" s="3" t="str">
        <f>HYPERLINK("http://fr.linkedin.com/pub/loic-fleury/0/6A/A53","http://fr.linkedin.com/pub/loic-fleury/0/6A/A53")</f>
        <v>http://fr.linkedin.com/pub/loic-fleury/0/6A/A53</v>
      </c>
      <c r="I771" s="2" t="s">
        <v>326</v>
      </c>
      <c r="J771" s="2" t="s">
        <v>65</v>
      </c>
      <c r="K771" s="2" t="s">
        <v>58</v>
      </c>
    </row>
    <row r="772" ht="15.75" customHeight="1">
      <c r="A772" s="2">
        <v>327092.0</v>
      </c>
      <c r="B772" s="2" t="s">
        <v>2129</v>
      </c>
      <c r="C772" s="2" t="s">
        <v>2130</v>
      </c>
      <c r="D772" s="2" t="s">
        <v>2131</v>
      </c>
      <c r="E772" s="2" t="s">
        <v>136</v>
      </c>
      <c r="F772" s="2">
        <v>2.0</v>
      </c>
      <c r="G772" s="2">
        <v>500.0</v>
      </c>
      <c r="H772" s="3" t="str">
        <f>HYPERLINK("http://www.linkedin.com/pub/anurag-khemka/0/111/A93","http://www.linkedin.com/pub/anurag-khemka/0/111/A93")</f>
        <v>http://www.linkedin.com/pub/anurag-khemka/0/111/A93</v>
      </c>
      <c r="I772" s="2" t="s">
        <v>105</v>
      </c>
      <c r="J772" s="2" t="s">
        <v>102</v>
      </c>
      <c r="K772" s="2" t="s">
        <v>58</v>
      </c>
    </row>
    <row r="773" ht="15.75" customHeight="1">
      <c r="A773" s="2">
        <v>327152.0</v>
      </c>
      <c r="B773" s="2" t="s">
        <v>1173</v>
      </c>
      <c r="C773" s="2" t="s">
        <v>2132</v>
      </c>
      <c r="D773" s="2" t="s">
        <v>2133</v>
      </c>
      <c r="E773" s="2" t="s">
        <v>101</v>
      </c>
      <c r="F773" s="2">
        <v>16.0</v>
      </c>
      <c r="G773" s="2">
        <v>500.0</v>
      </c>
      <c r="H773" s="3" t="str">
        <f>HYPERLINK("http://www.linkedin.com/in/stevemaul","http://www.linkedin.com/in/stevemaul")</f>
        <v>http://www.linkedin.com/in/stevemaul</v>
      </c>
      <c r="I773" s="2" t="s">
        <v>1390</v>
      </c>
      <c r="J773" s="2" t="s">
        <v>102</v>
      </c>
      <c r="K773" s="2" t="s">
        <v>58</v>
      </c>
    </row>
    <row r="774" ht="15.75" customHeight="1">
      <c r="A774" s="2">
        <v>327279.0</v>
      </c>
      <c r="B774" s="2" t="s">
        <v>2134</v>
      </c>
      <c r="C774" s="2" t="s">
        <v>2135</v>
      </c>
      <c r="D774" s="2" t="s">
        <v>2136</v>
      </c>
      <c r="E774" s="2" t="s">
        <v>301</v>
      </c>
      <c r="F774" s="2">
        <v>8.0</v>
      </c>
      <c r="G774" s="2">
        <v>500.0</v>
      </c>
      <c r="H774" s="3" t="str">
        <f>HYPERLINK("http://www.linkedin.com/pub/ginny-gutierrez/0/105/20","http://www.linkedin.com/pub/ginny-gutierrez/0/105/20")</f>
        <v>http://www.linkedin.com/pub/ginny-gutierrez/0/105/20</v>
      </c>
      <c r="I774" s="2" t="s">
        <v>57</v>
      </c>
      <c r="J774" s="2" t="s">
        <v>102</v>
      </c>
      <c r="K774" s="2" t="s">
        <v>29</v>
      </c>
    </row>
    <row r="775" ht="15.75" customHeight="1">
      <c r="A775" s="2">
        <v>327307.0</v>
      </c>
      <c r="B775" s="2" t="s">
        <v>412</v>
      </c>
      <c r="C775" s="2" t="s">
        <v>2137</v>
      </c>
      <c r="D775" s="2" t="s">
        <v>2138</v>
      </c>
      <c r="E775" s="2" t="s">
        <v>136</v>
      </c>
      <c r="F775" s="2" t="s">
        <v>13</v>
      </c>
      <c r="G775" s="2">
        <v>500.0</v>
      </c>
      <c r="H775" s="3" t="str">
        <f>HYPERLINK("http://www.linkedin.com/pub/robert-kranson/0/55/363","http://www.linkedin.com/pub/robert-kranson/0/55/363")</f>
        <v>http://www.linkedin.com/pub/robert-kranson/0/55/363</v>
      </c>
      <c r="I775" s="2" t="s">
        <v>15</v>
      </c>
      <c r="J775" s="2" t="s">
        <v>102</v>
      </c>
      <c r="K775" s="2" t="s">
        <v>35</v>
      </c>
    </row>
    <row r="776" ht="15.75" customHeight="1">
      <c r="A776" s="2">
        <v>327368.0</v>
      </c>
      <c r="B776" s="2" t="s">
        <v>2139</v>
      </c>
      <c r="C776" s="2" t="s">
        <v>2140</v>
      </c>
      <c r="D776" s="2" t="s">
        <v>114</v>
      </c>
      <c r="E776" s="2" t="s">
        <v>136</v>
      </c>
      <c r="F776" s="2">
        <v>7.0</v>
      </c>
      <c r="G776" s="2">
        <v>500.0</v>
      </c>
      <c r="H776" s="3" t="str">
        <f>HYPERLINK("http://www.linkedin.com/pub/niti-agrawal/0/21/234","http://www.linkedin.com/pub/niti-agrawal/0/21/234")</f>
        <v>http://www.linkedin.com/pub/niti-agrawal/0/21/234</v>
      </c>
      <c r="I776" s="2" t="s">
        <v>57</v>
      </c>
      <c r="J776" s="2" t="s">
        <v>102</v>
      </c>
      <c r="K776" s="2" t="s">
        <v>58</v>
      </c>
    </row>
    <row r="777" ht="15.75" customHeight="1">
      <c r="A777" s="2">
        <v>327450.0</v>
      </c>
      <c r="B777" s="2" t="s">
        <v>2141</v>
      </c>
      <c r="C777" s="2" t="s">
        <v>2142</v>
      </c>
      <c r="D777" s="2" t="s">
        <v>114</v>
      </c>
      <c r="E777" s="2" t="s">
        <v>136</v>
      </c>
      <c r="F777" s="2">
        <v>3.0</v>
      </c>
      <c r="G777" s="2">
        <v>462.0</v>
      </c>
      <c r="H777" s="3" t="str">
        <f>HYPERLINK("http://www.linkedin.com/pub/niranjan-rajaratnam/0/220/B10","http://www.linkedin.com/pub/niranjan-rajaratnam/0/220/B10")</f>
        <v>http://www.linkedin.com/pub/niranjan-rajaratnam/0/220/B10</v>
      </c>
      <c r="I777" s="2" t="s">
        <v>1237</v>
      </c>
      <c r="J777" s="2" t="s">
        <v>102</v>
      </c>
      <c r="K777" s="2" t="s">
        <v>29</v>
      </c>
    </row>
    <row r="778" ht="15.75" customHeight="1">
      <c r="A778" s="2">
        <v>327500.0</v>
      </c>
      <c r="B778" s="2" t="s">
        <v>275</v>
      </c>
      <c r="C778" s="2" t="s">
        <v>2143</v>
      </c>
      <c r="D778" s="2" t="s">
        <v>2144</v>
      </c>
      <c r="E778" s="2" t="s">
        <v>101</v>
      </c>
      <c r="F778" s="2" t="s">
        <v>13</v>
      </c>
      <c r="G778" s="2">
        <v>500.0</v>
      </c>
      <c r="H778" s="3" t="str">
        <f>HYPERLINK("http://www.linkedin.com/pub/mark-haas/20/A35/9A1","http://www.linkedin.com/pub/mark-haas/20/A35/9A1")</f>
        <v>http://www.linkedin.com/pub/mark-haas/20/A35/9A1</v>
      </c>
      <c r="I778" s="2" t="s">
        <v>248</v>
      </c>
      <c r="J778" s="2" t="s">
        <v>102</v>
      </c>
      <c r="K778" s="2" t="s">
        <v>196</v>
      </c>
    </row>
    <row r="779" ht="15.75" customHeight="1">
      <c r="A779" s="2">
        <v>327761.0</v>
      </c>
      <c r="B779" s="2" t="s">
        <v>2145</v>
      </c>
      <c r="C779" s="2" t="s">
        <v>2146</v>
      </c>
      <c r="D779" s="2" t="s">
        <v>13</v>
      </c>
      <c r="E779" s="2" t="s">
        <v>2147</v>
      </c>
      <c r="F779" s="2">
        <v>0.0</v>
      </c>
      <c r="G779" s="2">
        <v>500.0</v>
      </c>
      <c r="H779" s="3" t="str">
        <f>HYPERLINK("https://www.linkedin.com/in/adrienneann","https://www.linkedin.com/in/adrienneann")</f>
        <v>https://www.linkedin.com/in/adrienneann</v>
      </c>
      <c r="I779" s="2" t="s">
        <v>440</v>
      </c>
      <c r="J779" s="2" t="s">
        <v>102</v>
      </c>
      <c r="K779" s="2" t="s">
        <v>35</v>
      </c>
    </row>
    <row r="780" ht="15.75" customHeight="1">
      <c r="A780" s="2">
        <v>327861.0</v>
      </c>
      <c r="B780" s="2" t="s">
        <v>157</v>
      </c>
      <c r="C780" s="2" t="s">
        <v>2148</v>
      </c>
      <c r="D780" s="2" t="s">
        <v>47</v>
      </c>
      <c r="E780" s="2" t="s">
        <v>2149</v>
      </c>
      <c r="F780" s="2" t="s">
        <v>13</v>
      </c>
      <c r="G780" s="2">
        <v>500.0</v>
      </c>
      <c r="H780" s="3" t="str">
        <f>HYPERLINK("http://uk.linkedin.com/pub/jonathan-nelson/0/53/552","http://uk.linkedin.com/pub/jonathan-nelson/0/53/552")</f>
        <v>http://uk.linkedin.com/pub/jonathan-nelson/0/53/552</v>
      </c>
      <c r="I780" s="2" t="s">
        <v>15</v>
      </c>
      <c r="J780" s="2" t="s">
        <v>53</v>
      </c>
      <c r="K780" s="2" t="s">
        <v>35</v>
      </c>
    </row>
    <row r="781" ht="15.75" customHeight="1">
      <c r="A781" s="2">
        <v>328084.0</v>
      </c>
      <c r="B781" s="2" t="s">
        <v>348</v>
      </c>
      <c r="C781" s="2" t="s">
        <v>2150</v>
      </c>
      <c r="D781" s="2"/>
      <c r="E781" s="2" t="s">
        <v>278</v>
      </c>
      <c r="F781" s="2">
        <v>1.0</v>
      </c>
      <c r="G781" s="2">
        <v>500.0</v>
      </c>
      <c r="H781" s="3" t="str">
        <f>HYPERLINK("http://www.linkedin.com/pub/kim-sanchez-rael/0/79/493","http://www.linkedin.com/pub/kim-sanchez-rael/0/79/493")</f>
        <v>http://www.linkedin.com/pub/kim-sanchez-rael/0/79/493</v>
      </c>
      <c r="I781" s="2" t="s">
        <v>709</v>
      </c>
      <c r="J781" s="2" t="s">
        <v>28</v>
      </c>
      <c r="K781" s="2" t="s">
        <v>35</v>
      </c>
    </row>
    <row r="782" ht="15.75" customHeight="1">
      <c r="A782" s="2">
        <v>328132.0</v>
      </c>
      <c r="B782" s="2" t="s">
        <v>2049</v>
      </c>
      <c r="C782" s="2" t="s">
        <v>2151</v>
      </c>
      <c r="D782" s="2" t="s">
        <v>2152</v>
      </c>
      <c r="E782" s="2" t="s">
        <v>136</v>
      </c>
      <c r="F782" s="2">
        <v>1.0</v>
      </c>
      <c r="G782" s="2">
        <v>377.0</v>
      </c>
      <c r="H782" s="3" t="str">
        <f>HYPERLINK("http://www.linkedin.com/pub/stephanie-schweighofer-jones/0/46/9AA","http://www.linkedin.com/pub/stephanie-schweighofer-jones/0/46/9AA")</f>
        <v>http://www.linkedin.com/pub/stephanie-schweighofer-jones/0/46/9AA</v>
      </c>
      <c r="I782" s="2" t="s">
        <v>105</v>
      </c>
      <c r="J782" s="2" t="s">
        <v>102</v>
      </c>
      <c r="K782" s="2" t="s">
        <v>58</v>
      </c>
    </row>
    <row r="783" ht="15.75" customHeight="1">
      <c r="A783" s="2">
        <v>328525.0</v>
      </c>
      <c r="B783" s="2" t="s">
        <v>2153</v>
      </c>
      <c r="C783" s="2" t="s">
        <v>2154</v>
      </c>
      <c r="D783" s="2" t="s">
        <v>289</v>
      </c>
      <c r="E783" s="2" t="s">
        <v>2155</v>
      </c>
      <c r="F783" s="2">
        <v>47.0</v>
      </c>
      <c r="G783" s="2">
        <v>500.0</v>
      </c>
      <c r="H783" s="3" t="str">
        <f>HYPERLINK("http://uk.linkedin.com/in/perfectlyplaced","http://uk.linkedin.com/in/perfectlyplaced")</f>
        <v>http://uk.linkedin.com/in/perfectlyplaced</v>
      </c>
      <c r="I783" s="2" t="s">
        <v>248</v>
      </c>
      <c r="J783" s="2" t="s">
        <v>53</v>
      </c>
      <c r="K783" s="2" t="s">
        <v>196</v>
      </c>
    </row>
    <row r="784" ht="15.75" customHeight="1">
      <c r="A784" s="2">
        <v>328573.0</v>
      </c>
      <c r="B784" s="2" t="s">
        <v>2156</v>
      </c>
      <c r="C784" s="2" t="s">
        <v>2157</v>
      </c>
      <c r="D784" s="2" t="s">
        <v>2158</v>
      </c>
      <c r="E784" s="2" t="s">
        <v>931</v>
      </c>
      <c r="F784" s="2">
        <v>1.0</v>
      </c>
      <c r="G784" s="2">
        <v>500.0</v>
      </c>
      <c r="H784" s="3" t="str">
        <f>HYPERLINK("http://www.linkedin.com/pub/sanjay-sood/0/441/707","http://www.linkedin.com/pub/sanjay-sood/0/441/707")</f>
        <v>http://www.linkedin.com/pub/sanjay-sood/0/441/707</v>
      </c>
      <c r="I784" s="2" t="s">
        <v>48</v>
      </c>
      <c r="J784" s="2" t="s">
        <v>53</v>
      </c>
      <c r="K784" s="2" t="s">
        <v>35</v>
      </c>
    </row>
    <row r="785" ht="15.75" customHeight="1">
      <c r="A785" s="2">
        <v>328787.0</v>
      </c>
      <c r="B785" s="2" t="s">
        <v>2159</v>
      </c>
      <c r="C785" s="2" t="s">
        <v>2160</v>
      </c>
      <c r="D785" s="2" t="s">
        <v>42</v>
      </c>
      <c r="E785" s="2" t="s">
        <v>2161</v>
      </c>
      <c r="F785" s="2">
        <v>3.0</v>
      </c>
      <c r="G785" s="2">
        <v>500.0</v>
      </c>
      <c r="H785" s="3" t="str">
        <f>HYPERLINK("http://www.linkedin.com/in/dcfawcett","http://www.linkedin.com/in/dcfawcett")</f>
        <v>http://www.linkedin.com/in/dcfawcett</v>
      </c>
      <c r="I785" s="2" t="s">
        <v>560</v>
      </c>
      <c r="J785" s="2" t="s">
        <v>102</v>
      </c>
      <c r="K785" s="2" t="s">
        <v>58</v>
      </c>
    </row>
    <row r="786" ht="15.75" customHeight="1">
      <c r="A786" s="2">
        <v>328813.0</v>
      </c>
      <c r="B786" s="2" t="s">
        <v>133</v>
      </c>
      <c r="C786" s="2" t="s">
        <v>2162</v>
      </c>
      <c r="D786" s="2"/>
      <c r="E786" s="2" t="s">
        <v>450</v>
      </c>
      <c r="F786" s="2">
        <v>0.0</v>
      </c>
      <c r="G786" s="2">
        <v>355.0</v>
      </c>
      <c r="H786" s="3" t="str">
        <f>HYPERLINK("http://www.linkedin.com/pub/mike-chrobak/0/35/87A","http://www.linkedin.com/pub/mike-chrobak/0/35/87A")</f>
        <v>http://www.linkedin.com/pub/mike-chrobak/0/35/87A</v>
      </c>
      <c r="I786" s="2" t="s">
        <v>422</v>
      </c>
      <c r="J786" s="2" t="s">
        <v>273</v>
      </c>
      <c r="K786" s="2" t="s">
        <v>58</v>
      </c>
    </row>
    <row r="787" ht="15.75" customHeight="1">
      <c r="A787" s="2">
        <v>329440.0</v>
      </c>
      <c r="B787" s="2" t="s">
        <v>133</v>
      </c>
      <c r="C787" s="2" t="s">
        <v>2163</v>
      </c>
      <c r="D787" s="2" t="s">
        <v>2164</v>
      </c>
      <c r="E787" s="2" t="s">
        <v>136</v>
      </c>
      <c r="F787" s="2">
        <v>2.0</v>
      </c>
      <c r="G787" s="2">
        <v>500.0</v>
      </c>
      <c r="H787" s="3" t="str">
        <f>HYPERLINK("http://www.linkedin.com/in/buzzard","http://www.linkedin.com/in/buzzard")</f>
        <v>http://www.linkedin.com/in/buzzard</v>
      </c>
      <c r="I787" s="2" t="s">
        <v>69</v>
      </c>
      <c r="J787" s="2" t="s">
        <v>102</v>
      </c>
      <c r="K787" s="2" t="s">
        <v>35</v>
      </c>
    </row>
    <row r="788" ht="15.75" customHeight="1">
      <c r="A788" s="2">
        <v>329482.0</v>
      </c>
      <c r="B788" s="2" t="s">
        <v>839</v>
      </c>
      <c r="C788" s="2" t="s">
        <v>2165</v>
      </c>
      <c r="D788" s="2" t="s">
        <v>400</v>
      </c>
      <c r="E788" s="2" t="s">
        <v>136</v>
      </c>
      <c r="F788" s="2">
        <v>3.0</v>
      </c>
      <c r="G788" s="2">
        <v>500.0</v>
      </c>
      <c r="H788" s="3" t="str">
        <f>HYPERLINK("http://www.linkedin.com/pub/dave-shaffer/0/67/610","http://www.linkedin.com/pub/dave-shaffer/0/67/610")</f>
        <v>http://www.linkedin.com/pub/dave-shaffer/0/67/610</v>
      </c>
      <c r="I788" s="2" t="s">
        <v>48</v>
      </c>
      <c r="J788" s="2" t="s">
        <v>102</v>
      </c>
      <c r="K788" s="2" t="s">
        <v>35</v>
      </c>
    </row>
    <row r="789" ht="15.75" customHeight="1">
      <c r="A789" s="2">
        <v>329616.0</v>
      </c>
      <c r="B789" s="2" t="s">
        <v>2166</v>
      </c>
      <c r="C789" s="2" t="s">
        <v>2167</v>
      </c>
      <c r="D789" s="2" t="s">
        <v>536</v>
      </c>
      <c r="E789" s="2" t="s">
        <v>804</v>
      </c>
      <c r="F789" s="2">
        <v>16.0</v>
      </c>
      <c r="G789" s="2">
        <v>500.0</v>
      </c>
      <c r="H789" s="3" t="str">
        <f>HYPERLINK("http://www.linkedin.com/pub/lora-cecere/0/196/573","http://www.linkedin.com/pub/lora-cecere/0/196/573")</f>
        <v>http://www.linkedin.com/pub/lora-cecere/0/196/573</v>
      </c>
      <c r="I789" s="2" t="s">
        <v>48</v>
      </c>
      <c r="J789" s="2" t="s">
        <v>102</v>
      </c>
      <c r="K789" s="2" t="s">
        <v>35</v>
      </c>
    </row>
    <row r="790" ht="15.75" customHeight="1">
      <c r="A790" s="2">
        <v>329835.0</v>
      </c>
      <c r="B790" s="2" t="s">
        <v>2168</v>
      </c>
      <c r="C790" s="2" t="s">
        <v>2169</v>
      </c>
      <c r="D790" s="2" t="s">
        <v>2170</v>
      </c>
      <c r="E790" s="2" t="s">
        <v>181</v>
      </c>
      <c r="F790" s="2">
        <v>0.0</v>
      </c>
      <c r="G790" s="2">
        <v>500.0</v>
      </c>
      <c r="H790" s="3" t="str">
        <f>HYPERLINK("https://www.linkedin.com/in/louishyman","https://www.linkedin.com/in/louishyman")</f>
        <v>https://www.linkedin.com/in/louishyman</v>
      </c>
      <c r="I790" s="2" t="s">
        <v>48</v>
      </c>
      <c r="J790" s="2" t="s">
        <v>102</v>
      </c>
      <c r="K790" s="2" t="s">
        <v>35</v>
      </c>
    </row>
    <row r="791" ht="15.75" customHeight="1">
      <c r="A791" s="2">
        <v>330122.0</v>
      </c>
      <c r="B791" s="2" t="s">
        <v>2171</v>
      </c>
      <c r="C791" s="2" t="s">
        <v>2172</v>
      </c>
      <c r="D791" s="2" t="s">
        <v>304</v>
      </c>
      <c r="E791" s="2" t="s">
        <v>136</v>
      </c>
      <c r="F791" s="2">
        <v>1.0</v>
      </c>
      <c r="G791" s="2">
        <v>500.0</v>
      </c>
      <c r="H791" s="3" t="str">
        <f>HYPERLINK("http://www.linkedin.com/pub/martie-bond/0/26/A38","http://www.linkedin.com/pub/martie-bond/0/26/A38")</f>
        <v>http://www.linkedin.com/pub/martie-bond/0/26/A38</v>
      </c>
      <c r="I791" s="2" t="s">
        <v>15</v>
      </c>
      <c r="J791" s="2" t="s">
        <v>102</v>
      </c>
      <c r="K791" s="2" t="s">
        <v>35</v>
      </c>
    </row>
    <row r="792" ht="15.75" customHeight="1">
      <c r="A792" s="2">
        <v>330146.0</v>
      </c>
      <c r="B792" s="2" t="s">
        <v>2173</v>
      </c>
      <c r="C792" s="2" t="s">
        <v>2174</v>
      </c>
      <c r="D792" s="2" t="s">
        <v>400</v>
      </c>
      <c r="E792" s="2" t="s">
        <v>235</v>
      </c>
      <c r="F792" s="2" t="s">
        <v>13</v>
      </c>
      <c r="G792" s="2">
        <v>207.0</v>
      </c>
      <c r="H792" s="3" t="str">
        <f>HYPERLINK("http://www.linkedin.com/pub/ike-brenner/0/475/32B","http://www.linkedin.com/pub/ike-brenner/0/475/32B")</f>
        <v>http://www.linkedin.com/pub/ike-brenner/0/475/32B</v>
      </c>
      <c r="I792" s="2" t="s">
        <v>15</v>
      </c>
      <c r="J792" s="2" t="s">
        <v>102</v>
      </c>
      <c r="K792" s="2" t="s">
        <v>35</v>
      </c>
    </row>
    <row r="793" ht="15.75" customHeight="1">
      <c r="A793" s="2">
        <v>330416.0</v>
      </c>
      <c r="B793" s="2" t="s">
        <v>2175</v>
      </c>
      <c r="C793" s="2" t="s">
        <v>2176</v>
      </c>
      <c r="D793" s="2" t="s">
        <v>13</v>
      </c>
      <c r="E793" s="2" t="s">
        <v>325</v>
      </c>
      <c r="F793" s="2">
        <v>0.0</v>
      </c>
      <c r="G793" s="2">
        <v>500.0</v>
      </c>
      <c r="H793" s="3" t="str">
        <f>HYPERLINK("http://www.linkedin.com/in/leedoragam","http://www.linkedin.com/in/leedoragam")</f>
        <v>http://www.linkedin.com/in/leedoragam</v>
      </c>
      <c r="I793" s="2" t="s">
        <v>15</v>
      </c>
      <c r="J793" s="2" t="s">
        <v>102</v>
      </c>
      <c r="K793" s="2" t="s">
        <v>35</v>
      </c>
    </row>
    <row r="794" ht="15.75" customHeight="1">
      <c r="A794" s="2">
        <v>330589.0</v>
      </c>
      <c r="B794" s="2" t="s">
        <v>2177</v>
      </c>
      <c r="C794" s="2" t="s">
        <v>2178</v>
      </c>
      <c r="D794" s="2" t="s">
        <v>2179</v>
      </c>
      <c r="E794" s="2" t="s">
        <v>2180</v>
      </c>
      <c r="F794" s="2">
        <v>22.0</v>
      </c>
      <c r="G794" s="2">
        <v>500.0</v>
      </c>
      <c r="H794" s="3" t="str">
        <f>HYPERLINK("http://www.linkedin.com/pub/lois-plust/0/2B6/360","http://www.linkedin.com/pub/lois-plust/0/2B6/360")</f>
        <v>http://www.linkedin.com/pub/lois-plust/0/2B6/360</v>
      </c>
      <c r="I794" s="2" t="s">
        <v>458</v>
      </c>
      <c r="J794" s="2" t="s">
        <v>273</v>
      </c>
      <c r="K794" s="2" t="s">
        <v>22</v>
      </c>
    </row>
    <row r="795" ht="15.75" customHeight="1">
      <c r="A795" s="2">
        <v>331407.0</v>
      </c>
      <c r="B795" s="2" t="s">
        <v>291</v>
      </c>
      <c r="C795" s="2" t="s">
        <v>2181</v>
      </c>
      <c r="D795" s="2" t="s">
        <v>2182</v>
      </c>
      <c r="E795" s="2" t="s">
        <v>101</v>
      </c>
      <c r="F795" s="2">
        <v>11.0</v>
      </c>
      <c r="G795" s="2">
        <v>500.0</v>
      </c>
      <c r="H795" s="3" t="str">
        <f>HYPERLINK("http://www.linkedin.com/in/garykessinger","http://www.linkedin.com/in/garykessinger")</f>
        <v>http://www.linkedin.com/in/garykessinger</v>
      </c>
      <c r="I795" s="2" t="s">
        <v>2183</v>
      </c>
      <c r="J795" s="2" t="s">
        <v>102</v>
      </c>
      <c r="K795" s="2" t="s">
        <v>58</v>
      </c>
    </row>
    <row r="796" ht="15.75" customHeight="1">
      <c r="A796" s="2">
        <v>332725.0</v>
      </c>
      <c r="B796" s="2" t="s">
        <v>2184</v>
      </c>
      <c r="C796" s="2" t="s">
        <v>2185</v>
      </c>
      <c r="D796" s="2" t="s">
        <v>1966</v>
      </c>
      <c r="E796" s="2" t="s">
        <v>155</v>
      </c>
      <c r="F796" s="2">
        <v>27.0</v>
      </c>
      <c r="G796" s="2">
        <v>500.0</v>
      </c>
      <c r="H796" s="3" t="str">
        <f>HYPERLINK("http://www.linkedin.com/in/yannickgermain","http://www.linkedin.com/in/yannickgermain")</f>
        <v>http://www.linkedin.com/in/yannickgermain</v>
      </c>
      <c r="I796" s="2" t="s">
        <v>48</v>
      </c>
      <c r="J796" s="2" t="s">
        <v>102</v>
      </c>
      <c r="K796" s="2" t="s">
        <v>35</v>
      </c>
    </row>
    <row r="797" ht="15.75" customHeight="1">
      <c r="A797" s="2">
        <v>333297.0</v>
      </c>
      <c r="B797" s="2" t="s">
        <v>2186</v>
      </c>
      <c r="C797" s="2" t="s">
        <v>2187</v>
      </c>
      <c r="D797" s="2" t="s">
        <v>2188</v>
      </c>
      <c r="E797" s="2" t="s">
        <v>2189</v>
      </c>
      <c r="F797" s="2">
        <v>3.0</v>
      </c>
      <c r="G797" s="2">
        <v>371.0</v>
      </c>
      <c r="H797" s="3" t="str">
        <f>HYPERLINK("http://br.linkedin.com/pub/juliana-carvalho/29/499/8B2","http://br.linkedin.com/pub/juliana-carvalho/29/499/8B2")</f>
        <v>http://br.linkedin.com/pub/juliana-carvalho/29/499/8B2</v>
      </c>
      <c r="I797" s="2" t="s">
        <v>608</v>
      </c>
      <c r="J797" s="2" t="s">
        <v>34</v>
      </c>
      <c r="K797" s="2" t="s">
        <v>29</v>
      </c>
    </row>
    <row r="798" ht="15.75" customHeight="1">
      <c r="A798" s="2">
        <v>333329.0</v>
      </c>
      <c r="B798" s="2" t="s">
        <v>2190</v>
      </c>
      <c r="C798" s="2" t="s">
        <v>2191</v>
      </c>
      <c r="D798" s="2" t="s">
        <v>2192</v>
      </c>
      <c r="E798" s="2" t="s">
        <v>2193</v>
      </c>
      <c r="F798" s="2" t="s">
        <v>13</v>
      </c>
      <c r="G798" s="2">
        <v>43.0</v>
      </c>
      <c r="H798" s="3" t="str">
        <f>HYPERLINK("http://br.linkedin.com/pub/bruna-villela-rosi/29/4A0/A33","http://br.linkedin.com/pub/bruna-villela-rosi/29/4A0/A33")</f>
        <v>http://br.linkedin.com/pub/bruna-villela-rosi/29/4A0/A33</v>
      </c>
      <c r="I798" s="2" t="s">
        <v>27</v>
      </c>
      <c r="J798" s="2" t="s">
        <v>34</v>
      </c>
      <c r="K798" s="2" t="s">
        <v>22</v>
      </c>
    </row>
    <row r="799" ht="15.75" customHeight="1">
      <c r="A799" s="2">
        <v>333746.0</v>
      </c>
      <c r="B799" s="2" t="s">
        <v>1004</v>
      </c>
      <c r="C799" s="2" t="s">
        <v>2194</v>
      </c>
      <c r="D799" s="2" t="s">
        <v>1320</v>
      </c>
      <c r="E799" s="2" t="s">
        <v>142</v>
      </c>
      <c r="F799" s="2">
        <v>6.0</v>
      </c>
      <c r="G799" s="2">
        <v>500.0</v>
      </c>
      <c r="H799" s="3" t="str">
        <f>HYPERLINK("http://www.linkedin.com/in/freshform","http://www.linkedin.com/in/freshform")</f>
        <v>http://www.linkedin.com/in/freshform</v>
      </c>
      <c r="I799" s="2" t="s">
        <v>105</v>
      </c>
      <c r="J799" s="2" t="s">
        <v>144</v>
      </c>
      <c r="K799" s="2" t="s">
        <v>35</v>
      </c>
    </row>
    <row r="800" ht="15.75" customHeight="1">
      <c r="A800" s="2">
        <v>334220.0</v>
      </c>
      <c r="B800" s="2" t="s">
        <v>2195</v>
      </c>
      <c r="C800" s="2" t="s">
        <v>2196</v>
      </c>
      <c r="D800" s="2" t="s">
        <v>2197</v>
      </c>
      <c r="E800" s="2" t="s">
        <v>122</v>
      </c>
      <c r="F800" s="2">
        <v>2.0</v>
      </c>
      <c r="G800" s="2">
        <v>500.0</v>
      </c>
      <c r="H800" s="3" t="str">
        <f>HYPERLINK("http://uk.linkedin.com/in/rajeevgm","http://uk.linkedin.com/in/rajeevgm")</f>
        <v>http://uk.linkedin.com/in/rajeevgm</v>
      </c>
      <c r="I800" s="2" t="s">
        <v>15</v>
      </c>
      <c r="J800" s="2" t="s">
        <v>53</v>
      </c>
      <c r="K800" s="2" t="s">
        <v>35</v>
      </c>
    </row>
    <row r="801" ht="15.75" customHeight="1">
      <c r="A801" s="2">
        <v>334619.0</v>
      </c>
      <c r="B801" s="2" t="s">
        <v>2198</v>
      </c>
      <c r="C801" s="2" t="s">
        <v>2199</v>
      </c>
      <c r="D801" s="2" t="s">
        <v>13</v>
      </c>
      <c r="E801" s="2" t="s">
        <v>403</v>
      </c>
      <c r="F801" s="2">
        <v>6.0</v>
      </c>
      <c r="G801" s="2">
        <v>500.0</v>
      </c>
      <c r="H801" s="3" t="str">
        <f>HYPERLINK("http://www.linkedin.com/in/seeman","http://www.linkedin.com/in/seeman")</f>
        <v>http://www.linkedin.com/in/seeman</v>
      </c>
      <c r="I801" s="2" t="s">
        <v>69</v>
      </c>
      <c r="J801" s="2" t="s">
        <v>44</v>
      </c>
      <c r="K801" s="2" t="s">
        <v>35</v>
      </c>
    </row>
    <row r="802" ht="15.75" customHeight="1">
      <c r="A802" s="2">
        <v>335108.0</v>
      </c>
      <c r="B802" s="2" t="s">
        <v>1932</v>
      </c>
      <c r="C802" s="2" t="s">
        <v>2200</v>
      </c>
      <c r="D802" s="2" t="s">
        <v>13</v>
      </c>
      <c r="E802" s="2" t="s">
        <v>2058</v>
      </c>
      <c r="F802" s="2">
        <v>0.0</v>
      </c>
      <c r="G802" s="2">
        <v>500.0</v>
      </c>
      <c r="H802" s="3" t="str">
        <f>HYPERLINK("https://www.linkedin.com/in/mdombrowski","https://www.linkedin.com/in/mdombrowski")</f>
        <v>https://www.linkedin.com/in/mdombrowski</v>
      </c>
      <c r="I802" s="2" t="s">
        <v>1012</v>
      </c>
      <c r="J802" s="2" t="s">
        <v>102</v>
      </c>
      <c r="K802" s="2" t="s">
        <v>2201</v>
      </c>
    </row>
    <row r="803" ht="15.75" customHeight="1">
      <c r="A803" s="2">
        <v>336240.0</v>
      </c>
      <c r="B803" s="2" t="s">
        <v>2202</v>
      </c>
      <c r="C803" s="2" t="s">
        <v>2203</v>
      </c>
      <c r="D803" s="2" t="s">
        <v>2204</v>
      </c>
      <c r="E803" s="2" t="s">
        <v>136</v>
      </c>
      <c r="F803" s="2">
        <v>9.0</v>
      </c>
      <c r="G803" s="2">
        <v>500.0</v>
      </c>
      <c r="H803" s="3" t="str">
        <f>HYPERLINK("http://www.linkedin.com/in/arunthakur","http://www.linkedin.com/in/arunthakur")</f>
        <v>http://www.linkedin.com/in/arunthakur</v>
      </c>
      <c r="I803" s="2" t="s">
        <v>15</v>
      </c>
      <c r="J803" s="2" t="s">
        <v>102</v>
      </c>
      <c r="K803" s="2" t="s">
        <v>35</v>
      </c>
    </row>
    <row r="804" ht="15.75" customHeight="1">
      <c r="A804" s="2">
        <v>336366.0</v>
      </c>
      <c r="B804" s="2" t="s">
        <v>2205</v>
      </c>
      <c r="C804" s="2" t="s">
        <v>2206</v>
      </c>
      <c r="D804" s="2" t="s">
        <v>2207</v>
      </c>
      <c r="E804" s="2" t="s">
        <v>2208</v>
      </c>
      <c r="F804" s="2">
        <v>43.0</v>
      </c>
      <c r="G804" s="2">
        <v>500.0</v>
      </c>
      <c r="H804" s="3" t="str">
        <f>HYPERLINK("http://www.linkedin.com/in/trigemini","http://www.linkedin.com/in/trigemini")</f>
        <v>http://www.linkedin.com/in/trigemini</v>
      </c>
      <c r="I804" s="2" t="s">
        <v>48</v>
      </c>
      <c r="J804" s="2" t="s">
        <v>352</v>
      </c>
      <c r="K804" s="2" t="s">
        <v>35</v>
      </c>
    </row>
    <row r="805" ht="15.75" customHeight="1">
      <c r="A805" s="2">
        <v>336714.0</v>
      </c>
      <c r="B805" s="2" t="s">
        <v>1475</v>
      </c>
      <c r="C805" s="2" t="s">
        <v>2209</v>
      </c>
      <c r="D805" s="2" t="s">
        <v>2210</v>
      </c>
      <c r="E805" s="2" t="s">
        <v>235</v>
      </c>
      <c r="F805" s="2">
        <v>6.0</v>
      </c>
      <c r="G805" s="2">
        <v>500.0</v>
      </c>
      <c r="H805" s="3" t="str">
        <f>HYPERLINK("http://www.linkedin.com/in/lisanamerow","http://www.linkedin.com/in/lisanamerow")</f>
        <v>http://www.linkedin.com/in/lisanamerow</v>
      </c>
      <c r="I805" s="2" t="s">
        <v>326</v>
      </c>
      <c r="J805" s="2" t="s">
        <v>102</v>
      </c>
      <c r="K805" s="2" t="s">
        <v>58</v>
      </c>
    </row>
    <row r="806" ht="15.75" customHeight="1">
      <c r="A806" s="2">
        <v>337014.0</v>
      </c>
      <c r="B806" s="2" t="s">
        <v>752</v>
      </c>
      <c r="C806" s="2" t="s">
        <v>2211</v>
      </c>
      <c r="D806" s="2" t="s">
        <v>108</v>
      </c>
      <c r="E806" s="2" t="s">
        <v>136</v>
      </c>
      <c r="F806" s="2">
        <v>1.0</v>
      </c>
      <c r="G806" s="2">
        <v>500.0</v>
      </c>
      <c r="H806" s="3" t="str">
        <f>HYPERLINK("http://www.linkedin.com/pub/jim-dvorkin/0/511/B08","http://www.linkedin.com/pub/jim-dvorkin/0/511/B08")</f>
        <v>http://www.linkedin.com/pub/jim-dvorkin/0/511/B08</v>
      </c>
      <c r="I806" s="2" t="s">
        <v>48</v>
      </c>
      <c r="J806" s="2" t="s">
        <v>102</v>
      </c>
      <c r="K806" s="2" t="s">
        <v>35</v>
      </c>
    </row>
    <row r="807" ht="15.75" customHeight="1">
      <c r="A807" s="2">
        <v>337022.0</v>
      </c>
      <c r="B807" s="2" t="s">
        <v>2212</v>
      </c>
      <c r="C807" s="2" t="s">
        <v>2213</v>
      </c>
      <c r="D807" s="2" t="s">
        <v>2214</v>
      </c>
      <c r="E807" s="2" t="s">
        <v>136</v>
      </c>
      <c r="F807" s="2">
        <v>7.0</v>
      </c>
      <c r="G807" s="2">
        <v>500.0</v>
      </c>
      <c r="H807" s="3" t="str">
        <f>HYPERLINK("http://www.linkedin.com/in/manjurao","http://www.linkedin.com/in/manjurao")</f>
        <v>http://www.linkedin.com/in/manjurao</v>
      </c>
      <c r="I807" s="2" t="s">
        <v>15</v>
      </c>
      <c r="J807" s="2" t="s">
        <v>102</v>
      </c>
      <c r="K807" s="2" t="s">
        <v>35</v>
      </c>
    </row>
    <row r="808" ht="15.75" customHeight="1">
      <c r="A808" s="2">
        <v>337195.0</v>
      </c>
      <c r="B808" s="2" t="s">
        <v>2215</v>
      </c>
      <c r="C808" s="2" t="s">
        <v>2216</v>
      </c>
      <c r="D808" s="2" t="s">
        <v>2217</v>
      </c>
      <c r="E808" s="2" t="s">
        <v>989</v>
      </c>
      <c r="F808" s="2" t="s">
        <v>13</v>
      </c>
      <c r="G808" s="2">
        <v>500.0</v>
      </c>
      <c r="H808" s="3" t="str">
        <f>HYPERLINK("http://www.linkedin.com/in/donnaamos","http://www.linkedin.com/in/donnaamos")</f>
        <v>http://www.linkedin.com/in/donnaamos</v>
      </c>
      <c r="I808" s="2" t="s">
        <v>105</v>
      </c>
      <c r="J808" s="2" t="s">
        <v>102</v>
      </c>
      <c r="K808" s="2" t="s">
        <v>58</v>
      </c>
    </row>
    <row r="809" ht="15.75" customHeight="1">
      <c r="A809" s="2">
        <v>338217.0</v>
      </c>
      <c r="B809" s="2" t="s">
        <v>2218</v>
      </c>
      <c r="C809" s="2" t="s">
        <v>2219</v>
      </c>
      <c r="D809" s="2" t="s">
        <v>2220</v>
      </c>
      <c r="E809" s="2" t="s">
        <v>2035</v>
      </c>
      <c r="F809" s="2">
        <v>6.0</v>
      </c>
      <c r="G809" s="2">
        <v>398.0</v>
      </c>
      <c r="H809" s="3" t="str">
        <f>HYPERLINK("http://www.linkedin.com/pub/vikram-pisal/4/694/518","http://www.linkedin.com/pub/vikram-pisal/4/694/518")</f>
        <v>http://www.linkedin.com/pub/vikram-pisal/4/694/518</v>
      </c>
      <c r="I809" s="2" t="s">
        <v>248</v>
      </c>
      <c r="J809" s="2" t="s">
        <v>273</v>
      </c>
      <c r="K809" s="2" t="s">
        <v>2221</v>
      </c>
    </row>
    <row r="810" ht="15.75" customHeight="1">
      <c r="A810" s="2">
        <v>338683.0</v>
      </c>
      <c r="B810" s="2" t="s">
        <v>2222</v>
      </c>
      <c r="C810" s="2" t="s">
        <v>2223</v>
      </c>
      <c r="D810" s="2" t="s">
        <v>2224</v>
      </c>
      <c r="E810" s="2" t="s">
        <v>971</v>
      </c>
      <c r="F810" s="2" t="s">
        <v>13</v>
      </c>
      <c r="G810" s="2">
        <v>500.0</v>
      </c>
      <c r="H810" s="3" t="str">
        <f>HYPERLINK("http://www.linkedin.com/in/jpfoehn","http://www.linkedin.com/in/jpfoehn")</f>
        <v>http://www.linkedin.com/in/jpfoehn</v>
      </c>
      <c r="I810" s="2" t="s">
        <v>15</v>
      </c>
      <c r="J810" s="2" t="s">
        <v>102</v>
      </c>
      <c r="K810" s="2" t="s">
        <v>35</v>
      </c>
    </row>
    <row r="811" ht="15.75" customHeight="1">
      <c r="A811" s="2">
        <v>338884.0</v>
      </c>
      <c r="B811" s="2" t="s">
        <v>2225</v>
      </c>
      <c r="C811" s="2" t="s">
        <v>2226</v>
      </c>
      <c r="D811" s="2" t="s">
        <v>2227</v>
      </c>
      <c r="E811" s="2" t="s">
        <v>765</v>
      </c>
      <c r="F811" s="2">
        <v>19.0</v>
      </c>
      <c r="G811" s="2">
        <v>500.0</v>
      </c>
      <c r="H811" s="3" t="str">
        <f>HYPERLINK("http://www.linkedin.com/in/leahyoung","http://www.linkedin.com/in/leahyoung")</f>
        <v>http://www.linkedin.com/in/leahyoung</v>
      </c>
      <c r="I811" s="2" t="s">
        <v>1390</v>
      </c>
      <c r="J811" s="2" t="s">
        <v>144</v>
      </c>
      <c r="K811" s="2" t="s">
        <v>58</v>
      </c>
    </row>
    <row r="812" ht="15.75" customHeight="1">
      <c r="A812" s="2">
        <v>338922.0</v>
      </c>
      <c r="B812" s="2" t="s">
        <v>940</v>
      </c>
      <c r="C812" s="2" t="s">
        <v>2228</v>
      </c>
      <c r="D812" s="2" t="s">
        <v>2229</v>
      </c>
      <c r="E812" s="2" t="s">
        <v>2230</v>
      </c>
      <c r="F812" s="2">
        <v>0.0</v>
      </c>
      <c r="G812" s="2">
        <v>0.0</v>
      </c>
      <c r="H812" s="3" t="str">
        <f>HYPERLINK("http://www.linkedin.com/in/reskridge","http://www.linkedin.com/in/reskridge")</f>
        <v>http://www.linkedin.com/in/reskridge</v>
      </c>
      <c r="I812" s="2" t="s">
        <v>248</v>
      </c>
      <c r="J812" s="2" t="s">
        <v>102</v>
      </c>
      <c r="K812" s="2" t="s">
        <v>58</v>
      </c>
    </row>
    <row r="813" ht="15.75" customHeight="1">
      <c r="A813" s="2">
        <v>339320.0</v>
      </c>
      <c r="B813" s="2" t="s">
        <v>1510</v>
      </c>
      <c r="C813" s="2" t="s">
        <v>2231</v>
      </c>
      <c r="D813" s="2" t="s">
        <v>2232</v>
      </c>
      <c r="E813" s="2" t="s">
        <v>101</v>
      </c>
      <c r="F813" s="2">
        <v>11.0</v>
      </c>
      <c r="G813" s="2">
        <v>500.0</v>
      </c>
      <c r="H813" s="3" t="str">
        <f>HYPERLINK("http://www.linkedin.com/in/lukevancleave","http://www.linkedin.com/in/lukevancleave")</f>
        <v>http://www.linkedin.com/in/lukevancleave</v>
      </c>
      <c r="I813" s="2" t="s">
        <v>15</v>
      </c>
      <c r="J813" s="2" t="s">
        <v>102</v>
      </c>
      <c r="K813" s="2" t="s">
        <v>35</v>
      </c>
    </row>
    <row r="814" ht="15.75" customHeight="1">
      <c r="A814" s="2">
        <v>339618.0</v>
      </c>
      <c r="B814" s="2" t="s">
        <v>414</v>
      </c>
      <c r="C814" s="2" t="s">
        <v>2233</v>
      </c>
      <c r="D814" s="2" t="s">
        <v>47</v>
      </c>
      <c r="E814" s="2" t="s">
        <v>136</v>
      </c>
      <c r="F814" s="2" t="s">
        <v>13</v>
      </c>
      <c r="G814" s="2">
        <v>500.0</v>
      </c>
      <c r="H814" s="3" t="str">
        <f>HYPERLINK("http://www.linkedin.com/pub/tom-buiocchi/6/150/10A","http://www.linkedin.com/pub/tom-buiocchi/6/150/10A")</f>
        <v>http://www.linkedin.com/pub/tom-buiocchi/6/150/10A</v>
      </c>
      <c r="I814" s="2" t="s">
        <v>119</v>
      </c>
      <c r="J814" s="2" t="s">
        <v>102</v>
      </c>
      <c r="K814" s="2" t="s">
        <v>97</v>
      </c>
    </row>
    <row r="815" ht="15.75" customHeight="1">
      <c r="A815" s="2">
        <v>340471.0</v>
      </c>
      <c r="B815" s="2" t="s">
        <v>133</v>
      </c>
      <c r="C815" s="2" t="s">
        <v>2234</v>
      </c>
      <c r="D815" s="2" t="s">
        <v>47</v>
      </c>
      <c r="E815" s="2" t="s">
        <v>808</v>
      </c>
      <c r="F815" s="2">
        <v>7.0</v>
      </c>
      <c r="G815" s="2">
        <v>500.0</v>
      </c>
      <c r="H815" s="3" t="str">
        <f>HYPERLINK("http://www.linkedin.com/in/sterner","http://www.linkedin.com/in/sterner")</f>
        <v>http://www.linkedin.com/in/sterner</v>
      </c>
      <c r="I815" s="2" t="s">
        <v>69</v>
      </c>
      <c r="J815" s="2" t="s">
        <v>102</v>
      </c>
      <c r="K815" s="2" t="s">
        <v>35</v>
      </c>
    </row>
    <row r="816" ht="15.75" customHeight="1">
      <c r="A816" s="2">
        <v>340692.0</v>
      </c>
      <c r="B816" s="2" t="s">
        <v>2235</v>
      </c>
      <c r="C816" s="2" t="s">
        <v>2236</v>
      </c>
      <c r="D816" s="2" t="s">
        <v>1973</v>
      </c>
      <c r="E816" s="2" t="s">
        <v>2035</v>
      </c>
      <c r="F816" s="2">
        <v>4.0</v>
      </c>
      <c r="G816" s="2">
        <v>500.0</v>
      </c>
      <c r="H816" s="3" t="str">
        <f>HYPERLINK("http://www.linkedin.com/pub/sekhar-bhattacharjee/6/46/567","http://www.linkedin.com/pub/sekhar-bhattacharjee/6/46/567")</f>
        <v>http://www.linkedin.com/pub/sekhar-bhattacharjee/6/46/567</v>
      </c>
      <c r="I816" s="2" t="s">
        <v>15</v>
      </c>
      <c r="J816" s="2" t="s">
        <v>273</v>
      </c>
      <c r="K816" s="2" t="s">
        <v>697</v>
      </c>
    </row>
    <row r="817" ht="15.75" customHeight="1">
      <c r="A817" s="2">
        <v>340723.0</v>
      </c>
      <c r="B817" s="2" t="s">
        <v>543</v>
      </c>
      <c r="C817" s="2" t="s">
        <v>206</v>
      </c>
      <c r="D817" s="2" t="s">
        <v>2237</v>
      </c>
      <c r="E817" s="2" t="s">
        <v>1587</v>
      </c>
      <c r="F817" s="2">
        <v>2.0</v>
      </c>
      <c r="G817" s="2">
        <v>500.0</v>
      </c>
      <c r="H817" s="3" t="str">
        <f>HYPERLINK("http://www.linkedin.com/in/cesargarcia74","http://www.linkedin.com/in/cesargarcia74")</f>
        <v>http://www.linkedin.com/in/cesargarcia74</v>
      </c>
      <c r="I817" s="2" t="s">
        <v>96</v>
      </c>
      <c r="J817" s="2" t="s">
        <v>273</v>
      </c>
      <c r="K817" s="2" t="s">
        <v>58</v>
      </c>
    </row>
    <row r="818" ht="15.75" customHeight="1">
      <c r="A818" s="2">
        <v>341575.0</v>
      </c>
      <c r="B818" s="2" t="s">
        <v>133</v>
      </c>
      <c r="C818" s="2" t="s">
        <v>1789</v>
      </c>
      <c r="D818" s="2" t="s">
        <v>2238</v>
      </c>
      <c r="E818" s="2" t="s">
        <v>2058</v>
      </c>
      <c r="F818" s="2">
        <v>7.0</v>
      </c>
      <c r="G818" s="2">
        <v>199.0</v>
      </c>
      <c r="H818" s="3" t="str">
        <f>HYPERLINK("http://www.linkedin.com/in/michaelwilsonideas","http://www.linkedin.com/in/michaelwilsonideas")</f>
        <v>http://www.linkedin.com/in/michaelwilsonideas</v>
      </c>
      <c r="I818" s="2" t="s">
        <v>326</v>
      </c>
      <c r="J818" s="2" t="s">
        <v>102</v>
      </c>
      <c r="K818" s="2" t="s">
        <v>2201</v>
      </c>
    </row>
    <row r="819" ht="15.75" customHeight="1">
      <c r="A819" s="2">
        <v>341818.0</v>
      </c>
      <c r="B819" s="2" t="s">
        <v>2239</v>
      </c>
      <c r="C819" s="2" t="s">
        <v>2240</v>
      </c>
      <c r="D819" s="2" t="s">
        <v>42</v>
      </c>
      <c r="E819" s="2" t="s">
        <v>301</v>
      </c>
      <c r="F819" s="2" t="s">
        <v>13</v>
      </c>
      <c r="G819" s="2">
        <v>446.0</v>
      </c>
      <c r="H819" s="3" t="str">
        <f>HYPERLINK("http://www.linkedin.com/in/lomauro","http://www.linkedin.com/in/lomauro")</f>
        <v>http://www.linkedin.com/in/lomauro</v>
      </c>
      <c r="I819" s="2" t="s">
        <v>2241</v>
      </c>
      <c r="J819" s="2" t="s">
        <v>102</v>
      </c>
      <c r="K819" s="2" t="s">
        <v>196</v>
      </c>
    </row>
    <row r="820" ht="15.75" customHeight="1">
      <c r="A820" s="2">
        <v>341972.0</v>
      </c>
      <c r="B820" s="2" t="s">
        <v>2242</v>
      </c>
      <c r="C820" s="2" t="s">
        <v>2243</v>
      </c>
      <c r="D820" s="2" t="s">
        <v>1966</v>
      </c>
      <c r="E820" s="2" t="s">
        <v>136</v>
      </c>
      <c r="F820" s="2" t="s">
        <v>13</v>
      </c>
      <c r="G820" s="2">
        <v>500.0</v>
      </c>
      <c r="H820" s="3" t="str">
        <f>HYPERLINK("http://www.linkedin.com/pub/yoav-shaham/3/43B/5A9","http://www.linkedin.com/pub/yoav-shaham/3/43B/5A9")</f>
        <v>http://www.linkedin.com/pub/yoav-shaham/3/43B/5A9</v>
      </c>
      <c r="I820" s="2" t="s">
        <v>69</v>
      </c>
      <c r="J820" s="2" t="s">
        <v>102</v>
      </c>
      <c r="K820" s="2" t="s">
        <v>35</v>
      </c>
    </row>
    <row r="821" ht="15.75" customHeight="1">
      <c r="A821" s="2">
        <v>342081.0</v>
      </c>
      <c r="B821" s="2" t="s">
        <v>1932</v>
      </c>
      <c r="C821" s="2" t="s">
        <v>2244</v>
      </c>
      <c r="D821" s="2" t="s">
        <v>1320</v>
      </c>
      <c r="E821" s="2" t="s">
        <v>301</v>
      </c>
      <c r="F821" s="2" t="s">
        <v>13</v>
      </c>
      <c r="G821" s="2">
        <v>500.0</v>
      </c>
      <c r="H821" s="3" t="str">
        <f>HYPERLINK("http://www.linkedin.com/pub/michelle-abbey/2/212/490","http://www.linkedin.com/pub/michelle-abbey/2/212/490")</f>
        <v>http://www.linkedin.com/pub/michelle-abbey/2/212/490</v>
      </c>
      <c r="I821" s="2" t="s">
        <v>105</v>
      </c>
      <c r="J821" s="2" t="s">
        <v>102</v>
      </c>
      <c r="K821" s="2" t="s">
        <v>58</v>
      </c>
    </row>
    <row r="822" ht="15.75" customHeight="1">
      <c r="A822" s="2">
        <v>342353.0</v>
      </c>
      <c r="B822" s="2" t="s">
        <v>784</v>
      </c>
      <c r="C822" s="2" t="s">
        <v>2245</v>
      </c>
      <c r="D822" s="2" t="s">
        <v>13</v>
      </c>
      <c r="E822" s="2" t="s">
        <v>2246</v>
      </c>
      <c r="F822" s="2">
        <v>14.0</v>
      </c>
      <c r="G822" s="2">
        <v>500.0</v>
      </c>
      <c r="H822" s="3" t="str">
        <f>HYPERLINK("http://www.linkedin.com/in/dyckjd","http://www.linkedin.com/in/dyckjd")</f>
        <v>http://www.linkedin.com/in/dyckjd</v>
      </c>
      <c r="I822" s="2" t="s">
        <v>15</v>
      </c>
      <c r="J822" s="2" t="s">
        <v>102</v>
      </c>
      <c r="K822" s="2" t="s">
        <v>35</v>
      </c>
    </row>
    <row r="823" ht="15.75" customHeight="1">
      <c r="A823" s="2">
        <v>342741.0</v>
      </c>
      <c r="B823" s="2" t="s">
        <v>2247</v>
      </c>
      <c r="C823" s="2" t="s">
        <v>2248</v>
      </c>
      <c r="D823" s="2" t="s">
        <v>13</v>
      </c>
      <c r="E823" s="2" t="s">
        <v>136</v>
      </c>
      <c r="F823" s="2">
        <v>1.0</v>
      </c>
      <c r="G823" s="2">
        <v>500.0</v>
      </c>
      <c r="H823" s="3" t="str">
        <f>HYPERLINK("http://www.linkedin.com/pub/harish-sarma/0/B53/623","http://www.linkedin.com/pub/harish-sarma/0/B53/623")</f>
        <v>http://www.linkedin.com/pub/harish-sarma/0/B53/623</v>
      </c>
      <c r="I823" s="2" t="s">
        <v>1496</v>
      </c>
      <c r="J823" s="2" t="s">
        <v>102</v>
      </c>
      <c r="K823" s="2" t="s">
        <v>97</v>
      </c>
    </row>
    <row r="824" ht="15.75" customHeight="1">
      <c r="A824" s="2">
        <v>342782.0</v>
      </c>
      <c r="B824" s="2" t="s">
        <v>2249</v>
      </c>
      <c r="C824" s="2" t="s">
        <v>2250</v>
      </c>
      <c r="D824" s="2" t="s">
        <v>400</v>
      </c>
      <c r="E824" s="2" t="s">
        <v>931</v>
      </c>
      <c r="F824" s="2" t="s">
        <v>13</v>
      </c>
      <c r="G824" s="2">
        <v>500.0</v>
      </c>
      <c r="H824" s="3" t="str">
        <f>HYPERLINK("http://uk.linkedin.com/in/arvmishra","http://uk.linkedin.com/in/arvmishra")</f>
        <v>http://uk.linkedin.com/in/arvmishra</v>
      </c>
      <c r="I824" s="2" t="s">
        <v>15</v>
      </c>
      <c r="J824" s="2" t="s">
        <v>53</v>
      </c>
      <c r="K824" s="2" t="s">
        <v>138</v>
      </c>
    </row>
    <row r="825" ht="15.75" customHeight="1">
      <c r="A825" s="2">
        <v>342869.0</v>
      </c>
      <c r="B825" s="2" t="s">
        <v>1792</v>
      </c>
      <c r="C825" s="2" t="s">
        <v>369</v>
      </c>
      <c r="D825" s="2" t="s">
        <v>13</v>
      </c>
      <c r="E825" s="2" t="s">
        <v>2251</v>
      </c>
      <c r="F825" s="2">
        <v>0.0</v>
      </c>
      <c r="G825" s="2">
        <v>500.0</v>
      </c>
      <c r="H825" s="3" t="str">
        <f>HYPERLINK("http://www.linkedin.com/in/gaufire","http://www.linkedin.com/in/gaufire")</f>
        <v>http://www.linkedin.com/in/gaufire</v>
      </c>
      <c r="I825" s="2" t="s">
        <v>69</v>
      </c>
      <c r="J825" s="2" t="s">
        <v>87</v>
      </c>
      <c r="K825" s="2" t="s">
        <v>35</v>
      </c>
    </row>
    <row r="826" ht="15.75" customHeight="1">
      <c r="A826" s="2">
        <v>343132.0</v>
      </c>
      <c r="B826" s="2" t="s">
        <v>845</v>
      </c>
      <c r="C826" s="2" t="s">
        <v>2252</v>
      </c>
      <c r="D826" s="2" t="s">
        <v>2253</v>
      </c>
      <c r="E826" s="2" t="s">
        <v>2254</v>
      </c>
      <c r="F826" s="2">
        <v>25.0</v>
      </c>
      <c r="G826" s="2">
        <v>500.0</v>
      </c>
      <c r="H826" s="3" t="str">
        <f>HYPERLINK("http://www.linkedin.com/in/davidnason","http://www.linkedin.com/in/davidnason")</f>
        <v>http://www.linkedin.com/in/davidnason</v>
      </c>
      <c r="I826" s="2" t="s">
        <v>1012</v>
      </c>
      <c r="J826" s="2" t="s">
        <v>102</v>
      </c>
      <c r="K826" s="2" t="s">
        <v>58</v>
      </c>
    </row>
    <row r="827" ht="15.75" customHeight="1">
      <c r="A827" s="2">
        <v>343153.0</v>
      </c>
      <c r="B827" s="2" t="s">
        <v>2255</v>
      </c>
      <c r="C827" s="2" t="s">
        <v>2256</v>
      </c>
      <c r="D827" s="2" t="s">
        <v>114</v>
      </c>
      <c r="E827" s="2" t="s">
        <v>2257</v>
      </c>
      <c r="F827" s="2" t="s">
        <v>13</v>
      </c>
      <c r="G827" s="2">
        <v>500.0</v>
      </c>
      <c r="H827" s="3" t="str">
        <f>HYPERLINK("http://it.linkedin.com/in/damianoairoldi","http://it.linkedin.com/in/damianoairoldi")</f>
        <v>http://it.linkedin.com/in/damianoairoldi</v>
      </c>
      <c r="I827" s="2" t="s">
        <v>15</v>
      </c>
      <c r="J827" s="2" t="s">
        <v>2258</v>
      </c>
      <c r="K827" s="2" t="s">
        <v>35</v>
      </c>
    </row>
    <row r="828" ht="15.75" customHeight="1">
      <c r="A828" s="2">
        <v>343438.0</v>
      </c>
      <c r="B828" s="2" t="s">
        <v>2259</v>
      </c>
      <c r="C828" s="2" t="s">
        <v>2260</v>
      </c>
      <c r="D828" s="2" t="s">
        <v>304</v>
      </c>
      <c r="E828" s="2" t="s">
        <v>136</v>
      </c>
      <c r="F828" s="2">
        <v>1.0</v>
      </c>
      <c r="G828" s="2">
        <v>500.0</v>
      </c>
      <c r="H828" s="3" t="str">
        <f>HYPERLINK("http://www.linkedin.com/pub/avery-lyford/0/A5/788","http://www.linkedin.com/pub/avery-lyford/0/A5/788")</f>
        <v>http://www.linkedin.com/pub/avery-lyford/0/A5/788</v>
      </c>
      <c r="I828" s="2" t="s">
        <v>48</v>
      </c>
      <c r="J828" s="2" t="s">
        <v>102</v>
      </c>
      <c r="K828" s="2" t="s">
        <v>35</v>
      </c>
    </row>
    <row r="829" ht="15.75" customHeight="1">
      <c r="A829" s="2">
        <v>343494.0</v>
      </c>
      <c r="B829" s="2" t="s">
        <v>2101</v>
      </c>
      <c r="C829" s="2" t="s">
        <v>2261</v>
      </c>
      <c r="D829" s="2" t="s">
        <v>2262</v>
      </c>
      <c r="E829" s="2" t="s">
        <v>2263</v>
      </c>
      <c r="F829" s="2">
        <v>35.0</v>
      </c>
      <c r="G829" s="2">
        <v>500.0</v>
      </c>
      <c r="H829" s="3" t="str">
        <f>HYPERLINK("http://www.linkedin.com/in/sanjeevsahni","http://www.linkedin.com/in/sanjeevsahni")</f>
        <v>http://www.linkedin.com/in/sanjeevsahni</v>
      </c>
      <c r="I829" s="2" t="s">
        <v>48</v>
      </c>
      <c r="J829" s="2" t="s">
        <v>102</v>
      </c>
      <c r="K829" s="2" t="s">
        <v>35</v>
      </c>
    </row>
    <row r="830" ht="15.75" customHeight="1">
      <c r="A830" s="2">
        <v>343519.0</v>
      </c>
      <c r="B830" s="2" t="s">
        <v>2264</v>
      </c>
      <c r="C830" s="2" t="s">
        <v>2265</v>
      </c>
      <c r="D830" s="2" t="s">
        <v>2266</v>
      </c>
      <c r="E830" s="2" t="s">
        <v>2267</v>
      </c>
      <c r="F830" s="2">
        <v>22.0</v>
      </c>
      <c r="G830" s="2">
        <v>500.0</v>
      </c>
      <c r="H830" s="3" t="str">
        <f>HYPERLINK("http://in.linkedin.com/in/prasaddbartakke","http://in.linkedin.com/in/prasaddbartakke")</f>
        <v>http://in.linkedin.com/in/prasaddbartakke</v>
      </c>
      <c r="I830" s="2" t="s">
        <v>2268</v>
      </c>
      <c r="J830" s="2" t="s">
        <v>87</v>
      </c>
      <c r="K830" s="2" t="s">
        <v>58</v>
      </c>
    </row>
    <row r="831" ht="15.75" customHeight="1">
      <c r="A831" s="2">
        <v>343634.0</v>
      </c>
      <c r="B831" s="2" t="s">
        <v>2269</v>
      </c>
      <c r="C831" s="2" t="s">
        <v>2270</v>
      </c>
      <c r="D831" s="2" t="s">
        <v>2271</v>
      </c>
      <c r="E831" s="2" t="s">
        <v>136</v>
      </c>
      <c r="F831" s="2">
        <v>26.0</v>
      </c>
      <c r="G831" s="2">
        <v>500.0</v>
      </c>
      <c r="H831" s="3" t="str">
        <f>HYPERLINK("http://www.linkedin.com/in/maheshuh","http://www.linkedin.com/in/maheshuh")</f>
        <v>http://www.linkedin.com/in/maheshuh</v>
      </c>
      <c r="I831" s="2" t="s">
        <v>15</v>
      </c>
      <c r="J831" s="2" t="s">
        <v>102</v>
      </c>
      <c r="K831" s="2" t="s">
        <v>35</v>
      </c>
    </row>
    <row r="832" ht="15.75" customHeight="1">
      <c r="A832" s="2">
        <v>344129.0</v>
      </c>
      <c r="B832" s="2" t="s">
        <v>2272</v>
      </c>
      <c r="C832" s="2" t="s">
        <v>2273</v>
      </c>
      <c r="D832" s="2" t="s">
        <v>47</v>
      </c>
      <c r="E832" s="2" t="s">
        <v>301</v>
      </c>
      <c r="F832" s="2">
        <v>16.0</v>
      </c>
      <c r="G832" s="2">
        <v>500.0</v>
      </c>
      <c r="H832" s="3" t="str">
        <f>HYPERLINK("http://www.linkedin.com/in/websitemarketing","http://www.linkedin.com/in/websitemarketing")</f>
        <v>http://www.linkedin.com/in/websitemarketing</v>
      </c>
      <c r="I832" s="2" t="s">
        <v>326</v>
      </c>
      <c r="J832" s="2" t="s">
        <v>102</v>
      </c>
      <c r="K832" s="2" t="s">
        <v>58</v>
      </c>
    </row>
    <row r="833" ht="15.75" customHeight="1">
      <c r="A833" s="2">
        <v>344197.0</v>
      </c>
      <c r="B833" s="2" t="s">
        <v>993</v>
      </c>
      <c r="C833" s="2" t="s">
        <v>1157</v>
      </c>
      <c r="D833" s="2" t="s">
        <v>2274</v>
      </c>
      <c r="E833" s="2" t="s">
        <v>2246</v>
      </c>
      <c r="F833" s="2">
        <v>0.0</v>
      </c>
      <c r="G833" s="2">
        <v>500.0</v>
      </c>
      <c r="H833" s="3" t="str">
        <f>HYPERLINK("http://www.linkedin.com/in/jhoward15","http://www.linkedin.com/in/jhoward15")</f>
        <v>http://www.linkedin.com/in/jhoward15</v>
      </c>
      <c r="I833" s="2" t="s">
        <v>2275</v>
      </c>
      <c r="J833" s="2" t="s">
        <v>102</v>
      </c>
      <c r="K833" s="2" t="s">
        <v>2276</v>
      </c>
    </row>
    <row r="834" ht="15.75" customHeight="1">
      <c r="A834" s="2">
        <v>344602.0</v>
      </c>
      <c r="B834" s="2" t="s">
        <v>2277</v>
      </c>
      <c r="C834" s="2" t="s">
        <v>2278</v>
      </c>
      <c r="D834" s="2" t="s">
        <v>2279</v>
      </c>
      <c r="E834" s="2" t="s">
        <v>136</v>
      </c>
      <c r="F834" s="2">
        <v>19.0</v>
      </c>
      <c r="G834" s="2">
        <v>500.0</v>
      </c>
      <c r="H834" s="3" t="str">
        <f>HYPERLINK("http://www.linkedin.com/in/renesiegel","http://www.linkedin.com/in/renesiegel")</f>
        <v>http://www.linkedin.com/in/renesiegel</v>
      </c>
      <c r="I834" s="2" t="s">
        <v>844</v>
      </c>
      <c r="J834" s="2" t="s">
        <v>102</v>
      </c>
      <c r="K834" s="2" t="s">
        <v>58</v>
      </c>
    </row>
    <row r="835" ht="15.75" customHeight="1">
      <c r="A835" s="2">
        <v>344875.0</v>
      </c>
      <c r="B835" s="2" t="s">
        <v>2280</v>
      </c>
      <c r="C835" s="2" t="s">
        <v>2281</v>
      </c>
      <c r="D835" s="2" t="s">
        <v>100</v>
      </c>
      <c r="E835" s="2" t="s">
        <v>351</v>
      </c>
      <c r="F835" s="2">
        <v>14.0</v>
      </c>
      <c r="G835" s="2">
        <v>500.0</v>
      </c>
      <c r="H835" s="3" t="str">
        <f>HYPERLINK("http://dk.linkedin.com/in/skjoenaa","http://dk.linkedin.com/in/skjoenaa")</f>
        <v>http://dk.linkedin.com/in/skjoenaa</v>
      </c>
      <c r="I835" s="2" t="s">
        <v>48</v>
      </c>
      <c r="J835" s="2" t="s">
        <v>352</v>
      </c>
      <c r="K835" s="2" t="s">
        <v>35</v>
      </c>
    </row>
    <row r="836" ht="15.75" customHeight="1">
      <c r="A836" s="2">
        <v>345101.0</v>
      </c>
      <c r="B836" s="2" t="s">
        <v>752</v>
      </c>
      <c r="C836" s="2" t="s">
        <v>2282</v>
      </c>
      <c r="D836" s="2" t="s">
        <v>2283</v>
      </c>
      <c r="E836" s="2" t="s">
        <v>2284</v>
      </c>
      <c r="F836" s="2">
        <v>0.0</v>
      </c>
      <c r="G836" s="2">
        <v>500.0</v>
      </c>
      <c r="H836" s="3" t="str">
        <f>HYPERLINK("http://www.linkedin.com/pub/jim-barthold/0/A3/6B2","http://www.linkedin.com/pub/jim-barthold/0/A3/6B2")</f>
        <v>http://www.linkedin.com/pub/jim-barthold/0/A3/6B2</v>
      </c>
      <c r="I836" s="2" t="s">
        <v>2285</v>
      </c>
      <c r="J836" s="2" t="s">
        <v>273</v>
      </c>
      <c r="K836" s="2" t="s">
        <v>35</v>
      </c>
    </row>
    <row r="837" ht="15.75" customHeight="1">
      <c r="A837" s="2">
        <v>345276.0</v>
      </c>
      <c r="B837" s="2" t="s">
        <v>2286</v>
      </c>
      <c r="C837" s="2" t="s">
        <v>2287</v>
      </c>
      <c r="D837" s="2"/>
      <c r="E837" s="2" t="s">
        <v>2288</v>
      </c>
      <c r="F837" s="2">
        <v>2.0</v>
      </c>
      <c r="G837" s="2">
        <v>168.0</v>
      </c>
      <c r="H837" s="3" t="str">
        <f>HYPERLINK("http://www.linkedin.com/pub/amy-anson/0/3A3/B4","http://www.linkedin.com/pub/amy-anson/0/3A3/B4")</f>
        <v>http://www.linkedin.com/pub/amy-anson/0/3A3/B4</v>
      </c>
      <c r="I837" s="2" t="s">
        <v>910</v>
      </c>
      <c r="J837" s="2" t="s">
        <v>273</v>
      </c>
      <c r="K837" s="2" t="s">
        <v>22</v>
      </c>
    </row>
    <row r="838" ht="15.75" customHeight="1">
      <c r="A838" s="2">
        <v>345297.0</v>
      </c>
      <c r="B838" s="2" t="s">
        <v>1964</v>
      </c>
      <c r="C838" s="2" t="s">
        <v>2289</v>
      </c>
      <c r="D838" s="2" t="s">
        <v>2290</v>
      </c>
      <c r="E838" s="2" t="s">
        <v>136</v>
      </c>
      <c r="F838" s="2">
        <v>1.0</v>
      </c>
      <c r="G838" s="2">
        <v>306.0</v>
      </c>
      <c r="H838" s="3" t="str">
        <f>HYPERLINK("http://www.linkedin.com/pub/mohamed-abuaita/0/154/6A3","http://www.linkedin.com/pub/mohamed-abuaita/0/154/6A3")</f>
        <v>http://www.linkedin.com/pub/mohamed-abuaita/0/154/6A3</v>
      </c>
      <c r="I838" s="2" t="s">
        <v>15</v>
      </c>
      <c r="J838" s="2" t="s">
        <v>102</v>
      </c>
      <c r="K838" s="2" t="s">
        <v>35</v>
      </c>
    </row>
    <row r="839" ht="15.75" customHeight="1">
      <c r="A839" s="2">
        <v>346078.0</v>
      </c>
      <c r="B839" s="2" t="s">
        <v>2195</v>
      </c>
      <c r="C839" s="2" t="s">
        <v>2291</v>
      </c>
      <c r="D839" s="2" t="s">
        <v>2292</v>
      </c>
      <c r="E839" s="2" t="s">
        <v>136</v>
      </c>
      <c r="F839" s="2" t="s">
        <v>13</v>
      </c>
      <c r="G839" s="2">
        <v>500.0</v>
      </c>
      <c r="H839" s="3" t="str">
        <f>HYPERLINK("http://www.linkedin.com/pub/rajeev-kak/0/217/491","http://www.linkedin.com/pub/rajeev-kak/0/217/491")</f>
        <v>http://www.linkedin.com/pub/rajeev-kak/0/217/491</v>
      </c>
      <c r="I839" s="2" t="s">
        <v>48</v>
      </c>
      <c r="J839" s="2" t="s">
        <v>102</v>
      </c>
      <c r="K839" s="2" t="s">
        <v>35</v>
      </c>
    </row>
    <row r="840" ht="15.75" customHeight="1">
      <c r="A840" s="2">
        <v>346544.0</v>
      </c>
      <c r="B840" s="2" t="s">
        <v>665</v>
      </c>
      <c r="C840" s="2" t="s">
        <v>2293</v>
      </c>
      <c r="D840" s="2" t="s">
        <v>2294</v>
      </c>
      <c r="E840" s="2" t="s">
        <v>301</v>
      </c>
      <c r="F840" s="2">
        <v>7.0</v>
      </c>
      <c r="G840" s="2">
        <v>500.0</v>
      </c>
      <c r="H840" s="3" t="str">
        <f>HYPERLINK("http://www.linkedin.com/pub/jaime-levit-mcdonald/2/A83/288","http://www.linkedin.com/pub/jaime-levit-mcdonald/2/A83/288")</f>
        <v>http://www.linkedin.com/pub/jaime-levit-mcdonald/2/A83/288</v>
      </c>
      <c r="I840" s="2" t="s">
        <v>105</v>
      </c>
      <c r="J840" s="2" t="s">
        <v>102</v>
      </c>
      <c r="K840" s="2" t="s">
        <v>58</v>
      </c>
    </row>
    <row r="841" ht="15.75" customHeight="1">
      <c r="A841" s="2">
        <v>346610.0</v>
      </c>
      <c r="B841" s="2" t="s">
        <v>2295</v>
      </c>
      <c r="C841" s="2" t="s">
        <v>2296</v>
      </c>
      <c r="D841" s="2" t="s">
        <v>416</v>
      </c>
      <c r="E841" s="2" t="s">
        <v>301</v>
      </c>
      <c r="F841" s="2">
        <v>8.0</v>
      </c>
      <c r="G841" s="2">
        <v>281.0</v>
      </c>
      <c r="H841" s="3" t="str">
        <f>HYPERLINK("http://www.linkedin.com/pub/khauled-tahhan/0/733/925","http://www.linkedin.com/pub/khauled-tahhan/0/733/925")</f>
        <v>http://www.linkedin.com/pub/khauled-tahhan/0/733/925</v>
      </c>
      <c r="I841" s="2" t="s">
        <v>15</v>
      </c>
      <c r="J841" s="2" t="s">
        <v>102</v>
      </c>
      <c r="K841" s="2" t="s">
        <v>35</v>
      </c>
    </row>
    <row r="842" ht="15.75" customHeight="1">
      <c r="A842" s="2">
        <v>347502.0</v>
      </c>
      <c r="B842" s="2" t="s">
        <v>2297</v>
      </c>
      <c r="C842" s="2" t="s">
        <v>2298</v>
      </c>
      <c r="D842" s="2" t="s">
        <v>2299</v>
      </c>
      <c r="E842" s="2" t="s">
        <v>1587</v>
      </c>
      <c r="F842" s="2">
        <v>6.0</v>
      </c>
      <c r="G842" s="2">
        <v>137.0</v>
      </c>
      <c r="H842" s="3" t="str">
        <f>HYPERLINK("http://www.linkedin.com/in/gigumathew","http://www.linkedin.com/in/gigumathew")</f>
        <v>http://www.linkedin.com/in/gigumathew</v>
      </c>
      <c r="I842" s="2" t="s">
        <v>132</v>
      </c>
      <c r="J842" s="2" t="s">
        <v>273</v>
      </c>
      <c r="K842" s="2" t="s">
        <v>29</v>
      </c>
    </row>
    <row r="843" ht="15.75" customHeight="1">
      <c r="A843" s="2">
        <v>347780.0</v>
      </c>
      <c r="B843" s="2" t="s">
        <v>2300</v>
      </c>
      <c r="C843" s="2" t="s">
        <v>2301</v>
      </c>
      <c r="D843" s="2" t="s">
        <v>2302</v>
      </c>
      <c r="E843" s="2" t="s">
        <v>2303</v>
      </c>
      <c r="F843" s="2">
        <v>9.0</v>
      </c>
      <c r="G843" s="2">
        <v>500.0</v>
      </c>
      <c r="H843" s="3" t="str">
        <f>HYPERLINK("http://www.linkedin.com/in/careyllowrey","http://www.linkedin.com/in/careyllowrey")</f>
        <v>http://www.linkedin.com/in/careyllowrey</v>
      </c>
      <c r="I843" s="2" t="s">
        <v>1237</v>
      </c>
      <c r="J843" s="2" t="s">
        <v>273</v>
      </c>
      <c r="K843" s="2" t="s">
        <v>22</v>
      </c>
    </row>
    <row r="844" ht="15.75" customHeight="1">
      <c r="A844" s="2">
        <v>347884.0</v>
      </c>
      <c r="B844" s="2" t="s">
        <v>302</v>
      </c>
      <c r="C844" s="2" t="s">
        <v>2304</v>
      </c>
      <c r="D844" s="2" t="s">
        <v>2305</v>
      </c>
      <c r="E844" s="2" t="s">
        <v>2306</v>
      </c>
      <c r="F844" s="2">
        <v>6.0</v>
      </c>
      <c r="G844" s="2">
        <v>500.0</v>
      </c>
      <c r="H844" s="3" t="str">
        <f>HYPERLINK("http://ca.linkedin.com/in/billbateswins","http://ca.linkedin.com/in/billbateswins")</f>
        <v>http://ca.linkedin.com/in/billbateswins</v>
      </c>
      <c r="I844" s="2" t="s">
        <v>15</v>
      </c>
      <c r="J844" s="2" t="s">
        <v>44</v>
      </c>
      <c r="K844" s="2" t="s">
        <v>35</v>
      </c>
    </row>
    <row r="845" ht="15.75" customHeight="1">
      <c r="A845" s="2">
        <v>347968.0</v>
      </c>
      <c r="B845" s="2" t="s">
        <v>839</v>
      </c>
      <c r="C845" s="2" t="s">
        <v>2307</v>
      </c>
      <c r="D845" s="2"/>
      <c r="E845" s="2" t="s">
        <v>2308</v>
      </c>
      <c r="F845" s="2">
        <v>0.0</v>
      </c>
      <c r="G845" s="2">
        <v>297.0</v>
      </c>
      <c r="H845" s="3" t="str">
        <f>HYPERLINK("http://www.linkedin.com/pub/dave-kocsis/0/223/65","http://www.linkedin.com/pub/dave-kocsis/0/223/65")</f>
        <v>http://www.linkedin.com/pub/dave-kocsis/0/223/65</v>
      </c>
      <c r="I845" s="2" t="s">
        <v>2046</v>
      </c>
      <c r="J845" s="2" t="s">
        <v>273</v>
      </c>
      <c r="K845" s="2" t="s">
        <v>97</v>
      </c>
    </row>
    <row r="846" ht="15.75" customHeight="1">
      <c r="A846" s="2">
        <v>348338.0</v>
      </c>
      <c r="B846" s="2" t="s">
        <v>157</v>
      </c>
      <c r="C846" s="2" t="s">
        <v>2309</v>
      </c>
      <c r="D846" s="2" t="s">
        <v>2310</v>
      </c>
      <c r="E846" s="2" t="s">
        <v>505</v>
      </c>
      <c r="F846" s="2">
        <v>6.0</v>
      </c>
      <c r="G846" s="2">
        <v>500.0</v>
      </c>
      <c r="H846" s="3" t="str">
        <f>HYPERLINK("http://www.linkedin.com/in/jonathanvqpho","http://www.linkedin.com/in/jonathanvqpho")</f>
        <v>http://www.linkedin.com/in/jonathanvqpho</v>
      </c>
      <c r="I846" s="2" t="s">
        <v>440</v>
      </c>
      <c r="J846" s="2" t="s">
        <v>102</v>
      </c>
      <c r="K846" s="2" t="s">
        <v>2062</v>
      </c>
    </row>
    <row r="847" ht="15.75" customHeight="1">
      <c r="A847" s="2">
        <v>348674.0</v>
      </c>
      <c r="B847" s="2" t="s">
        <v>2311</v>
      </c>
      <c r="C847" s="2" t="s">
        <v>2312</v>
      </c>
      <c r="D847" s="2" t="s">
        <v>13</v>
      </c>
      <c r="E847" s="2" t="s">
        <v>716</v>
      </c>
      <c r="F847" s="2">
        <v>1.0</v>
      </c>
      <c r="G847" s="2">
        <v>500.0</v>
      </c>
      <c r="H847" s="2" t="s">
        <v>2313</v>
      </c>
      <c r="I847" s="2" t="s">
        <v>15</v>
      </c>
      <c r="J847" s="2" t="s">
        <v>575</v>
      </c>
      <c r="K847" s="2" t="s">
        <v>22</v>
      </c>
    </row>
    <row r="848" ht="15.75" customHeight="1">
      <c r="A848" s="2">
        <v>348874.0</v>
      </c>
      <c r="B848" s="2" t="s">
        <v>2314</v>
      </c>
      <c r="C848" s="2" t="s">
        <v>2315</v>
      </c>
      <c r="D848" s="2" t="s">
        <v>2316</v>
      </c>
      <c r="E848" s="2" t="s">
        <v>301</v>
      </c>
      <c r="F848" s="2">
        <v>1.0</v>
      </c>
      <c r="G848" s="2">
        <v>500.0</v>
      </c>
      <c r="H848" s="3" t="str">
        <f>HYPERLINK("http://www.linkedin.com/pub/miles-braffett/0/A4/383","http://www.linkedin.com/pub/miles-braffett/0/A4/383")</f>
        <v>http://www.linkedin.com/pub/miles-braffett/0/A4/383</v>
      </c>
      <c r="I848" s="2" t="s">
        <v>910</v>
      </c>
      <c r="J848" s="2" t="s">
        <v>102</v>
      </c>
      <c r="K848" s="2" t="s">
        <v>58</v>
      </c>
    </row>
    <row r="849" ht="15.75" customHeight="1">
      <c r="A849" s="2">
        <v>349562.0</v>
      </c>
      <c r="B849" s="2" t="s">
        <v>1844</v>
      </c>
      <c r="C849" s="2" t="s">
        <v>2317</v>
      </c>
      <c r="D849" s="2" t="s">
        <v>2318</v>
      </c>
      <c r="E849" s="2" t="s">
        <v>2058</v>
      </c>
      <c r="F849" s="2">
        <v>8.0</v>
      </c>
      <c r="G849" s="2">
        <v>380.0</v>
      </c>
      <c r="H849" s="3" t="str">
        <f>HYPERLINK("http://www.linkedin.com/in/marissalopezdonatt","http://www.linkedin.com/in/marissalopezdonatt")</f>
        <v>http://www.linkedin.com/in/marissalopezdonatt</v>
      </c>
      <c r="I849" s="2" t="s">
        <v>1361</v>
      </c>
      <c r="J849" s="2" t="s">
        <v>102</v>
      </c>
      <c r="K849" s="2" t="s">
        <v>2319</v>
      </c>
    </row>
    <row r="850" ht="15.75" customHeight="1">
      <c r="A850" s="2">
        <v>350635.0</v>
      </c>
      <c r="B850" s="2" t="s">
        <v>2320</v>
      </c>
      <c r="C850" s="2" t="s">
        <v>2321</v>
      </c>
      <c r="D850" s="2"/>
      <c r="E850" s="2" t="s">
        <v>2322</v>
      </c>
      <c r="F850" s="2">
        <v>4.0</v>
      </c>
      <c r="G850" s="2">
        <v>500.0</v>
      </c>
      <c r="H850" s="3" t="str">
        <f>HYPERLINK("http://www.linkedin.com/in/garykho","http://www.linkedin.com/in/garykho")</f>
        <v>http://www.linkedin.com/in/garykho</v>
      </c>
      <c r="I850" s="2" t="s">
        <v>188</v>
      </c>
      <c r="J850" s="2" t="s">
        <v>980</v>
      </c>
      <c r="K850" s="2" t="s">
        <v>168</v>
      </c>
    </row>
    <row r="851" ht="15.75" customHeight="1">
      <c r="A851" s="2">
        <v>350751.0</v>
      </c>
      <c r="B851" s="2" t="s">
        <v>133</v>
      </c>
      <c r="C851" s="2" t="s">
        <v>2323</v>
      </c>
      <c r="D851" s="2" t="s">
        <v>2324</v>
      </c>
      <c r="E851" s="2" t="s">
        <v>2325</v>
      </c>
      <c r="F851" s="2">
        <v>24.0</v>
      </c>
      <c r="G851" s="2">
        <v>500.0</v>
      </c>
      <c r="H851" s="3" t="str">
        <f>HYPERLINK("http://au.linkedin.com/pub/michael-lappen/1/8B0/412","http://au.linkedin.com/pub/michael-lappen/1/8B0/412")</f>
        <v>http://au.linkedin.com/pub/michael-lappen/1/8B0/412</v>
      </c>
      <c r="I851" s="2" t="s">
        <v>15</v>
      </c>
      <c r="J851" s="2" t="s">
        <v>337</v>
      </c>
      <c r="K851" s="2" t="s">
        <v>35</v>
      </c>
    </row>
    <row r="852" ht="15.75" customHeight="1">
      <c r="A852" s="2">
        <v>351257.0</v>
      </c>
      <c r="B852" s="2" t="s">
        <v>1087</v>
      </c>
      <c r="C852" s="2" t="s">
        <v>2326</v>
      </c>
      <c r="D852" s="2" t="s">
        <v>114</v>
      </c>
      <c r="E852" s="2" t="s">
        <v>2327</v>
      </c>
      <c r="F852" s="2" t="s">
        <v>13</v>
      </c>
      <c r="G852" s="2">
        <v>500.0</v>
      </c>
      <c r="H852" s="3" t="str">
        <f>HYPERLINK("http://ca.linkedin.com/in/jamesreyespicknell","http://ca.linkedin.com/in/jamesreyespicknell")</f>
        <v>http://ca.linkedin.com/in/jamesreyespicknell</v>
      </c>
      <c r="I852" s="2" t="s">
        <v>57</v>
      </c>
      <c r="J852" s="2" t="s">
        <v>44</v>
      </c>
      <c r="K852" s="2" t="s">
        <v>58</v>
      </c>
    </row>
    <row r="853" ht="15.75" customHeight="1">
      <c r="A853" s="2">
        <v>351556.0</v>
      </c>
      <c r="B853" s="2" t="s">
        <v>2328</v>
      </c>
      <c r="C853" s="2" t="s">
        <v>796</v>
      </c>
      <c r="D853" s="2"/>
      <c r="E853" s="2" t="s">
        <v>278</v>
      </c>
      <c r="F853" s="2">
        <v>0.0</v>
      </c>
      <c r="G853" s="2">
        <v>120.0</v>
      </c>
      <c r="H853" s="3" t="str">
        <f>HYPERLINK("http://www.linkedin.com/in/ethansimon","http://www.linkedin.com/in/ethansimon")</f>
        <v>http://www.linkedin.com/in/ethansimon</v>
      </c>
      <c r="I853" s="2" t="s">
        <v>182</v>
      </c>
      <c r="J853" s="2" t="s">
        <v>28</v>
      </c>
      <c r="K853" s="2" t="s">
        <v>138</v>
      </c>
    </row>
    <row r="854" ht="15.75" customHeight="1">
      <c r="A854" s="2">
        <v>351728.0</v>
      </c>
      <c r="B854" s="2" t="s">
        <v>2329</v>
      </c>
      <c r="C854" s="2" t="s">
        <v>2330</v>
      </c>
      <c r="D854" s="2" t="s">
        <v>13</v>
      </c>
      <c r="E854" s="2" t="s">
        <v>181</v>
      </c>
      <c r="F854" s="2">
        <v>0.0</v>
      </c>
      <c r="G854" s="2">
        <v>500.0</v>
      </c>
      <c r="H854" s="3" t="str">
        <f>HYPERLINK("https://www.linkedin.com/in/paulolemgruber","https://www.linkedin.com/in/paulolemgruber")</f>
        <v>https://www.linkedin.com/in/paulolemgruber</v>
      </c>
      <c r="I854" s="2" t="s">
        <v>326</v>
      </c>
      <c r="J854" s="2" t="s">
        <v>102</v>
      </c>
      <c r="K854" s="2" t="s">
        <v>58</v>
      </c>
    </row>
    <row r="855" ht="15.75" customHeight="1">
      <c r="A855" s="2">
        <v>351871.0</v>
      </c>
      <c r="B855" s="2" t="s">
        <v>1593</v>
      </c>
      <c r="C855" s="2" t="s">
        <v>292</v>
      </c>
      <c r="D855" s="2" t="s">
        <v>2331</v>
      </c>
      <c r="E855" s="2" t="s">
        <v>2332</v>
      </c>
      <c r="F855" s="2" t="s">
        <v>13</v>
      </c>
      <c r="G855" s="2">
        <v>500.0</v>
      </c>
      <c r="H855" s="3" t="str">
        <f>HYPERLINK("http://uk.linkedin.com/in/adamgrahamsmith","http://uk.linkedin.com/in/adamgrahamsmith")</f>
        <v>http://uk.linkedin.com/in/adamgrahamsmith</v>
      </c>
      <c r="I855" s="2" t="s">
        <v>15</v>
      </c>
      <c r="J855" s="2" t="s">
        <v>53</v>
      </c>
      <c r="K855" s="2" t="s">
        <v>196</v>
      </c>
    </row>
    <row r="856" ht="15.75" customHeight="1">
      <c r="A856" s="2">
        <v>351902.0</v>
      </c>
      <c r="B856" s="2" t="s">
        <v>2333</v>
      </c>
      <c r="C856" s="2" t="s">
        <v>664</v>
      </c>
      <c r="D856" s="2" t="s">
        <v>2334</v>
      </c>
      <c r="E856" s="2" t="s">
        <v>748</v>
      </c>
      <c r="F856" s="2">
        <v>5.0</v>
      </c>
      <c r="G856" s="2">
        <v>397.0</v>
      </c>
      <c r="H856" s="3" t="str">
        <f>HYPERLINK("http://www.linkedin.com/in/gloriagordon","http://www.linkedin.com/in/gloriagordon")</f>
        <v>http://www.linkedin.com/in/gloriagordon</v>
      </c>
      <c r="I856" s="2" t="s">
        <v>248</v>
      </c>
      <c r="J856" s="2" t="s">
        <v>28</v>
      </c>
      <c r="K856" s="2" t="s">
        <v>35</v>
      </c>
    </row>
    <row r="857" ht="15.75" customHeight="1">
      <c r="A857" s="2">
        <v>352431.0</v>
      </c>
      <c r="B857" s="2" t="s">
        <v>2335</v>
      </c>
      <c r="C857" s="2" t="s">
        <v>2336</v>
      </c>
      <c r="D857" s="2" t="s">
        <v>13</v>
      </c>
      <c r="E857" s="2" t="s">
        <v>39</v>
      </c>
      <c r="F857" s="2">
        <v>16.0</v>
      </c>
      <c r="G857" s="2">
        <v>500.0</v>
      </c>
      <c r="H857" s="3" t="str">
        <f>HYPERLINK("http://www.linkedin.com/pub/bruno-muniz-de-almeida/0/88b/238","http://www.linkedin.com/pub/bruno-muniz-de-almeida/0/88b/238")</f>
        <v>http://www.linkedin.com/pub/bruno-muniz-de-almeida/0/88b/238</v>
      </c>
      <c r="I857" s="2" t="s">
        <v>231</v>
      </c>
      <c r="J857" s="2" t="s">
        <v>34</v>
      </c>
      <c r="K857" s="2" t="s">
        <v>58</v>
      </c>
    </row>
    <row r="858" ht="15.75" customHeight="1">
      <c r="A858" s="2">
        <v>352742.0</v>
      </c>
      <c r="B858" s="2" t="s">
        <v>2337</v>
      </c>
      <c r="C858" s="2" t="s">
        <v>2338</v>
      </c>
      <c r="D858" s="2" t="s">
        <v>47</v>
      </c>
      <c r="E858" s="2" t="s">
        <v>2339</v>
      </c>
      <c r="F858" s="2">
        <v>20.0</v>
      </c>
      <c r="G858" s="2">
        <v>500.0</v>
      </c>
      <c r="H858" s="3" t="str">
        <f>HYPERLINK("http://www.linkedin.com/in/stephanchehab","http://www.linkedin.com/in/stephanchehab")</f>
        <v>http://www.linkedin.com/in/stephanchehab</v>
      </c>
      <c r="I858" s="2" t="s">
        <v>57</v>
      </c>
      <c r="J858" s="2" t="s">
        <v>2340</v>
      </c>
      <c r="K858" s="2" t="s">
        <v>58</v>
      </c>
    </row>
    <row r="859" ht="15.75" customHeight="1">
      <c r="A859" s="2">
        <v>353154.0</v>
      </c>
      <c r="B859" s="2" t="s">
        <v>788</v>
      </c>
      <c r="C859" s="2" t="s">
        <v>2341</v>
      </c>
      <c r="D859" s="2" t="s">
        <v>13</v>
      </c>
      <c r="E859" s="2" t="s">
        <v>2038</v>
      </c>
      <c r="F859" s="2">
        <v>0.0</v>
      </c>
      <c r="G859" s="2">
        <v>500.0</v>
      </c>
      <c r="H859" s="3" t="str">
        <f>HYPERLINK("http://www.linkedin.com/in/samsethi","http://www.linkedin.com/in/samsethi")</f>
        <v>http://www.linkedin.com/in/samsethi</v>
      </c>
      <c r="I859" s="2" t="s">
        <v>69</v>
      </c>
      <c r="J859" s="2" t="s">
        <v>53</v>
      </c>
      <c r="K859" s="2" t="s">
        <v>35</v>
      </c>
    </row>
    <row r="860" ht="15.75" customHeight="1">
      <c r="A860" s="2">
        <v>353981.0</v>
      </c>
      <c r="B860" s="2" t="s">
        <v>1366</v>
      </c>
      <c r="C860" s="2" t="s">
        <v>2342</v>
      </c>
      <c r="D860" s="2" t="s">
        <v>13</v>
      </c>
      <c r="E860" s="2" t="s">
        <v>2343</v>
      </c>
      <c r="F860" s="2">
        <v>0.0</v>
      </c>
      <c r="G860" s="2">
        <v>500.0</v>
      </c>
      <c r="H860" s="3" t="str">
        <f>HYPERLINK("http://www.linkedin.com/in/petermojica/en","http://www.linkedin.com/in/petermojica/en")</f>
        <v>http://www.linkedin.com/in/petermojica/en</v>
      </c>
      <c r="I860" s="2" t="s">
        <v>15</v>
      </c>
      <c r="J860" s="2" t="s">
        <v>102</v>
      </c>
      <c r="K860" s="2" t="s">
        <v>35</v>
      </c>
    </row>
    <row r="861" ht="15.75" customHeight="1">
      <c r="A861" s="2">
        <v>354282.0</v>
      </c>
      <c r="B861" s="2" t="s">
        <v>839</v>
      </c>
      <c r="C861" s="2" t="s">
        <v>2344</v>
      </c>
      <c r="D861" s="2" t="s">
        <v>2345</v>
      </c>
      <c r="E861" s="2" t="s">
        <v>989</v>
      </c>
      <c r="F861" s="2" t="s">
        <v>13</v>
      </c>
      <c r="G861" s="2">
        <v>500.0</v>
      </c>
      <c r="H861" s="3" t="str">
        <f>HYPERLINK("http://www.linkedin.com/pub/dave-gibson/A/834/498","http://www.linkedin.com/pub/dave-gibson/A/834/498")</f>
        <v>http://www.linkedin.com/pub/dave-gibson/A/834/498</v>
      </c>
      <c r="I861" s="2" t="s">
        <v>15</v>
      </c>
      <c r="J861" s="2" t="s">
        <v>102</v>
      </c>
      <c r="K861" s="2" t="s">
        <v>35</v>
      </c>
    </row>
    <row r="862" ht="15.75" customHeight="1">
      <c r="A862" s="2">
        <v>354549.0</v>
      </c>
      <c r="B862" s="2" t="s">
        <v>2346</v>
      </c>
      <c r="C862" s="2" t="s">
        <v>393</v>
      </c>
      <c r="D862" s="2" t="s">
        <v>400</v>
      </c>
      <c r="E862" s="2" t="s">
        <v>762</v>
      </c>
      <c r="F862" s="2">
        <v>1.0</v>
      </c>
      <c r="G862" s="2">
        <v>409.0</v>
      </c>
      <c r="H862" s="3" t="str">
        <f>HYPERLINK("http://www.linkedin.com/pub/j-t-erickson/0/BA4/B10","http://www.linkedin.com/pub/j-t-erickson/0/BA4/B10")</f>
        <v>http://www.linkedin.com/pub/j-t-erickson/0/BA4/B10</v>
      </c>
      <c r="I862" s="2" t="s">
        <v>69</v>
      </c>
      <c r="J862" s="2" t="s">
        <v>102</v>
      </c>
      <c r="K862" s="2" t="s">
        <v>35</v>
      </c>
    </row>
    <row r="863" ht="15.75" customHeight="1">
      <c r="A863" s="2">
        <v>354730.0</v>
      </c>
      <c r="B863" s="2" t="s">
        <v>2347</v>
      </c>
      <c r="C863" s="2" t="s">
        <v>2348</v>
      </c>
      <c r="D863" s="2" t="s">
        <v>2349</v>
      </c>
      <c r="E863" s="2" t="s">
        <v>762</v>
      </c>
      <c r="F863" s="2" t="s">
        <v>13</v>
      </c>
      <c r="G863" s="2">
        <v>312.0</v>
      </c>
      <c r="H863" s="3" t="str">
        <f>HYPERLINK("http://www.linkedin.com/pub/betty-chomel-betty-chomel-yahoo-com/0/B15/510","http://www.linkedin.com/pub/betty-chomel-betty-chomel-yahoo-com/0/B15/510")</f>
        <v>http://www.linkedin.com/pub/betty-chomel-betty-chomel-yahoo-com/0/B15/510</v>
      </c>
      <c r="I863" s="2" t="s">
        <v>167</v>
      </c>
      <c r="J863" s="2" t="s">
        <v>102</v>
      </c>
      <c r="K863" s="2" t="s">
        <v>58</v>
      </c>
    </row>
    <row r="864" ht="15.75" customHeight="1">
      <c r="A864" s="2">
        <v>356210.0</v>
      </c>
      <c r="B864" s="2" t="s">
        <v>2350</v>
      </c>
      <c r="C864" s="2" t="s">
        <v>2351</v>
      </c>
      <c r="D864" s="2" t="s">
        <v>114</v>
      </c>
      <c r="E864" s="2" t="s">
        <v>2352</v>
      </c>
      <c r="F864" s="2" t="s">
        <v>13</v>
      </c>
      <c r="G864" s="2">
        <v>500.0</v>
      </c>
      <c r="H864" s="3" t="str">
        <f>HYPERLINK("http://ca.linkedin.com/pub/fred-sarkari/6/603/119","http://ca.linkedin.com/pub/fred-sarkari/6/603/119")</f>
        <v>http://ca.linkedin.com/pub/fred-sarkari/6/603/119</v>
      </c>
      <c r="I864" s="2" t="s">
        <v>1390</v>
      </c>
      <c r="J864" s="2" t="s">
        <v>44</v>
      </c>
      <c r="K864" s="2" t="s">
        <v>58</v>
      </c>
    </row>
    <row r="865" ht="15.75" customHeight="1">
      <c r="A865" s="2">
        <v>356322.0</v>
      </c>
      <c r="B865" s="2" t="s">
        <v>2353</v>
      </c>
      <c r="C865" s="2" t="s">
        <v>2354</v>
      </c>
      <c r="D865" s="2" t="s">
        <v>2355</v>
      </c>
      <c r="E865" s="2" t="s">
        <v>136</v>
      </c>
      <c r="F865" s="2">
        <v>10.0</v>
      </c>
      <c r="G865" s="2">
        <v>500.0</v>
      </c>
      <c r="H865" s="3" t="str">
        <f>HYPERLINK("http://ca.linkedin.com/in/sarahthomson","http://ca.linkedin.com/in/sarahthomson")</f>
        <v>http://ca.linkedin.com/in/sarahthomson</v>
      </c>
      <c r="I865" s="2" t="s">
        <v>143</v>
      </c>
      <c r="J865" s="2" t="s">
        <v>102</v>
      </c>
      <c r="K865" s="2" t="s">
        <v>35</v>
      </c>
    </row>
    <row r="866" ht="15.75" customHeight="1">
      <c r="A866" s="2">
        <v>356769.0</v>
      </c>
      <c r="B866" s="2" t="s">
        <v>631</v>
      </c>
      <c r="C866" s="2" t="s">
        <v>2356</v>
      </c>
      <c r="D866" s="2" t="s">
        <v>2357</v>
      </c>
      <c r="E866" s="2" t="s">
        <v>136</v>
      </c>
      <c r="F866" s="2">
        <v>9.0</v>
      </c>
      <c r="G866" s="2">
        <v>500.0</v>
      </c>
      <c r="H866" s="3" t="str">
        <f>HYPERLINK("http://www.linkedin.com/in/christophercbadger","http://www.linkedin.com/in/christophercbadger")</f>
        <v>http://www.linkedin.com/in/christophercbadger</v>
      </c>
      <c r="I866" s="2" t="s">
        <v>15</v>
      </c>
      <c r="J866" s="2" t="s">
        <v>102</v>
      </c>
      <c r="K866" s="2" t="s">
        <v>35</v>
      </c>
    </row>
    <row r="867" ht="15.75" customHeight="1">
      <c r="A867" s="2">
        <v>356825.0</v>
      </c>
      <c r="B867" s="2" t="s">
        <v>1015</v>
      </c>
      <c r="C867" s="2" t="s">
        <v>2358</v>
      </c>
      <c r="D867" s="2" t="s">
        <v>2359</v>
      </c>
      <c r="E867" s="2" t="s">
        <v>166</v>
      </c>
      <c r="F867" s="2">
        <v>7.0</v>
      </c>
      <c r="G867" s="2">
        <v>500.0</v>
      </c>
      <c r="H867" s="3" t="str">
        <f>HYPERLINK("http://www.linkedin.com/in/briangarrison","http://www.linkedin.com/in/briangarrison")</f>
        <v>http://www.linkedin.com/in/briangarrison</v>
      </c>
      <c r="I867" s="2" t="s">
        <v>167</v>
      </c>
      <c r="J867" s="2" t="s">
        <v>102</v>
      </c>
      <c r="K867" s="2" t="s">
        <v>58</v>
      </c>
    </row>
    <row r="868" ht="15.75" customHeight="1">
      <c r="A868" s="2">
        <v>356925.0</v>
      </c>
      <c r="B868" s="2" t="s">
        <v>2117</v>
      </c>
      <c r="C868" s="2" t="s">
        <v>2360</v>
      </c>
      <c r="D868" s="2" t="s">
        <v>2361</v>
      </c>
      <c r="E868" s="2" t="s">
        <v>247</v>
      </c>
      <c r="F868" s="2">
        <v>3.0</v>
      </c>
      <c r="G868" s="2">
        <v>154.0</v>
      </c>
      <c r="H868" s="3" t="str">
        <f>HYPERLINK("http://ca.linkedin.com/pub/cheryl-wilcox-etzel/10/429/600","http://ca.linkedin.com/pub/cheryl-wilcox-etzel/10/429/600")</f>
        <v>http://ca.linkedin.com/pub/cheryl-wilcox-etzel/10/429/600</v>
      </c>
      <c r="I868" s="2" t="s">
        <v>2362</v>
      </c>
      <c r="J868" s="2" t="s">
        <v>44</v>
      </c>
      <c r="K868" s="2" t="s">
        <v>29</v>
      </c>
    </row>
    <row r="869" ht="15.75" customHeight="1">
      <c r="A869" s="2">
        <v>357731.0</v>
      </c>
      <c r="B869" s="2" t="s">
        <v>2363</v>
      </c>
      <c r="C869" s="2" t="s">
        <v>1602</v>
      </c>
      <c r="D869" s="2"/>
      <c r="E869" s="2" t="s">
        <v>2035</v>
      </c>
      <c r="F869" s="2">
        <v>2.0</v>
      </c>
      <c r="G869" s="2">
        <v>221.0</v>
      </c>
      <c r="H869" s="3" t="str">
        <f>HYPERLINK("http://www.linkedin.com/in/venkyvm","http://www.linkedin.com/in/venkyvm")</f>
        <v>http://www.linkedin.com/in/venkyvm</v>
      </c>
      <c r="I869" s="2" t="s">
        <v>115</v>
      </c>
      <c r="J869" s="2" t="s">
        <v>273</v>
      </c>
      <c r="K869" s="2" t="s">
        <v>35</v>
      </c>
    </row>
    <row r="870" ht="15.75" customHeight="1">
      <c r="A870" s="2">
        <v>357928.0</v>
      </c>
      <c r="B870" s="2" t="s">
        <v>1743</v>
      </c>
      <c r="C870" s="2" t="s">
        <v>2364</v>
      </c>
      <c r="D870" s="2" t="s">
        <v>2365</v>
      </c>
      <c r="E870" s="2" t="s">
        <v>2366</v>
      </c>
      <c r="F870" s="2">
        <v>0.0</v>
      </c>
      <c r="G870" s="2">
        <v>41.0</v>
      </c>
      <c r="H870" s="3" t="str">
        <f>HYPERLINK("http://www.linkedin.com/pub/m-cannelli/6/564/636","http://www.linkedin.com/pub/m-cannelli/6/564/636")</f>
        <v>http://www.linkedin.com/pub/m-cannelli/6/564/636</v>
      </c>
      <c r="I870" s="2" t="s">
        <v>172</v>
      </c>
      <c r="J870" s="2" t="s">
        <v>273</v>
      </c>
      <c r="K870" s="2" t="s">
        <v>97</v>
      </c>
    </row>
    <row r="871" ht="15.75" customHeight="1">
      <c r="A871" s="2">
        <v>357992.0</v>
      </c>
      <c r="B871" s="2" t="s">
        <v>2367</v>
      </c>
      <c r="C871" s="2" t="s">
        <v>2368</v>
      </c>
      <c r="D871" s="2" t="s">
        <v>2369</v>
      </c>
      <c r="E871" s="2" t="s">
        <v>301</v>
      </c>
      <c r="F871" s="2" t="s">
        <v>13</v>
      </c>
      <c r="G871" s="2">
        <v>368.0</v>
      </c>
      <c r="H871" s="3" t="str">
        <f>HYPERLINK("http://www.linkedin.com/in/helenfuller","http://www.linkedin.com/in/helenfuller")</f>
        <v>http://www.linkedin.com/in/helenfuller</v>
      </c>
      <c r="I871" s="2" t="s">
        <v>844</v>
      </c>
      <c r="J871" s="2" t="s">
        <v>102</v>
      </c>
      <c r="K871" s="2" t="s">
        <v>58</v>
      </c>
    </row>
    <row r="872" ht="15.75" customHeight="1">
      <c r="A872" s="2">
        <v>358069.0</v>
      </c>
      <c r="B872" s="2" t="s">
        <v>2370</v>
      </c>
      <c r="C872" s="2" t="s">
        <v>1705</v>
      </c>
      <c r="D872" s="2" t="s">
        <v>2371</v>
      </c>
      <c r="E872" s="2" t="s">
        <v>2372</v>
      </c>
      <c r="F872" s="2">
        <v>14.0</v>
      </c>
      <c r="G872" s="2">
        <v>500.0</v>
      </c>
      <c r="H872" s="3" t="str">
        <f>HYPERLINK("http://www.linkedin.com/pub/tarundeep-kaur/11/216/A0","http://www.linkedin.com/pub/tarundeep-kaur/11/216/A0")</f>
        <v>http://www.linkedin.com/pub/tarundeep-kaur/11/216/A0</v>
      </c>
      <c r="I872" s="2" t="s">
        <v>15</v>
      </c>
      <c r="J872" s="2" t="s">
        <v>273</v>
      </c>
      <c r="K872" s="2" t="s">
        <v>2373</v>
      </c>
    </row>
    <row r="873" ht="15.75" customHeight="1">
      <c r="A873" s="2">
        <v>358239.0</v>
      </c>
      <c r="B873" s="2" t="s">
        <v>2374</v>
      </c>
      <c r="C873" s="2" t="s">
        <v>2375</v>
      </c>
      <c r="D873" s="2" t="s">
        <v>2376</v>
      </c>
      <c r="E873" s="2" t="s">
        <v>2377</v>
      </c>
      <c r="F873" s="2">
        <v>1.0</v>
      </c>
      <c r="G873" s="2">
        <v>500.0</v>
      </c>
      <c r="H873" s="3" t="str">
        <f>HYPERLINK("http://www.linkedin.com/pub/major-general-erika-steuterman-usaf-ret/1/2b1/a74","http://www.linkedin.com/pub/major-general-erika-steuterman-usaf-ret/1/2b1/a74")</f>
        <v>http://www.linkedin.com/pub/major-general-erika-steuterman-usaf-ret/1/2b1/a74</v>
      </c>
      <c r="I873" s="2" t="s">
        <v>2000</v>
      </c>
      <c r="J873" s="2" t="s">
        <v>87</v>
      </c>
      <c r="K873" s="2" t="s">
        <v>357</v>
      </c>
    </row>
    <row r="874" ht="15.75" customHeight="1">
      <c r="A874" s="2">
        <v>358539.0</v>
      </c>
      <c r="B874" s="2" t="s">
        <v>2378</v>
      </c>
      <c r="C874" s="2" t="s">
        <v>2379</v>
      </c>
      <c r="D874" s="2" t="s">
        <v>2380</v>
      </c>
      <c r="E874" s="2" t="s">
        <v>909</v>
      </c>
      <c r="F874" s="2">
        <v>6.0</v>
      </c>
      <c r="G874" s="2">
        <v>500.0</v>
      </c>
      <c r="H874" s="3" t="str">
        <f>HYPERLINK("http://www.linkedin.com/pub/venkata-chekka/11/649/8A0","http://www.linkedin.com/pub/venkata-chekka/11/649/8A0")</f>
        <v>http://www.linkedin.com/pub/venkata-chekka/11/649/8A0</v>
      </c>
      <c r="I874" s="2" t="s">
        <v>1679</v>
      </c>
      <c r="J874" s="2" t="s">
        <v>273</v>
      </c>
      <c r="K874" s="2" t="s">
        <v>58</v>
      </c>
    </row>
    <row r="875" ht="15.75" customHeight="1">
      <c r="A875" s="2">
        <v>358814.0</v>
      </c>
      <c r="B875" s="2" t="s">
        <v>631</v>
      </c>
      <c r="C875" s="2" t="s">
        <v>399</v>
      </c>
      <c r="D875" s="2" t="s">
        <v>42</v>
      </c>
      <c r="E875" s="2" t="s">
        <v>882</v>
      </c>
      <c r="F875" s="2" t="s">
        <v>13</v>
      </c>
      <c r="G875" s="2">
        <v>146.0</v>
      </c>
      <c r="H875" s="3" t="str">
        <f>HYPERLINK("http://www.linkedin.com/pub/chris-johnson/0/93B/298","http://www.linkedin.com/pub/chris-johnson/0/93B/298")</f>
        <v>http://www.linkedin.com/pub/chris-johnson/0/93B/298</v>
      </c>
      <c r="I875" s="2" t="s">
        <v>1361</v>
      </c>
      <c r="J875" s="2" t="s">
        <v>102</v>
      </c>
      <c r="K875" s="2" t="s">
        <v>58</v>
      </c>
    </row>
    <row r="876" ht="15.75" customHeight="1">
      <c r="A876" s="2">
        <v>358883.0</v>
      </c>
      <c r="B876" s="2" t="s">
        <v>2381</v>
      </c>
      <c r="C876" s="2" t="s">
        <v>2382</v>
      </c>
      <c r="D876" s="2" t="s">
        <v>13</v>
      </c>
      <c r="E876" s="2" t="s">
        <v>403</v>
      </c>
      <c r="F876" s="2">
        <v>0.0</v>
      </c>
      <c r="G876" s="2">
        <v>500.0</v>
      </c>
      <c r="H876" s="3" t="str">
        <f>HYPERLINK("http://www.linkedin.com/pub/filiz-tumer-rcic/3/933/52","http://www.linkedin.com/pub/filiz-tumer-rcic/3/933/52")</f>
        <v>http://www.linkedin.com/pub/filiz-tumer-rcic/3/933/52</v>
      </c>
      <c r="I876" s="2" t="s">
        <v>621</v>
      </c>
      <c r="J876" s="2" t="s">
        <v>44</v>
      </c>
      <c r="K876" s="2" t="s">
        <v>58</v>
      </c>
    </row>
    <row r="877" ht="15.75" customHeight="1">
      <c r="A877" s="2">
        <v>358947.0</v>
      </c>
      <c r="B877" s="2" t="s">
        <v>2383</v>
      </c>
      <c r="C877" s="2" t="s">
        <v>2384</v>
      </c>
      <c r="D877" s="2" t="s">
        <v>2385</v>
      </c>
      <c r="E877" s="2" t="s">
        <v>101</v>
      </c>
      <c r="F877" s="2">
        <v>19.0</v>
      </c>
      <c r="G877" s="2">
        <v>500.0</v>
      </c>
      <c r="H877" s="3" t="str">
        <f>HYPERLINK("http://www.linkedin.com/in/shawnpacelypmp","http://www.linkedin.com/in/shawnpacelypmp")</f>
        <v>http://www.linkedin.com/in/shawnpacelypmp</v>
      </c>
      <c r="I877" s="2" t="s">
        <v>15</v>
      </c>
      <c r="J877" s="2" t="s">
        <v>102</v>
      </c>
      <c r="K877" s="2" t="s">
        <v>35</v>
      </c>
    </row>
    <row r="878" ht="15.75" customHeight="1">
      <c r="A878" s="2">
        <v>358983.0</v>
      </c>
      <c r="B878" s="2" t="s">
        <v>2386</v>
      </c>
      <c r="C878" s="2" t="s">
        <v>399</v>
      </c>
      <c r="D878" s="2" t="s">
        <v>47</v>
      </c>
      <c r="E878" s="2" t="s">
        <v>235</v>
      </c>
      <c r="F878" s="2" t="s">
        <v>13</v>
      </c>
      <c r="G878" s="2">
        <v>500.0</v>
      </c>
      <c r="H878" s="3" t="str">
        <f>HYPERLINK("http://www.linkedin.com/in/landonjohnson","http://www.linkedin.com/in/landonjohnson")</f>
        <v>http://www.linkedin.com/in/landonjohnson</v>
      </c>
      <c r="I878" s="2" t="s">
        <v>57</v>
      </c>
      <c r="J878" s="2" t="s">
        <v>102</v>
      </c>
      <c r="K878" s="2" t="s">
        <v>58</v>
      </c>
    </row>
    <row r="879" ht="15.75" customHeight="1">
      <c r="A879" s="2">
        <v>359189.0</v>
      </c>
      <c r="B879" s="2" t="s">
        <v>2387</v>
      </c>
      <c r="C879" s="2" t="s">
        <v>2388</v>
      </c>
      <c r="D879" s="2" t="s">
        <v>2389</v>
      </c>
      <c r="E879" s="2" t="s">
        <v>909</v>
      </c>
      <c r="F879" s="2">
        <v>14.0</v>
      </c>
      <c r="G879" s="2">
        <v>500.0</v>
      </c>
      <c r="H879" s="3" t="str">
        <f>HYPERLINK("http://www.linkedin.com/in/rawatshefali","http://www.linkedin.com/in/rawatshefali")</f>
        <v>http://www.linkedin.com/in/rawatshefali</v>
      </c>
      <c r="I879" s="2" t="s">
        <v>248</v>
      </c>
      <c r="J879" s="2" t="s">
        <v>273</v>
      </c>
      <c r="K879" s="2" t="s">
        <v>2390</v>
      </c>
    </row>
    <row r="880" ht="15.75" customHeight="1">
      <c r="A880" s="2">
        <v>359855.0</v>
      </c>
      <c r="B880" s="2" t="s">
        <v>2391</v>
      </c>
      <c r="C880" s="2" t="s">
        <v>2392</v>
      </c>
      <c r="D880" s="2" t="s">
        <v>2393</v>
      </c>
      <c r="E880" s="2" t="s">
        <v>713</v>
      </c>
      <c r="F880" s="2">
        <v>1.0</v>
      </c>
      <c r="G880" s="2">
        <v>406.0</v>
      </c>
      <c r="H880" s="3" t="str">
        <f>HYPERLINK("http://www.linkedin.com/pub/jenna-fleming/3/97A/8B3","http://www.linkedin.com/pub/jenna-fleming/3/97A/8B3")</f>
        <v>http://www.linkedin.com/pub/jenna-fleming/3/97A/8B3</v>
      </c>
      <c r="I880" s="2" t="s">
        <v>240</v>
      </c>
      <c r="J880" s="2" t="s">
        <v>102</v>
      </c>
      <c r="K880" s="2" t="s">
        <v>1191</v>
      </c>
    </row>
    <row r="881" ht="15.75" customHeight="1">
      <c r="A881" s="2">
        <v>360175.0</v>
      </c>
      <c r="B881" s="2" t="s">
        <v>1071</v>
      </c>
      <c r="C881" s="2" t="s">
        <v>2394</v>
      </c>
      <c r="D881" s="2" t="s">
        <v>2395</v>
      </c>
      <c r="E881" s="2" t="s">
        <v>142</v>
      </c>
      <c r="F881" s="2">
        <v>3.0</v>
      </c>
      <c r="G881" s="2">
        <v>400.0</v>
      </c>
      <c r="H881" s="3" t="str">
        <f>HYPERLINK("http://www.linkedin.com/pub/eric-jamieson/1/391/18","http://www.linkedin.com/pub/eric-jamieson/1/391/18")</f>
        <v>http://www.linkedin.com/pub/eric-jamieson/1/391/18</v>
      </c>
      <c r="I881" s="2" t="s">
        <v>105</v>
      </c>
      <c r="J881" s="2" t="s">
        <v>144</v>
      </c>
      <c r="K881" s="2" t="s">
        <v>357</v>
      </c>
    </row>
    <row r="882" ht="15.75" customHeight="1">
      <c r="A882" s="2">
        <v>360713.0</v>
      </c>
      <c r="B882" s="2" t="s">
        <v>2396</v>
      </c>
      <c r="C882" s="2" t="s">
        <v>2397</v>
      </c>
      <c r="D882" s="2" t="s">
        <v>2398</v>
      </c>
      <c r="E882" s="2" t="s">
        <v>1288</v>
      </c>
      <c r="F882" s="2" t="s">
        <v>13</v>
      </c>
      <c r="G882" s="2">
        <v>500.0</v>
      </c>
      <c r="H882" s="3" t="str">
        <f>HYPERLINK("http://uk.linkedin.com/in/adriancho","http://uk.linkedin.com/in/adriancho")</f>
        <v>http://uk.linkedin.com/in/adriancho</v>
      </c>
      <c r="I882" s="2" t="s">
        <v>115</v>
      </c>
      <c r="J882" s="2" t="s">
        <v>53</v>
      </c>
      <c r="K882" s="2" t="s">
        <v>58</v>
      </c>
    </row>
    <row r="883" ht="15.75" customHeight="1">
      <c r="A883" s="2">
        <v>361087.0</v>
      </c>
      <c r="B883" s="2" t="s">
        <v>2399</v>
      </c>
      <c r="C883" s="2" t="s">
        <v>1157</v>
      </c>
      <c r="D883" s="2" t="s">
        <v>2400</v>
      </c>
      <c r="E883" s="2" t="s">
        <v>1334</v>
      </c>
      <c r="F883" s="2">
        <v>0.0</v>
      </c>
      <c r="G883" s="2">
        <v>121.0</v>
      </c>
      <c r="H883" s="3" t="str">
        <f>HYPERLINK("http://www.linkedin.com/pub/vincent-howard/1/3B0/9A4","http://www.linkedin.com/pub/vincent-howard/1/3B0/9A4")</f>
        <v>http://www.linkedin.com/pub/vincent-howard/1/3B0/9A4</v>
      </c>
      <c r="I883" s="2" t="s">
        <v>663</v>
      </c>
      <c r="J883" s="2" t="s">
        <v>16</v>
      </c>
      <c r="K883" s="2" t="s">
        <v>522</v>
      </c>
    </row>
    <row r="884" ht="15.75" customHeight="1">
      <c r="A884" s="2">
        <v>361426.0</v>
      </c>
      <c r="B884" s="2" t="s">
        <v>302</v>
      </c>
      <c r="C884" s="2" t="s">
        <v>2401</v>
      </c>
      <c r="D884" s="2" t="s">
        <v>2402</v>
      </c>
      <c r="E884" s="2" t="s">
        <v>2403</v>
      </c>
      <c r="F884" s="2">
        <v>1.0</v>
      </c>
      <c r="G884" s="2">
        <v>500.0</v>
      </c>
      <c r="H884" s="3" t="str">
        <f>HYPERLINK("http://www.linkedin.com/pub/bill-docherty/2/520/AA6","http://www.linkedin.com/pub/bill-docherty/2/520/AA6")</f>
        <v>http://www.linkedin.com/pub/bill-docherty/2/520/AA6</v>
      </c>
      <c r="I884" s="2" t="s">
        <v>48</v>
      </c>
      <c r="J884" s="2" t="s">
        <v>102</v>
      </c>
      <c r="K884" s="2" t="s">
        <v>35</v>
      </c>
    </row>
    <row r="885" ht="15.75" customHeight="1">
      <c r="A885" s="2">
        <v>361539.0</v>
      </c>
      <c r="B885" s="2" t="s">
        <v>2404</v>
      </c>
      <c r="C885" s="2" t="s">
        <v>2405</v>
      </c>
      <c r="D885" s="2" t="s">
        <v>2406</v>
      </c>
      <c r="E885" s="2" t="s">
        <v>2407</v>
      </c>
      <c r="F885" s="2">
        <v>5.0</v>
      </c>
      <c r="G885" s="2">
        <v>500.0</v>
      </c>
      <c r="H885" s="3" t="str">
        <f>HYPERLINK("http://ca.linkedin.com/in/jjgauvin","http://ca.linkedin.com/in/jjgauvin")</f>
        <v>http://ca.linkedin.com/in/jjgauvin</v>
      </c>
      <c r="I885" s="2" t="s">
        <v>15</v>
      </c>
      <c r="J885" s="2" t="s">
        <v>44</v>
      </c>
      <c r="K885" s="2" t="s">
        <v>35</v>
      </c>
    </row>
    <row r="886" ht="15.75" customHeight="1">
      <c r="A886" s="2">
        <v>361630.0</v>
      </c>
      <c r="B886" s="2" t="s">
        <v>754</v>
      </c>
      <c r="C886" s="2" t="s">
        <v>2408</v>
      </c>
      <c r="D886" s="2" t="s">
        <v>13</v>
      </c>
      <c r="E886" s="2" t="s">
        <v>403</v>
      </c>
      <c r="F886" s="2">
        <v>0.0</v>
      </c>
      <c r="G886" s="2">
        <v>500.0</v>
      </c>
      <c r="H886" s="3" t="str">
        <f>HYPERLINK("http://www.linkedin.com/pub/greg-stremlaw/2/2a6/975","http://www.linkedin.com/pub/greg-stremlaw/2/2a6/975")</f>
        <v>http://www.linkedin.com/pub/greg-stremlaw/2/2a6/975</v>
      </c>
      <c r="I886" s="2" t="s">
        <v>1698</v>
      </c>
      <c r="J886" s="2" t="s">
        <v>44</v>
      </c>
      <c r="K886" s="2" t="s">
        <v>58</v>
      </c>
    </row>
    <row r="887" ht="15.75" customHeight="1">
      <c r="A887" s="2">
        <v>361983.0</v>
      </c>
      <c r="B887" s="2" t="s">
        <v>2409</v>
      </c>
      <c r="C887" s="2" t="s">
        <v>2410</v>
      </c>
      <c r="D887" s="2" t="s">
        <v>2345</v>
      </c>
      <c r="E887" s="2" t="s">
        <v>136</v>
      </c>
      <c r="F887" s="2">
        <v>21.0</v>
      </c>
      <c r="G887" s="2">
        <v>500.0</v>
      </c>
      <c r="H887" s="3" t="str">
        <f>HYPERLINK("http://www.linkedin.com/pub/laura-brown/0/7B3/32A","http://www.linkedin.com/pub/laura-brown/0/7B3/32A")</f>
        <v>http://www.linkedin.com/pub/laura-brown/0/7B3/32A</v>
      </c>
      <c r="I887" s="2" t="s">
        <v>15</v>
      </c>
      <c r="J887" s="2" t="s">
        <v>102</v>
      </c>
      <c r="K887" s="2" t="s">
        <v>35</v>
      </c>
    </row>
    <row r="888" ht="15.75" customHeight="1">
      <c r="A888" s="2">
        <v>362235.0</v>
      </c>
      <c r="B888" s="2" t="s">
        <v>2411</v>
      </c>
      <c r="C888" s="2" t="s">
        <v>2412</v>
      </c>
      <c r="D888" s="2" t="s">
        <v>2413</v>
      </c>
      <c r="E888" s="2" t="s">
        <v>706</v>
      </c>
      <c r="F888" s="2">
        <v>3.0</v>
      </c>
      <c r="G888" s="2">
        <v>500.0</v>
      </c>
      <c r="H888" s="3" t="str">
        <f>HYPERLINK("http://www.linkedin.com/pub/osmar-bmw-junior/20/AB3/90A","http://www.linkedin.com/pub/osmar-bmw-junior/20/AB3/90A")</f>
        <v>http://www.linkedin.com/pub/osmar-bmw-junior/20/AB3/90A</v>
      </c>
      <c r="I888" s="2" t="s">
        <v>1679</v>
      </c>
      <c r="J888" s="2" t="s">
        <v>34</v>
      </c>
      <c r="K888" s="2" t="s">
        <v>97</v>
      </c>
    </row>
    <row r="889" ht="15.75" customHeight="1">
      <c r="A889" s="2">
        <v>362363.0</v>
      </c>
      <c r="B889" s="2" t="s">
        <v>2414</v>
      </c>
      <c r="C889" s="2" t="s">
        <v>2415</v>
      </c>
      <c r="D889" s="2" t="s">
        <v>2416</v>
      </c>
      <c r="E889" s="2" t="s">
        <v>2058</v>
      </c>
      <c r="F889" s="2">
        <v>3.0</v>
      </c>
      <c r="G889" s="2">
        <v>500.0</v>
      </c>
      <c r="H889" s="3" t="str">
        <f>HYPERLINK("http://www.linkedin.com/in/beckydesouza","http://www.linkedin.com/in/beckydesouza")</f>
        <v>http://www.linkedin.com/in/beckydesouza</v>
      </c>
      <c r="I889" s="2" t="s">
        <v>2241</v>
      </c>
      <c r="J889" s="2" t="s">
        <v>102</v>
      </c>
      <c r="K889" s="2" t="s">
        <v>729</v>
      </c>
    </row>
    <row r="890" ht="15.75" customHeight="1">
      <c r="A890" s="2">
        <v>362488.0</v>
      </c>
      <c r="B890" s="2" t="s">
        <v>490</v>
      </c>
      <c r="C890" s="2" t="s">
        <v>2417</v>
      </c>
      <c r="D890" s="2"/>
      <c r="E890" s="2" t="s">
        <v>2418</v>
      </c>
      <c r="F890" s="2">
        <v>1.0</v>
      </c>
      <c r="G890" s="2">
        <v>91.0</v>
      </c>
      <c r="H890" s="3" t="str">
        <f>HYPERLINK("http://www.linkedin.com/in/nicholaspritchett","http://www.linkedin.com/in/nicholaspritchett")</f>
        <v>http://www.linkedin.com/in/nicholaspritchett</v>
      </c>
      <c r="I890" s="2" t="s">
        <v>2419</v>
      </c>
      <c r="J890" s="2" t="s">
        <v>16</v>
      </c>
      <c r="K890" s="2" t="s">
        <v>522</v>
      </c>
    </row>
    <row r="891" ht="15.75" customHeight="1">
      <c r="A891" s="2">
        <v>362896.0</v>
      </c>
      <c r="B891" s="2" t="s">
        <v>2420</v>
      </c>
      <c r="C891" s="2" t="s">
        <v>2421</v>
      </c>
      <c r="D891" s="2" t="s">
        <v>2422</v>
      </c>
      <c r="E891" s="2" t="s">
        <v>235</v>
      </c>
      <c r="F891" s="2">
        <v>12.0</v>
      </c>
      <c r="G891" s="2">
        <v>500.0</v>
      </c>
      <c r="H891" s="3" t="str">
        <f>HYPERLINK("http://www.linkedin.com/in/tienwong","http://www.linkedin.com/in/tienwong")</f>
        <v>http://www.linkedin.com/in/tienwong</v>
      </c>
      <c r="I891" s="2" t="s">
        <v>15</v>
      </c>
      <c r="J891" s="2" t="s">
        <v>102</v>
      </c>
      <c r="K891" s="2" t="s">
        <v>35</v>
      </c>
    </row>
    <row r="892" ht="15.75" customHeight="1">
      <c r="A892" s="2">
        <v>363246.0</v>
      </c>
      <c r="B892" s="2" t="s">
        <v>2423</v>
      </c>
      <c r="C892" s="2" t="s">
        <v>2424</v>
      </c>
      <c r="D892" s="2" t="s">
        <v>2425</v>
      </c>
      <c r="E892" s="2" t="s">
        <v>2426</v>
      </c>
      <c r="F892" s="2">
        <v>6.0</v>
      </c>
      <c r="G892" s="2">
        <v>500.0</v>
      </c>
      <c r="H892" s="3" t="str">
        <f>HYPERLINK("http://www.linkedin.com/in/kurtconrath","http://www.linkedin.com/in/kurtconrath")</f>
        <v>http://www.linkedin.com/in/kurtconrath</v>
      </c>
      <c r="I892" s="2" t="s">
        <v>172</v>
      </c>
      <c r="J892" s="2" t="s">
        <v>102</v>
      </c>
      <c r="K892" s="2" t="s">
        <v>1176</v>
      </c>
    </row>
    <row r="893" ht="15.75" customHeight="1">
      <c r="A893" s="2">
        <v>364087.0</v>
      </c>
      <c r="B893" s="2" t="s">
        <v>2427</v>
      </c>
      <c r="C893" s="2" t="s">
        <v>2428</v>
      </c>
      <c r="D893" s="2" t="s">
        <v>13</v>
      </c>
      <c r="E893" s="2" t="s">
        <v>122</v>
      </c>
      <c r="F893" s="2">
        <v>62.0</v>
      </c>
      <c r="G893" s="2">
        <v>500.0</v>
      </c>
      <c r="H893" s="3" t="str">
        <f>HYPERLINK("http://www.linkedin.com/in/rafkeustermans","http://www.linkedin.com/in/rafkeustermans")</f>
        <v>http://www.linkedin.com/in/rafkeustermans</v>
      </c>
      <c r="I893" s="2" t="s">
        <v>143</v>
      </c>
      <c r="J893" s="2" t="s">
        <v>53</v>
      </c>
      <c r="K893" s="2" t="s">
        <v>35</v>
      </c>
    </row>
    <row r="894" ht="15.75" customHeight="1">
      <c r="A894" s="2">
        <v>364090.0</v>
      </c>
      <c r="B894" s="2" t="s">
        <v>845</v>
      </c>
      <c r="C894" s="2" t="s">
        <v>1588</v>
      </c>
      <c r="D894" s="2" t="s">
        <v>13</v>
      </c>
      <c r="E894" s="2" t="s">
        <v>2429</v>
      </c>
      <c r="F894" s="2">
        <v>0.0</v>
      </c>
      <c r="G894" s="2">
        <v>500.0</v>
      </c>
      <c r="H894" s="3" t="str">
        <f>HYPERLINK("http://www.linkedin.com/in/dbbarnes","http://www.linkedin.com/in/dbbarnes")</f>
        <v>http://www.linkedin.com/in/dbbarnes</v>
      </c>
      <c r="I894" s="2" t="s">
        <v>15</v>
      </c>
      <c r="J894" s="2" t="s">
        <v>102</v>
      </c>
      <c r="K894" s="2" t="s">
        <v>35</v>
      </c>
    </row>
    <row r="895" ht="15.75" customHeight="1">
      <c r="A895" s="2">
        <v>364442.0</v>
      </c>
      <c r="B895" s="2" t="s">
        <v>721</v>
      </c>
      <c r="C895" s="2" t="s">
        <v>2430</v>
      </c>
      <c r="D895" s="2"/>
      <c r="E895" s="2" t="s">
        <v>2431</v>
      </c>
      <c r="F895" s="2">
        <v>1.0</v>
      </c>
      <c r="G895" s="2">
        <v>366.0</v>
      </c>
      <c r="H895" s="3" t="str">
        <f>HYPERLINK("http://www.linkedin.com/pub/andrew-cline/1/814/109","http://www.linkedin.com/pub/andrew-cline/1/814/109")</f>
        <v>http://www.linkedin.com/pub/andrew-cline/1/814/109</v>
      </c>
      <c r="I895" s="2" t="s">
        <v>96</v>
      </c>
      <c r="J895" s="2" t="s">
        <v>273</v>
      </c>
      <c r="K895" s="2" t="s">
        <v>58</v>
      </c>
    </row>
    <row r="896" ht="15.75" customHeight="1">
      <c r="A896" s="2">
        <v>364610.0</v>
      </c>
      <c r="B896" s="2" t="s">
        <v>2432</v>
      </c>
      <c r="C896" s="2" t="s">
        <v>2433</v>
      </c>
      <c r="D896" s="2" t="s">
        <v>400</v>
      </c>
      <c r="E896" s="2" t="s">
        <v>808</v>
      </c>
      <c r="F896" s="2" t="s">
        <v>13</v>
      </c>
      <c r="G896" s="2">
        <v>259.0</v>
      </c>
      <c r="H896" s="3" t="str">
        <f>HYPERLINK("http://www.linkedin.com/pub/bhanu-gottipati/1/929/579","http://www.linkedin.com/pub/bhanu-gottipati/1/929/579")</f>
        <v>http://www.linkedin.com/pub/bhanu-gottipati/1/929/579</v>
      </c>
      <c r="I896" s="2" t="s">
        <v>137</v>
      </c>
      <c r="J896" s="2" t="s">
        <v>102</v>
      </c>
      <c r="K896" s="2" t="s">
        <v>138</v>
      </c>
    </row>
    <row r="897" ht="15.75" customHeight="1">
      <c r="A897" s="2">
        <v>365773.0</v>
      </c>
      <c r="B897" s="2" t="s">
        <v>291</v>
      </c>
      <c r="C897" s="2" t="s">
        <v>2434</v>
      </c>
      <c r="D897" s="2"/>
      <c r="E897" s="2" t="s">
        <v>2435</v>
      </c>
      <c r="F897" s="2">
        <v>0.0</v>
      </c>
      <c r="G897" s="2">
        <v>282.0</v>
      </c>
      <c r="H897" s="3" t="str">
        <f>HYPERLINK("http://www.linkedin.com/pub/gary-dickinson/1/B53/289","http://www.linkedin.com/pub/gary-dickinson/1/B53/289")</f>
        <v>http://www.linkedin.com/pub/gary-dickinson/1/B53/289</v>
      </c>
      <c r="I897" s="2" t="s">
        <v>374</v>
      </c>
      <c r="J897" s="2" t="s">
        <v>273</v>
      </c>
      <c r="K897" s="2" t="s">
        <v>35</v>
      </c>
    </row>
    <row r="898" ht="15.75" customHeight="1">
      <c r="A898" s="2">
        <v>366266.0</v>
      </c>
      <c r="B898" s="2" t="s">
        <v>2436</v>
      </c>
      <c r="C898" s="2" t="s">
        <v>2437</v>
      </c>
      <c r="D898" s="2" t="s">
        <v>13</v>
      </c>
      <c r="E898" s="2" t="s">
        <v>2438</v>
      </c>
      <c r="F898" s="2">
        <v>0.0</v>
      </c>
      <c r="G898" s="2">
        <v>500.0</v>
      </c>
      <c r="H898" s="3" t="str">
        <f>HYPERLINK("http://www.linkedin.com/in/brissa","http://www.linkedin.com/in/brissa")</f>
        <v>http://www.linkedin.com/in/brissa</v>
      </c>
      <c r="I898" s="2" t="s">
        <v>69</v>
      </c>
      <c r="J898" s="2" t="s">
        <v>926</v>
      </c>
      <c r="K898" s="2" t="s">
        <v>35</v>
      </c>
    </row>
    <row r="899" ht="15.75" customHeight="1">
      <c r="A899" s="2">
        <v>366340.0</v>
      </c>
      <c r="B899" s="2" t="s">
        <v>2439</v>
      </c>
      <c r="C899" s="2" t="s">
        <v>1193</v>
      </c>
      <c r="D899" s="2" t="s">
        <v>2440</v>
      </c>
      <c r="E899" s="2" t="s">
        <v>2441</v>
      </c>
      <c r="F899" s="2">
        <v>4.0</v>
      </c>
      <c r="G899" s="2">
        <v>500.0</v>
      </c>
      <c r="H899" s="3" t="str">
        <f>HYPERLINK("http://www.linkedin.com/in/skp001","http://www.linkedin.com/in/skp001")</f>
        <v>http://www.linkedin.com/in/skp001</v>
      </c>
      <c r="I899" s="2" t="s">
        <v>15</v>
      </c>
      <c r="J899" s="2" t="s">
        <v>273</v>
      </c>
      <c r="K899" s="2" t="s">
        <v>2373</v>
      </c>
    </row>
    <row r="900" ht="15.75" customHeight="1">
      <c r="A900" s="2">
        <v>366723.0</v>
      </c>
      <c r="B900" s="2" t="s">
        <v>2350</v>
      </c>
      <c r="C900" s="2" t="s">
        <v>2442</v>
      </c>
      <c r="D900" s="2" t="s">
        <v>642</v>
      </c>
      <c r="E900" s="2" t="s">
        <v>992</v>
      </c>
      <c r="F900" s="2">
        <v>0.0</v>
      </c>
      <c r="G900" s="2">
        <v>500.0</v>
      </c>
      <c r="H900" s="3" t="str">
        <f>HYPERLINK("http://www.linkedin.com/in/fredmoonvesliontoplink1328353","http://www.linkedin.com/in/fredmoonvesliontoplink1328353")</f>
        <v>http://www.linkedin.com/in/fredmoonvesliontoplink1328353</v>
      </c>
      <c r="I900" s="2" t="s">
        <v>2443</v>
      </c>
      <c r="J900" s="2" t="s">
        <v>102</v>
      </c>
      <c r="K900" s="2" t="s">
        <v>58</v>
      </c>
    </row>
    <row r="901" ht="15.75" customHeight="1">
      <c r="A901" s="2">
        <v>366826.0</v>
      </c>
      <c r="B901" s="2" t="s">
        <v>2444</v>
      </c>
      <c r="C901" s="2" t="s">
        <v>2445</v>
      </c>
      <c r="D901" s="2" t="s">
        <v>2446</v>
      </c>
      <c r="E901" s="2" t="s">
        <v>2447</v>
      </c>
      <c r="F901" s="2">
        <v>3.0</v>
      </c>
      <c r="G901" s="2">
        <v>500.0</v>
      </c>
      <c r="H901" s="3" t="str">
        <f>HYPERLINK("http://www.linkedin.com/pub/charlotte-sequeira/17/704/8A1","http://www.linkedin.com/pub/charlotte-sequeira/17/704/8A1")</f>
        <v>http://www.linkedin.com/pub/charlotte-sequeira/17/704/8A1</v>
      </c>
      <c r="I901" s="2" t="s">
        <v>248</v>
      </c>
      <c r="J901" s="2" t="s">
        <v>16</v>
      </c>
      <c r="K901" s="2" t="s">
        <v>522</v>
      </c>
    </row>
    <row r="902" ht="15.75" customHeight="1">
      <c r="A902" s="2">
        <v>366954.0</v>
      </c>
      <c r="B902" s="2" t="s">
        <v>2448</v>
      </c>
      <c r="C902" s="2" t="s">
        <v>2449</v>
      </c>
      <c r="D902" s="2" t="s">
        <v>2450</v>
      </c>
      <c r="E902" s="2" t="s">
        <v>2366</v>
      </c>
      <c r="F902" s="2">
        <v>2.0</v>
      </c>
      <c r="G902" s="2">
        <v>500.0</v>
      </c>
      <c r="H902" s="3" t="str">
        <f>HYPERLINK("http://www.linkedin.com/pub/damon-albano/1/770/26B","http://www.linkedin.com/pub/damon-albano/1/770/26B")</f>
        <v>http://www.linkedin.com/pub/damon-albano/1/770/26B</v>
      </c>
      <c r="I902" s="2" t="s">
        <v>458</v>
      </c>
      <c r="J902" s="2" t="s">
        <v>273</v>
      </c>
      <c r="K902" s="2" t="s">
        <v>2390</v>
      </c>
    </row>
    <row r="903" ht="15.75" customHeight="1">
      <c r="A903" s="2">
        <v>368486.0</v>
      </c>
      <c r="B903" s="2" t="s">
        <v>2451</v>
      </c>
      <c r="C903" s="2" t="s">
        <v>2452</v>
      </c>
      <c r="D903" s="2" t="s">
        <v>2453</v>
      </c>
      <c r="E903" s="2" t="s">
        <v>2454</v>
      </c>
      <c r="F903" s="2">
        <v>4.0</v>
      </c>
      <c r="G903" s="2">
        <v>500.0</v>
      </c>
      <c r="H903" s="3" t="str">
        <f>HYPERLINK("http://www.linkedin.com/in/marcelinodesantiago","http://www.linkedin.com/in/marcelinodesantiago")</f>
        <v>http://www.linkedin.com/in/marcelinodesantiago</v>
      </c>
      <c r="I903" s="2" t="s">
        <v>669</v>
      </c>
      <c r="J903" s="2" t="s">
        <v>102</v>
      </c>
      <c r="K903" s="2" t="s">
        <v>58</v>
      </c>
    </row>
    <row r="904" ht="15.75" customHeight="1">
      <c r="A904" s="2">
        <v>368635.0</v>
      </c>
      <c r="B904" s="2" t="s">
        <v>2455</v>
      </c>
      <c r="C904" s="2" t="s">
        <v>1181</v>
      </c>
      <c r="D904" s="2" t="s">
        <v>2456</v>
      </c>
      <c r="E904" s="2" t="s">
        <v>716</v>
      </c>
      <c r="F904" s="2" t="s">
        <v>13</v>
      </c>
      <c r="G904" s="2">
        <v>361.0</v>
      </c>
      <c r="H904" s="3" t="str">
        <f>HYPERLINK("http://in.linkedin.com/in/kanchanjain","http://in.linkedin.com/in/kanchanjain")</f>
        <v>http://in.linkedin.com/in/kanchanjain</v>
      </c>
      <c r="I904" s="2" t="s">
        <v>279</v>
      </c>
      <c r="J904" s="2" t="s">
        <v>575</v>
      </c>
      <c r="K904" s="2" t="s">
        <v>522</v>
      </c>
    </row>
    <row r="905" ht="15.75" customHeight="1">
      <c r="A905" s="2">
        <v>368759.0</v>
      </c>
      <c r="B905" s="2" t="s">
        <v>2457</v>
      </c>
      <c r="C905" s="2" t="s">
        <v>2458</v>
      </c>
      <c r="D905" s="2" t="s">
        <v>47</v>
      </c>
      <c r="E905" s="2" t="s">
        <v>1520</v>
      </c>
      <c r="F905" s="2" t="s">
        <v>13</v>
      </c>
      <c r="G905" s="2">
        <v>500.0</v>
      </c>
      <c r="H905" s="3" t="str">
        <f>HYPERLINK("http://uk.linkedin.com/pub/stephen-butcher/1/34B/758","http://uk.linkedin.com/pub/stephen-butcher/1/34B/758")</f>
        <v>http://uk.linkedin.com/pub/stephen-butcher/1/34B/758</v>
      </c>
      <c r="I905" s="2" t="s">
        <v>48</v>
      </c>
      <c r="J905" s="2" t="s">
        <v>53</v>
      </c>
      <c r="K905" s="2" t="s">
        <v>35</v>
      </c>
    </row>
    <row r="906" ht="15.75" customHeight="1">
      <c r="A906" s="2">
        <v>368769.0</v>
      </c>
      <c r="B906" s="2" t="s">
        <v>561</v>
      </c>
      <c r="C906" s="2" t="s">
        <v>1364</v>
      </c>
      <c r="D906" s="2" t="s">
        <v>47</v>
      </c>
      <c r="E906" s="2" t="s">
        <v>136</v>
      </c>
      <c r="F906" s="2" t="s">
        <v>13</v>
      </c>
      <c r="G906" s="2">
        <v>54.0</v>
      </c>
      <c r="H906" s="3" t="str">
        <f>HYPERLINK("http://www.linkedin.com/pub/murray-dennis/0/24/5B4","http://www.linkedin.com/pub/murray-dennis/0/24/5B4")</f>
        <v>http://www.linkedin.com/pub/murray-dennis/0/24/5B4</v>
      </c>
      <c r="I906" s="2" t="s">
        <v>119</v>
      </c>
      <c r="J906" s="2" t="s">
        <v>102</v>
      </c>
      <c r="K906" s="2" t="s">
        <v>97</v>
      </c>
    </row>
    <row r="907" ht="15.75" customHeight="1">
      <c r="A907" s="2">
        <v>369311.0</v>
      </c>
      <c r="B907" s="2" t="s">
        <v>752</v>
      </c>
      <c r="C907" s="2" t="s">
        <v>1817</v>
      </c>
      <c r="D907" s="2" t="s">
        <v>2459</v>
      </c>
      <c r="E907" s="2" t="s">
        <v>1234</v>
      </c>
      <c r="F907" s="2">
        <v>13.0</v>
      </c>
      <c r="G907" s="2">
        <v>500.0</v>
      </c>
      <c r="H907" s="3" t="str">
        <f>HYPERLINK("http://www.linkedin.com/in/jimfox","http://www.linkedin.com/in/jimfox")</f>
        <v>http://www.linkedin.com/in/jimfox</v>
      </c>
      <c r="I907" s="2" t="s">
        <v>15</v>
      </c>
      <c r="J907" s="2" t="s">
        <v>102</v>
      </c>
      <c r="K907" s="2" t="s">
        <v>35</v>
      </c>
    </row>
    <row r="908" ht="15.75" customHeight="1">
      <c r="A908" s="2">
        <v>369945.0</v>
      </c>
      <c r="B908" s="2" t="s">
        <v>2460</v>
      </c>
      <c r="C908" s="2" t="s">
        <v>2461</v>
      </c>
      <c r="D908" s="2" t="s">
        <v>2462</v>
      </c>
      <c r="E908" s="2" t="s">
        <v>2463</v>
      </c>
      <c r="F908" s="2">
        <v>11.0</v>
      </c>
      <c r="G908" s="2">
        <v>500.0</v>
      </c>
      <c r="H908" s="3" t="str">
        <f>HYPERLINK("http://www.linkedin.com/in/lalitaamos","http://www.linkedin.com/in/lalitaamos")</f>
        <v>http://www.linkedin.com/in/lalitaamos</v>
      </c>
      <c r="I908" s="2" t="s">
        <v>1390</v>
      </c>
      <c r="J908" s="2" t="s">
        <v>102</v>
      </c>
      <c r="K908" s="2" t="s">
        <v>97</v>
      </c>
    </row>
    <row r="909" ht="15.75" customHeight="1">
      <c r="A909" s="2">
        <v>369964.0</v>
      </c>
      <c r="B909" s="2" t="s">
        <v>2464</v>
      </c>
      <c r="C909" s="2" t="s">
        <v>2465</v>
      </c>
      <c r="D909" s="2" t="s">
        <v>2466</v>
      </c>
      <c r="E909" s="2" t="s">
        <v>2467</v>
      </c>
      <c r="F909" s="2">
        <v>8.0</v>
      </c>
      <c r="G909" s="2">
        <v>500.0</v>
      </c>
      <c r="H909" s="3" t="str">
        <f>HYPERLINK("http://www.linkedin.com/pub/terrel-transtrum/0/109/500","http://www.linkedin.com/pub/terrel-transtrum/0/109/500")</f>
        <v>http://www.linkedin.com/pub/terrel-transtrum/0/109/500</v>
      </c>
      <c r="I909" s="2" t="s">
        <v>1948</v>
      </c>
      <c r="J909" s="2" t="s">
        <v>102</v>
      </c>
      <c r="K909" s="2" t="s">
        <v>58</v>
      </c>
    </row>
    <row r="910" ht="15.75" customHeight="1">
      <c r="A910" s="2">
        <v>370224.0</v>
      </c>
      <c r="B910" s="2" t="s">
        <v>460</v>
      </c>
      <c r="C910" s="2" t="s">
        <v>2468</v>
      </c>
      <c r="D910" s="2" t="s">
        <v>2302</v>
      </c>
      <c r="E910" s="2" t="s">
        <v>235</v>
      </c>
      <c r="F910" s="2" t="s">
        <v>13</v>
      </c>
      <c r="G910" s="2">
        <v>487.0</v>
      </c>
      <c r="H910" s="3" t="str">
        <f>HYPERLINK("http://www.linkedin.com/pub/john-triscoli/1/895/18B","http://www.linkedin.com/pub/john-triscoli/1/895/18B")</f>
        <v>http://www.linkedin.com/pub/john-triscoli/1/895/18B</v>
      </c>
      <c r="I910" s="2" t="s">
        <v>15</v>
      </c>
      <c r="J910" s="2" t="s">
        <v>102</v>
      </c>
      <c r="K910" s="2" t="s">
        <v>35</v>
      </c>
    </row>
    <row r="911" ht="15.75" customHeight="1">
      <c r="A911" s="2">
        <v>370354.0</v>
      </c>
      <c r="B911" s="2" t="s">
        <v>2469</v>
      </c>
      <c r="C911" s="2" t="s">
        <v>2470</v>
      </c>
      <c r="D911" s="2" t="s">
        <v>2471</v>
      </c>
      <c r="E911" s="2" t="s">
        <v>2472</v>
      </c>
      <c r="F911" s="2">
        <v>0.0</v>
      </c>
      <c r="G911" s="2">
        <v>121.0</v>
      </c>
      <c r="H911" s="3" t="str">
        <f>HYPERLINK("http://www.linkedin.com/pub/camila-stelzer/26/A07/314","http://www.linkedin.com/pub/camila-stelzer/26/A07/314")</f>
        <v>http://www.linkedin.com/pub/camila-stelzer/26/A07/314</v>
      </c>
      <c r="I911" s="2" t="s">
        <v>1679</v>
      </c>
      <c r="J911" s="2" t="s">
        <v>34</v>
      </c>
      <c r="K911" s="2" t="s">
        <v>97</v>
      </c>
    </row>
    <row r="912" ht="15.75" customHeight="1">
      <c r="A912" s="2">
        <v>370391.0</v>
      </c>
      <c r="B912" s="2" t="s">
        <v>2473</v>
      </c>
      <c r="C912" s="2" t="s">
        <v>2474</v>
      </c>
      <c r="D912" s="2" t="s">
        <v>2475</v>
      </c>
      <c r="E912" s="2" t="s">
        <v>1334</v>
      </c>
      <c r="F912" s="2">
        <v>2.0</v>
      </c>
      <c r="G912" s="2">
        <v>500.0</v>
      </c>
      <c r="H912" s="3" t="str">
        <f>HYPERLINK("http://www.linkedin.com/pub/michael-w-karlowicz/3/836/889","http://www.linkedin.com/pub/michael-w-karlowicz/3/836/889")</f>
        <v>http://www.linkedin.com/pub/michael-w-karlowicz/3/836/889</v>
      </c>
      <c r="I912" s="2" t="s">
        <v>865</v>
      </c>
      <c r="J912" s="2" t="s">
        <v>16</v>
      </c>
      <c r="K912" s="2" t="s">
        <v>522</v>
      </c>
    </row>
    <row r="913" ht="15.75" customHeight="1">
      <c r="A913" s="2">
        <v>370624.0</v>
      </c>
      <c r="B913" s="2" t="s">
        <v>2476</v>
      </c>
      <c r="C913" s="2" t="s">
        <v>2477</v>
      </c>
      <c r="D913" s="2" t="s">
        <v>81</v>
      </c>
      <c r="E913" s="2" t="s">
        <v>136</v>
      </c>
      <c r="F913" s="2">
        <v>1.0</v>
      </c>
      <c r="G913" s="2">
        <v>500.0</v>
      </c>
      <c r="H913" s="3" t="str">
        <f>HYPERLINK("http://www.linkedin.com/pub/vito-bialla/0/45/83B","http://www.linkedin.com/pub/vito-bialla/0/45/83B")</f>
        <v>http://www.linkedin.com/pub/vito-bialla/0/45/83B</v>
      </c>
      <c r="I913" s="2" t="s">
        <v>1948</v>
      </c>
      <c r="J913" s="2" t="s">
        <v>102</v>
      </c>
      <c r="K913" s="2" t="s">
        <v>58</v>
      </c>
    </row>
    <row r="914" ht="15.75" customHeight="1">
      <c r="A914" s="2">
        <v>370804.0</v>
      </c>
      <c r="B914" s="2" t="s">
        <v>1653</v>
      </c>
      <c r="C914" s="2" t="s">
        <v>2478</v>
      </c>
      <c r="D914" s="2" t="s">
        <v>2302</v>
      </c>
      <c r="E914" s="2" t="s">
        <v>136</v>
      </c>
      <c r="F914" s="2">
        <v>4.0</v>
      </c>
      <c r="G914" s="2">
        <v>500.0</v>
      </c>
      <c r="H914" s="3" t="str">
        <f>HYPERLINK("http://www.linkedin.com/in/douglasharr","http://www.linkedin.com/in/douglasharr")</f>
        <v>http://www.linkedin.com/in/douglasharr</v>
      </c>
      <c r="I914" s="2" t="s">
        <v>48</v>
      </c>
      <c r="J914" s="2" t="s">
        <v>102</v>
      </c>
      <c r="K914" s="2" t="s">
        <v>35</v>
      </c>
    </row>
    <row r="915" ht="15.75" customHeight="1">
      <c r="A915" s="2">
        <v>371954.0</v>
      </c>
      <c r="B915" s="2" t="s">
        <v>2479</v>
      </c>
      <c r="C915" s="2" t="s">
        <v>2480</v>
      </c>
      <c r="D915" s="2" t="s">
        <v>309</v>
      </c>
      <c r="E915" s="2" t="s">
        <v>301</v>
      </c>
      <c r="F915" s="2">
        <v>1.0</v>
      </c>
      <c r="G915" s="2">
        <v>500.0</v>
      </c>
      <c r="H915" s="3" t="str">
        <f>HYPERLINK("http://www.linkedin.com/pub/eran-gefen/0/43/28B","http://www.linkedin.com/pub/eran-gefen/0/43/28B")</f>
        <v>http://www.linkedin.com/pub/eran-gefen/0/43/28B</v>
      </c>
      <c r="I915" s="2" t="s">
        <v>69</v>
      </c>
      <c r="J915" s="2" t="s">
        <v>102</v>
      </c>
      <c r="K915" s="2" t="s">
        <v>35</v>
      </c>
    </row>
    <row r="916" ht="15.75" customHeight="1">
      <c r="A916" s="2">
        <v>372043.0</v>
      </c>
      <c r="B916" s="2" t="s">
        <v>2481</v>
      </c>
      <c r="C916" s="2" t="s">
        <v>2482</v>
      </c>
      <c r="D916" s="2" t="s">
        <v>2483</v>
      </c>
      <c r="E916" s="2" t="s">
        <v>2308</v>
      </c>
      <c r="F916" s="2">
        <v>0.0</v>
      </c>
      <c r="G916" s="2">
        <v>43.0</v>
      </c>
      <c r="H916" s="3" t="str">
        <f>HYPERLINK("http://www.linkedin.com/pub/evelin-urena/10/B95/86B","http://www.linkedin.com/pub/evelin-urena/10/B95/86B")</f>
        <v>http://www.linkedin.com/pub/evelin-urena/10/B95/86B</v>
      </c>
      <c r="I916" s="2" t="s">
        <v>268</v>
      </c>
      <c r="J916" s="2" t="s">
        <v>273</v>
      </c>
      <c r="K916" s="2" t="s">
        <v>35</v>
      </c>
    </row>
    <row r="917" ht="15.75" customHeight="1">
      <c r="A917" s="2">
        <v>372056.0</v>
      </c>
      <c r="B917" s="2" t="s">
        <v>1364</v>
      </c>
      <c r="C917" s="2" t="s">
        <v>568</v>
      </c>
      <c r="D917" s="2" t="s">
        <v>2484</v>
      </c>
      <c r="E917" s="2" t="s">
        <v>2485</v>
      </c>
      <c r="F917" s="2">
        <v>3.0</v>
      </c>
      <c r="G917" s="2">
        <v>105.0</v>
      </c>
      <c r="H917" s="3" t="str">
        <f>HYPERLINK("http://www.linkedin.com/pub/dennis-rojas/3/643/14A","http://www.linkedin.com/pub/dennis-rojas/3/643/14A")</f>
        <v>http://www.linkedin.com/pub/dennis-rojas/3/643/14A</v>
      </c>
      <c r="I917" s="2" t="s">
        <v>188</v>
      </c>
      <c r="J917" s="2" t="s">
        <v>273</v>
      </c>
      <c r="K917" s="2" t="s">
        <v>35</v>
      </c>
    </row>
    <row r="918" ht="15.75" customHeight="1">
      <c r="A918" s="2">
        <v>372182.0</v>
      </c>
      <c r="B918" s="2" t="s">
        <v>845</v>
      </c>
      <c r="C918" s="2" t="s">
        <v>2486</v>
      </c>
      <c r="D918" s="2" t="s">
        <v>1145</v>
      </c>
      <c r="E918" s="2" t="s">
        <v>1155</v>
      </c>
      <c r="F918" s="2">
        <v>1.0</v>
      </c>
      <c r="G918" s="2">
        <v>500.0</v>
      </c>
      <c r="H918" s="3" t="str">
        <f>HYPERLINK("http://www.linkedin.com/in/davidrottmayer","http://www.linkedin.com/in/davidrottmayer")</f>
        <v>http://www.linkedin.com/in/davidrottmayer</v>
      </c>
      <c r="I918" s="2" t="s">
        <v>77</v>
      </c>
      <c r="J918" s="2" t="s">
        <v>102</v>
      </c>
      <c r="K918" s="2" t="s">
        <v>97</v>
      </c>
    </row>
    <row r="919" ht="15.75" customHeight="1">
      <c r="A919" s="2">
        <v>372558.0</v>
      </c>
      <c r="B919" s="2" t="s">
        <v>1456</v>
      </c>
      <c r="C919" s="2" t="s">
        <v>740</v>
      </c>
      <c r="D919" s="2" t="s">
        <v>2487</v>
      </c>
      <c r="E919" s="2" t="s">
        <v>706</v>
      </c>
      <c r="F919" s="2" t="s">
        <v>13</v>
      </c>
      <c r="G919" s="2">
        <v>500.0</v>
      </c>
      <c r="H919" s="3" t="str">
        <f>HYPERLINK("http://br.linkedin.com/pub/anderson-silva/29/A60/183","http://br.linkedin.com/pub/anderson-silva/29/A60/183")</f>
        <v>http://br.linkedin.com/pub/anderson-silva/29/A60/183</v>
      </c>
      <c r="I919" s="2" t="s">
        <v>1679</v>
      </c>
      <c r="J919" s="2" t="s">
        <v>34</v>
      </c>
      <c r="K919" s="2" t="s">
        <v>97</v>
      </c>
    </row>
    <row r="920" ht="15.75" customHeight="1">
      <c r="A920" s="2">
        <v>373067.0</v>
      </c>
      <c r="B920" s="2" t="s">
        <v>2488</v>
      </c>
      <c r="C920" s="2" t="s">
        <v>308</v>
      </c>
      <c r="D920" s="2" t="s">
        <v>47</v>
      </c>
      <c r="E920" s="2" t="s">
        <v>122</v>
      </c>
      <c r="F920" s="2" t="s">
        <v>13</v>
      </c>
      <c r="G920" s="2">
        <v>500.0</v>
      </c>
      <c r="H920" s="3" t="str">
        <f>HYPERLINK("http://uk.linkedin.com/pub/manish-gupta/0/82/944","http://uk.linkedin.com/pub/manish-gupta/0/82/944")</f>
        <v>http://uk.linkedin.com/pub/manish-gupta/0/82/944</v>
      </c>
      <c r="I920" s="2" t="s">
        <v>252</v>
      </c>
      <c r="J920" s="2" t="s">
        <v>53</v>
      </c>
      <c r="K920" s="2" t="s">
        <v>58</v>
      </c>
    </row>
    <row r="921" ht="15.75" customHeight="1">
      <c r="A921" s="2">
        <v>373245.0</v>
      </c>
      <c r="B921" s="2" t="s">
        <v>2489</v>
      </c>
      <c r="C921" s="2" t="s">
        <v>2490</v>
      </c>
      <c r="D921" s="2" t="s">
        <v>2491</v>
      </c>
      <c r="E921" s="2" t="s">
        <v>762</v>
      </c>
      <c r="F921" s="2">
        <v>1.0</v>
      </c>
      <c r="G921" s="2">
        <v>500.0</v>
      </c>
      <c r="H921" s="3" t="str">
        <f>HYPERLINK("http://www.linkedin.com/pub/ron-r-browning/0/2B6/208","http://www.linkedin.com/pub/ron-r-browning/0/2B6/208")</f>
        <v>http://www.linkedin.com/pub/ron-r-browning/0/2B6/208</v>
      </c>
      <c r="I921" s="2" t="s">
        <v>69</v>
      </c>
      <c r="J921" s="2" t="s">
        <v>102</v>
      </c>
      <c r="K921" s="2" t="s">
        <v>35</v>
      </c>
    </row>
    <row r="922" ht="15.75" customHeight="1">
      <c r="A922" s="2">
        <v>373850.0</v>
      </c>
      <c r="B922" s="2" t="s">
        <v>2492</v>
      </c>
      <c r="C922" s="2" t="s">
        <v>2493</v>
      </c>
      <c r="D922" s="2" t="s">
        <v>1950</v>
      </c>
      <c r="E922" s="2" t="s">
        <v>1615</v>
      </c>
      <c r="F922" s="2">
        <v>3.0</v>
      </c>
      <c r="G922" s="2">
        <v>500.0</v>
      </c>
      <c r="H922" s="3" t="str">
        <f>HYPERLINK("http://www.linkedin.com/in/bretwinholtz","http://www.linkedin.com/in/bretwinholtz")</f>
        <v>http://www.linkedin.com/in/bretwinholtz</v>
      </c>
      <c r="I922" s="2" t="s">
        <v>248</v>
      </c>
      <c r="J922" s="2" t="s">
        <v>102</v>
      </c>
      <c r="K922" s="2" t="s">
        <v>196</v>
      </c>
    </row>
    <row r="923" ht="15.75" customHeight="1">
      <c r="A923" s="2">
        <v>373911.0</v>
      </c>
      <c r="B923" s="2" t="s">
        <v>2494</v>
      </c>
      <c r="C923" s="2" t="s">
        <v>2495</v>
      </c>
      <c r="D923" s="2" t="s">
        <v>2496</v>
      </c>
      <c r="E923" s="2" t="s">
        <v>301</v>
      </c>
      <c r="F923" s="2">
        <v>3.0</v>
      </c>
      <c r="G923" s="2">
        <v>500.0</v>
      </c>
      <c r="H923" s="3" t="str">
        <f>HYPERLINK("http://www.linkedin.com/in/jiteshmadhwani","http://www.linkedin.com/in/jiteshmadhwani")</f>
        <v>http://www.linkedin.com/in/jiteshmadhwani</v>
      </c>
      <c r="I923" s="2" t="s">
        <v>105</v>
      </c>
      <c r="J923" s="2" t="s">
        <v>102</v>
      </c>
      <c r="K923" s="2" t="s">
        <v>58</v>
      </c>
    </row>
    <row r="924" ht="15.75" customHeight="1">
      <c r="A924" s="2">
        <v>374161.0</v>
      </c>
      <c r="B924" s="2" t="s">
        <v>2335</v>
      </c>
      <c r="C924" s="2" t="s">
        <v>2497</v>
      </c>
      <c r="D924" s="2" t="s">
        <v>2498</v>
      </c>
      <c r="E924" s="2" t="s">
        <v>109</v>
      </c>
      <c r="F924" s="2">
        <v>2.0</v>
      </c>
      <c r="G924" s="2">
        <v>500.0</v>
      </c>
      <c r="H924" s="3" t="str">
        <f>HYPERLINK("http://www.linkedin.com/in/brazinha","http://www.linkedin.com/in/brazinha")</f>
        <v>http://www.linkedin.com/in/brazinha</v>
      </c>
      <c r="I924" s="2" t="s">
        <v>77</v>
      </c>
      <c r="J924" s="2" t="s">
        <v>110</v>
      </c>
      <c r="K924" s="2" t="s">
        <v>111</v>
      </c>
    </row>
    <row r="925" ht="15.75" customHeight="1">
      <c r="A925" s="2">
        <v>374331.0</v>
      </c>
      <c r="B925" s="2" t="s">
        <v>2499</v>
      </c>
      <c r="C925" s="2" t="s">
        <v>2500</v>
      </c>
      <c r="D925" s="2" t="s">
        <v>81</v>
      </c>
      <c r="E925" s="2" t="s">
        <v>136</v>
      </c>
      <c r="F925" s="2">
        <v>1.0</v>
      </c>
      <c r="G925" s="2">
        <v>500.0</v>
      </c>
      <c r="H925" s="3" t="str">
        <f>HYPERLINK("http://www.linkedin.com/in/roddyrodstein","http://www.linkedin.com/in/roddyrodstein")</f>
        <v>http://www.linkedin.com/in/roddyrodstein</v>
      </c>
      <c r="I925" s="2" t="s">
        <v>160</v>
      </c>
      <c r="J925" s="2" t="s">
        <v>102</v>
      </c>
      <c r="K925" s="2" t="s">
        <v>97</v>
      </c>
    </row>
    <row r="926" ht="15.75" customHeight="1">
      <c r="A926" s="2">
        <v>374402.0</v>
      </c>
      <c r="B926" s="2" t="s">
        <v>2501</v>
      </c>
      <c r="C926" s="2" t="s">
        <v>2502</v>
      </c>
      <c r="D926" s="2" t="s">
        <v>47</v>
      </c>
      <c r="E926" s="2" t="s">
        <v>235</v>
      </c>
      <c r="F926" s="2">
        <v>8.0</v>
      </c>
      <c r="G926" s="2">
        <v>500.0</v>
      </c>
      <c r="H926" s="3" t="str">
        <f>HYPERLINK("http://pk.linkedin.com/in/naazishlutfi","http://pk.linkedin.com/in/naazishlutfi")</f>
        <v>http://pk.linkedin.com/in/naazishlutfi</v>
      </c>
      <c r="I926" s="2" t="s">
        <v>279</v>
      </c>
      <c r="J926" s="2" t="s">
        <v>102</v>
      </c>
      <c r="K926" s="2" t="s">
        <v>58</v>
      </c>
    </row>
    <row r="927" ht="15.75" customHeight="1">
      <c r="A927" s="2">
        <v>374684.0</v>
      </c>
      <c r="B927" s="2" t="s">
        <v>2503</v>
      </c>
      <c r="C927" s="2" t="s">
        <v>2504</v>
      </c>
      <c r="D927" s="2" t="s">
        <v>400</v>
      </c>
      <c r="E927" s="2" t="s">
        <v>122</v>
      </c>
      <c r="F927" s="2" t="s">
        <v>13</v>
      </c>
      <c r="G927" s="2">
        <v>500.0</v>
      </c>
      <c r="H927" s="3" t="str">
        <f>HYPERLINK("http://uk.linkedin.com/in/dermottreilly","http://uk.linkedin.com/in/dermottreilly")</f>
        <v>http://uk.linkedin.com/in/dermottreilly</v>
      </c>
      <c r="I927" s="2" t="s">
        <v>2268</v>
      </c>
      <c r="J927" s="2" t="s">
        <v>53</v>
      </c>
      <c r="K927" s="2" t="s">
        <v>58</v>
      </c>
    </row>
    <row r="928" ht="15.75" customHeight="1">
      <c r="A928" s="2">
        <v>374935.0</v>
      </c>
      <c r="B928" s="2" t="s">
        <v>2505</v>
      </c>
      <c r="C928" s="2" t="s">
        <v>2506</v>
      </c>
      <c r="D928" s="2" t="s">
        <v>13</v>
      </c>
      <c r="E928" s="2" t="s">
        <v>2507</v>
      </c>
      <c r="F928" s="2">
        <v>0.0</v>
      </c>
      <c r="G928" s="2">
        <v>500.0</v>
      </c>
      <c r="H928" s="3" t="str">
        <f>HYPERLINK("http://www.linkedin.com/pub/sally-jane-kruger-lion/0/b5/23a","http://www.linkedin.com/pub/sally-jane-kruger-lion/0/b5/23a")</f>
        <v>http://www.linkedin.com/pub/sally-jane-kruger-lion/0/b5/23a</v>
      </c>
      <c r="I928" s="2" t="s">
        <v>248</v>
      </c>
      <c r="J928" s="2" t="s">
        <v>53</v>
      </c>
      <c r="K928" s="2" t="s">
        <v>35</v>
      </c>
    </row>
    <row r="929" ht="15.75" customHeight="1">
      <c r="A929" s="2">
        <v>374960.0</v>
      </c>
      <c r="B929" s="2" t="s">
        <v>133</v>
      </c>
      <c r="C929" s="2" t="s">
        <v>2508</v>
      </c>
      <c r="D929" s="2" t="s">
        <v>13</v>
      </c>
      <c r="E929" s="2" t="s">
        <v>181</v>
      </c>
      <c r="F929" s="2">
        <v>0.0</v>
      </c>
      <c r="G929" s="2">
        <v>500.0</v>
      </c>
      <c r="H929" s="3" t="str">
        <f>HYPERLINK("http://www.linkedin.com/in/rmikeleo","http://www.linkedin.com/in/rmikeleo")</f>
        <v>http://www.linkedin.com/in/rmikeleo</v>
      </c>
      <c r="I929" s="2" t="s">
        <v>69</v>
      </c>
      <c r="J929" s="2" t="s">
        <v>102</v>
      </c>
      <c r="K929" s="2" t="s">
        <v>35</v>
      </c>
    </row>
    <row r="930" ht="15.75" customHeight="1">
      <c r="A930" s="2">
        <v>375286.0</v>
      </c>
      <c r="B930" s="2" t="s">
        <v>341</v>
      </c>
      <c r="C930" s="2" t="s">
        <v>2509</v>
      </c>
      <c r="D930" s="2" t="s">
        <v>42</v>
      </c>
      <c r="E930" s="2" t="s">
        <v>1520</v>
      </c>
      <c r="F930" s="2" t="s">
        <v>13</v>
      </c>
      <c r="G930" s="2">
        <v>500.0</v>
      </c>
      <c r="H930" s="3" t="str">
        <f>HYPERLINK("http://uk.linkedin.com/in/kevinhowes","http://uk.linkedin.com/in/kevinhowes")</f>
        <v>http://uk.linkedin.com/in/kevinhowes</v>
      </c>
      <c r="I930" s="2" t="s">
        <v>15</v>
      </c>
      <c r="J930" s="2" t="s">
        <v>53</v>
      </c>
      <c r="K930" s="2" t="s">
        <v>35</v>
      </c>
    </row>
    <row r="931" ht="15.75" customHeight="1">
      <c r="A931" s="2">
        <v>375693.0</v>
      </c>
      <c r="B931" s="2" t="s">
        <v>609</v>
      </c>
      <c r="C931" s="2" t="s">
        <v>361</v>
      </c>
      <c r="D931" s="2" t="s">
        <v>2510</v>
      </c>
      <c r="E931" s="2" t="s">
        <v>1251</v>
      </c>
      <c r="F931" s="2">
        <v>2.0</v>
      </c>
      <c r="G931" s="2">
        <v>500.0</v>
      </c>
      <c r="H931" s="3" t="str">
        <f>HYPERLINK("http://pt.linkedin.com/pub/ricardo-machado/0/596/493","http://pt.linkedin.com/pub/ricardo-machado/0/596/493")</f>
        <v>http://pt.linkedin.com/pub/ricardo-machado/0/596/493</v>
      </c>
      <c r="I931" s="2" t="s">
        <v>48</v>
      </c>
      <c r="J931" s="2" t="s">
        <v>670</v>
      </c>
      <c r="K931" s="2" t="s">
        <v>35</v>
      </c>
    </row>
    <row r="932" ht="15.75" customHeight="1">
      <c r="A932" s="2">
        <v>376644.0</v>
      </c>
      <c r="B932" s="2" t="s">
        <v>2511</v>
      </c>
      <c r="C932" s="2" t="s">
        <v>2512</v>
      </c>
      <c r="D932" s="2" t="s">
        <v>2513</v>
      </c>
      <c r="E932" s="2" t="s">
        <v>2011</v>
      </c>
      <c r="F932" s="2">
        <v>9.0</v>
      </c>
      <c r="G932" s="2">
        <v>500.0</v>
      </c>
      <c r="H932" s="3" t="str">
        <f>HYPERLINK("http://www.linkedin.com/in/showe","http://www.linkedin.com/in/showe")</f>
        <v>http://www.linkedin.com/in/showe</v>
      </c>
      <c r="I932" s="2" t="s">
        <v>137</v>
      </c>
      <c r="J932" s="2" t="s">
        <v>16</v>
      </c>
      <c r="K932" s="2" t="s">
        <v>729</v>
      </c>
    </row>
    <row r="933" ht="15.75" customHeight="1">
      <c r="A933" s="2">
        <v>376664.0</v>
      </c>
      <c r="B933" s="2" t="s">
        <v>2514</v>
      </c>
      <c r="C933" s="2" t="s">
        <v>2515</v>
      </c>
      <c r="D933" s="2" t="s">
        <v>2516</v>
      </c>
      <c r="E933" s="2" t="s">
        <v>136</v>
      </c>
      <c r="F933" s="2">
        <v>1.0</v>
      </c>
      <c r="G933" s="2">
        <v>235.0</v>
      </c>
      <c r="H933" s="3" t="str">
        <f>HYPERLINK("http://www.linkedin.com/pub/hans-diehl/0/216/61B","http://www.linkedin.com/pub/hans-diehl/0/216/61B")</f>
        <v>http://www.linkedin.com/pub/hans-diehl/0/216/61B</v>
      </c>
      <c r="I933" s="2" t="s">
        <v>15</v>
      </c>
      <c r="J933" s="2" t="s">
        <v>102</v>
      </c>
      <c r="K933" s="2" t="s">
        <v>35</v>
      </c>
    </row>
    <row r="934" ht="15.75" customHeight="1">
      <c r="A934" s="2">
        <v>376848.0</v>
      </c>
      <c r="B934" s="2" t="s">
        <v>625</v>
      </c>
      <c r="C934" s="2" t="s">
        <v>2517</v>
      </c>
      <c r="D934" s="2" t="s">
        <v>2518</v>
      </c>
      <c r="E934" s="2" t="s">
        <v>136</v>
      </c>
      <c r="F934" s="2">
        <v>8.0</v>
      </c>
      <c r="G934" s="2">
        <v>500.0</v>
      </c>
      <c r="H934" s="3" t="str">
        <f>HYPERLINK("http://www.linkedin.com/in/timbesse","http://www.linkedin.com/in/timbesse")</f>
        <v>http://www.linkedin.com/in/timbesse</v>
      </c>
      <c r="I934" s="2" t="s">
        <v>69</v>
      </c>
      <c r="J934" s="2" t="s">
        <v>102</v>
      </c>
      <c r="K934" s="2" t="s">
        <v>35</v>
      </c>
    </row>
    <row r="935" ht="15.75" customHeight="1">
      <c r="A935" s="2">
        <v>377199.0</v>
      </c>
      <c r="B935" s="2" t="s">
        <v>2519</v>
      </c>
      <c r="C935" s="2" t="s">
        <v>2520</v>
      </c>
      <c r="D935" s="2" t="s">
        <v>2521</v>
      </c>
      <c r="E935" s="2" t="s">
        <v>1182</v>
      </c>
      <c r="F935" s="2">
        <v>0.0</v>
      </c>
      <c r="G935" s="2">
        <v>500.0</v>
      </c>
      <c r="H935" s="3" t="str">
        <f>HYPERLINK("http://www.linkedin.com/pub/shameek-basu/0/803/544","http://www.linkedin.com/pub/shameek-basu/0/803/544")</f>
        <v>http://www.linkedin.com/pub/shameek-basu/0/803/544</v>
      </c>
      <c r="I935" s="2" t="s">
        <v>172</v>
      </c>
      <c r="J935" s="2" t="s">
        <v>1184</v>
      </c>
      <c r="K935" s="2" t="s">
        <v>196</v>
      </c>
    </row>
    <row r="936" ht="15.75" customHeight="1">
      <c r="A936" s="2">
        <v>377240.0</v>
      </c>
      <c r="B936" s="2" t="s">
        <v>2522</v>
      </c>
      <c r="C936" s="2" t="s">
        <v>2523</v>
      </c>
      <c r="D936" s="2"/>
      <c r="E936" s="2" t="s">
        <v>1866</v>
      </c>
      <c r="F936" s="2">
        <v>1.0</v>
      </c>
      <c r="G936" s="2">
        <v>500.0</v>
      </c>
      <c r="H936" s="3" t="str">
        <f>HYPERLINK("http://www.linkedin.com/pub/lauren-otterman/0/169/264","http://www.linkedin.com/pub/lauren-otterman/0/169/264")</f>
        <v>http://www.linkedin.com/pub/lauren-otterman/0/169/264</v>
      </c>
      <c r="I936" s="2" t="s">
        <v>458</v>
      </c>
      <c r="J936" s="2" t="s">
        <v>1867</v>
      </c>
      <c r="K936" s="2" t="s">
        <v>138</v>
      </c>
    </row>
    <row r="937" ht="15.75" customHeight="1">
      <c r="A937" s="2">
        <v>377277.0</v>
      </c>
      <c r="B937" s="2" t="s">
        <v>1454</v>
      </c>
      <c r="C937" s="2" t="s">
        <v>2524</v>
      </c>
      <c r="D937" s="2" t="s">
        <v>2525</v>
      </c>
      <c r="E937" s="2" t="s">
        <v>2526</v>
      </c>
      <c r="F937" s="2" t="s">
        <v>13</v>
      </c>
      <c r="G937" s="2">
        <v>500.0</v>
      </c>
      <c r="H937" s="3" t="str">
        <f>HYPERLINK("http://uk.linkedin.com/in/alanblythsprofile","http://uk.linkedin.com/in/alanblythsprofile")</f>
        <v>http://uk.linkedin.com/in/alanblythsprofile</v>
      </c>
      <c r="I937" s="2" t="s">
        <v>15</v>
      </c>
      <c r="J937" s="2" t="s">
        <v>53</v>
      </c>
      <c r="K937" s="2" t="s">
        <v>35</v>
      </c>
    </row>
    <row r="938" ht="15.75" customHeight="1">
      <c r="A938" s="2">
        <v>377447.0</v>
      </c>
      <c r="B938" s="2" t="s">
        <v>412</v>
      </c>
      <c r="C938" s="2" t="s">
        <v>2527</v>
      </c>
      <c r="D938" s="2" t="s">
        <v>304</v>
      </c>
      <c r="E938" s="2" t="s">
        <v>325</v>
      </c>
      <c r="F938" s="2">
        <v>12.0</v>
      </c>
      <c r="G938" s="2">
        <v>500.0</v>
      </c>
      <c r="H938" s="3" t="str">
        <f>HYPERLINK("http://www.linkedin.com/in/robertboroff","http://www.linkedin.com/in/robertboroff")</f>
        <v>http://www.linkedin.com/in/robertboroff</v>
      </c>
      <c r="I938" s="2" t="s">
        <v>248</v>
      </c>
      <c r="J938" s="2" t="s">
        <v>102</v>
      </c>
      <c r="K938" s="2" t="s">
        <v>196</v>
      </c>
    </row>
    <row r="939" ht="15.75" customHeight="1">
      <c r="A939" s="2">
        <v>377490.0</v>
      </c>
      <c r="B939" s="2" t="s">
        <v>879</v>
      </c>
      <c r="C939" s="2" t="s">
        <v>2528</v>
      </c>
      <c r="D939" s="2" t="s">
        <v>42</v>
      </c>
      <c r="E939" s="2" t="s">
        <v>2529</v>
      </c>
      <c r="F939" s="2" t="s">
        <v>13</v>
      </c>
      <c r="G939" s="2">
        <v>500.0</v>
      </c>
      <c r="H939" s="3" t="str">
        <f>HYPERLINK("http://uk.linkedin.com/pub/richard-harper/0/431/B0","http://uk.linkedin.com/pub/richard-harper/0/431/B0")</f>
        <v>http://uk.linkedin.com/pub/richard-harper/0/431/B0</v>
      </c>
      <c r="I939" s="2" t="s">
        <v>48</v>
      </c>
      <c r="J939" s="2" t="s">
        <v>53</v>
      </c>
      <c r="K939" s="2" t="s">
        <v>35</v>
      </c>
    </row>
    <row r="940" ht="15.75" customHeight="1">
      <c r="A940" s="2">
        <v>377544.0</v>
      </c>
      <c r="B940" s="2" t="s">
        <v>2530</v>
      </c>
      <c r="C940" s="2" t="s">
        <v>2531</v>
      </c>
      <c r="D940" s="2" t="s">
        <v>2532</v>
      </c>
      <c r="E940" s="2" t="s">
        <v>495</v>
      </c>
      <c r="F940" s="2" t="s">
        <v>13</v>
      </c>
      <c r="G940" s="2">
        <v>12.0</v>
      </c>
      <c r="H940" s="3" t="str">
        <f>HYPERLINK("http://mx.linkedin.com/pub/omar-chavez/24/472/263","http://mx.linkedin.com/pub/omar-chavez/24/472/263")</f>
        <v>http://mx.linkedin.com/pub/omar-chavez/24/472/263</v>
      </c>
      <c r="I940" s="2" t="s">
        <v>167</v>
      </c>
      <c r="J940" s="2" t="s">
        <v>28</v>
      </c>
      <c r="K940" s="2" t="s">
        <v>2533</v>
      </c>
    </row>
    <row r="941" ht="15.75" customHeight="1">
      <c r="A941" s="2">
        <v>377962.0</v>
      </c>
      <c r="B941" s="2" t="s">
        <v>2534</v>
      </c>
      <c r="C941" s="2" t="s">
        <v>2535</v>
      </c>
      <c r="D941" s="2" t="s">
        <v>13</v>
      </c>
      <c r="E941" s="2" t="s">
        <v>2536</v>
      </c>
      <c r="F941" s="2">
        <v>8.0</v>
      </c>
      <c r="G941" s="2">
        <v>500.0</v>
      </c>
      <c r="H941" s="3" t="str">
        <f>HYPERLINK("http://www.linkedin.com/in/francoisrouxengineer","http://www.linkedin.com/in/francoisrouxengineer")</f>
        <v>http://www.linkedin.com/in/francoisrouxengineer</v>
      </c>
      <c r="I941" s="2" t="s">
        <v>69</v>
      </c>
      <c r="J941" s="2" t="s">
        <v>2537</v>
      </c>
      <c r="K941" s="2" t="s">
        <v>35</v>
      </c>
    </row>
    <row r="942" ht="15.75" customHeight="1">
      <c r="A942" s="2">
        <v>378489.0</v>
      </c>
      <c r="B942" s="2" t="s">
        <v>2538</v>
      </c>
      <c r="C942" s="2" t="s">
        <v>2539</v>
      </c>
      <c r="D942" s="2" t="s">
        <v>42</v>
      </c>
      <c r="E942" s="2" t="s">
        <v>2540</v>
      </c>
      <c r="F942" s="2">
        <v>12.0</v>
      </c>
      <c r="G942" s="2">
        <v>500.0</v>
      </c>
      <c r="H942" s="3" t="str">
        <f>HYPERLINK("http://www.linkedin.com/in/annielauriehall","http://www.linkedin.com/in/annielauriehall")</f>
        <v>http://www.linkedin.com/in/annielauriehall</v>
      </c>
      <c r="I942" s="2" t="s">
        <v>1012</v>
      </c>
      <c r="J942" s="2" t="s">
        <v>102</v>
      </c>
      <c r="K942" s="2" t="s">
        <v>58</v>
      </c>
    </row>
    <row r="943" ht="15.75" customHeight="1">
      <c r="A943" s="2">
        <v>378766.0</v>
      </c>
      <c r="B943" s="2" t="s">
        <v>287</v>
      </c>
      <c r="C943" s="2" t="s">
        <v>2541</v>
      </c>
      <c r="D943" s="2" t="s">
        <v>2542</v>
      </c>
      <c r="E943" s="2" t="s">
        <v>2306</v>
      </c>
      <c r="F943" s="2">
        <v>20.0</v>
      </c>
      <c r="G943" s="2">
        <v>500.0</v>
      </c>
      <c r="H943" s="3" t="str">
        <f>HYPERLINK("http://ca.linkedin.com/in/paulvallee","http://ca.linkedin.com/in/paulvallee")</f>
        <v>http://ca.linkedin.com/in/paulvallee</v>
      </c>
      <c r="I943" s="2" t="s">
        <v>15</v>
      </c>
      <c r="J943" s="2" t="s">
        <v>44</v>
      </c>
      <c r="K943" s="2" t="s">
        <v>35</v>
      </c>
    </row>
    <row r="944" ht="15.75" customHeight="1">
      <c r="A944" s="2">
        <v>378795.0</v>
      </c>
      <c r="B944" s="2" t="s">
        <v>2543</v>
      </c>
      <c r="C944" s="2" t="s">
        <v>2544</v>
      </c>
      <c r="D944" s="2" t="s">
        <v>2545</v>
      </c>
      <c r="E944" s="2" t="s">
        <v>690</v>
      </c>
      <c r="F944" s="2">
        <v>5.0</v>
      </c>
      <c r="G944" s="2">
        <v>500.0</v>
      </c>
      <c r="H944" s="3" t="str">
        <f>HYPERLINK("http://www.linkedin.com/in/donbarber","http://www.linkedin.com/in/donbarber")</f>
        <v>http://www.linkedin.com/in/donbarber</v>
      </c>
      <c r="I944" s="2" t="s">
        <v>1107</v>
      </c>
      <c r="J944" s="2" t="s">
        <v>691</v>
      </c>
      <c r="K944" s="2" t="s">
        <v>168</v>
      </c>
    </row>
    <row r="945" ht="15.75" customHeight="1">
      <c r="A945" s="2">
        <v>378903.0</v>
      </c>
      <c r="B945" s="2" t="s">
        <v>2546</v>
      </c>
      <c r="C945" s="2" t="s">
        <v>2547</v>
      </c>
      <c r="D945" s="2" t="s">
        <v>47</v>
      </c>
      <c r="E945" s="2" t="s">
        <v>1251</v>
      </c>
      <c r="F945" s="2" t="s">
        <v>13</v>
      </c>
      <c r="G945" s="2">
        <v>500.0</v>
      </c>
      <c r="H945" s="3" t="str">
        <f>HYPERLINK("http://pt.linkedin.com/in/gamafranco","http://pt.linkedin.com/in/gamafranco")</f>
        <v>http://pt.linkedin.com/in/gamafranco</v>
      </c>
      <c r="I945" s="2" t="s">
        <v>15</v>
      </c>
      <c r="J945" s="2" t="s">
        <v>670</v>
      </c>
      <c r="K945" s="2" t="s">
        <v>35</v>
      </c>
    </row>
    <row r="946" ht="15.75" customHeight="1">
      <c r="A946" s="2">
        <v>379085.0</v>
      </c>
      <c r="B946" s="2" t="s">
        <v>133</v>
      </c>
      <c r="C946" s="2" t="s">
        <v>2548</v>
      </c>
      <c r="D946" s="2" t="s">
        <v>410</v>
      </c>
      <c r="E946" s="2" t="s">
        <v>325</v>
      </c>
      <c r="F946" s="2">
        <v>7.0</v>
      </c>
      <c r="G946" s="2">
        <v>500.0</v>
      </c>
      <c r="H946" s="3" t="str">
        <f>HYPERLINK("http://www.linkedin.com/in/mgbunney","http://www.linkedin.com/in/mgbunney")</f>
        <v>http://www.linkedin.com/in/mgbunney</v>
      </c>
      <c r="I946" s="2" t="s">
        <v>15</v>
      </c>
      <c r="J946" s="2" t="s">
        <v>102</v>
      </c>
      <c r="K946" s="2" t="s">
        <v>58</v>
      </c>
    </row>
    <row r="947" ht="15.75" customHeight="1">
      <c r="A947" s="2">
        <v>379242.0</v>
      </c>
      <c r="B947" s="2" t="s">
        <v>433</v>
      </c>
      <c r="C947" s="2" t="s">
        <v>2549</v>
      </c>
      <c r="D947" s="2" t="s">
        <v>2550</v>
      </c>
      <c r="E947" s="2" t="s">
        <v>2551</v>
      </c>
      <c r="F947" s="2">
        <v>22.0</v>
      </c>
      <c r="G947" s="2">
        <v>500.0</v>
      </c>
      <c r="H947" s="3" t="str">
        <f>HYPERLINK("http://www.linkedin.com/in/andyohearn","http://www.linkedin.com/in/andyohearn")</f>
        <v>http://www.linkedin.com/in/andyohearn</v>
      </c>
      <c r="I947" s="2" t="s">
        <v>844</v>
      </c>
      <c r="J947" s="2" t="s">
        <v>273</v>
      </c>
      <c r="K947" s="2" t="s">
        <v>2552</v>
      </c>
    </row>
    <row r="948" ht="15.75" customHeight="1">
      <c r="A948" s="2">
        <v>379720.0</v>
      </c>
      <c r="B948" s="2" t="s">
        <v>2553</v>
      </c>
      <c r="C948" s="2" t="s">
        <v>2554</v>
      </c>
      <c r="D948" s="2" t="s">
        <v>400</v>
      </c>
      <c r="E948" s="2" t="s">
        <v>1630</v>
      </c>
      <c r="F948" s="2">
        <v>7.0</v>
      </c>
      <c r="G948" s="2">
        <v>500.0</v>
      </c>
      <c r="H948" s="3" t="str">
        <f>HYPERLINK("http://ca.linkedin.com/in/sheldon","http://ca.linkedin.com/in/sheldon")</f>
        <v>http://ca.linkedin.com/in/sheldon</v>
      </c>
      <c r="I948" s="2" t="s">
        <v>344</v>
      </c>
      <c r="J948" s="2" t="s">
        <v>44</v>
      </c>
      <c r="K948" s="2" t="s">
        <v>58</v>
      </c>
    </row>
    <row r="949" ht="15.75" customHeight="1">
      <c r="A949" s="2">
        <v>380143.0</v>
      </c>
      <c r="B949" s="2" t="s">
        <v>2555</v>
      </c>
      <c r="C949" s="2" t="s">
        <v>1325</v>
      </c>
      <c r="D949" s="2" t="s">
        <v>1935</v>
      </c>
      <c r="E949" s="2" t="s">
        <v>1009</v>
      </c>
      <c r="F949" s="2">
        <v>6.0</v>
      </c>
      <c r="G949" s="2">
        <v>500.0</v>
      </c>
      <c r="H949" s="3" t="str">
        <f>HYPERLINK("http://www.linkedin.com/in/bertmiller","http://www.linkedin.com/in/bertmiller")</f>
        <v>http://www.linkedin.com/in/bertmiller</v>
      </c>
      <c r="I949" s="2" t="s">
        <v>248</v>
      </c>
      <c r="J949" s="2" t="s">
        <v>87</v>
      </c>
      <c r="K949" s="2" t="s">
        <v>97</v>
      </c>
    </row>
    <row r="950" ht="15.75" customHeight="1">
      <c r="A950" s="2">
        <v>380920.0</v>
      </c>
      <c r="B950" s="2" t="s">
        <v>1167</v>
      </c>
      <c r="C950" s="2" t="s">
        <v>2556</v>
      </c>
      <c r="D950" s="2" t="s">
        <v>2557</v>
      </c>
      <c r="E950" s="2" t="s">
        <v>136</v>
      </c>
      <c r="F950" s="2">
        <v>10.0</v>
      </c>
      <c r="G950" s="2">
        <v>500.0</v>
      </c>
      <c r="H950" s="3" t="str">
        <f>HYPERLINK("http://www.linkedin.com/in/benprusinski","http://www.linkedin.com/in/benprusinski")</f>
        <v>http://www.linkedin.com/in/benprusinski</v>
      </c>
      <c r="I950" s="2" t="s">
        <v>15</v>
      </c>
      <c r="J950" s="2" t="s">
        <v>102</v>
      </c>
      <c r="K950" s="2" t="s">
        <v>35</v>
      </c>
    </row>
    <row r="951" ht="15.75" customHeight="1">
      <c r="A951" s="2">
        <v>381317.0</v>
      </c>
      <c r="B951" s="2" t="s">
        <v>2558</v>
      </c>
      <c r="C951" s="2" t="s">
        <v>2559</v>
      </c>
      <c r="D951" s="2" t="s">
        <v>2560</v>
      </c>
      <c r="E951" s="2" t="s">
        <v>882</v>
      </c>
      <c r="F951" s="2">
        <v>3.0</v>
      </c>
      <c r="G951" s="2">
        <v>500.0</v>
      </c>
      <c r="H951" s="3" t="str">
        <f>HYPERLINK("http://www.linkedin.com/in/oferoht","http://www.linkedin.com/in/oferoht")</f>
        <v>http://www.linkedin.com/in/oferoht</v>
      </c>
      <c r="I951" s="2" t="s">
        <v>2561</v>
      </c>
      <c r="J951" s="2" t="s">
        <v>102</v>
      </c>
      <c r="K951" s="2" t="s">
        <v>35</v>
      </c>
    </row>
    <row r="952" ht="15.75" customHeight="1">
      <c r="A952" s="2">
        <v>381359.0</v>
      </c>
      <c r="B952" s="2" t="s">
        <v>275</v>
      </c>
      <c r="C952" s="2" t="s">
        <v>2562</v>
      </c>
      <c r="D952" s="2" t="s">
        <v>1738</v>
      </c>
      <c r="E952" s="2" t="s">
        <v>122</v>
      </c>
      <c r="F952" s="2" t="s">
        <v>13</v>
      </c>
      <c r="G952" s="2">
        <v>500.0</v>
      </c>
      <c r="H952" s="3" t="str">
        <f>HYPERLINK("http://uk.linkedin.com/in/markrohan","http://uk.linkedin.com/in/markrohan")</f>
        <v>http://uk.linkedin.com/in/markrohan</v>
      </c>
      <c r="I952" s="2" t="s">
        <v>15</v>
      </c>
      <c r="J952" s="2" t="s">
        <v>53</v>
      </c>
      <c r="K952" s="2" t="s">
        <v>35</v>
      </c>
    </row>
    <row r="953" ht="15.75" customHeight="1">
      <c r="A953" s="2">
        <v>381424.0</v>
      </c>
      <c r="B953" s="2" t="s">
        <v>2563</v>
      </c>
      <c r="C953" s="2" t="s">
        <v>308</v>
      </c>
      <c r="D953" s="2" t="s">
        <v>1674</v>
      </c>
      <c r="E953" s="2" t="s">
        <v>136</v>
      </c>
      <c r="F953" s="2" t="s">
        <v>13</v>
      </c>
      <c r="G953" s="2">
        <v>500.0</v>
      </c>
      <c r="H953" s="3" t="str">
        <f>HYPERLINK("http://www.linkedin.com/in/rakeshkgupta","http://www.linkedin.com/in/rakeshkgupta")</f>
        <v>http://www.linkedin.com/in/rakeshkgupta</v>
      </c>
      <c r="I953" s="2" t="s">
        <v>15</v>
      </c>
      <c r="J953" s="2" t="s">
        <v>102</v>
      </c>
      <c r="K953" s="2" t="s">
        <v>35</v>
      </c>
    </row>
    <row r="954" ht="15.75" customHeight="1">
      <c r="A954" s="2">
        <v>381677.0</v>
      </c>
      <c r="B954" s="2" t="s">
        <v>754</v>
      </c>
      <c r="C954" s="2" t="s">
        <v>2564</v>
      </c>
      <c r="D954" s="2" t="s">
        <v>2560</v>
      </c>
      <c r="E954" s="2" t="s">
        <v>2565</v>
      </c>
      <c r="F954" s="2">
        <v>11.0</v>
      </c>
      <c r="G954" s="2">
        <v>500.0</v>
      </c>
      <c r="H954" s="3" t="str">
        <f>HYPERLINK("http://www.linkedin.com/in/gregshort","http://www.linkedin.com/in/gregshort")</f>
        <v>http://www.linkedin.com/in/gregshort</v>
      </c>
      <c r="I954" s="2" t="s">
        <v>2046</v>
      </c>
      <c r="J954" s="2" t="s">
        <v>102</v>
      </c>
      <c r="K954" s="2" t="s">
        <v>35</v>
      </c>
    </row>
    <row r="955" ht="15.75" customHeight="1">
      <c r="A955" s="2">
        <v>382295.0</v>
      </c>
      <c r="B955" s="2" t="s">
        <v>2566</v>
      </c>
      <c r="C955" s="2" t="s">
        <v>2567</v>
      </c>
      <c r="D955" s="2" t="s">
        <v>13</v>
      </c>
      <c r="E955" s="2" t="s">
        <v>574</v>
      </c>
      <c r="F955" s="2">
        <v>0.0</v>
      </c>
      <c r="G955" s="2">
        <v>500.0</v>
      </c>
      <c r="H955" s="3" t="str">
        <f>HYPERLINK("http://www.linkedin.com/in/ac777","http://www.linkedin.com/in/ac777")</f>
        <v>http://www.linkedin.com/in/ac777</v>
      </c>
      <c r="I955" s="2" t="s">
        <v>48</v>
      </c>
      <c r="J955" s="2" t="s">
        <v>575</v>
      </c>
      <c r="K955" s="2" t="s">
        <v>2031</v>
      </c>
    </row>
    <row r="956" ht="15.75" customHeight="1">
      <c r="A956" s="2">
        <v>382344.0</v>
      </c>
      <c r="B956" s="2" t="s">
        <v>1380</v>
      </c>
      <c r="C956" s="2" t="s">
        <v>2568</v>
      </c>
      <c r="D956" s="2" t="s">
        <v>1865</v>
      </c>
      <c r="E956" s="2" t="s">
        <v>2569</v>
      </c>
      <c r="F956" s="2">
        <v>2.0</v>
      </c>
      <c r="G956" s="2">
        <v>500.0</v>
      </c>
      <c r="H956" s="3" t="str">
        <f>HYPERLINK("http://www.linkedin.com/in/randysalars","http://www.linkedin.com/in/randysalars")</f>
        <v>http://www.linkedin.com/in/randysalars</v>
      </c>
      <c r="I956" s="2" t="s">
        <v>422</v>
      </c>
      <c r="J956" s="2" t="s">
        <v>28</v>
      </c>
      <c r="K956" s="2" t="s">
        <v>138</v>
      </c>
    </row>
    <row r="957" ht="15.75" customHeight="1">
      <c r="A957" s="2">
        <v>382451.0</v>
      </c>
      <c r="B957" s="2" t="s">
        <v>2570</v>
      </c>
      <c r="C957" s="2" t="s">
        <v>2571</v>
      </c>
      <c r="D957" s="2" t="s">
        <v>2572</v>
      </c>
      <c r="E957" s="2" t="s">
        <v>2573</v>
      </c>
      <c r="F957" s="2">
        <v>0.0</v>
      </c>
      <c r="G957" s="2">
        <v>113.0</v>
      </c>
      <c r="H957" s="3" t="str">
        <f>HYPERLINK("http://www.linkedin.com/pub/iuri-andrade/23/219/1A2","http://www.linkedin.com/pub/iuri-andrade/23/219/1A2")</f>
        <v>http://www.linkedin.com/pub/iuri-andrade/23/219/1A2</v>
      </c>
      <c r="I957" s="2" t="s">
        <v>2574</v>
      </c>
      <c r="J957" s="2" t="s">
        <v>34</v>
      </c>
      <c r="K957" s="2" t="s">
        <v>29</v>
      </c>
    </row>
    <row r="958" ht="15.75" customHeight="1">
      <c r="A958" s="2">
        <v>383404.0</v>
      </c>
      <c r="B958" s="2" t="s">
        <v>1479</v>
      </c>
      <c r="C958" s="2" t="s">
        <v>2575</v>
      </c>
      <c r="D958" s="2" t="s">
        <v>42</v>
      </c>
      <c r="E958" s="2" t="s">
        <v>744</v>
      </c>
      <c r="F958" s="2" t="s">
        <v>13</v>
      </c>
      <c r="G958" s="2">
        <v>500.0</v>
      </c>
      <c r="H958" s="3" t="str">
        <f>HYPERLINK("http://www.linkedin.com/pub/frank-cardaropoli/1/403/BBB","http://www.linkedin.com/pub/frank-cardaropoli/1/403/BBB")</f>
        <v>http://www.linkedin.com/pub/frank-cardaropoli/1/403/BBB</v>
      </c>
      <c r="I958" s="2" t="s">
        <v>2574</v>
      </c>
      <c r="J958" s="2" t="s">
        <v>102</v>
      </c>
      <c r="K958" s="2" t="s">
        <v>97</v>
      </c>
    </row>
    <row r="959" ht="15.75" customHeight="1">
      <c r="A959" s="2">
        <v>383711.0</v>
      </c>
      <c r="B959" s="2" t="s">
        <v>414</v>
      </c>
      <c r="C959" s="2" t="s">
        <v>2576</v>
      </c>
      <c r="D959" s="2" t="s">
        <v>2577</v>
      </c>
      <c r="E959" s="2" t="s">
        <v>136</v>
      </c>
      <c r="F959" s="2">
        <v>11.0</v>
      </c>
      <c r="G959" s="2">
        <v>500.0</v>
      </c>
      <c r="H959" s="3" t="str">
        <f>HYPERLINK("http://www.linkedin.com/in/tomsaari","http://www.linkedin.com/in/tomsaari")</f>
        <v>http://www.linkedin.com/in/tomsaari</v>
      </c>
      <c r="I959" s="2" t="s">
        <v>48</v>
      </c>
      <c r="J959" s="2" t="s">
        <v>102</v>
      </c>
      <c r="K959" s="2" t="s">
        <v>35</v>
      </c>
    </row>
    <row r="960" ht="15.75" customHeight="1">
      <c r="A960" s="2">
        <v>383869.0</v>
      </c>
      <c r="B960" s="2" t="s">
        <v>2578</v>
      </c>
      <c r="C960" s="2" t="s">
        <v>2579</v>
      </c>
      <c r="D960" s="2" t="s">
        <v>2580</v>
      </c>
      <c r="E960" s="2" t="s">
        <v>2581</v>
      </c>
      <c r="F960" s="2" t="s">
        <v>13</v>
      </c>
      <c r="G960" s="2">
        <v>500.0</v>
      </c>
      <c r="H960" s="3" t="str">
        <f>HYPERLINK("http://uk.linkedin.com/in/philipringrow","http://uk.linkedin.com/in/philipringrow")</f>
        <v>http://uk.linkedin.com/in/philipringrow</v>
      </c>
      <c r="I960" s="2" t="s">
        <v>15</v>
      </c>
      <c r="J960" s="2" t="s">
        <v>53</v>
      </c>
      <c r="K960" s="2" t="s">
        <v>35</v>
      </c>
    </row>
    <row r="961" ht="15.75" customHeight="1">
      <c r="A961" s="2">
        <v>384119.0</v>
      </c>
      <c r="B961" s="2" t="s">
        <v>2582</v>
      </c>
      <c r="C961" s="2" t="s">
        <v>2583</v>
      </c>
      <c r="D961" s="2" t="s">
        <v>2584</v>
      </c>
      <c r="E961" s="2" t="s">
        <v>2585</v>
      </c>
      <c r="F961" s="2">
        <v>3.0</v>
      </c>
      <c r="G961" s="2">
        <v>500.0</v>
      </c>
      <c r="H961" s="3" t="str">
        <f>HYPERLINK("http://www.linkedin.com/pub/chad-m-knauss/6/70B/275","http://www.linkedin.com/pub/chad-m-knauss/6/70B/275")</f>
        <v>http://www.linkedin.com/pub/chad-m-knauss/6/70B/275</v>
      </c>
      <c r="I961" s="2" t="s">
        <v>1107</v>
      </c>
      <c r="J961" s="2" t="s">
        <v>102</v>
      </c>
      <c r="K961" s="2" t="s">
        <v>29</v>
      </c>
    </row>
    <row r="962" ht="15.75" customHeight="1">
      <c r="A962" s="2">
        <v>384200.0</v>
      </c>
      <c r="B962" s="2" t="s">
        <v>2586</v>
      </c>
      <c r="C962" s="2" t="s">
        <v>2587</v>
      </c>
      <c r="D962" s="2" t="s">
        <v>42</v>
      </c>
      <c r="E962" s="2" t="s">
        <v>136</v>
      </c>
      <c r="F962" s="2">
        <v>2.0</v>
      </c>
      <c r="G962" s="2">
        <v>195.0</v>
      </c>
      <c r="H962" s="3" t="str">
        <f>HYPERLINK("http://www.linkedin.com/in/lawrencesuen","http://www.linkedin.com/in/lawrencesuen")</f>
        <v>http://www.linkedin.com/in/lawrencesuen</v>
      </c>
      <c r="I962" s="2" t="s">
        <v>48</v>
      </c>
      <c r="J962" s="2" t="s">
        <v>102</v>
      </c>
      <c r="K962" s="2" t="s">
        <v>35</v>
      </c>
    </row>
    <row r="963" ht="15.75" customHeight="1">
      <c r="A963" s="2">
        <v>384554.0</v>
      </c>
      <c r="B963" s="2" t="s">
        <v>389</v>
      </c>
      <c r="C963" s="2" t="s">
        <v>2588</v>
      </c>
      <c r="D963" s="2" t="s">
        <v>2589</v>
      </c>
      <c r="E963" s="2" t="s">
        <v>1251</v>
      </c>
      <c r="F963" s="2" t="s">
        <v>13</v>
      </c>
      <c r="G963" s="2">
        <v>500.0</v>
      </c>
      <c r="H963" s="3" t="str">
        <f>HYPERLINK("http://pt.linkedin.com/in/joselealsilva","http://pt.linkedin.com/in/joselealsilva")</f>
        <v>http://pt.linkedin.com/in/joselealsilva</v>
      </c>
      <c r="I963" s="2" t="s">
        <v>15</v>
      </c>
      <c r="J963" s="2" t="s">
        <v>670</v>
      </c>
      <c r="K963" s="2" t="s">
        <v>35</v>
      </c>
    </row>
    <row r="964" ht="15.75" customHeight="1">
      <c r="A964" s="2">
        <v>385528.0</v>
      </c>
      <c r="B964" s="2" t="s">
        <v>2457</v>
      </c>
      <c r="C964" s="2" t="s">
        <v>2590</v>
      </c>
      <c r="D964" s="2" t="s">
        <v>1320</v>
      </c>
      <c r="E964" s="2" t="s">
        <v>235</v>
      </c>
      <c r="F964" s="2">
        <v>2.0</v>
      </c>
      <c r="G964" s="2">
        <v>500.0</v>
      </c>
      <c r="H964" s="3" t="str">
        <f>HYPERLINK("http://www.linkedin.com/in/stephengilfus","http://www.linkedin.com/in/stephengilfus")</f>
        <v>http://www.linkedin.com/in/stephengilfus</v>
      </c>
      <c r="I964" s="2" t="s">
        <v>440</v>
      </c>
      <c r="J964" s="2" t="s">
        <v>102</v>
      </c>
      <c r="K964" s="2" t="s">
        <v>97</v>
      </c>
    </row>
    <row r="965" ht="15.75" customHeight="1">
      <c r="A965" s="2">
        <v>385851.0</v>
      </c>
      <c r="B965" s="2" t="s">
        <v>2591</v>
      </c>
      <c r="C965" s="2" t="s">
        <v>2592</v>
      </c>
      <c r="D965" s="2" t="s">
        <v>1320</v>
      </c>
      <c r="E965" s="2" t="s">
        <v>2593</v>
      </c>
      <c r="F965" s="2">
        <v>15.0</v>
      </c>
      <c r="G965" s="2">
        <v>500.0</v>
      </c>
      <c r="H965" s="3" t="str">
        <f>HYPERLINK("http://www.linkedin.com/in/chudaniel","http://www.linkedin.com/in/chudaniel")</f>
        <v>http://www.linkedin.com/in/chudaniel</v>
      </c>
      <c r="I965" s="2" t="s">
        <v>69</v>
      </c>
      <c r="J965" s="2" t="s">
        <v>980</v>
      </c>
      <c r="K965" s="2" t="s">
        <v>35</v>
      </c>
    </row>
    <row r="966" ht="15.75" customHeight="1">
      <c r="A966" s="2">
        <v>386910.0</v>
      </c>
      <c r="B966" s="2" t="s">
        <v>2594</v>
      </c>
      <c r="C966" s="2" t="s">
        <v>2595</v>
      </c>
      <c r="D966" s="2" t="s">
        <v>2596</v>
      </c>
      <c r="E966" s="2" t="s">
        <v>1190</v>
      </c>
      <c r="F966" s="2">
        <v>3.0</v>
      </c>
      <c r="G966" s="2">
        <v>234.0</v>
      </c>
      <c r="H966" s="3" t="str">
        <f>HYPERLINK("http://www.linkedin.com/pub/bahaudin-mujtaba/11/16B/B3A","http://www.linkedin.com/pub/bahaudin-mujtaba/11/16B/B3A")</f>
        <v>http://www.linkedin.com/pub/bahaudin-mujtaba/11/16B/B3A</v>
      </c>
      <c r="I966" s="2" t="s">
        <v>240</v>
      </c>
      <c r="J966" s="2" t="s">
        <v>102</v>
      </c>
      <c r="K966" s="2" t="s">
        <v>183</v>
      </c>
    </row>
    <row r="967" ht="15.75" customHeight="1">
      <c r="A967" s="2">
        <v>387103.0</v>
      </c>
      <c r="B967" s="2" t="s">
        <v>897</v>
      </c>
      <c r="C967" s="2" t="s">
        <v>2019</v>
      </c>
      <c r="D967" s="2" t="s">
        <v>2597</v>
      </c>
      <c r="E967" s="2" t="s">
        <v>2598</v>
      </c>
      <c r="F967" s="2">
        <v>5.0</v>
      </c>
      <c r="G967" s="2">
        <v>500.0</v>
      </c>
      <c r="H967" s="3" t="str">
        <f>HYPERLINK("http://www.linkedin.com/in/jamieturner60secondmarketer","http://www.linkedin.com/in/jamieturner60secondmarketer")</f>
        <v>http://www.linkedin.com/in/jamieturner60secondmarketer</v>
      </c>
      <c r="I967" s="2" t="s">
        <v>105</v>
      </c>
      <c r="J967" s="2" t="s">
        <v>102</v>
      </c>
      <c r="K967" s="2" t="s">
        <v>29</v>
      </c>
    </row>
    <row r="968" ht="15.75" customHeight="1">
      <c r="A968" s="2">
        <v>387530.0</v>
      </c>
      <c r="B968" s="2" t="s">
        <v>2599</v>
      </c>
      <c r="C968" s="2" t="s">
        <v>2600</v>
      </c>
      <c r="D968" s="2" t="s">
        <v>13</v>
      </c>
      <c r="E968" s="2" t="s">
        <v>2058</v>
      </c>
      <c r="F968" s="2">
        <v>15.0</v>
      </c>
      <c r="G968" s="2">
        <v>500.0</v>
      </c>
      <c r="H968" s="3" t="str">
        <f>HYPERLINK("https://www.linkedin.com/in/lucretiampruitt","https://www.linkedin.com/in/lucretiampruitt")</f>
        <v>https://www.linkedin.com/in/lucretiampruitt</v>
      </c>
      <c r="I968" s="2" t="s">
        <v>326</v>
      </c>
      <c r="J968" s="2" t="s">
        <v>102</v>
      </c>
      <c r="K968" s="2" t="s">
        <v>357</v>
      </c>
    </row>
    <row r="969" ht="15.75" customHeight="1">
      <c r="A969" s="2">
        <v>387660.0</v>
      </c>
      <c r="B969" s="2" t="s">
        <v>2601</v>
      </c>
      <c r="C969" s="2" t="s">
        <v>2602</v>
      </c>
      <c r="D969" s="2" t="s">
        <v>42</v>
      </c>
      <c r="E969" s="2" t="s">
        <v>1806</v>
      </c>
      <c r="F969" s="2">
        <v>12.0</v>
      </c>
      <c r="G969" s="2">
        <v>346.0</v>
      </c>
      <c r="H969" s="3" t="str">
        <f>HYPERLINK("http://www.linkedin.com/pub/rebecca-kun-pmp/1/103/728","http://www.linkedin.com/pub/rebecca-kun-pmp/1/103/728")</f>
        <v>http://www.linkedin.com/pub/rebecca-kun-pmp/1/103/728</v>
      </c>
      <c r="I969" s="2" t="s">
        <v>2603</v>
      </c>
      <c r="J969" s="2" t="s">
        <v>102</v>
      </c>
      <c r="K969" s="2" t="s">
        <v>97</v>
      </c>
    </row>
    <row r="970" ht="15.75" customHeight="1">
      <c r="A970" s="2">
        <v>388195.0</v>
      </c>
      <c r="B970" s="2" t="s">
        <v>1284</v>
      </c>
      <c r="C970" s="2" t="s">
        <v>2604</v>
      </c>
      <c r="D970" s="2" t="s">
        <v>13</v>
      </c>
      <c r="E970" s="2" t="s">
        <v>122</v>
      </c>
      <c r="F970" s="2">
        <v>0.0</v>
      </c>
      <c r="G970" s="2">
        <v>500.0</v>
      </c>
      <c r="H970" s="3" t="str">
        <f>HYPERLINK("https://www.linkedin.com/in/londonppcseo","https://www.linkedin.com/in/londonppcseo")</f>
        <v>https://www.linkedin.com/in/londonppcseo</v>
      </c>
      <c r="I970" s="2" t="s">
        <v>69</v>
      </c>
      <c r="J970" s="2" t="s">
        <v>53</v>
      </c>
      <c r="K970" s="2" t="s">
        <v>35</v>
      </c>
    </row>
    <row r="971" ht="15.75" customHeight="1">
      <c r="A971" s="2">
        <v>388579.0</v>
      </c>
      <c r="B971" s="2" t="s">
        <v>45</v>
      </c>
      <c r="C971" s="2" t="s">
        <v>2605</v>
      </c>
      <c r="D971" s="2" t="s">
        <v>1073</v>
      </c>
      <c r="E971" s="2" t="s">
        <v>668</v>
      </c>
      <c r="F971" s="2" t="s">
        <v>13</v>
      </c>
      <c r="G971" s="2">
        <v>500.0</v>
      </c>
      <c r="H971" s="3" t="str">
        <f>HYPERLINK("http://pt.linkedin.com/pub/carlos-leite/2/928/44B","http://pt.linkedin.com/pub/carlos-leite/2/928/44B")</f>
        <v>http://pt.linkedin.com/pub/carlos-leite/2/928/44B</v>
      </c>
      <c r="I971" s="2" t="s">
        <v>15</v>
      </c>
      <c r="J971" s="2" t="s">
        <v>670</v>
      </c>
      <c r="K971" s="2" t="s">
        <v>35</v>
      </c>
    </row>
    <row r="972" ht="15.75" customHeight="1">
      <c r="A972" s="2">
        <v>388600.0</v>
      </c>
      <c r="B972" s="2" t="s">
        <v>2606</v>
      </c>
      <c r="C972" s="2" t="s">
        <v>2607</v>
      </c>
      <c r="D972" s="2" t="s">
        <v>2608</v>
      </c>
      <c r="E972" s="2" t="s">
        <v>1414</v>
      </c>
      <c r="F972" s="2">
        <v>0.0</v>
      </c>
      <c r="G972" s="2">
        <v>87.0</v>
      </c>
      <c r="H972" s="3" t="str">
        <f>HYPERLINK("http://www.linkedin.com/in/joedvorak","http://www.linkedin.com/in/joedvorak")</f>
        <v>http://www.linkedin.com/in/joedvorak</v>
      </c>
      <c r="I972" s="2" t="s">
        <v>865</v>
      </c>
      <c r="J972" s="2" t="s">
        <v>1047</v>
      </c>
      <c r="K972" s="2" t="s">
        <v>29</v>
      </c>
    </row>
    <row r="973" ht="15.75" customHeight="1">
      <c r="A973" s="2">
        <v>389479.0</v>
      </c>
      <c r="B973" s="2" t="s">
        <v>2609</v>
      </c>
      <c r="C973" s="2" t="s">
        <v>2610</v>
      </c>
      <c r="D973" s="2" t="s">
        <v>2611</v>
      </c>
      <c r="E973" s="2" t="s">
        <v>259</v>
      </c>
      <c r="F973" s="2">
        <v>2.0</v>
      </c>
      <c r="G973" s="2">
        <v>412.0</v>
      </c>
      <c r="H973" s="3" t="str">
        <f>HYPERLINK("http://www.linkedin.com/in/thecarlhall","http://www.linkedin.com/in/thecarlhall")</f>
        <v>http://www.linkedin.com/in/thecarlhall</v>
      </c>
      <c r="I973" s="2" t="s">
        <v>15</v>
      </c>
      <c r="J973" s="2" t="s">
        <v>144</v>
      </c>
      <c r="K973" s="2" t="s">
        <v>17</v>
      </c>
    </row>
    <row r="974" ht="15.75" customHeight="1">
      <c r="A974" s="2">
        <v>389504.0</v>
      </c>
      <c r="B974" s="2" t="s">
        <v>993</v>
      </c>
      <c r="C974" s="2" t="s">
        <v>2612</v>
      </c>
      <c r="D974" s="2" t="s">
        <v>42</v>
      </c>
      <c r="E974" s="2" t="s">
        <v>2613</v>
      </c>
      <c r="F974" s="2" t="s">
        <v>13</v>
      </c>
      <c r="G974" s="2">
        <v>500.0</v>
      </c>
      <c r="H974" s="3" t="str">
        <f>HYPERLINK("http://www.linkedin.com/in/jkonchar","http://www.linkedin.com/in/jkonchar")</f>
        <v>http://www.linkedin.com/in/jkonchar</v>
      </c>
      <c r="I974" s="2" t="s">
        <v>57</v>
      </c>
      <c r="J974" s="2" t="s">
        <v>102</v>
      </c>
      <c r="K974" s="2" t="s">
        <v>58</v>
      </c>
    </row>
    <row r="975" ht="15.75" customHeight="1">
      <c r="A975" s="2">
        <v>389663.0</v>
      </c>
      <c r="B975" s="2" t="s">
        <v>2614</v>
      </c>
      <c r="C975" s="2" t="s">
        <v>2615</v>
      </c>
      <c r="D975" s="2" t="s">
        <v>2616</v>
      </c>
      <c r="E975" s="2" t="s">
        <v>2267</v>
      </c>
      <c r="F975" s="2">
        <v>8.0</v>
      </c>
      <c r="G975" s="2">
        <v>500.0</v>
      </c>
      <c r="H975" s="3" t="str">
        <f>HYPERLINK("http://in.linkedin.com/pub/shashank-shwet/6/835/89","http://in.linkedin.com/pub/shashank-shwet/6/835/89")</f>
        <v>http://in.linkedin.com/pub/shashank-shwet/6/835/89</v>
      </c>
      <c r="I975" s="2" t="s">
        <v>2268</v>
      </c>
      <c r="J975" s="2" t="s">
        <v>87</v>
      </c>
      <c r="K975" s="2" t="s">
        <v>58</v>
      </c>
    </row>
    <row r="976" ht="15.75" customHeight="1">
      <c r="A976" s="2">
        <v>390012.0</v>
      </c>
      <c r="B976" s="2" t="s">
        <v>907</v>
      </c>
      <c r="C976" s="2" t="s">
        <v>2617</v>
      </c>
      <c r="D976" s="2" t="s">
        <v>2618</v>
      </c>
      <c r="E976" s="2" t="s">
        <v>136</v>
      </c>
      <c r="F976" s="2">
        <v>16.0</v>
      </c>
      <c r="G976" s="2">
        <v>500.0</v>
      </c>
      <c r="H976" s="3" t="str">
        <f>HYPERLINK("http://www.linkedin.com/pub/lori-welch/0/8BB/441","http://www.linkedin.com/pub/lori-welch/0/8BB/441")</f>
        <v>http://www.linkedin.com/pub/lori-welch/0/8BB/441</v>
      </c>
      <c r="I976" s="2" t="s">
        <v>15</v>
      </c>
      <c r="J976" s="2" t="s">
        <v>102</v>
      </c>
      <c r="K976" s="2" t="s">
        <v>35</v>
      </c>
    </row>
    <row r="977" ht="15.75" customHeight="1">
      <c r="A977" s="2">
        <v>390137.0</v>
      </c>
      <c r="B977" s="2" t="s">
        <v>1004</v>
      </c>
      <c r="C977" s="2" t="s">
        <v>2619</v>
      </c>
      <c r="D977" s="2" t="s">
        <v>2620</v>
      </c>
      <c r="E977" s="2" t="s">
        <v>2621</v>
      </c>
      <c r="F977" s="2" t="s">
        <v>13</v>
      </c>
      <c r="G977" s="2">
        <v>500.0</v>
      </c>
      <c r="H977" s="3" t="str">
        <f>HYPERLINK("http://www.linkedin.com/pub/scott-mccallum/7/B14/5A1","http://www.linkedin.com/pub/scott-mccallum/7/B14/5A1")</f>
        <v>http://www.linkedin.com/pub/scott-mccallum/7/B14/5A1</v>
      </c>
      <c r="I977" s="2" t="s">
        <v>865</v>
      </c>
      <c r="J977" s="2" t="s">
        <v>87</v>
      </c>
      <c r="K977" s="2" t="s">
        <v>35</v>
      </c>
    </row>
    <row r="978" ht="15.75" customHeight="1">
      <c r="A978" s="2">
        <v>390409.0</v>
      </c>
      <c r="B978" s="2" t="s">
        <v>2622</v>
      </c>
      <c r="C978" s="2" t="s">
        <v>2623</v>
      </c>
      <c r="D978" s="2" t="s">
        <v>2624</v>
      </c>
      <c r="E978" s="2" t="s">
        <v>1009</v>
      </c>
      <c r="F978" s="2">
        <v>11.0</v>
      </c>
      <c r="G978" s="2">
        <v>500.0</v>
      </c>
      <c r="H978" s="3" t="str">
        <f>HYPERLINK("http://www.linkedin.com/in/jessicahlaterpowell","http://www.linkedin.com/in/jessicahlaterpowell")</f>
        <v>http://www.linkedin.com/in/jessicahlaterpowell</v>
      </c>
      <c r="I978" s="2" t="s">
        <v>105</v>
      </c>
      <c r="J978" s="2" t="s">
        <v>87</v>
      </c>
      <c r="K978" s="2" t="s">
        <v>168</v>
      </c>
    </row>
    <row r="979" ht="15.75" customHeight="1">
      <c r="A979" s="2">
        <v>390439.0</v>
      </c>
      <c r="B979" s="2" t="s">
        <v>460</v>
      </c>
      <c r="C979" s="2" t="s">
        <v>2625</v>
      </c>
      <c r="D979" s="2" t="s">
        <v>114</v>
      </c>
      <c r="E979" s="2" t="s">
        <v>278</v>
      </c>
      <c r="F979" s="2">
        <v>2.0</v>
      </c>
      <c r="G979" s="2">
        <v>407.0</v>
      </c>
      <c r="H979" s="3" t="str">
        <f>HYPERLINK("http://www.linkedin.com/pub/john-labry/7/BA1/704","http://www.linkedin.com/pub/john-labry/7/BA1/704")</f>
        <v>http://www.linkedin.com/pub/john-labry/7/BA1/704</v>
      </c>
      <c r="I979" s="2" t="s">
        <v>119</v>
      </c>
      <c r="J979" s="2" t="s">
        <v>28</v>
      </c>
      <c r="K979" s="2" t="s">
        <v>1176</v>
      </c>
    </row>
    <row r="980" ht="15.75" customHeight="1">
      <c r="A980" s="2">
        <v>390533.0</v>
      </c>
      <c r="B980" s="2" t="s">
        <v>2626</v>
      </c>
      <c r="C980" s="2" t="s">
        <v>2627</v>
      </c>
      <c r="D980" s="2" t="s">
        <v>304</v>
      </c>
      <c r="E980" s="2" t="s">
        <v>1182</v>
      </c>
      <c r="F980" s="2">
        <v>7.0</v>
      </c>
      <c r="G980" s="2">
        <v>500.0</v>
      </c>
      <c r="H980" s="3" t="str">
        <f>HYPERLINK("http://www.linkedin.com/in/davidvaneck","http://www.linkedin.com/in/davidvaneck")</f>
        <v>http://www.linkedin.com/in/davidvaneck</v>
      </c>
      <c r="I980" s="2" t="s">
        <v>865</v>
      </c>
      <c r="J980" s="2" t="s">
        <v>1184</v>
      </c>
      <c r="K980" s="2" t="s">
        <v>58</v>
      </c>
    </row>
    <row r="981" ht="15.75" customHeight="1">
      <c r="A981" s="2">
        <v>390874.0</v>
      </c>
      <c r="B981" s="2" t="s">
        <v>2488</v>
      </c>
      <c r="C981" s="2" t="s">
        <v>2628</v>
      </c>
      <c r="D981" s="2" t="s">
        <v>400</v>
      </c>
      <c r="E981" s="2" t="s">
        <v>716</v>
      </c>
      <c r="F981" s="2">
        <v>1.0</v>
      </c>
      <c r="G981" s="2">
        <v>500.0</v>
      </c>
      <c r="H981" s="3" t="str">
        <f>HYPERLINK("http://www.linkedin.com/in/manishjindal","http://www.linkedin.com/in/manishjindal")</f>
        <v>http://www.linkedin.com/in/manishjindal</v>
      </c>
      <c r="I981" s="2" t="s">
        <v>15</v>
      </c>
      <c r="J981" s="2" t="s">
        <v>575</v>
      </c>
      <c r="K981" s="2" t="s">
        <v>22</v>
      </c>
    </row>
    <row r="982" ht="15.75" customHeight="1">
      <c r="A982" s="2">
        <v>391065.0</v>
      </c>
      <c r="B982" s="2" t="s">
        <v>2629</v>
      </c>
      <c r="C982" s="2" t="s">
        <v>1906</v>
      </c>
      <c r="D982" s="2" t="s">
        <v>2630</v>
      </c>
      <c r="E982" s="2" t="s">
        <v>2598</v>
      </c>
      <c r="F982" s="2">
        <v>0.0</v>
      </c>
      <c r="G982" s="2">
        <v>0.0</v>
      </c>
      <c r="H982" s="3" t="str">
        <f>HYPERLINK("http://www.linkedin.com/in/asimkairm","http://www.linkedin.com/in/asimkairm")</f>
        <v>http://www.linkedin.com/in/asimkairm</v>
      </c>
      <c r="I982" s="2" t="s">
        <v>15</v>
      </c>
      <c r="J982" s="2" t="s">
        <v>102</v>
      </c>
      <c r="K982" s="2" t="s">
        <v>522</v>
      </c>
    </row>
    <row r="983" ht="15.75" customHeight="1">
      <c r="A983" s="2">
        <v>391373.0</v>
      </c>
      <c r="B983" s="2" t="s">
        <v>793</v>
      </c>
      <c r="C983" s="2" t="s">
        <v>2631</v>
      </c>
      <c r="D983" s="2" t="s">
        <v>2632</v>
      </c>
      <c r="E983" s="2" t="s">
        <v>2633</v>
      </c>
      <c r="F983" s="2" t="s">
        <v>13</v>
      </c>
      <c r="G983" s="2">
        <v>388.0</v>
      </c>
      <c r="H983" s="3" t="str">
        <f>HYPERLINK("http://uk.linkedin.com/in/raymason","http://uk.linkedin.com/in/raymason")</f>
        <v>http://uk.linkedin.com/in/raymason</v>
      </c>
      <c r="I983" s="2" t="s">
        <v>1421</v>
      </c>
      <c r="J983" s="2" t="s">
        <v>53</v>
      </c>
      <c r="K983" s="2" t="s">
        <v>58</v>
      </c>
    </row>
    <row r="984" ht="15.75" customHeight="1">
      <c r="A984" s="2">
        <v>391790.0</v>
      </c>
      <c r="B984" s="2" t="s">
        <v>2634</v>
      </c>
      <c r="C984" s="2" t="s">
        <v>2635</v>
      </c>
      <c r="D984" s="2" t="s">
        <v>2636</v>
      </c>
      <c r="E984" s="2" t="s">
        <v>2637</v>
      </c>
      <c r="F984" s="2">
        <v>24.0</v>
      </c>
      <c r="G984" s="2">
        <v>500.0</v>
      </c>
      <c r="H984" s="3" t="str">
        <f>HYPERLINK("http://www.linkedin.com/in/ornajackson","http://www.linkedin.com/in/ornajackson")</f>
        <v>http://www.linkedin.com/in/ornajackson</v>
      </c>
      <c r="I984" s="2" t="s">
        <v>475</v>
      </c>
      <c r="J984" s="2" t="s">
        <v>273</v>
      </c>
      <c r="K984" s="2" t="s">
        <v>58</v>
      </c>
    </row>
    <row r="985" ht="15.75" customHeight="1">
      <c r="A985" s="2">
        <v>392368.0</v>
      </c>
      <c r="B985" s="2" t="s">
        <v>1004</v>
      </c>
      <c r="C985" s="2" t="s">
        <v>2638</v>
      </c>
      <c r="D985" s="2" t="s">
        <v>2639</v>
      </c>
      <c r="E985" s="2" t="s">
        <v>142</v>
      </c>
      <c r="F985" s="2">
        <v>5.0</v>
      </c>
      <c r="G985" s="2">
        <v>492.0</v>
      </c>
      <c r="H985" s="3" t="str">
        <f>HYPERLINK("http://www.linkedin.com/in/scottsabins","http://www.linkedin.com/in/scottsabins")</f>
        <v>http://www.linkedin.com/in/scottsabins</v>
      </c>
      <c r="I985" s="2" t="s">
        <v>69</v>
      </c>
      <c r="J985" s="2" t="s">
        <v>144</v>
      </c>
      <c r="K985" s="2" t="s">
        <v>138</v>
      </c>
    </row>
    <row r="986" ht="15.75" customHeight="1">
      <c r="A986" s="2">
        <v>392749.0</v>
      </c>
      <c r="B986" s="2" t="s">
        <v>2640</v>
      </c>
      <c r="C986" s="2" t="s">
        <v>2641</v>
      </c>
      <c r="D986" s="2" t="s">
        <v>2642</v>
      </c>
      <c r="E986" s="2" t="s">
        <v>2643</v>
      </c>
      <c r="F986" s="2">
        <v>4.0</v>
      </c>
      <c r="G986" s="2">
        <v>500.0</v>
      </c>
      <c r="H986" s="3" t="str">
        <f>HYPERLINK("http://www.linkedin.com/in/alexandriamelton","http://www.linkedin.com/in/alexandriamelton")</f>
        <v>http://www.linkedin.com/in/alexandriamelton</v>
      </c>
      <c r="I986" s="2" t="s">
        <v>105</v>
      </c>
      <c r="J986" s="2" t="s">
        <v>102</v>
      </c>
      <c r="K986" s="2" t="s">
        <v>29</v>
      </c>
    </row>
    <row r="987" ht="15.75" customHeight="1">
      <c r="A987" s="2">
        <v>394160.0</v>
      </c>
      <c r="B987" s="2" t="s">
        <v>2644</v>
      </c>
      <c r="C987" s="2" t="s">
        <v>1153</v>
      </c>
      <c r="D987" s="2" t="s">
        <v>2645</v>
      </c>
      <c r="E987" s="2" t="s">
        <v>136</v>
      </c>
      <c r="F987" s="2" t="s">
        <v>13</v>
      </c>
      <c r="G987" s="2">
        <v>500.0</v>
      </c>
      <c r="H987" s="3" t="str">
        <f>HYPERLINK("http://www.linkedin.com/pub/coco-brown/0/183/643","http://www.linkedin.com/pub/coco-brown/0/183/643")</f>
        <v>http://www.linkedin.com/pub/coco-brown/0/183/643</v>
      </c>
      <c r="I987" s="2" t="s">
        <v>15</v>
      </c>
      <c r="J987" s="2" t="s">
        <v>102</v>
      </c>
      <c r="K987" s="2" t="s">
        <v>35</v>
      </c>
    </row>
    <row r="988" ht="15.75" customHeight="1">
      <c r="A988" s="2">
        <v>394233.0</v>
      </c>
      <c r="B988" s="2" t="s">
        <v>2646</v>
      </c>
      <c r="C988" s="2" t="s">
        <v>1789</v>
      </c>
      <c r="D988" s="2" t="s">
        <v>289</v>
      </c>
      <c r="E988" s="2" t="s">
        <v>2647</v>
      </c>
      <c r="F988" s="2">
        <v>1.0</v>
      </c>
      <c r="G988" s="2">
        <v>500.0</v>
      </c>
      <c r="H988" s="3" t="str">
        <f>HYPERLINK("https://www.linkedin.com/in/justinwilson2","https://www.linkedin.com/in/justinwilson2")</f>
        <v>https://www.linkedin.com/in/justinwilson2</v>
      </c>
      <c r="I988" s="2" t="s">
        <v>15</v>
      </c>
      <c r="J988" s="2" t="s">
        <v>926</v>
      </c>
      <c r="K988" s="2" t="s">
        <v>35</v>
      </c>
    </row>
    <row r="989" ht="15.75" customHeight="1">
      <c r="A989" s="2">
        <v>394262.0</v>
      </c>
      <c r="B989" s="2" t="s">
        <v>2648</v>
      </c>
      <c r="C989" s="2" t="s">
        <v>991</v>
      </c>
      <c r="D989" s="2" t="s">
        <v>416</v>
      </c>
      <c r="E989" s="2" t="s">
        <v>136</v>
      </c>
      <c r="F989" s="2" t="s">
        <v>13</v>
      </c>
      <c r="G989" s="2">
        <v>500.0</v>
      </c>
      <c r="H989" s="3" t="str">
        <f>HYPERLINK("http://www.linkedin.com/in/normgraham","http://www.linkedin.com/in/normgraham")</f>
        <v>http://www.linkedin.com/in/normgraham</v>
      </c>
      <c r="I989" s="2" t="s">
        <v>48</v>
      </c>
      <c r="J989" s="2" t="s">
        <v>102</v>
      </c>
      <c r="K989" s="2" t="s">
        <v>35</v>
      </c>
    </row>
    <row r="990" ht="15.75" customHeight="1">
      <c r="A990" s="2">
        <v>394394.0</v>
      </c>
      <c r="B990" s="2" t="s">
        <v>2649</v>
      </c>
      <c r="C990" s="2" t="s">
        <v>2650</v>
      </c>
      <c r="D990" s="2" t="s">
        <v>2651</v>
      </c>
      <c r="E990" s="2" t="s">
        <v>301</v>
      </c>
      <c r="F990" s="2">
        <v>4.0</v>
      </c>
      <c r="G990" s="2">
        <v>286.0</v>
      </c>
      <c r="H990" s="3" t="str">
        <f>HYPERLINK("http://nl.linkedin.com/in/offerkohen","http://nl.linkedin.com/in/offerkohen")</f>
        <v>http://nl.linkedin.com/in/offerkohen</v>
      </c>
      <c r="I990" s="2" t="s">
        <v>910</v>
      </c>
      <c r="J990" s="2" t="s">
        <v>102</v>
      </c>
      <c r="K990" s="2" t="s">
        <v>58</v>
      </c>
    </row>
    <row r="991" ht="15.75" customHeight="1">
      <c r="A991" s="2">
        <v>394793.0</v>
      </c>
      <c r="B991" s="2" t="s">
        <v>845</v>
      </c>
      <c r="C991" s="2" t="s">
        <v>2652</v>
      </c>
      <c r="D991" s="2" t="s">
        <v>2653</v>
      </c>
      <c r="E991" s="2" t="s">
        <v>2654</v>
      </c>
      <c r="F991" s="2" t="s">
        <v>13</v>
      </c>
      <c r="G991" s="2">
        <v>500.0</v>
      </c>
      <c r="H991" s="3" t="str">
        <f>HYPERLINK("http://uk.linkedin.com/in/davidcritchley","http://uk.linkedin.com/in/davidcritchley")</f>
        <v>http://uk.linkedin.com/in/davidcritchley</v>
      </c>
      <c r="I991" s="2" t="s">
        <v>15</v>
      </c>
      <c r="J991" s="2" t="s">
        <v>53</v>
      </c>
      <c r="K991" s="2" t="s">
        <v>35</v>
      </c>
    </row>
    <row r="992" ht="15.75" customHeight="1">
      <c r="A992" s="2">
        <v>395038.0</v>
      </c>
      <c r="B992" s="2" t="s">
        <v>625</v>
      </c>
      <c r="C992" s="2" t="s">
        <v>292</v>
      </c>
      <c r="D992" s="2" t="s">
        <v>2655</v>
      </c>
      <c r="E992" s="2" t="s">
        <v>101</v>
      </c>
      <c r="F992" s="2" t="s">
        <v>13</v>
      </c>
      <c r="G992" s="2">
        <v>255.0</v>
      </c>
      <c r="H992" s="3" t="str">
        <f>HYPERLINK("http://www.linkedin.com/pub/tim-smith/0/64/53B","http://www.linkedin.com/pub/tim-smith/0/64/53B")</f>
        <v>http://www.linkedin.com/pub/tim-smith/0/64/53B</v>
      </c>
      <c r="I992" s="2" t="s">
        <v>77</v>
      </c>
      <c r="J992" s="2" t="s">
        <v>102</v>
      </c>
      <c r="K992" s="2" t="s">
        <v>97</v>
      </c>
    </row>
    <row r="993" ht="15.75" customHeight="1">
      <c r="A993" s="2">
        <v>395370.0</v>
      </c>
      <c r="B993" s="2" t="s">
        <v>2656</v>
      </c>
      <c r="C993" s="2" t="s">
        <v>2657</v>
      </c>
      <c r="D993" s="2" t="s">
        <v>2658</v>
      </c>
      <c r="E993" s="2" t="s">
        <v>136</v>
      </c>
      <c r="F993" s="2" t="s">
        <v>13</v>
      </c>
      <c r="G993" s="2">
        <v>500.0</v>
      </c>
      <c r="H993" s="3" t="str">
        <f>HYPERLINK("http://www.linkedin.com/pub/jai-menon/0/601/B1","http://www.linkedin.com/pub/jai-menon/0/601/B1")</f>
        <v>http://www.linkedin.com/pub/jai-menon/0/601/B1</v>
      </c>
      <c r="I993" s="2" t="s">
        <v>48</v>
      </c>
      <c r="J993" s="2" t="s">
        <v>102</v>
      </c>
      <c r="K993" s="2" t="s">
        <v>35</v>
      </c>
    </row>
    <row r="994" ht="15.75" customHeight="1">
      <c r="A994" s="2">
        <v>396221.0</v>
      </c>
      <c r="B994" s="2" t="s">
        <v>2659</v>
      </c>
      <c r="C994" s="2" t="s">
        <v>2660</v>
      </c>
      <c r="D994" s="2" t="s">
        <v>2661</v>
      </c>
      <c r="E994" s="2" t="s">
        <v>101</v>
      </c>
      <c r="F994" s="2">
        <v>31.0</v>
      </c>
      <c r="G994" s="2">
        <v>500.0</v>
      </c>
      <c r="H994" s="3" t="str">
        <f>HYPERLINK("http://www.linkedin.com/in/pegrecruit","http://www.linkedin.com/in/pegrecruit")</f>
        <v>http://www.linkedin.com/in/pegrecruit</v>
      </c>
      <c r="I994" s="2" t="s">
        <v>248</v>
      </c>
      <c r="J994" s="2" t="s">
        <v>102</v>
      </c>
      <c r="K994" s="2" t="s">
        <v>196</v>
      </c>
    </row>
    <row r="995" ht="15.75" customHeight="1">
      <c r="A995" s="2">
        <v>396383.0</v>
      </c>
      <c r="B995" s="2" t="s">
        <v>540</v>
      </c>
      <c r="C995" s="2" t="s">
        <v>342</v>
      </c>
      <c r="D995" s="2" t="s">
        <v>2662</v>
      </c>
      <c r="E995" s="2" t="s">
        <v>2663</v>
      </c>
      <c r="F995" s="2" t="s">
        <v>13</v>
      </c>
      <c r="G995" s="2">
        <v>500.0</v>
      </c>
      <c r="H995" s="3" t="str">
        <f>HYPERLINK("http://uk.linkedin.com/in/christianjenkins","http://uk.linkedin.com/in/christianjenkins")</f>
        <v>http://uk.linkedin.com/in/christianjenkins</v>
      </c>
      <c r="I995" s="2" t="s">
        <v>356</v>
      </c>
      <c r="J995" s="2" t="s">
        <v>53</v>
      </c>
      <c r="K995" s="2" t="s">
        <v>196</v>
      </c>
    </row>
    <row r="996" ht="15.75" customHeight="1">
      <c r="A996" s="2">
        <v>396584.0</v>
      </c>
      <c r="B996" s="2" t="s">
        <v>2567</v>
      </c>
      <c r="C996" s="2" t="s">
        <v>1370</v>
      </c>
      <c r="D996" s="2" t="s">
        <v>517</v>
      </c>
      <c r="E996" s="2" t="s">
        <v>136</v>
      </c>
      <c r="F996" s="2">
        <v>3.0</v>
      </c>
      <c r="G996" s="2">
        <v>500.0</v>
      </c>
      <c r="H996" s="3" t="str">
        <f>HYPERLINK("http://www.linkedin.com/pub/christopher-ireland/0/70/5B1","http://www.linkedin.com/pub/christopher-ireland/0/70/5B1")</f>
        <v>http://www.linkedin.com/pub/christopher-ireland/0/70/5B1</v>
      </c>
      <c r="I996" s="2" t="s">
        <v>2268</v>
      </c>
      <c r="J996" s="2" t="s">
        <v>102</v>
      </c>
      <c r="K996" s="2" t="s">
        <v>58</v>
      </c>
    </row>
    <row r="997" ht="15.75" customHeight="1">
      <c r="A997" s="2">
        <v>396728.0</v>
      </c>
      <c r="B997" s="2" t="s">
        <v>710</v>
      </c>
      <c r="C997" s="2" t="s">
        <v>399</v>
      </c>
      <c r="D997" s="2" t="s">
        <v>2664</v>
      </c>
      <c r="E997" s="2" t="s">
        <v>1759</v>
      </c>
      <c r="F997" s="2">
        <v>37.0</v>
      </c>
      <c r="G997" s="2">
        <v>500.0</v>
      </c>
      <c r="H997" s="3" t="str">
        <f>HYPERLINK("http://www.linkedin.com/in/jasonjohnson","http://www.linkedin.com/in/jasonjohnson")</f>
        <v>http://www.linkedin.com/in/jasonjohnson</v>
      </c>
      <c r="I997" s="2" t="s">
        <v>48</v>
      </c>
      <c r="J997" s="2" t="s">
        <v>144</v>
      </c>
      <c r="K997" s="2" t="s">
        <v>35</v>
      </c>
    </row>
    <row r="998" ht="15.75" customHeight="1">
      <c r="A998" s="2">
        <v>396783.0</v>
      </c>
      <c r="B998" s="2" t="s">
        <v>2665</v>
      </c>
      <c r="C998" s="2" t="s">
        <v>2666</v>
      </c>
      <c r="D998" s="2" t="s">
        <v>47</v>
      </c>
      <c r="E998" s="2" t="s">
        <v>136</v>
      </c>
      <c r="F998" s="2">
        <v>1.0</v>
      </c>
      <c r="G998" s="2">
        <v>500.0</v>
      </c>
      <c r="H998" s="3" t="str">
        <f>HYPERLINK("http://www.linkedin.com/pub/kurt-garbe/0/52/332","http://www.linkedin.com/pub/kurt-garbe/0/52/332")</f>
        <v>http://www.linkedin.com/pub/kurt-garbe/0/52/332</v>
      </c>
      <c r="I998" s="2" t="s">
        <v>48</v>
      </c>
      <c r="J998" s="2" t="s">
        <v>102</v>
      </c>
      <c r="K998" s="2" t="s">
        <v>35</v>
      </c>
    </row>
    <row r="999" ht="15.75" customHeight="1">
      <c r="A999" s="2">
        <v>396916.0</v>
      </c>
      <c r="B999" s="2" t="s">
        <v>2667</v>
      </c>
      <c r="C999" s="2" t="s">
        <v>2668</v>
      </c>
      <c r="D999" s="2" t="s">
        <v>81</v>
      </c>
      <c r="E999" s="2" t="s">
        <v>2669</v>
      </c>
      <c r="F999" s="2" t="s">
        <v>13</v>
      </c>
      <c r="G999" s="2">
        <v>500.0</v>
      </c>
      <c r="H999" s="3" t="str">
        <f>HYPERLINK("http://uk.linkedin.com/in/gerardodonovan","http://uk.linkedin.com/in/gerardodonovan")</f>
        <v>http://uk.linkedin.com/in/gerardodonovan</v>
      </c>
      <c r="I999" s="2" t="s">
        <v>1390</v>
      </c>
      <c r="J999" s="2" t="s">
        <v>53</v>
      </c>
      <c r="K999" s="2" t="s">
        <v>58</v>
      </c>
    </row>
    <row r="1000" ht="15.75" customHeight="1">
      <c r="A1000" s="2">
        <v>396979.0</v>
      </c>
      <c r="B1000" s="2" t="s">
        <v>211</v>
      </c>
      <c r="C1000" s="2" t="s">
        <v>2670</v>
      </c>
      <c r="D1000" s="2" t="s">
        <v>2671</v>
      </c>
      <c r="E1000" s="2" t="s">
        <v>2672</v>
      </c>
      <c r="F1000" s="2" t="s">
        <v>13</v>
      </c>
      <c r="G1000" s="2">
        <v>500.0</v>
      </c>
      <c r="H1000" s="3" t="str">
        <f>HYPERLINK("http://www.linkedin.com/in/coachklein","http://www.linkedin.com/in/coachklein")</f>
        <v>http://www.linkedin.com/in/coachklein</v>
      </c>
      <c r="I1000" s="2" t="s">
        <v>1390</v>
      </c>
      <c r="J1000" s="2" t="s">
        <v>102</v>
      </c>
      <c r="K1000" s="2" t="s">
        <v>58</v>
      </c>
    </row>
    <row r="1001" ht="15.75" customHeight="1">
      <c r="A1001" s="2">
        <v>397171.0</v>
      </c>
      <c r="B1001" s="2" t="s">
        <v>2673</v>
      </c>
      <c r="C1001" s="2" t="s">
        <v>2674</v>
      </c>
      <c r="D1001" s="2" t="s">
        <v>47</v>
      </c>
      <c r="E1001" s="2" t="s">
        <v>762</v>
      </c>
      <c r="F1001" s="2">
        <v>24.0</v>
      </c>
      <c r="G1001" s="2">
        <v>500.0</v>
      </c>
      <c r="H1001" s="3" t="str">
        <f>HYPERLINK("http://www.linkedin.com/in/timetracking","http://www.linkedin.com/in/timetracking")</f>
        <v>http://www.linkedin.com/in/timetracking</v>
      </c>
      <c r="I1001" s="2" t="s">
        <v>48</v>
      </c>
      <c r="J1001" s="2" t="s">
        <v>102</v>
      </c>
      <c r="K1001" s="2" t="s">
        <v>35</v>
      </c>
    </row>
    <row r="1002" ht="15.75" customHeight="1">
      <c r="A1002" s="2">
        <v>397284.0</v>
      </c>
      <c r="B1002" s="2" t="s">
        <v>710</v>
      </c>
      <c r="C1002" s="2" t="s">
        <v>2675</v>
      </c>
      <c r="D1002" s="2" t="s">
        <v>2676</v>
      </c>
      <c r="E1002" s="2" t="s">
        <v>1357</v>
      </c>
      <c r="F1002" s="2">
        <v>26.0</v>
      </c>
      <c r="G1002" s="2">
        <v>500.0</v>
      </c>
      <c r="H1002" s="3" t="str">
        <f>HYPERLINK("http://ca.linkedin.com/in/jjkaczor","http://ca.linkedin.com/in/jjkaczor")</f>
        <v>http://ca.linkedin.com/in/jjkaczor</v>
      </c>
      <c r="I1002" s="2" t="s">
        <v>15</v>
      </c>
      <c r="J1002" s="2" t="s">
        <v>337</v>
      </c>
      <c r="K1002" s="2" t="s">
        <v>35</v>
      </c>
    </row>
    <row r="1003" ht="15.75" customHeight="1">
      <c r="A1003" s="2">
        <v>397460.0</v>
      </c>
      <c r="B1003" s="2" t="s">
        <v>2677</v>
      </c>
      <c r="C1003" s="3" t="str">
        <f>HYPERLINK("http://ravichandran.rajagopalgmail.com","ravichandran.rajagopalgmail.com")</f>
        <v>ravichandran.rajagopalgmail.com</v>
      </c>
      <c r="D1003" s="2" t="s">
        <v>410</v>
      </c>
      <c r="E1003" s="2" t="s">
        <v>2678</v>
      </c>
      <c r="F1003" s="2">
        <v>10.0</v>
      </c>
      <c r="G1003" s="2">
        <v>238.0</v>
      </c>
      <c r="H1003" s="3" t="str">
        <f>HYPERLINK("http://www.linkedin.com/in/vaishnavyllc","http://www.linkedin.com/in/vaishnavyllc")</f>
        <v>http://www.linkedin.com/in/vaishnavyllc</v>
      </c>
      <c r="I1003" s="2" t="s">
        <v>663</v>
      </c>
      <c r="J1003" s="2" t="s">
        <v>87</v>
      </c>
      <c r="K1003" s="2" t="s">
        <v>196</v>
      </c>
    </row>
    <row r="1004" ht="15.75" customHeight="1">
      <c r="A1004" s="2">
        <v>397663.0</v>
      </c>
      <c r="B1004" s="2" t="s">
        <v>2679</v>
      </c>
      <c r="C1004" s="2" t="s">
        <v>2680</v>
      </c>
      <c r="D1004" s="2" t="s">
        <v>13</v>
      </c>
      <c r="E1004" s="2" t="s">
        <v>181</v>
      </c>
      <c r="F1004" s="2">
        <v>4.0</v>
      </c>
      <c r="G1004" s="2">
        <v>500.0</v>
      </c>
      <c r="H1004" s="3" t="str">
        <f>HYPERLINK("http://www.linkedin.com/pub/pramod-gaur-phd/0/395/340","http://www.linkedin.com/pub/pramod-gaur-phd/0/395/340")</f>
        <v>http://www.linkedin.com/pub/pramod-gaur-phd/0/395/340</v>
      </c>
      <c r="I1004" s="2" t="s">
        <v>172</v>
      </c>
      <c r="J1004" s="2" t="s">
        <v>102</v>
      </c>
      <c r="K1004" s="2" t="s">
        <v>58</v>
      </c>
    </row>
    <row r="1005" ht="15.75" customHeight="1">
      <c r="A1005" s="2">
        <v>397718.0</v>
      </c>
      <c r="B1005" s="2" t="s">
        <v>2681</v>
      </c>
      <c r="C1005" s="2" t="s">
        <v>2682</v>
      </c>
      <c r="D1005" s="2" t="s">
        <v>2683</v>
      </c>
      <c r="E1005" s="2" t="s">
        <v>136</v>
      </c>
      <c r="F1005" s="2">
        <v>1.0</v>
      </c>
      <c r="G1005" s="2">
        <v>500.0</v>
      </c>
      <c r="H1005" s="3" t="str">
        <f>HYPERLINK("http://www.linkedin.com/pub/upendra-giri/1/623/12A","http://www.linkedin.com/pub/upendra-giri/1/623/12A")</f>
        <v>http://www.linkedin.com/pub/upendra-giri/1/623/12A</v>
      </c>
      <c r="I1005" s="2" t="s">
        <v>57</v>
      </c>
      <c r="J1005" s="2" t="s">
        <v>102</v>
      </c>
      <c r="K1005" s="2" t="s">
        <v>58</v>
      </c>
    </row>
    <row r="1006" ht="15.75" customHeight="1">
      <c r="A1006" s="2">
        <v>397890.0</v>
      </c>
      <c r="B1006" s="2" t="s">
        <v>2684</v>
      </c>
      <c r="C1006" s="2" t="s">
        <v>2685</v>
      </c>
      <c r="D1006" s="2" t="s">
        <v>1014</v>
      </c>
      <c r="E1006" s="2" t="s">
        <v>2686</v>
      </c>
      <c r="F1006" s="2">
        <v>0.0</v>
      </c>
      <c r="G1006" s="2">
        <v>500.0</v>
      </c>
      <c r="H1006" s="3" t="str">
        <f>HYPERLINK("http://www.linkedin.com/pub/rogelio-oliva/0/374/A52","http://www.linkedin.com/pub/rogelio-oliva/0/374/A52")</f>
        <v>http://www.linkedin.com/pub/rogelio-oliva/0/374/A52</v>
      </c>
      <c r="I1006" s="2" t="s">
        <v>240</v>
      </c>
      <c r="J1006" s="2" t="s">
        <v>102</v>
      </c>
      <c r="K1006" s="2" t="s">
        <v>1191</v>
      </c>
    </row>
    <row r="1007" ht="15.75" customHeight="1">
      <c r="A1007" s="2">
        <v>398577.0</v>
      </c>
      <c r="B1007" s="2" t="s">
        <v>2687</v>
      </c>
      <c r="C1007" s="2" t="s">
        <v>2688</v>
      </c>
      <c r="D1007" s="2" t="s">
        <v>2689</v>
      </c>
      <c r="E1007" s="2" t="s">
        <v>101</v>
      </c>
      <c r="F1007" s="2">
        <v>11.0</v>
      </c>
      <c r="G1007" s="2">
        <v>500.0</v>
      </c>
      <c r="H1007" s="3" t="str">
        <f>HYPERLINK("http://www.linkedin.com/in/uttiyadasgupta","http://www.linkedin.com/in/uttiyadasgupta")</f>
        <v>http://www.linkedin.com/in/uttiyadasgupta</v>
      </c>
      <c r="I1007" s="2" t="s">
        <v>15</v>
      </c>
      <c r="J1007" s="2" t="s">
        <v>102</v>
      </c>
      <c r="K1007" s="2" t="s">
        <v>35</v>
      </c>
    </row>
    <row r="1008" ht="15.75" customHeight="1">
      <c r="A1008" s="2">
        <v>398874.0</v>
      </c>
      <c r="B1008" s="2" t="s">
        <v>2690</v>
      </c>
      <c r="C1008" s="2" t="s">
        <v>2691</v>
      </c>
      <c r="D1008" s="2" t="s">
        <v>2692</v>
      </c>
      <c r="E1008" s="2" t="s">
        <v>235</v>
      </c>
      <c r="F1008" s="2">
        <v>6.0</v>
      </c>
      <c r="G1008" s="2">
        <v>500.0</v>
      </c>
      <c r="H1008" s="3" t="str">
        <f>HYPERLINK("http://www.linkedin.com/pub/cassandra-babbington/0/540/A27","http://www.linkedin.com/pub/cassandra-babbington/0/540/A27")</f>
        <v>http://www.linkedin.com/pub/cassandra-babbington/0/540/A27</v>
      </c>
      <c r="I1008" s="2" t="s">
        <v>248</v>
      </c>
      <c r="J1008" s="2" t="s">
        <v>102</v>
      </c>
      <c r="K1008" s="2" t="s">
        <v>196</v>
      </c>
    </row>
    <row r="1009" ht="15.75" customHeight="1">
      <c r="A1009" s="2">
        <v>399155.0</v>
      </c>
      <c r="B1009" s="2" t="s">
        <v>2543</v>
      </c>
      <c r="C1009" s="2" t="s">
        <v>2693</v>
      </c>
      <c r="D1009" s="2"/>
      <c r="E1009" s="2" t="s">
        <v>2694</v>
      </c>
      <c r="F1009" s="2">
        <v>5.0</v>
      </c>
      <c r="G1009" s="2">
        <v>500.0</v>
      </c>
      <c r="H1009" s="3" t="str">
        <f>HYPERLINK("http://www.linkedin.com/pub/don-wagenblast/0/477/111","http://www.linkedin.com/pub/don-wagenblast/0/477/111")</f>
        <v>http://www.linkedin.com/pub/don-wagenblast/0/477/111</v>
      </c>
      <c r="I1009" s="2" t="s">
        <v>231</v>
      </c>
      <c r="J1009" s="2" t="s">
        <v>273</v>
      </c>
      <c r="K1009" s="2" t="s">
        <v>35</v>
      </c>
    </row>
    <row r="1010" ht="15.75" customHeight="1">
      <c r="A1010" s="2">
        <v>399233.0</v>
      </c>
      <c r="B1010" s="2" t="s">
        <v>609</v>
      </c>
      <c r="C1010" s="2" t="s">
        <v>2695</v>
      </c>
      <c r="D1010" s="2" t="s">
        <v>81</v>
      </c>
      <c r="E1010" s="2" t="s">
        <v>768</v>
      </c>
      <c r="F1010" s="2" t="s">
        <v>13</v>
      </c>
      <c r="G1010" s="2">
        <v>9.0</v>
      </c>
      <c r="H1010" s="3" t="str">
        <f>HYPERLINK("http://br.linkedin.com/pub/ricardo-monteiro/0/44B/785","http://br.linkedin.com/pub/ricardo-monteiro/0/44B/785")</f>
        <v>http://br.linkedin.com/pub/ricardo-monteiro/0/44B/785</v>
      </c>
      <c r="I1010" s="2" t="s">
        <v>69</v>
      </c>
      <c r="J1010" s="2" t="s">
        <v>34</v>
      </c>
      <c r="K1010" s="2" t="s">
        <v>35</v>
      </c>
    </row>
    <row r="1011" ht="15.75" customHeight="1">
      <c r="A1011" s="2">
        <v>399278.0</v>
      </c>
      <c r="B1011" s="2" t="s">
        <v>2696</v>
      </c>
      <c r="C1011" s="2" t="s">
        <v>2697</v>
      </c>
      <c r="D1011" s="2" t="s">
        <v>2698</v>
      </c>
      <c r="E1011" s="2" t="s">
        <v>166</v>
      </c>
      <c r="F1011" s="2" t="s">
        <v>13</v>
      </c>
      <c r="G1011" s="2">
        <v>500.0</v>
      </c>
      <c r="H1011" s="3" t="str">
        <f>HYPERLINK("http://www.linkedin.com/in/morrisjessup","http://www.linkedin.com/in/morrisjessup")</f>
        <v>http://www.linkedin.com/in/morrisjessup</v>
      </c>
      <c r="I1011" s="2" t="s">
        <v>248</v>
      </c>
      <c r="J1011" s="2" t="s">
        <v>102</v>
      </c>
      <c r="K1011" s="2" t="s">
        <v>196</v>
      </c>
    </row>
    <row r="1012" ht="15.75" customHeight="1">
      <c r="A1012" s="2">
        <v>400340.0</v>
      </c>
      <c r="B1012" s="2" t="s">
        <v>1868</v>
      </c>
      <c r="C1012" s="2" t="s">
        <v>2699</v>
      </c>
      <c r="D1012" s="2" t="s">
        <v>114</v>
      </c>
      <c r="E1012" s="2" t="s">
        <v>301</v>
      </c>
      <c r="F1012" s="2">
        <v>12.0</v>
      </c>
      <c r="G1012" s="2">
        <v>500.0</v>
      </c>
      <c r="H1012" s="3" t="str">
        <f>HYPERLINK("http://www.linkedin.com/in/jackpetrie","http://www.linkedin.com/in/jackpetrie")</f>
        <v>http://www.linkedin.com/in/jackpetrie</v>
      </c>
      <c r="I1012" s="2" t="s">
        <v>2700</v>
      </c>
      <c r="J1012" s="2" t="s">
        <v>102</v>
      </c>
      <c r="K1012" s="2" t="s">
        <v>58</v>
      </c>
    </row>
    <row r="1013" ht="15.75" customHeight="1">
      <c r="A1013" s="2">
        <v>400790.0</v>
      </c>
      <c r="B1013" s="2" t="s">
        <v>2701</v>
      </c>
      <c r="C1013" s="2" t="s">
        <v>2702</v>
      </c>
      <c r="D1013" s="2" t="s">
        <v>2703</v>
      </c>
      <c r="E1013" s="2" t="s">
        <v>450</v>
      </c>
      <c r="F1013" s="2" t="s">
        <v>13</v>
      </c>
      <c r="G1013" s="2">
        <v>500.0</v>
      </c>
      <c r="H1013" s="3" t="str">
        <f>HYPERLINK("http://www.linkedin.com/pub/gavin-mlinar/3/5B8/229","http://www.linkedin.com/pub/gavin-mlinar/3/5B8/229")</f>
        <v>http://www.linkedin.com/pub/gavin-mlinar/3/5B8/229</v>
      </c>
      <c r="I1013" s="2" t="s">
        <v>231</v>
      </c>
      <c r="J1013" s="2" t="s">
        <v>273</v>
      </c>
      <c r="K1013" s="2" t="s">
        <v>766</v>
      </c>
    </row>
    <row r="1014" ht="15.75" customHeight="1">
      <c r="A1014" s="2">
        <v>400879.0</v>
      </c>
      <c r="B1014" s="2" t="s">
        <v>511</v>
      </c>
      <c r="C1014" s="2" t="s">
        <v>2704</v>
      </c>
      <c r="D1014" s="2" t="s">
        <v>2705</v>
      </c>
      <c r="E1014" s="2" t="s">
        <v>166</v>
      </c>
      <c r="F1014" s="2">
        <v>23.0</v>
      </c>
      <c r="G1014" s="2">
        <v>500.0</v>
      </c>
      <c r="H1014" s="3" t="str">
        <f>HYPERLINK("http://www.linkedin.com/pub/mike-west-cpc/0/983/167","http://www.linkedin.com/pub/mike-west-cpc/0/983/167")</f>
        <v>http://www.linkedin.com/pub/mike-west-cpc/0/983/167</v>
      </c>
      <c r="I1014" s="2" t="s">
        <v>248</v>
      </c>
      <c r="J1014" s="2" t="s">
        <v>102</v>
      </c>
      <c r="K1014" s="2" t="s">
        <v>196</v>
      </c>
    </row>
    <row r="1015" ht="15.75" customHeight="1">
      <c r="A1015" s="2">
        <v>400998.0</v>
      </c>
      <c r="B1015" s="2" t="s">
        <v>2706</v>
      </c>
      <c r="C1015" s="2" t="s">
        <v>2707</v>
      </c>
      <c r="D1015" s="2"/>
      <c r="E1015" s="2" t="s">
        <v>181</v>
      </c>
      <c r="F1015" s="2">
        <v>0.0</v>
      </c>
      <c r="G1015" s="2">
        <v>500.0</v>
      </c>
      <c r="H1015" s="3" t="str">
        <f>HYPERLINK("http://www.linkedin.com/pub/gidon-coussin/0/536/9A6","http://www.linkedin.com/pub/gidon-coussin/0/536/9A6")</f>
        <v>http://www.linkedin.com/pub/gidon-coussin/0/536/9A6</v>
      </c>
      <c r="I1015" s="2" t="s">
        <v>172</v>
      </c>
      <c r="J1015" s="2" t="s">
        <v>102</v>
      </c>
      <c r="K1015" s="2" t="s">
        <v>2708</v>
      </c>
    </row>
    <row r="1016" ht="15.75" customHeight="1">
      <c r="A1016" s="2">
        <v>401181.0</v>
      </c>
      <c r="B1016" s="2" t="s">
        <v>501</v>
      </c>
      <c r="C1016" s="2" t="s">
        <v>2709</v>
      </c>
      <c r="D1016" s="2" t="s">
        <v>2710</v>
      </c>
      <c r="E1016" s="2" t="s">
        <v>604</v>
      </c>
      <c r="F1016" s="2">
        <v>0.0</v>
      </c>
      <c r="G1016" s="2">
        <v>165.0</v>
      </c>
      <c r="H1016" s="3" t="str">
        <f>HYPERLINK("http://www.linkedin.com/pub/francisco-arango/15/87/946","http://www.linkedin.com/pub/francisco-arango/15/87/946")</f>
        <v>http://www.linkedin.com/pub/francisco-arango/15/87/946</v>
      </c>
      <c r="I1016" s="2" t="s">
        <v>105</v>
      </c>
      <c r="J1016" s="2" t="s">
        <v>16</v>
      </c>
      <c r="K1016" s="2" t="s">
        <v>2711</v>
      </c>
    </row>
    <row r="1017" ht="15.75" customHeight="1">
      <c r="A1017" s="2">
        <v>401507.0</v>
      </c>
      <c r="B1017" s="2" t="s">
        <v>2457</v>
      </c>
      <c r="C1017" s="2" t="s">
        <v>2712</v>
      </c>
      <c r="D1017" s="2" t="s">
        <v>2713</v>
      </c>
      <c r="E1017" s="2" t="s">
        <v>407</v>
      </c>
      <c r="F1017" s="2" t="s">
        <v>13</v>
      </c>
      <c r="G1017" s="2">
        <v>500.0</v>
      </c>
      <c r="H1017" s="3" t="str">
        <f>HYPERLINK("http://www.linkedin.com/pub/stephen-balsam/19/53/B91","http://www.linkedin.com/pub/stephen-balsam/19/53/B91")</f>
        <v>http://www.linkedin.com/pub/stephen-balsam/19/53/B91</v>
      </c>
      <c r="I1017" s="2" t="s">
        <v>279</v>
      </c>
      <c r="J1017" s="2" t="s">
        <v>102</v>
      </c>
      <c r="K1017" s="2" t="s">
        <v>58</v>
      </c>
    </row>
    <row r="1018" ht="15.75" customHeight="1">
      <c r="A1018" s="2">
        <v>401542.0</v>
      </c>
      <c r="B1018" s="2" t="s">
        <v>2153</v>
      </c>
      <c r="C1018" s="2" t="s">
        <v>59</v>
      </c>
      <c r="D1018" s="2" t="s">
        <v>2714</v>
      </c>
      <c r="E1018" s="2" t="s">
        <v>122</v>
      </c>
      <c r="F1018" s="2" t="s">
        <v>13</v>
      </c>
      <c r="G1018" s="2">
        <v>500.0</v>
      </c>
      <c r="H1018" s="3" t="str">
        <f>HYPERLINK("http://uk.linkedin.com/in/nicksmartin","http://uk.linkedin.com/in/nicksmartin")</f>
        <v>http://uk.linkedin.com/in/nicksmartin</v>
      </c>
      <c r="I1018" s="2" t="s">
        <v>15</v>
      </c>
      <c r="J1018" s="2" t="s">
        <v>53</v>
      </c>
      <c r="K1018" s="2" t="s">
        <v>35</v>
      </c>
    </row>
    <row r="1019" ht="15.75" customHeight="1">
      <c r="A1019" s="2">
        <v>401756.0</v>
      </c>
      <c r="B1019" s="2" t="s">
        <v>323</v>
      </c>
      <c r="C1019" s="2" t="s">
        <v>2715</v>
      </c>
      <c r="D1019" s="2" t="s">
        <v>2716</v>
      </c>
      <c r="E1019" s="2" t="s">
        <v>791</v>
      </c>
      <c r="F1019" s="2">
        <v>7.0</v>
      </c>
      <c r="G1019" s="2">
        <v>500.0</v>
      </c>
      <c r="H1019" s="3" t="str">
        <f>HYPERLINK("http://www.linkedin.com/pub/rose-quinn/0/A20/828","http://www.linkedin.com/pub/rose-quinn/0/A20/828")</f>
        <v>http://www.linkedin.com/pub/rose-quinn/0/A20/828</v>
      </c>
      <c r="I1019" s="2" t="s">
        <v>48</v>
      </c>
      <c r="J1019" s="2" t="s">
        <v>575</v>
      </c>
      <c r="K1019" s="2" t="s">
        <v>22</v>
      </c>
    </row>
    <row r="1020" ht="15.75" customHeight="1">
      <c r="A1020" s="2">
        <v>401814.0</v>
      </c>
      <c r="B1020" s="2" t="s">
        <v>2717</v>
      </c>
      <c r="C1020" s="2" t="s">
        <v>2718</v>
      </c>
      <c r="D1020" s="2" t="s">
        <v>2719</v>
      </c>
      <c r="E1020" s="2" t="s">
        <v>155</v>
      </c>
      <c r="F1020" s="2">
        <v>1.0</v>
      </c>
      <c r="G1020" s="2">
        <v>340.0</v>
      </c>
      <c r="H1020" s="3" t="str">
        <f>HYPERLINK("http://www.linkedin.com/pub/dr-pratip-dastidar/0/7A7/B3B","http://www.linkedin.com/pub/dr-pratip-dastidar/0/7A7/B3B")</f>
        <v>http://www.linkedin.com/pub/dr-pratip-dastidar/0/7A7/B3B</v>
      </c>
      <c r="I1020" s="2" t="s">
        <v>167</v>
      </c>
      <c r="J1020" s="2" t="s">
        <v>102</v>
      </c>
      <c r="K1020" s="2" t="s">
        <v>58</v>
      </c>
    </row>
    <row r="1021" ht="15.75" customHeight="1">
      <c r="A1021" s="2">
        <v>401832.0</v>
      </c>
      <c r="B1021" s="2" t="s">
        <v>2720</v>
      </c>
      <c r="C1021" s="2" t="s">
        <v>2721</v>
      </c>
      <c r="D1021" s="2" t="s">
        <v>47</v>
      </c>
      <c r="E1021" s="2" t="s">
        <v>765</v>
      </c>
      <c r="F1021" s="2">
        <v>1.0</v>
      </c>
      <c r="G1021" s="2">
        <v>500.0</v>
      </c>
      <c r="H1021" s="3" t="str">
        <f>HYPERLINK("http://www.linkedin.com/in/alexislevi","http://www.linkedin.com/in/alexislevi")</f>
        <v>http://www.linkedin.com/in/alexislevi</v>
      </c>
      <c r="I1021" s="2" t="s">
        <v>1698</v>
      </c>
      <c r="J1021" s="2" t="s">
        <v>144</v>
      </c>
      <c r="K1021" s="2" t="s">
        <v>29</v>
      </c>
    </row>
    <row r="1022" ht="15.75" customHeight="1">
      <c r="A1022" s="2">
        <v>402004.0</v>
      </c>
      <c r="B1022" s="2" t="s">
        <v>625</v>
      </c>
      <c r="C1022" s="2" t="s">
        <v>2722</v>
      </c>
      <c r="D1022" s="2" t="s">
        <v>2723</v>
      </c>
      <c r="E1022" s="2" t="s">
        <v>2724</v>
      </c>
      <c r="F1022" s="2">
        <v>1.0</v>
      </c>
      <c r="G1022" s="2">
        <v>500.0</v>
      </c>
      <c r="H1022" s="3" t="str">
        <f>HYPERLINK("http://www.linkedin.com/in/timhight","http://www.linkedin.com/in/timhight")</f>
        <v>http://www.linkedin.com/in/timhight</v>
      </c>
      <c r="I1022" s="2" t="s">
        <v>2725</v>
      </c>
      <c r="J1022" s="2" t="s">
        <v>102</v>
      </c>
      <c r="K1022" s="2" t="s">
        <v>58</v>
      </c>
    </row>
    <row r="1023" ht="15.75" customHeight="1">
      <c r="A1023" s="2">
        <v>402106.0</v>
      </c>
      <c r="B1023" s="2" t="s">
        <v>1366</v>
      </c>
      <c r="C1023" s="2" t="s">
        <v>2726</v>
      </c>
      <c r="D1023" s="2" t="s">
        <v>400</v>
      </c>
      <c r="E1023" s="2" t="s">
        <v>259</v>
      </c>
      <c r="F1023" s="2">
        <v>15.0</v>
      </c>
      <c r="G1023" s="2">
        <v>500.0</v>
      </c>
      <c r="H1023" s="3" t="str">
        <f>HYPERLINK("http://www.linkedin.com/in/peterlevitan","http://www.linkedin.com/in/peterlevitan")</f>
        <v>http://www.linkedin.com/in/peterlevitan</v>
      </c>
      <c r="I1023" s="2" t="s">
        <v>105</v>
      </c>
      <c r="J1023" s="2" t="s">
        <v>144</v>
      </c>
      <c r="K1023" s="2" t="s">
        <v>29</v>
      </c>
    </row>
    <row r="1024" ht="15.75" customHeight="1">
      <c r="A1024" s="2">
        <v>402174.0</v>
      </c>
      <c r="B1024" s="2" t="s">
        <v>2727</v>
      </c>
      <c r="C1024" s="2" t="s">
        <v>2728</v>
      </c>
      <c r="D1024" s="2" t="s">
        <v>2729</v>
      </c>
      <c r="E1024" s="2" t="s">
        <v>2730</v>
      </c>
      <c r="F1024" s="2" t="s">
        <v>13</v>
      </c>
      <c r="G1024" s="2">
        <v>500.0</v>
      </c>
      <c r="H1024" s="3" t="str">
        <f>HYPERLINK("http://www.linkedin.com/pub/monica-coleman-massey-mmassey-dfamilk-com-/6/617/940","http://www.linkedin.com/pub/monica-coleman-massey-mmassey-dfamilk-com-/6/617/940")</f>
        <v>http://www.linkedin.com/pub/monica-coleman-massey-mmassey-dfamilk-com-/6/617/940</v>
      </c>
      <c r="I1024" s="2" t="s">
        <v>2731</v>
      </c>
      <c r="J1024" s="2" t="s">
        <v>102</v>
      </c>
      <c r="K1024" s="2" t="s">
        <v>58</v>
      </c>
    </row>
    <row r="1025" ht="15.75" customHeight="1">
      <c r="A1025" s="2">
        <v>402472.0</v>
      </c>
      <c r="B1025" s="2" t="s">
        <v>2732</v>
      </c>
      <c r="C1025" s="2" t="s">
        <v>2733</v>
      </c>
      <c r="D1025" s="2" t="s">
        <v>13</v>
      </c>
      <c r="E1025" s="2" t="s">
        <v>136</v>
      </c>
      <c r="F1025" s="2">
        <v>0.0</v>
      </c>
      <c r="G1025" s="2">
        <v>500.0</v>
      </c>
      <c r="H1025" s="3" t="str">
        <f>HYPERLINK("http://www.linkedin.com/pub/pramode-metre/0/b21/a39","http://www.linkedin.com/pub/pramode-metre/0/b21/a39")</f>
        <v>http://www.linkedin.com/pub/pramode-metre/0/b21/a39</v>
      </c>
      <c r="I1025" s="2" t="s">
        <v>252</v>
      </c>
      <c r="J1025" s="2" t="s">
        <v>102</v>
      </c>
      <c r="K1025" s="2" t="s">
        <v>58</v>
      </c>
    </row>
    <row r="1026" ht="15.75" customHeight="1">
      <c r="A1026" s="2">
        <v>403092.0</v>
      </c>
      <c r="B1026" s="2" t="s">
        <v>2734</v>
      </c>
      <c r="C1026" s="2" t="s">
        <v>2735</v>
      </c>
      <c r="D1026" s="2"/>
      <c r="E1026" s="2" t="s">
        <v>2058</v>
      </c>
      <c r="F1026" s="2">
        <v>3.0</v>
      </c>
      <c r="G1026" s="2">
        <v>500.0</v>
      </c>
      <c r="H1026" s="3" t="str">
        <f>HYPERLINK("https://www.linkedin.com/pub/patti-coulter/0/708/b52","https://www.linkedin.com/pub/patti-coulter/0/708/b52")</f>
        <v>https://www.linkedin.com/pub/patti-coulter/0/708/b52</v>
      </c>
      <c r="I1026" s="2" t="s">
        <v>195</v>
      </c>
      <c r="J1026" s="2" t="s">
        <v>102</v>
      </c>
      <c r="K1026" s="2" t="s">
        <v>1516</v>
      </c>
    </row>
    <row r="1027" ht="15.75" customHeight="1">
      <c r="A1027" s="2">
        <v>403393.0</v>
      </c>
      <c r="B1027" s="2" t="s">
        <v>1019</v>
      </c>
      <c r="C1027" s="2" t="s">
        <v>2736</v>
      </c>
      <c r="D1027" s="2" t="s">
        <v>2737</v>
      </c>
      <c r="E1027" s="2" t="s">
        <v>1702</v>
      </c>
      <c r="F1027" s="2">
        <v>13.0</v>
      </c>
      <c r="G1027" s="2">
        <v>500.0</v>
      </c>
      <c r="H1027" s="3" t="str">
        <f>HYPERLINK("http://www.linkedin.com/pub/matt-simpson/5/307/B48","http://www.linkedin.com/pub/matt-simpson/5/307/B48")</f>
        <v>http://www.linkedin.com/pub/matt-simpson/5/307/B48</v>
      </c>
      <c r="I1027" s="2" t="s">
        <v>1237</v>
      </c>
      <c r="J1027" s="2" t="s">
        <v>1703</v>
      </c>
      <c r="K1027" s="2" t="s">
        <v>2738</v>
      </c>
    </row>
    <row r="1028" ht="15.75" customHeight="1">
      <c r="A1028" s="2">
        <v>403428.0</v>
      </c>
      <c r="B1028" s="2" t="s">
        <v>2739</v>
      </c>
      <c r="C1028" s="2" t="s">
        <v>2740</v>
      </c>
      <c r="D1028" s="2" t="s">
        <v>943</v>
      </c>
      <c r="E1028" s="2" t="s">
        <v>136</v>
      </c>
      <c r="F1028" s="2" t="s">
        <v>13</v>
      </c>
      <c r="G1028" s="2">
        <v>500.0</v>
      </c>
      <c r="H1028" s="3" t="str">
        <f>HYPERLINK("http://www.linkedin.com/pub/j-amy-stewart/1/13A/812","http://www.linkedin.com/pub/j-amy-stewart/1/13A/812")</f>
        <v>http://www.linkedin.com/pub/j-amy-stewart/1/13A/812</v>
      </c>
      <c r="I1028" s="2" t="s">
        <v>77</v>
      </c>
      <c r="J1028" s="2" t="s">
        <v>102</v>
      </c>
      <c r="K1028" s="2" t="s">
        <v>97</v>
      </c>
    </row>
    <row r="1029" ht="15.75" customHeight="1">
      <c r="A1029" s="2">
        <v>404232.0</v>
      </c>
      <c r="B1029" s="2" t="s">
        <v>2741</v>
      </c>
      <c r="C1029" s="2" t="s">
        <v>2742</v>
      </c>
      <c r="D1029" s="2" t="s">
        <v>2743</v>
      </c>
      <c r="E1029" s="2" t="s">
        <v>136</v>
      </c>
      <c r="F1029" s="2">
        <v>1.0</v>
      </c>
      <c r="G1029" s="2">
        <v>500.0</v>
      </c>
      <c r="H1029" s="3" t="str">
        <f>HYPERLINK("http://www.linkedin.com/pub/vijay-nadkarni/1/320/634","http://www.linkedin.com/pub/vijay-nadkarni/1/320/634")</f>
        <v>http://www.linkedin.com/pub/vijay-nadkarni/1/320/634</v>
      </c>
      <c r="I1029" s="2" t="s">
        <v>873</v>
      </c>
      <c r="J1029" s="2" t="s">
        <v>102</v>
      </c>
      <c r="K1029" s="2" t="s">
        <v>58</v>
      </c>
    </row>
    <row r="1030" ht="15.75" customHeight="1">
      <c r="A1030" s="2">
        <v>404341.0</v>
      </c>
      <c r="B1030" s="2" t="s">
        <v>2744</v>
      </c>
      <c r="C1030" s="2" t="s">
        <v>2745</v>
      </c>
      <c r="D1030" s="2" t="s">
        <v>309</v>
      </c>
      <c r="E1030" s="2" t="s">
        <v>136</v>
      </c>
      <c r="F1030" s="2" t="s">
        <v>13</v>
      </c>
      <c r="G1030" s="2">
        <v>500.0</v>
      </c>
      <c r="H1030" s="3" t="str">
        <f>HYPERLINK("http://www.linkedin.com/in/spotharaju","http://www.linkedin.com/in/spotharaju")</f>
        <v>http://www.linkedin.com/in/spotharaju</v>
      </c>
      <c r="I1030" s="2" t="s">
        <v>167</v>
      </c>
      <c r="J1030" s="2" t="s">
        <v>102</v>
      </c>
      <c r="K1030" s="2" t="s">
        <v>58</v>
      </c>
    </row>
    <row r="1031" ht="15.75" customHeight="1">
      <c r="A1031" s="2">
        <v>404547.0</v>
      </c>
      <c r="B1031" s="2" t="s">
        <v>2746</v>
      </c>
      <c r="C1031" s="2" t="s">
        <v>2747</v>
      </c>
      <c r="D1031" s="2" t="s">
        <v>2748</v>
      </c>
      <c r="E1031" s="2" t="s">
        <v>2749</v>
      </c>
      <c r="F1031" s="2" t="s">
        <v>13</v>
      </c>
      <c r="G1031" s="2">
        <v>500.0</v>
      </c>
      <c r="H1031" s="3" t="str">
        <f>HYPERLINK("http://de.linkedin.com/pub/carlo-f-lapadula/B/555/862","http://de.linkedin.com/pub/carlo-f-lapadula/B/555/862")</f>
        <v>http://de.linkedin.com/pub/carlo-f-lapadula/B/555/862</v>
      </c>
      <c r="I1031" s="2" t="s">
        <v>15</v>
      </c>
      <c r="J1031" s="2" t="s">
        <v>926</v>
      </c>
      <c r="K1031" s="2" t="s">
        <v>35</v>
      </c>
    </row>
    <row r="1032" ht="15.75" customHeight="1">
      <c r="A1032" s="2">
        <v>404840.0</v>
      </c>
      <c r="B1032" s="2" t="s">
        <v>754</v>
      </c>
      <c r="C1032" s="2" t="s">
        <v>2750</v>
      </c>
      <c r="D1032" s="2" t="s">
        <v>2751</v>
      </c>
      <c r="E1032" s="2" t="s">
        <v>1147</v>
      </c>
      <c r="F1032" s="2" t="s">
        <v>13</v>
      </c>
      <c r="G1032" s="2">
        <v>500.0</v>
      </c>
      <c r="H1032" s="3" t="str">
        <f>HYPERLINK("http://www.linkedin.com/pub/greg-berman/1/43/803","http://www.linkedin.com/pub/greg-berman/1/43/803")</f>
        <v>http://www.linkedin.com/pub/greg-berman/1/43/803</v>
      </c>
      <c r="I1032" s="2" t="s">
        <v>709</v>
      </c>
      <c r="J1032" s="2" t="s">
        <v>102</v>
      </c>
      <c r="K1032" s="2" t="s">
        <v>58</v>
      </c>
    </row>
    <row r="1033" ht="15.75" customHeight="1">
      <c r="A1033" s="2">
        <v>404896.0</v>
      </c>
      <c r="B1033" s="2" t="s">
        <v>2752</v>
      </c>
      <c r="C1033" s="2" t="s">
        <v>2753</v>
      </c>
      <c r="D1033" s="2" t="s">
        <v>13</v>
      </c>
      <c r="E1033" s="2" t="s">
        <v>2155</v>
      </c>
      <c r="F1033" s="2">
        <v>17.0</v>
      </c>
      <c r="G1033" s="2">
        <v>500.0</v>
      </c>
      <c r="H1033" s="3" t="str">
        <f>HYPERLINK("http://www.linkedin.com/in/siliconglen","http://www.linkedin.com/in/siliconglen")</f>
        <v>http://www.linkedin.com/in/siliconglen</v>
      </c>
      <c r="I1033" s="2" t="s">
        <v>15</v>
      </c>
      <c r="J1033" s="2" t="s">
        <v>53</v>
      </c>
      <c r="K1033" s="2" t="s">
        <v>35</v>
      </c>
    </row>
    <row r="1034" ht="15.75" customHeight="1">
      <c r="A1034" s="2">
        <v>405019.0</v>
      </c>
      <c r="B1034" s="2" t="s">
        <v>2754</v>
      </c>
      <c r="C1034" s="2" t="s">
        <v>2755</v>
      </c>
      <c r="D1034" s="2" t="s">
        <v>2756</v>
      </c>
      <c r="E1034" s="2" t="s">
        <v>762</v>
      </c>
      <c r="F1034" s="2">
        <v>3.0</v>
      </c>
      <c r="G1034" s="2">
        <v>500.0</v>
      </c>
      <c r="H1034" s="3" t="str">
        <f>HYPERLINK("http://www.linkedin.com/pub/will-egner/1/542/60A","http://www.linkedin.com/pub/will-egner/1/542/60A")</f>
        <v>http://www.linkedin.com/pub/will-egner/1/542/60A</v>
      </c>
      <c r="I1034" s="2" t="s">
        <v>1496</v>
      </c>
      <c r="J1034" s="2" t="s">
        <v>102</v>
      </c>
      <c r="K1034" s="2" t="s">
        <v>97</v>
      </c>
    </row>
    <row r="1035" ht="15.75" customHeight="1">
      <c r="A1035" s="2">
        <v>405057.0</v>
      </c>
      <c r="B1035" s="2" t="s">
        <v>2757</v>
      </c>
      <c r="C1035" s="2" t="s">
        <v>2758</v>
      </c>
      <c r="D1035" s="2" t="s">
        <v>2759</v>
      </c>
      <c r="E1035" s="2" t="s">
        <v>604</v>
      </c>
      <c r="F1035" s="2">
        <v>7.0</v>
      </c>
      <c r="G1035" s="2">
        <v>500.0</v>
      </c>
      <c r="H1035" s="3" t="str">
        <f>HYPERLINK("http://www.linkedin.com/in/kbolman","http://www.linkedin.com/in/kbolman")</f>
        <v>http://www.linkedin.com/in/kbolman</v>
      </c>
      <c r="I1035" s="2" t="s">
        <v>440</v>
      </c>
      <c r="J1035" s="2" t="s">
        <v>16</v>
      </c>
      <c r="K1035" s="2" t="s">
        <v>35</v>
      </c>
    </row>
    <row r="1036" ht="15.75" customHeight="1">
      <c r="A1036" s="2">
        <v>405415.0</v>
      </c>
      <c r="B1036" s="2" t="s">
        <v>146</v>
      </c>
      <c r="C1036" s="2" t="s">
        <v>2760</v>
      </c>
      <c r="D1036" s="2" t="s">
        <v>2761</v>
      </c>
      <c r="E1036" s="2" t="s">
        <v>2762</v>
      </c>
      <c r="F1036" s="2">
        <v>0.0</v>
      </c>
      <c r="G1036" s="2">
        <v>500.0</v>
      </c>
      <c r="H1036" s="3" t="str">
        <f>HYPERLINK("http://www.linkedin.com/in/emarquez","http://www.linkedin.com/in/emarquez")</f>
        <v>http://www.linkedin.com/in/emarquez</v>
      </c>
      <c r="I1036" s="2" t="s">
        <v>374</v>
      </c>
      <c r="J1036" s="2" t="s">
        <v>1867</v>
      </c>
      <c r="K1036" s="2" t="s">
        <v>2763</v>
      </c>
    </row>
    <row r="1037" ht="15.75" customHeight="1">
      <c r="A1037" s="2">
        <v>406020.0</v>
      </c>
      <c r="B1037" s="2" t="s">
        <v>1096</v>
      </c>
      <c r="C1037" s="2" t="s">
        <v>2764</v>
      </c>
      <c r="D1037" s="2" t="s">
        <v>42</v>
      </c>
      <c r="E1037" s="2" t="s">
        <v>1520</v>
      </c>
      <c r="F1037" s="2">
        <v>2.0</v>
      </c>
      <c r="G1037" s="2">
        <v>164.0</v>
      </c>
      <c r="H1037" s="3" t="str">
        <f>HYPERLINK("http://www.linkedin.com/pub/tony-hilbourne/0/b8/548","http://www.linkedin.com/pub/tony-hilbourne/0/b8/548")</f>
        <v>http://www.linkedin.com/pub/tony-hilbourne/0/b8/548</v>
      </c>
      <c r="I1037" s="2" t="s">
        <v>69</v>
      </c>
      <c r="J1037" s="2" t="s">
        <v>53</v>
      </c>
      <c r="K1037" s="2" t="s">
        <v>35</v>
      </c>
    </row>
    <row r="1038" ht="15.75" customHeight="1">
      <c r="A1038" s="2">
        <v>407687.0</v>
      </c>
      <c r="B1038" s="2" t="s">
        <v>1575</v>
      </c>
      <c r="C1038" s="2" t="s">
        <v>2399</v>
      </c>
      <c r="D1038" s="2" t="s">
        <v>2765</v>
      </c>
      <c r="E1038" s="2" t="s">
        <v>64</v>
      </c>
      <c r="F1038" s="2" t="s">
        <v>13</v>
      </c>
      <c r="G1038" s="2">
        <v>500.0</v>
      </c>
      <c r="H1038" s="3" t="str">
        <f>HYPERLINK("http://fr.linkedin.com/pub/bernard-vincent/1/526/1AA","http://fr.linkedin.com/pub/bernard-vincent/1/526/1AA")</f>
        <v>http://fr.linkedin.com/pub/bernard-vincent/1/526/1AA</v>
      </c>
      <c r="I1038" s="2" t="s">
        <v>48</v>
      </c>
      <c r="J1038" s="2" t="s">
        <v>65</v>
      </c>
      <c r="K1038" s="2" t="s">
        <v>35</v>
      </c>
    </row>
    <row r="1039" ht="15.75" customHeight="1">
      <c r="A1039" s="2">
        <v>407868.0</v>
      </c>
      <c r="B1039" s="2" t="s">
        <v>2766</v>
      </c>
      <c r="C1039" s="2" t="s">
        <v>2767</v>
      </c>
      <c r="D1039" s="2" t="s">
        <v>2768</v>
      </c>
      <c r="E1039" s="2" t="s">
        <v>403</v>
      </c>
      <c r="F1039" s="2">
        <v>1.0</v>
      </c>
      <c r="G1039" s="2">
        <v>500.0</v>
      </c>
      <c r="H1039" s="3" t="str">
        <f>HYPERLINK("http://ca.linkedin.com/in/jennison","http://ca.linkedin.com/in/jennison")</f>
        <v>http://ca.linkedin.com/in/jennison</v>
      </c>
      <c r="I1039" s="2" t="s">
        <v>15</v>
      </c>
      <c r="J1039" s="2" t="s">
        <v>44</v>
      </c>
      <c r="K1039" s="2" t="s">
        <v>35</v>
      </c>
    </row>
    <row r="1040" ht="15.75" customHeight="1">
      <c r="A1040" s="2">
        <v>408943.0</v>
      </c>
      <c r="B1040" s="2" t="s">
        <v>2769</v>
      </c>
      <c r="C1040" s="2" t="s">
        <v>2770</v>
      </c>
      <c r="D1040" s="2" t="s">
        <v>2624</v>
      </c>
      <c r="E1040" s="2" t="s">
        <v>1329</v>
      </c>
      <c r="F1040" s="2">
        <v>10.0</v>
      </c>
      <c r="G1040" s="2">
        <v>500.0</v>
      </c>
      <c r="H1040" s="3" t="str">
        <f>HYPERLINK("http://www.linkedin.com/in/nikosacuna","http://www.linkedin.com/in/nikosacuna")</f>
        <v>http://www.linkedin.com/in/nikosacuna</v>
      </c>
      <c r="I1040" s="2" t="s">
        <v>105</v>
      </c>
      <c r="J1040" s="2" t="s">
        <v>102</v>
      </c>
      <c r="K1040" s="2" t="s">
        <v>58</v>
      </c>
    </row>
    <row r="1041" ht="15.75" customHeight="1">
      <c r="A1041" s="2">
        <v>409146.0</v>
      </c>
      <c r="B1041" s="2" t="s">
        <v>2771</v>
      </c>
      <c r="C1041" s="2" t="s">
        <v>2772</v>
      </c>
      <c r="D1041" s="2" t="s">
        <v>309</v>
      </c>
      <c r="E1041" s="2" t="s">
        <v>142</v>
      </c>
      <c r="F1041" s="2">
        <v>40.0</v>
      </c>
      <c r="G1041" s="2">
        <v>500.0</v>
      </c>
      <c r="H1041" s="3" t="str">
        <f>HYPERLINK("http://www.linkedin.com/in/dbhide","http://www.linkedin.com/in/dbhide")</f>
        <v>http://www.linkedin.com/in/dbhide</v>
      </c>
      <c r="I1041" s="2" t="s">
        <v>57</v>
      </c>
      <c r="J1041" s="2" t="s">
        <v>144</v>
      </c>
      <c r="K1041" s="2" t="s">
        <v>35</v>
      </c>
    </row>
    <row r="1042" ht="15.75" customHeight="1">
      <c r="A1042" s="2">
        <v>409236.0</v>
      </c>
      <c r="B1042" s="2" t="s">
        <v>2773</v>
      </c>
      <c r="C1042" s="2" t="s">
        <v>2774</v>
      </c>
      <c r="D1042" s="2" t="s">
        <v>2775</v>
      </c>
      <c r="E1042" s="2" t="s">
        <v>2776</v>
      </c>
      <c r="F1042" s="2">
        <v>7.0</v>
      </c>
      <c r="G1042" s="2">
        <v>500.0</v>
      </c>
      <c r="H1042" s="3" t="str">
        <f>HYPERLINK("http://www.linkedin.com/in/josegrilli","http://www.linkedin.com/in/josegrilli")</f>
        <v>http://www.linkedin.com/in/josegrilli</v>
      </c>
      <c r="I1042" s="2" t="s">
        <v>470</v>
      </c>
      <c r="J1042" s="2" t="s">
        <v>34</v>
      </c>
      <c r="K1042" s="2" t="s">
        <v>97</v>
      </c>
    </row>
    <row r="1043" ht="15.75" customHeight="1">
      <c r="A1043" s="2">
        <v>409989.0</v>
      </c>
      <c r="B1043" s="2" t="s">
        <v>1919</v>
      </c>
      <c r="C1043" s="2" t="s">
        <v>2777</v>
      </c>
      <c r="D1043" s="2" t="s">
        <v>2778</v>
      </c>
      <c r="E1043" s="2" t="s">
        <v>136</v>
      </c>
      <c r="F1043" s="2">
        <v>16.0</v>
      </c>
      <c r="G1043" s="2">
        <v>500.0</v>
      </c>
      <c r="H1043" s="3" t="str">
        <f>HYPERLINK("http://www.linkedin.com/in/larrymirto","http://www.linkedin.com/in/larrymirto")</f>
        <v>http://www.linkedin.com/in/larrymirto</v>
      </c>
      <c r="I1043" s="2" t="s">
        <v>231</v>
      </c>
      <c r="J1043" s="2" t="s">
        <v>102</v>
      </c>
      <c r="K1043" s="2" t="s">
        <v>35</v>
      </c>
    </row>
    <row r="1044" ht="15.75" customHeight="1">
      <c r="A1044" s="2">
        <v>410311.0</v>
      </c>
      <c r="B1044" s="2" t="s">
        <v>1096</v>
      </c>
      <c r="C1044" s="2" t="s">
        <v>2779</v>
      </c>
      <c r="D1044" s="2" t="s">
        <v>2780</v>
      </c>
      <c r="E1044" s="2" t="s">
        <v>2781</v>
      </c>
      <c r="F1044" s="2">
        <v>2.0</v>
      </c>
      <c r="G1044" s="2">
        <v>500.0</v>
      </c>
      <c r="H1044" s="3" t="str">
        <f>HYPERLINK("http://www.linkedin.com/in/businessdev","http://www.linkedin.com/in/businessdev")</f>
        <v>http://www.linkedin.com/in/businessdev</v>
      </c>
      <c r="I1044" s="2" t="s">
        <v>669</v>
      </c>
      <c r="J1044" s="2" t="s">
        <v>144</v>
      </c>
      <c r="K1044" s="2" t="s">
        <v>357</v>
      </c>
    </row>
    <row r="1045" ht="15.75" customHeight="1">
      <c r="A1045" s="2">
        <v>410312.0</v>
      </c>
      <c r="B1045" s="2" t="s">
        <v>2782</v>
      </c>
      <c r="C1045" s="2" t="s">
        <v>2783</v>
      </c>
      <c r="D1045" s="2" t="s">
        <v>2784</v>
      </c>
      <c r="E1045" s="2" t="s">
        <v>301</v>
      </c>
      <c r="F1045" s="2">
        <v>26.0</v>
      </c>
      <c r="G1045" s="2">
        <v>500.0</v>
      </c>
      <c r="H1045" s="3" t="str">
        <f>HYPERLINK("http://www.linkedin.com/in/mszymanski","http://www.linkedin.com/in/mszymanski")</f>
        <v>http://www.linkedin.com/in/mszymanski</v>
      </c>
      <c r="I1045" s="2" t="s">
        <v>105</v>
      </c>
      <c r="J1045" s="2" t="s">
        <v>102</v>
      </c>
      <c r="K1045" s="2" t="s">
        <v>58</v>
      </c>
    </row>
    <row r="1046" ht="15.75" customHeight="1">
      <c r="A1046" s="2">
        <v>410350.0</v>
      </c>
      <c r="B1046" s="2" t="s">
        <v>275</v>
      </c>
      <c r="C1046" s="2" t="s">
        <v>2785</v>
      </c>
      <c r="D1046" s="2" t="s">
        <v>400</v>
      </c>
      <c r="E1046" s="2" t="s">
        <v>142</v>
      </c>
      <c r="F1046" s="2">
        <v>28.0</v>
      </c>
      <c r="G1046" s="2">
        <v>500.0</v>
      </c>
      <c r="H1046" s="3" t="str">
        <f>HYPERLINK("http://www.linkedin.com/in/marknoneman","http://www.linkedin.com/in/marknoneman")</f>
        <v>http://www.linkedin.com/in/marknoneman</v>
      </c>
      <c r="I1046" s="2" t="s">
        <v>57</v>
      </c>
      <c r="J1046" s="2" t="s">
        <v>144</v>
      </c>
      <c r="K1046" s="2" t="s">
        <v>29</v>
      </c>
    </row>
    <row r="1047" ht="15.75" customHeight="1">
      <c r="A1047" s="2">
        <v>410389.0</v>
      </c>
      <c r="B1047" s="2" t="s">
        <v>2786</v>
      </c>
      <c r="C1047" s="2" t="s">
        <v>2787</v>
      </c>
      <c r="D1047" s="2" t="s">
        <v>2788</v>
      </c>
      <c r="E1047" s="2" t="s">
        <v>294</v>
      </c>
      <c r="F1047" s="2">
        <v>8.0</v>
      </c>
      <c r="G1047" s="2">
        <v>500.0</v>
      </c>
      <c r="H1047" s="3" t="str">
        <f>HYPERLINK("http://www.linkedin.com/in/ernesthuber","http://www.linkedin.com/in/ernesthuber")</f>
        <v>http://www.linkedin.com/in/ernesthuber</v>
      </c>
      <c r="I1047" s="2" t="s">
        <v>15</v>
      </c>
      <c r="J1047" s="2" t="s">
        <v>102</v>
      </c>
      <c r="K1047" s="2" t="s">
        <v>35</v>
      </c>
    </row>
    <row r="1048" ht="15.75" customHeight="1">
      <c r="A1048" s="2">
        <v>410509.0</v>
      </c>
      <c r="B1048" s="2" t="s">
        <v>2789</v>
      </c>
      <c r="C1048" s="2" t="s">
        <v>2790</v>
      </c>
      <c r="D1048" s="2" t="s">
        <v>2791</v>
      </c>
      <c r="E1048" s="2" t="s">
        <v>224</v>
      </c>
      <c r="F1048" s="2">
        <v>0.0</v>
      </c>
      <c r="G1048" s="2">
        <v>500.0</v>
      </c>
      <c r="H1048" s="3" t="str">
        <f>HYPERLINK("http://www.linkedin.com/in/prathaphg","http://www.linkedin.com/in/prathaphg")</f>
        <v>http://www.linkedin.com/in/prathaphg</v>
      </c>
      <c r="I1048" s="2" t="s">
        <v>15</v>
      </c>
      <c r="J1048" s="2" t="s">
        <v>16</v>
      </c>
      <c r="K1048" s="2" t="s">
        <v>2062</v>
      </c>
    </row>
    <row r="1049" ht="15.75" customHeight="1">
      <c r="A1049" s="2">
        <v>410830.0</v>
      </c>
      <c r="B1049" s="2" t="s">
        <v>1366</v>
      </c>
      <c r="C1049" s="2" t="s">
        <v>2792</v>
      </c>
      <c r="D1049" s="2" t="s">
        <v>289</v>
      </c>
      <c r="E1049" s="2" t="s">
        <v>122</v>
      </c>
      <c r="F1049" s="2" t="s">
        <v>13</v>
      </c>
      <c r="G1049" s="2">
        <v>500.0</v>
      </c>
      <c r="H1049" s="3" t="str">
        <f>HYPERLINK("http://uk.linkedin.com/in/petermurtoughconsultant","http://uk.linkedin.com/in/petermurtoughconsultant")</f>
        <v>http://uk.linkedin.com/in/petermurtoughconsultant</v>
      </c>
      <c r="I1049" s="2" t="s">
        <v>15</v>
      </c>
      <c r="J1049" s="2" t="s">
        <v>53</v>
      </c>
      <c r="K1049" s="2" t="s">
        <v>35</v>
      </c>
    </row>
    <row r="1050" ht="15.75" customHeight="1">
      <c r="A1050" s="2">
        <v>411574.0</v>
      </c>
      <c r="B1050" s="2" t="s">
        <v>710</v>
      </c>
      <c r="C1050" s="2" t="s">
        <v>2793</v>
      </c>
      <c r="D1050" s="2" t="s">
        <v>289</v>
      </c>
      <c r="E1050" s="2" t="s">
        <v>2794</v>
      </c>
      <c r="F1050" s="2">
        <v>0.0</v>
      </c>
      <c r="G1050" s="2">
        <v>257.0</v>
      </c>
      <c r="H1050" s="3" t="str">
        <f>HYPERLINK("http://www.linkedin.com/pub/jason-connor/2/3A5/B58","http://www.linkedin.com/pub/jason-connor/2/3A5/B58")</f>
        <v>http://www.linkedin.com/pub/jason-connor/2/3A5/B58</v>
      </c>
      <c r="I1050" s="2" t="s">
        <v>15</v>
      </c>
      <c r="J1050" s="2" t="s">
        <v>28</v>
      </c>
      <c r="K1050" s="2" t="s">
        <v>2795</v>
      </c>
    </row>
    <row r="1051" ht="15.75" customHeight="1">
      <c r="A1051" s="2">
        <v>411994.0</v>
      </c>
      <c r="B1051" s="2" t="s">
        <v>721</v>
      </c>
      <c r="C1051" s="2" t="s">
        <v>2796</v>
      </c>
      <c r="D1051" s="2" t="s">
        <v>47</v>
      </c>
      <c r="E1051" s="2" t="s">
        <v>2797</v>
      </c>
      <c r="F1051" s="2">
        <v>2.0</v>
      </c>
      <c r="G1051" s="2">
        <v>393.0</v>
      </c>
      <c r="H1051" s="3" t="str">
        <f>HYPERLINK("http://www.linkedin.com/in/ajgriffiths","http://www.linkedin.com/in/ajgriffiths")</f>
        <v>http://www.linkedin.com/in/ajgriffiths</v>
      </c>
      <c r="I1051" s="2" t="s">
        <v>69</v>
      </c>
      <c r="J1051" s="2" t="s">
        <v>102</v>
      </c>
      <c r="K1051" s="2" t="s">
        <v>35</v>
      </c>
    </row>
    <row r="1052" ht="15.75" customHeight="1">
      <c r="A1052" s="2">
        <v>412052.0</v>
      </c>
      <c r="B1052" s="2" t="s">
        <v>2153</v>
      </c>
      <c r="C1052" s="2" t="s">
        <v>2798</v>
      </c>
      <c r="D1052" s="2" t="s">
        <v>108</v>
      </c>
      <c r="E1052" s="2" t="s">
        <v>301</v>
      </c>
      <c r="F1052" s="2" t="s">
        <v>13</v>
      </c>
      <c r="G1052" s="2">
        <v>500.0</v>
      </c>
      <c r="H1052" s="3" t="str">
        <f>HYPERLINK("http://www.linkedin.com/in/198622","http://www.linkedin.com/in/198622")</f>
        <v>http://www.linkedin.com/in/198622</v>
      </c>
      <c r="I1052" s="2" t="s">
        <v>15</v>
      </c>
      <c r="J1052" s="2" t="s">
        <v>102</v>
      </c>
      <c r="K1052" s="2" t="s">
        <v>35</v>
      </c>
    </row>
    <row r="1053" ht="15.75" customHeight="1">
      <c r="A1053" s="2">
        <v>412176.0</v>
      </c>
      <c r="B1053" s="2" t="s">
        <v>460</v>
      </c>
      <c r="C1053" s="2" t="s">
        <v>2799</v>
      </c>
      <c r="D1053" s="2" t="s">
        <v>835</v>
      </c>
      <c r="E1053" s="2" t="s">
        <v>2800</v>
      </c>
      <c r="F1053" s="2" t="s">
        <v>13</v>
      </c>
      <c r="G1053" s="2">
        <v>500.0</v>
      </c>
      <c r="H1053" s="3" t="str">
        <f>HYPERLINK("http://www.linkedin.com/pub/john-zicker/8/93A/70","http://www.linkedin.com/pub/john-zicker/8/93A/70")</f>
        <v>http://www.linkedin.com/pub/john-zicker/8/93A/70</v>
      </c>
      <c r="I1053" s="2" t="s">
        <v>69</v>
      </c>
      <c r="J1053" s="2" t="s">
        <v>144</v>
      </c>
      <c r="K1053" s="2" t="s">
        <v>196</v>
      </c>
    </row>
    <row r="1054" ht="15.75" customHeight="1">
      <c r="A1054" s="2">
        <v>412193.0</v>
      </c>
      <c r="B1054" s="2" t="s">
        <v>295</v>
      </c>
      <c r="C1054" s="2" t="s">
        <v>2801</v>
      </c>
      <c r="D1054" s="2" t="s">
        <v>2802</v>
      </c>
      <c r="E1054" s="2" t="s">
        <v>301</v>
      </c>
      <c r="F1054" s="2" t="s">
        <v>13</v>
      </c>
      <c r="G1054" s="2">
        <v>500.0</v>
      </c>
      <c r="H1054" s="3" t="str">
        <f>HYPERLINK("http://www.linkedin.com/in/koppelmantalentmagnet","http://www.linkedin.com/in/koppelmantalentmagnet")</f>
        <v>http://www.linkedin.com/in/koppelmantalentmagnet</v>
      </c>
      <c r="I1054" s="2" t="s">
        <v>248</v>
      </c>
      <c r="J1054" s="2" t="s">
        <v>102</v>
      </c>
      <c r="K1054" s="2" t="s">
        <v>196</v>
      </c>
    </row>
    <row r="1055" ht="15.75" customHeight="1">
      <c r="A1055" s="2">
        <v>413168.0</v>
      </c>
      <c r="B1055" s="2" t="s">
        <v>2546</v>
      </c>
      <c r="C1055" s="2" t="s">
        <v>2803</v>
      </c>
      <c r="D1055" s="2" t="s">
        <v>517</v>
      </c>
      <c r="E1055" s="2" t="s">
        <v>235</v>
      </c>
      <c r="F1055" s="2">
        <v>2.0</v>
      </c>
      <c r="G1055" s="2">
        <v>274.0</v>
      </c>
      <c r="H1055" s="3" t="str">
        <f>HYPERLINK("http://www.linkedin.com/in/tiagosoromenho","http://www.linkedin.com/in/tiagosoromenho")</f>
        <v>http://www.linkedin.com/in/tiagosoromenho</v>
      </c>
      <c r="I1055" s="2" t="s">
        <v>69</v>
      </c>
      <c r="J1055" s="2" t="s">
        <v>102</v>
      </c>
      <c r="K1055" s="2" t="s">
        <v>35</v>
      </c>
    </row>
    <row r="1056" ht="15.75" customHeight="1">
      <c r="A1056" s="2">
        <v>413354.0</v>
      </c>
      <c r="B1056" s="2" t="s">
        <v>2804</v>
      </c>
      <c r="C1056" s="2" t="s">
        <v>2805</v>
      </c>
      <c r="D1056" s="2" t="s">
        <v>950</v>
      </c>
      <c r="E1056" s="2" t="s">
        <v>2806</v>
      </c>
      <c r="F1056" s="2">
        <v>1.0</v>
      </c>
      <c r="G1056" s="2">
        <v>273.0</v>
      </c>
      <c r="H1056" s="3" t="str">
        <f>HYPERLINK("http://uk.linkedin.com/pub/charlene-clay/2/948/606","http://uk.linkedin.com/pub/charlene-clay/2/948/606")</f>
        <v>http://uk.linkedin.com/pub/charlene-clay/2/948/606</v>
      </c>
      <c r="I1056" s="2" t="s">
        <v>1931</v>
      </c>
      <c r="J1056" s="2" t="s">
        <v>575</v>
      </c>
      <c r="K1056" s="2" t="s">
        <v>357</v>
      </c>
    </row>
    <row r="1057" ht="15.75" customHeight="1">
      <c r="A1057" s="2">
        <v>413640.0</v>
      </c>
      <c r="B1057" s="2" t="s">
        <v>2807</v>
      </c>
      <c r="C1057" s="2" t="s">
        <v>2808</v>
      </c>
      <c r="D1057" s="2" t="s">
        <v>108</v>
      </c>
      <c r="E1057" s="2" t="s">
        <v>136</v>
      </c>
      <c r="F1057" s="2">
        <v>1.0</v>
      </c>
      <c r="G1057" s="2">
        <v>500.0</v>
      </c>
      <c r="H1057" s="3" t="str">
        <f>HYPERLINK("http://www.linkedin.com/pub/lane-patterson/0/B26/ABB","http://www.linkedin.com/pub/lane-patterson/0/B26/ABB")</f>
        <v>http://www.linkedin.com/pub/lane-patterson/0/B26/ABB</v>
      </c>
      <c r="I1057" s="2" t="s">
        <v>69</v>
      </c>
      <c r="J1057" s="2" t="s">
        <v>102</v>
      </c>
      <c r="K1057" s="2" t="s">
        <v>35</v>
      </c>
    </row>
    <row r="1058" ht="15.75" customHeight="1">
      <c r="A1058" s="2">
        <v>414629.0</v>
      </c>
      <c r="B1058" s="2" t="s">
        <v>2809</v>
      </c>
      <c r="C1058" s="2" t="s">
        <v>2810</v>
      </c>
      <c r="D1058" s="2" t="s">
        <v>13</v>
      </c>
      <c r="E1058" s="2" t="s">
        <v>574</v>
      </c>
      <c r="F1058" s="2">
        <v>0.0</v>
      </c>
      <c r="G1058" s="2">
        <v>500.0</v>
      </c>
      <c r="H1058" s="3" t="str">
        <f>HYPERLINK("https://www.linkedin.com/in/muxnarasimhan","https://www.linkedin.com/in/muxnarasimhan")</f>
        <v>https://www.linkedin.com/in/muxnarasimhan</v>
      </c>
      <c r="I1058" s="2" t="s">
        <v>663</v>
      </c>
      <c r="J1058" s="2" t="s">
        <v>575</v>
      </c>
      <c r="K1058" s="2" t="s">
        <v>522</v>
      </c>
    </row>
    <row r="1059" ht="15.75" customHeight="1">
      <c r="A1059" s="2">
        <v>414841.0</v>
      </c>
      <c r="B1059" s="2" t="s">
        <v>2811</v>
      </c>
      <c r="C1059" s="2" t="s">
        <v>2812</v>
      </c>
      <c r="D1059" s="2" t="s">
        <v>2813</v>
      </c>
      <c r="E1059" s="2" t="s">
        <v>2814</v>
      </c>
      <c r="F1059" s="2">
        <v>1.0</v>
      </c>
      <c r="G1059" s="2">
        <v>449.0</v>
      </c>
      <c r="H1059" s="3" t="str">
        <f>HYPERLINK("http://br.linkedin.com/pub/luiz-carlos-camargo/29/339/396","http://br.linkedin.com/pub/luiz-carlos-camargo/29/339/396")</f>
        <v>http://br.linkedin.com/pub/luiz-carlos-camargo/29/339/396</v>
      </c>
      <c r="I1059" s="2" t="s">
        <v>1390</v>
      </c>
      <c r="J1059" s="2" t="s">
        <v>34</v>
      </c>
      <c r="K1059" s="2" t="s">
        <v>22</v>
      </c>
    </row>
    <row r="1060" ht="15.75" customHeight="1">
      <c r="A1060" s="2">
        <v>414910.0</v>
      </c>
      <c r="B1060" s="2" t="s">
        <v>1254</v>
      </c>
      <c r="C1060" s="2" t="s">
        <v>2815</v>
      </c>
      <c r="D1060" s="2" t="s">
        <v>2816</v>
      </c>
      <c r="E1060" s="2" t="s">
        <v>235</v>
      </c>
      <c r="F1060" s="2" t="s">
        <v>13</v>
      </c>
      <c r="G1060" s="2">
        <v>339.0</v>
      </c>
      <c r="H1060" s="3" t="str">
        <f>HYPERLINK("http://www.linkedin.com/in/rickweidinger","http://www.linkedin.com/in/rickweidinger")</f>
        <v>http://www.linkedin.com/in/rickweidinger</v>
      </c>
      <c r="I1060" s="2" t="s">
        <v>48</v>
      </c>
      <c r="J1060" s="2" t="s">
        <v>102</v>
      </c>
      <c r="K1060" s="2" t="s">
        <v>35</v>
      </c>
    </row>
    <row r="1061" ht="15.75" customHeight="1">
      <c r="A1061" s="2">
        <v>415124.0</v>
      </c>
      <c r="B1061" s="2" t="s">
        <v>2817</v>
      </c>
      <c r="C1061" s="2" t="s">
        <v>2818</v>
      </c>
      <c r="D1061" s="2" t="s">
        <v>2819</v>
      </c>
      <c r="E1061" s="2" t="s">
        <v>706</v>
      </c>
      <c r="F1061" s="2">
        <v>2.0</v>
      </c>
      <c r="G1061" s="2">
        <v>82.0</v>
      </c>
      <c r="H1061" s="3" t="str">
        <f>HYPERLINK("http://br.linkedin.com/pub/antonio-rogerio-juliao/29/453/942","http://br.linkedin.com/pub/antonio-rogerio-juliao/29/453/942")</f>
        <v>http://br.linkedin.com/pub/antonio-rogerio-juliao/29/453/942</v>
      </c>
      <c r="I1061" s="2" t="s">
        <v>1679</v>
      </c>
      <c r="J1061" s="2" t="s">
        <v>34</v>
      </c>
      <c r="K1061" s="2" t="s">
        <v>97</v>
      </c>
    </row>
    <row r="1062" ht="15.75" customHeight="1">
      <c r="A1062" s="2">
        <v>415448.0</v>
      </c>
      <c r="B1062" s="2" t="s">
        <v>625</v>
      </c>
      <c r="C1062" s="2" t="s">
        <v>2504</v>
      </c>
      <c r="D1062" s="2" t="s">
        <v>2820</v>
      </c>
      <c r="E1062" s="2" t="s">
        <v>1702</v>
      </c>
      <c r="F1062" s="2">
        <v>29.0</v>
      </c>
      <c r="G1062" s="2">
        <v>500.0</v>
      </c>
      <c r="H1062" s="3" t="str">
        <f>HYPERLINK("http://www.linkedin.com/in/timreilly","http://www.linkedin.com/in/timreilly")</f>
        <v>http://www.linkedin.com/in/timreilly</v>
      </c>
      <c r="I1062" s="2" t="s">
        <v>69</v>
      </c>
      <c r="J1062" s="2" t="s">
        <v>1703</v>
      </c>
      <c r="K1062" s="2" t="s">
        <v>111</v>
      </c>
    </row>
    <row r="1063" ht="15.75" customHeight="1">
      <c r="A1063" s="2">
        <v>415536.0</v>
      </c>
      <c r="B1063" s="2" t="s">
        <v>2821</v>
      </c>
      <c r="C1063" s="2" t="s">
        <v>2822</v>
      </c>
      <c r="D1063" s="2" t="s">
        <v>2823</v>
      </c>
      <c r="E1063" s="2" t="s">
        <v>598</v>
      </c>
      <c r="F1063" s="2">
        <v>1.0</v>
      </c>
      <c r="G1063" s="2">
        <v>500.0</v>
      </c>
      <c r="H1063" s="3" t="str">
        <f>HYPERLINK("http://br.linkedin.com/pub/everton-helder/29/646/614","http://br.linkedin.com/pub/everton-helder/29/646/614")</f>
        <v>http://br.linkedin.com/pub/everton-helder/29/646/614</v>
      </c>
      <c r="I1063" s="2" t="s">
        <v>2443</v>
      </c>
      <c r="J1063" s="2" t="s">
        <v>34</v>
      </c>
      <c r="K1063" s="2" t="s">
        <v>35</v>
      </c>
    </row>
    <row r="1064" ht="15.75" customHeight="1">
      <c r="A1064" s="2">
        <v>415653.0</v>
      </c>
      <c r="B1064" s="2" t="s">
        <v>2824</v>
      </c>
      <c r="C1064" s="2" t="s">
        <v>2825</v>
      </c>
      <c r="D1064" s="2" t="s">
        <v>2826</v>
      </c>
      <c r="E1064" s="2" t="s">
        <v>122</v>
      </c>
      <c r="F1064" s="2">
        <v>14.0</v>
      </c>
      <c r="G1064" s="2">
        <v>500.0</v>
      </c>
      <c r="H1064" s="3" t="str">
        <f>HYPERLINK("http://www.linkedin.com/in/davidescialpi","http://www.linkedin.com/in/davidescialpi")</f>
        <v>http://www.linkedin.com/in/davidescialpi</v>
      </c>
      <c r="I1064" s="2" t="s">
        <v>105</v>
      </c>
      <c r="J1064" s="2" t="s">
        <v>53</v>
      </c>
      <c r="K1064" s="2" t="s">
        <v>58</v>
      </c>
    </row>
    <row r="1065" ht="15.75" customHeight="1">
      <c r="A1065" s="2">
        <v>415740.0</v>
      </c>
      <c r="B1065" s="2" t="s">
        <v>2827</v>
      </c>
      <c r="C1065" s="2" t="s">
        <v>2828</v>
      </c>
      <c r="D1065" s="2" t="s">
        <v>2829</v>
      </c>
      <c r="E1065" s="2" t="s">
        <v>2830</v>
      </c>
      <c r="F1065" s="2">
        <v>5.0</v>
      </c>
      <c r="G1065" s="2">
        <v>500.0</v>
      </c>
      <c r="H1065" s="3" t="str">
        <f>HYPERLINK("http://br.linkedin.com/pub/misael-machado/29/756/B6B","http://br.linkedin.com/pub/misael-machado/29/756/B6B")</f>
        <v>http://br.linkedin.com/pub/misael-machado/29/756/B6B</v>
      </c>
      <c r="I1065" s="2" t="s">
        <v>2831</v>
      </c>
      <c r="J1065" s="2" t="s">
        <v>34</v>
      </c>
      <c r="K1065" s="2" t="s">
        <v>522</v>
      </c>
    </row>
    <row r="1066" ht="15.75" customHeight="1">
      <c r="A1066" s="2">
        <v>415822.0</v>
      </c>
      <c r="B1066" s="2" t="s">
        <v>2832</v>
      </c>
      <c r="C1066" s="2" t="s">
        <v>2833</v>
      </c>
      <c r="D1066" s="2" t="s">
        <v>2834</v>
      </c>
      <c r="E1066" s="2" t="s">
        <v>2835</v>
      </c>
      <c r="F1066" s="2">
        <v>1.0</v>
      </c>
      <c r="G1066" s="2">
        <v>500.0</v>
      </c>
      <c r="H1066" s="3" t="str">
        <f>HYPERLINK("http://www.linkedin.com/pub/bindu-sagar/B/911/286","http://www.linkedin.com/pub/bindu-sagar/B/911/286")</f>
        <v>http://www.linkedin.com/pub/bindu-sagar/B/911/286</v>
      </c>
      <c r="I1066" s="2" t="s">
        <v>248</v>
      </c>
      <c r="J1066" s="2" t="s">
        <v>273</v>
      </c>
      <c r="K1066" s="2" t="s">
        <v>22</v>
      </c>
    </row>
    <row r="1067" ht="15.75" customHeight="1">
      <c r="A1067" s="2">
        <v>415977.0</v>
      </c>
      <c r="B1067" s="2" t="s">
        <v>2836</v>
      </c>
      <c r="C1067" s="2" t="s">
        <v>2837</v>
      </c>
      <c r="D1067" s="2" t="s">
        <v>2838</v>
      </c>
      <c r="E1067" s="2" t="s">
        <v>2035</v>
      </c>
      <c r="F1067" s="2">
        <v>3.0</v>
      </c>
      <c r="G1067" s="2">
        <v>500.0</v>
      </c>
      <c r="H1067" s="3" t="str">
        <f>HYPERLINK("http://in.linkedin.com/pub/santosh-pillai/B/B32/7B1","http://in.linkedin.com/pub/santosh-pillai/B/B32/7B1")</f>
        <v>http://in.linkedin.com/pub/santosh-pillai/B/B32/7B1</v>
      </c>
      <c r="I1067" s="2" t="s">
        <v>248</v>
      </c>
      <c r="J1067" s="2" t="s">
        <v>273</v>
      </c>
      <c r="K1067" s="2" t="s">
        <v>22</v>
      </c>
    </row>
    <row r="1068" ht="15.75" customHeight="1">
      <c r="A1068" s="2">
        <v>416197.0</v>
      </c>
      <c r="B1068" s="2" t="s">
        <v>253</v>
      </c>
      <c r="C1068" s="2" t="s">
        <v>2839</v>
      </c>
      <c r="D1068" s="2" t="s">
        <v>2302</v>
      </c>
      <c r="E1068" s="2" t="s">
        <v>491</v>
      </c>
      <c r="F1068" s="2" t="s">
        <v>13</v>
      </c>
      <c r="G1068" s="2">
        <v>500.0</v>
      </c>
      <c r="H1068" s="3" t="str">
        <f>HYPERLINK("http://es.linkedin.com/pub/fernando-galvache/3/86A/1A6","http://es.linkedin.com/pub/fernando-galvache/3/86A/1A6")</f>
        <v>http://es.linkedin.com/pub/fernando-galvache/3/86A/1A6</v>
      </c>
      <c r="I1068" s="2" t="s">
        <v>48</v>
      </c>
      <c r="J1068" s="2" t="s">
        <v>220</v>
      </c>
      <c r="K1068" s="2" t="s">
        <v>35</v>
      </c>
    </row>
    <row r="1069" ht="15.75" customHeight="1">
      <c r="A1069" s="2">
        <v>416216.0</v>
      </c>
      <c r="B1069" s="2" t="s">
        <v>2840</v>
      </c>
      <c r="C1069" s="2" t="s">
        <v>2841</v>
      </c>
      <c r="D1069" s="2" t="s">
        <v>2842</v>
      </c>
      <c r="E1069" s="2" t="s">
        <v>706</v>
      </c>
      <c r="F1069" s="2">
        <v>1.0</v>
      </c>
      <c r="G1069" s="2">
        <v>500.0</v>
      </c>
      <c r="H1069" s="3" t="str">
        <f>HYPERLINK("http://br.linkedin.com/pub/andr-luis-guimar-es/29/A05/9B","http://br.linkedin.com/pub/andr-luis-guimar-es/29/A05/9B")</f>
        <v>http://br.linkedin.com/pub/andr-luis-guimar-es/29/A05/9B</v>
      </c>
      <c r="I1069" s="2" t="s">
        <v>2843</v>
      </c>
      <c r="J1069" s="2" t="s">
        <v>34</v>
      </c>
      <c r="K1069" s="2" t="s">
        <v>35</v>
      </c>
    </row>
    <row r="1070" ht="15.75" customHeight="1">
      <c r="A1070" s="2">
        <v>416231.0</v>
      </c>
      <c r="B1070" s="2" t="s">
        <v>2844</v>
      </c>
      <c r="C1070" s="2" t="s">
        <v>2845</v>
      </c>
      <c r="D1070" s="2" t="s">
        <v>2846</v>
      </c>
      <c r="E1070" s="2" t="s">
        <v>706</v>
      </c>
      <c r="F1070" s="2">
        <v>2.0</v>
      </c>
      <c r="G1070" s="2">
        <v>500.0</v>
      </c>
      <c r="H1070" s="3" t="str">
        <f>HYPERLINK("http://br.linkedin.com/pub/andreia-tierno/29/A26/3A8","http://br.linkedin.com/pub/andreia-tierno/29/A26/3A8")</f>
        <v>http://br.linkedin.com/pub/andreia-tierno/29/A26/3A8</v>
      </c>
      <c r="I1070" s="2" t="s">
        <v>599</v>
      </c>
      <c r="J1070" s="2" t="s">
        <v>34</v>
      </c>
      <c r="K1070" s="2" t="s">
        <v>522</v>
      </c>
    </row>
    <row r="1071" ht="15.75" customHeight="1">
      <c r="A1071" s="2">
        <v>416318.0</v>
      </c>
      <c r="B1071" s="2" t="s">
        <v>2847</v>
      </c>
      <c r="C1071" s="2" t="s">
        <v>2848</v>
      </c>
      <c r="D1071" s="2" t="s">
        <v>2849</v>
      </c>
      <c r="E1071" s="2" t="s">
        <v>2850</v>
      </c>
      <c r="F1071" s="2" t="s">
        <v>13</v>
      </c>
      <c r="G1071" s="2">
        <v>500.0</v>
      </c>
      <c r="H1071" s="3" t="str">
        <f>HYPERLINK("http://br.linkedin.com/pub/marcelo-ricardo-de-lima/29/A61/A3A","http://br.linkedin.com/pub/marcelo-ricardo-de-lima/29/A61/A3A")</f>
        <v>http://br.linkedin.com/pub/marcelo-ricardo-de-lima/29/A61/A3A</v>
      </c>
      <c r="I1071" s="2" t="s">
        <v>629</v>
      </c>
      <c r="J1071" s="2" t="s">
        <v>34</v>
      </c>
      <c r="K1071" s="2" t="s">
        <v>97</v>
      </c>
    </row>
    <row r="1072" ht="15.75" customHeight="1">
      <c r="A1072" s="2">
        <v>416551.0</v>
      </c>
      <c r="B1072" s="2" t="s">
        <v>1296</v>
      </c>
      <c r="C1072" s="2" t="s">
        <v>2851</v>
      </c>
      <c r="D1072" s="2" t="s">
        <v>2852</v>
      </c>
      <c r="E1072" s="2" t="s">
        <v>2472</v>
      </c>
      <c r="F1072" s="2">
        <v>1.0</v>
      </c>
      <c r="G1072" s="2">
        <v>500.0</v>
      </c>
      <c r="H1072" s="3" t="str">
        <f>HYPERLINK("http://br.linkedin.com/pub/andrea-manente/29/B8B/117","http://br.linkedin.com/pub/andrea-manente/29/B8B/117")</f>
        <v>http://br.linkedin.com/pub/andrea-manente/29/B8B/117</v>
      </c>
      <c r="I1072" s="2" t="s">
        <v>1841</v>
      </c>
      <c r="J1072" s="2" t="s">
        <v>34</v>
      </c>
      <c r="K1072" s="2" t="s">
        <v>22</v>
      </c>
    </row>
    <row r="1073" ht="15.75" customHeight="1">
      <c r="A1073" s="2">
        <v>416791.0</v>
      </c>
      <c r="B1073" s="2" t="s">
        <v>2853</v>
      </c>
      <c r="C1073" s="2" t="s">
        <v>2854</v>
      </c>
      <c r="D1073" s="2" t="s">
        <v>2855</v>
      </c>
      <c r="E1073" s="2" t="s">
        <v>1712</v>
      </c>
      <c r="F1073" s="2" t="s">
        <v>13</v>
      </c>
      <c r="G1073" s="2">
        <v>115.0</v>
      </c>
      <c r="H1073" s="3" t="str">
        <f>HYPERLINK("http://br.linkedin.com/pub/danilo-delgado/2A/4B/158","http://br.linkedin.com/pub/danilo-delgado/2A/4B/158")</f>
        <v>http://br.linkedin.com/pub/danilo-delgado/2A/4B/158</v>
      </c>
      <c r="I1073" s="2" t="s">
        <v>470</v>
      </c>
      <c r="J1073" s="2" t="s">
        <v>34</v>
      </c>
      <c r="K1073" s="2" t="s">
        <v>97</v>
      </c>
    </row>
    <row r="1074" ht="15.75" customHeight="1">
      <c r="A1074" s="2">
        <v>417746.0</v>
      </c>
      <c r="B1074" s="2" t="s">
        <v>839</v>
      </c>
      <c r="C1074" s="2" t="s">
        <v>942</v>
      </c>
      <c r="D1074" s="2" t="s">
        <v>47</v>
      </c>
      <c r="E1074" s="2" t="s">
        <v>762</v>
      </c>
      <c r="F1074" s="2">
        <v>51.0</v>
      </c>
      <c r="G1074" s="2">
        <v>500.0</v>
      </c>
      <c r="H1074" s="3" t="str">
        <f>HYPERLINK("http://www.linkedin.com/pub/dave-perry/0/93B/3B9","http://www.linkedin.com/pub/dave-perry/0/93B/3B9")</f>
        <v>http://www.linkedin.com/pub/dave-perry/0/93B/3B9</v>
      </c>
      <c r="I1074" s="2" t="s">
        <v>48</v>
      </c>
      <c r="J1074" s="2" t="s">
        <v>102</v>
      </c>
      <c r="K1074" s="2" t="s">
        <v>35</v>
      </c>
    </row>
    <row r="1075" ht="15.75" customHeight="1">
      <c r="A1075" s="2">
        <v>418097.0</v>
      </c>
      <c r="B1075" s="2" t="s">
        <v>245</v>
      </c>
      <c r="C1075" s="2" t="s">
        <v>1144</v>
      </c>
      <c r="D1075" s="2" t="s">
        <v>13</v>
      </c>
      <c r="E1075" s="2" t="s">
        <v>122</v>
      </c>
      <c r="F1075" s="2">
        <v>12.0</v>
      </c>
      <c r="G1075" s="2">
        <v>500.0</v>
      </c>
      <c r="H1075" s="3" t="str">
        <f>HYPERLINK("http://www.linkedin.com/in/stevejallen","http://www.linkedin.com/in/stevejallen")</f>
        <v>http://www.linkedin.com/in/stevejallen</v>
      </c>
      <c r="I1075" s="2" t="s">
        <v>326</v>
      </c>
      <c r="J1075" s="2" t="s">
        <v>53</v>
      </c>
      <c r="K1075" s="2" t="s">
        <v>58</v>
      </c>
    </row>
    <row r="1076" ht="15.75" customHeight="1">
      <c r="A1076" s="2">
        <v>419669.0</v>
      </c>
      <c r="B1076" s="2" t="s">
        <v>2856</v>
      </c>
      <c r="C1076" s="2" t="s">
        <v>2857</v>
      </c>
      <c r="D1076" s="2" t="s">
        <v>42</v>
      </c>
      <c r="E1076" s="2" t="s">
        <v>2858</v>
      </c>
      <c r="F1076" s="2">
        <v>5.0</v>
      </c>
      <c r="G1076" s="2">
        <v>445.0</v>
      </c>
      <c r="H1076" s="3" t="str">
        <f>HYPERLINK("http://www.linkedin.com/in/bennettconsulting","http://www.linkedin.com/in/bennettconsulting")</f>
        <v>http://www.linkedin.com/in/bennettconsulting</v>
      </c>
      <c r="I1076" s="2" t="s">
        <v>15</v>
      </c>
      <c r="J1076" s="2" t="s">
        <v>44</v>
      </c>
      <c r="K1076" s="2" t="s">
        <v>35</v>
      </c>
    </row>
    <row r="1077" ht="15.75" customHeight="1">
      <c r="A1077" s="2">
        <v>419777.0</v>
      </c>
      <c r="B1077" s="2" t="s">
        <v>2859</v>
      </c>
      <c r="C1077" s="2" t="s">
        <v>2860</v>
      </c>
      <c r="D1077" s="2" t="s">
        <v>2861</v>
      </c>
      <c r="E1077" s="2" t="s">
        <v>765</v>
      </c>
      <c r="F1077" s="2">
        <v>6.0</v>
      </c>
      <c r="G1077" s="2">
        <v>346.0</v>
      </c>
      <c r="H1077" s="3" t="str">
        <f>HYPERLINK("http://www.linkedin.com/in/blairelisabeth","http://www.linkedin.com/in/blairelisabeth")</f>
        <v>http://www.linkedin.com/in/blairelisabeth</v>
      </c>
      <c r="I1077" s="2" t="s">
        <v>143</v>
      </c>
      <c r="J1077" s="2" t="s">
        <v>144</v>
      </c>
      <c r="K1077" s="2" t="s">
        <v>646</v>
      </c>
    </row>
    <row r="1078" ht="15.75" customHeight="1">
      <c r="A1078" s="2">
        <v>420023.0</v>
      </c>
      <c r="B1078" s="2" t="s">
        <v>1265</v>
      </c>
      <c r="C1078" s="2" t="s">
        <v>2862</v>
      </c>
      <c r="D1078" s="2" t="s">
        <v>2863</v>
      </c>
      <c r="E1078" s="2" t="s">
        <v>235</v>
      </c>
      <c r="F1078" s="2" t="s">
        <v>13</v>
      </c>
      <c r="G1078" s="2">
        <v>500.0</v>
      </c>
      <c r="H1078" s="3" t="str">
        <f>HYPERLINK("http://www.linkedin.com/in/punditmom","http://www.linkedin.com/in/punditmom")</f>
        <v>http://www.linkedin.com/in/punditmom</v>
      </c>
      <c r="I1078" s="2" t="s">
        <v>2285</v>
      </c>
      <c r="J1078" s="2" t="s">
        <v>102</v>
      </c>
      <c r="K1078" s="2" t="s">
        <v>58</v>
      </c>
    </row>
    <row r="1079" ht="15.75" customHeight="1">
      <c r="A1079" s="2">
        <v>420179.0</v>
      </c>
      <c r="B1079" s="2" t="s">
        <v>2864</v>
      </c>
      <c r="C1079" s="2" t="s">
        <v>2865</v>
      </c>
      <c r="D1079" s="2" t="s">
        <v>2866</v>
      </c>
      <c r="E1079" s="2" t="s">
        <v>450</v>
      </c>
      <c r="F1079" s="2">
        <v>6.0</v>
      </c>
      <c r="G1079" s="2">
        <v>263.0</v>
      </c>
      <c r="H1079" s="3" t="str">
        <f>HYPERLINK("http://www.linkedin.com/pub/margaret-wislar/19/4B4/7B3","http://www.linkedin.com/pub/margaret-wislar/19/4B4/7B3")</f>
        <v>http://www.linkedin.com/pub/margaret-wislar/19/4B4/7B3</v>
      </c>
      <c r="I1079" s="2" t="s">
        <v>1421</v>
      </c>
      <c r="J1079" s="2" t="s">
        <v>273</v>
      </c>
      <c r="K1079" s="2" t="s">
        <v>168</v>
      </c>
    </row>
    <row r="1080" ht="15.75" customHeight="1">
      <c r="A1080" s="2">
        <v>420370.0</v>
      </c>
      <c r="B1080" s="2" t="s">
        <v>2867</v>
      </c>
      <c r="C1080" s="2" t="s">
        <v>2868</v>
      </c>
      <c r="D1080" s="2" t="s">
        <v>304</v>
      </c>
      <c r="E1080" s="2" t="s">
        <v>2869</v>
      </c>
      <c r="F1080" s="2">
        <v>45.0</v>
      </c>
      <c r="G1080" s="2">
        <v>500.0</v>
      </c>
      <c r="H1080" s="3" t="str">
        <f>HYPERLINK("http://www.linkedin.com/in/hrmikal","http://www.linkedin.com/in/hrmikal")</f>
        <v>http://www.linkedin.com/in/hrmikal</v>
      </c>
      <c r="I1080" s="2" t="s">
        <v>458</v>
      </c>
      <c r="J1080" s="2" t="s">
        <v>102</v>
      </c>
      <c r="K1080" s="2" t="s">
        <v>58</v>
      </c>
    </row>
    <row r="1081" ht="15.75" customHeight="1">
      <c r="A1081" s="2">
        <v>420379.0</v>
      </c>
      <c r="B1081" s="2" t="s">
        <v>414</v>
      </c>
      <c r="C1081" s="2" t="s">
        <v>2870</v>
      </c>
      <c r="D1081" s="2" t="s">
        <v>2871</v>
      </c>
      <c r="E1081" s="2" t="s">
        <v>278</v>
      </c>
      <c r="F1081" s="2">
        <v>2.0</v>
      </c>
      <c r="G1081" s="2">
        <v>388.0</v>
      </c>
      <c r="H1081" s="3" t="str">
        <f>HYPERLINK("http://www.linkedin.com/in/tombuffington","http://www.linkedin.com/in/tombuffington")</f>
        <v>http://www.linkedin.com/in/tombuffington</v>
      </c>
      <c r="I1081" s="2" t="s">
        <v>225</v>
      </c>
      <c r="J1081" s="2" t="s">
        <v>28</v>
      </c>
      <c r="K1081" s="2" t="s">
        <v>35</v>
      </c>
    </row>
    <row r="1082" ht="15.75" customHeight="1">
      <c r="A1082" s="2">
        <v>420789.0</v>
      </c>
      <c r="B1082" s="2" t="s">
        <v>879</v>
      </c>
      <c r="C1082" s="2" t="s">
        <v>292</v>
      </c>
      <c r="D1082" s="2" t="s">
        <v>13</v>
      </c>
      <c r="E1082" s="2" t="s">
        <v>52</v>
      </c>
      <c r="F1082" s="2">
        <v>0.0</v>
      </c>
      <c r="G1082" s="2">
        <v>500.0</v>
      </c>
      <c r="H1082" s="3" t="str">
        <f>HYPERLINK("http://uk.linkedin.com/in/richardsmithuk","http://uk.linkedin.com/in/richardsmithuk")</f>
        <v>http://uk.linkedin.com/in/richardsmithuk</v>
      </c>
      <c r="I1082" s="2" t="s">
        <v>440</v>
      </c>
      <c r="J1082" s="2" t="s">
        <v>53</v>
      </c>
      <c r="K1082" s="2" t="s">
        <v>97</v>
      </c>
    </row>
    <row r="1083" ht="15.75" customHeight="1">
      <c r="A1083" s="2">
        <v>421099.0</v>
      </c>
      <c r="B1083" s="2" t="s">
        <v>2872</v>
      </c>
      <c r="C1083" s="2" t="s">
        <v>2873</v>
      </c>
      <c r="D1083" s="2" t="s">
        <v>42</v>
      </c>
      <c r="E1083" s="2" t="s">
        <v>122</v>
      </c>
      <c r="F1083" s="2" t="s">
        <v>13</v>
      </c>
      <c r="G1083" s="2">
        <v>269.0</v>
      </c>
      <c r="H1083" s="3" t="str">
        <f>HYPERLINK("http://uk.linkedin.com/in/reichp","http://uk.linkedin.com/in/reichp")</f>
        <v>http://uk.linkedin.com/in/reichp</v>
      </c>
      <c r="I1083" s="2" t="s">
        <v>15</v>
      </c>
      <c r="J1083" s="2" t="s">
        <v>53</v>
      </c>
      <c r="K1083" s="2" t="s">
        <v>35</v>
      </c>
    </row>
    <row r="1084" ht="15.75" customHeight="1">
      <c r="A1084" s="2">
        <v>421298.0</v>
      </c>
      <c r="B1084" s="2" t="s">
        <v>2874</v>
      </c>
      <c r="C1084" s="2" t="s">
        <v>2875</v>
      </c>
      <c r="D1084" s="2" t="s">
        <v>2876</v>
      </c>
      <c r="E1084" s="2" t="s">
        <v>136</v>
      </c>
      <c r="F1084" s="2">
        <v>12.0</v>
      </c>
      <c r="G1084" s="2">
        <v>500.0</v>
      </c>
      <c r="H1084" s="3" t="str">
        <f>HYPERLINK("http://www.linkedin.com/in/eazamora","http://www.linkedin.com/in/eazamora")</f>
        <v>http://www.linkedin.com/in/eazamora</v>
      </c>
      <c r="I1084" s="2" t="s">
        <v>77</v>
      </c>
      <c r="J1084" s="2" t="s">
        <v>102</v>
      </c>
      <c r="K1084" s="2" t="s">
        <v>97</v>
      </c>
    </row>
    <row r="1085" ht="15.75" customHeight="1">
      <c r="A1085" s="2">
        <v>421522.0</v>
      </c>
      <c r="B1085" s="2" t="s">
        <v>2877</v>
      </c>
      <c r="C1085" s="2" t="s">
        <v>2878</v>
      </c>
      <c r="D1085" s="2" t="s">
        <v>42</v>
      </c>
      <c r="E1085" s="2" t="s">
        <v>2879</v>
      </c>
      <c r="F1085" s="2">
        <v>3.0</v>
      </c>
      <c r="G1085" s="2">
        <v>500.0</v>
      </c>
      <c r="H1085" s="3" t="str">
        <f>HYPERLINK("http://www.linkedin.com/pub/chuck-franzetta/0/252/B0","http://www.linkedin.com/pub/chuck-franzetta/0/252/B0")</f>
        <v>http://www.linkedin.com/pub/chuck-franzetta/0/252/B0</v>
      </c>
      <c r="I1085" s="2" t="s">
        <v>231</v>
      </c>
      <c r="J1085" s="2" t="s">
        <v>102</v>
      </c>
      <c r="K1085" s="2" t="s">
        <v>58</v>
      </c>
    </row>
    <row r="1086" ht="15.75" customHeight="1">
      <c r="A1086" s="2">
        <v>421651.0</v>
      </c>
      <c r="B1086" s="2" t="s">
        <v>1071</v>
      </c>
      <c r="C1086" s="2" t="s">
        <v>2880</v>
      </c>
      <c r="D1086" s="2" t="s">
        <v>1145</v>
      </c>
      <c r="E1086" s="2" t="s">
        <v>136</v>
      </c>
      <c r="F1086" s="2">
        <v>6.0</v>
      </c>
      <c r="G1086" s="2">
        <v>500.0</v>
      </c>
      <c r="H1086" s="3" t="str">
        <f>HYPERLINK("http://www.linkedin.com/in/ericklinker","http://www.linkedin.com/in/ericklinker")</f>
        <v>http://www.linkedin.com/in/ericklinker</v>
      </c>
      <c r="I1086" s="2" t="s">
        <v>69</v>
      </c>
      <c r="J1086" s="2" t="s">
        <v>102</v>
      </c>
      <c r="K1086" s="2" t="s">
        <v>35</v>
      </c>
    </row>
    <row r="1087" ht="15.75" customHeight="1">
      <c r="A1087" s="2">
        <v>421731.0</v>
      </c>
      <c r="B1087" s="2" t="s">
        <v>2881</v>
      </c>
      <c r="C1087" s="2" t="s">
        <v>2882</v>
      </c>
      <c r="D1087" s="2" t="s">
        <v>13</v>
      </c>
      <c r="E1087" s="2" t="s">
        <v>2883</v>
      </c>
      <c r="F1087" s="2">
        <v>0.0</v>
      </c>
      <c r="G1087" s="2">
        <v>268.0</v>
      </c>
      <c r="H1087" s="3" t="str">
        <f>HYPERLINK("http://www.linkedin.com/pub/ottogalli-alessandro/0/209/474","http://www.linkedin.com/pub/ottogalli-alessandro/0/209/474")</f>
        <v>http://www.linkedin.com/pub/ottogalli-alessandro/0/209/474</v>
      </c>
      <c r="I1087" s="2" t="s">
        <v>15</v>
      </c>
      <c r="J1087" s="2" t="s">
        <v>2258</v>
      </c>
      <c r="K1087" s="2" t="s">
        <v>35</v>
      </c>
    </row>
    <row r="1088" ht="15.75" customHeight="1">
      <c r="A1088" s="2">
        <v>421742.0</v>
      </c>
      <c r="B1088" s="2" t="s">
        <v>2884</v>
      </c>
      <c r="C1088" s="2" t="s">
        <v>2885</v>
      </c>
      <c r="D1088" s="2" t="s">
        <v>2886</v>
      </c>
      <c r="E1088" s="2" t="s">
        <v>278</v>
      </c>
      <c r="F1088" s="2">
        <v>4.0</v>
      </c>
      <c r="G1088" s="2">
        <v>500.0</v>
      </c>
      <c r="H1088" s="3" t="str">
        <f>HYPERLINK("http://www.linkedin.com/pub/katie-snapp/0/12B/36A","http://www.linkedin.com/pub/katie-snapp/0/12B/36A")</f>
        <v>http://www.linkedin.com/pub/katie-snapp/0/12B/36A</v>
      </c>
      <c r="I1088" s="2" t="s">
        <v>1390</v>
      </c>
      <c r="J1088" s="2" t="s">
        <v>28</v>
      </c>
      <c r="K1088" s="2" t="s">
        <v>29</v>
      </c>
    </row>
    <row r="1089" ht="15.75" customHeight="1">
      <c r="A1089" s="2">
        <v>421794.0</v>
      </c>
      <c r="B1089" s="2" t="s">
        <v>287</v>
      </c>
      <c r="C1089" s="2" t="s">
        <v>2887</v>
      </c>
      <c r="D1089" s="2"/>
      <c r="E1089" s="2" t="s">
        <v>2888</v>
      </c>
      <c r="F1089" s="2">
        <v>1.0</v>
      </c>
      <c r="G1089" s="2">
        <v>500.0</v>
      </c>
      <c r="H1089" s="3" t="str">
        <f>HYPERLINK("http://www.linkedin.com/pub/paul-kravits/0/239/131","http://www.linkedin.com/pub/paul-kravits/0/239/131")</f>
        <v>http://www.linkedin.com/pub/paul-kravits/0/239/131</v>
      </c>
      <c r="I1089" s="2" t="s">
        <v>279</v>
      </c>
      <c r="J1089" s="2" t="s">
        <v>273</v>
      </c>
      <c r="K1089" s="2" t="s">
        <v>22</v>
      </c>
    </row>
    <row r="1090" ht="15.75" customHeight="1">
      <c r="A1090" s="2">
        <v>421955.0</v>
      </c>
      <c r="B1090" s="2" t="s">
        <v>291</v>
      </c>
      <c r="C1090" s="2" t="s">
        <v>2889</v>
      </c>
      <c r="D1090" s="2" t="s">
        <v>2890</v>
      </c>
      <c r="E1090" s="2" t="s">
        <v>235</v>
      </c>
      <c r="F1090" s="2">
        <v>2.0</v>
      </c>
      <c r="G1090" s="2">
        <v>500.0</v>
      </c>
      <c r="H1090" s="3" t="str">
        <f>HYPERLINK("http://www.linkedin.com/in/garynewgaard","http://www.linkedin.com/in/garynewgaard")</f>
        <v>http://www.linkedin.com/in/garynewgaard</v>
      </c>
      <c r="I1090" s="2" t="s">
        <v>15</v>
      </c>
      <c r="J1090" s="2" t="s">
        <v>102</v>
      </c>
      <c r="K1090" s="2" t="s">
        <v>35</v>
      </c>
    </row>
    <row r="1091" ht="15.75" customHeight="1">
      <c r="A1091" s="2">
        <v>421972.0</v>
      </c>
      <c r="B1091" s="2" t="s">
        <v>341</v>
      </c>
      <c r="C1091" s="2" t="s">
        <v>2891</v>
      </c>
      <c r="D1091" s="2" t="s">
        <v>42</v>
      </c>
      <c r="E1091" s="2" t="s">
        <v>101</v>
      </c>
      <c r="F1091" s="2" t="s">
        <v>13</v>
      </c>
      <c r="G1091" s="2">
        <v>260.0</v>
      </c>
      <c r="H1091" s="3" t="str">
        <f>HYPERLINK("http://www.linkedin.com/in/kevinseefried","http://www.linkedin.com/in/kevinseefried")</f>
        <v>http://www.linkedin.com/in/kevinseefried</v>
      </c>
      <c r="I1091" s="2" t="s">
        <v>15</v>
      </c>
      <c r="J1091" s="2" t="s">
        <v>102</v>
      </c>
      <c r="K1091" s="2" t="s">
        <v>35</v>
      </c>
    </row>
    <row r="1092" ht="15.75" customHeight="1">
      <c r="A1092" s="2">
        <v>422550.0</v>
      </c>
      <c r="B1092" s="2" t="s">
        <v>253</v>
      </c>
      <c r="C1092" s="2" t="s">
        <v>2892</v>
      </c>
      <c r="D1092" s="2" t="s">
        <v>2893</v>
      </c>
      <c r="E1092" s="2" t="s">
        <v>2894</v>
      </c>
      <c r="F1092" s="2">
        <v>5.0</v>
      </c>
      <c r="G1092" s="2">
        <v>379.0</v>
      </c>
      <c r="H1092" s="3" t="str">
        <f>HYPERLINK("http://pt.linkedin.com/pub/fernando-sousa/0/A56/52","http://pt.linkedin.com/pub/fernando-sousa/0/A56/52")</f>
        <v>http://pt.linkedin.com/pub/fernando-sousa/0/A56/52</v>
      </c>
      <c r="I1092" s="2" t="s">
        <v>15</v>
      </c>
      <c r="J1092" s="2" t="s">
        <v>670</v>
      </c>
      <c r="K1092" s="2" t="s">
        <v>35</v>
      </c>
    </row>
    <row r="1093" ht="15.75" customHeight="1">
      <c r="A1093" s="2">
        <v>422814.0</v>
      </c>
      <c r="B1093" s="2" t="s">
        <v>1512</v>
      </c>
      <c r="C1093" s="2" t="s">
        <v>2895</v>
      </c>
      <c r="D1093" s="2" t="s">
        <v>2896</v>
      </c>
      <c r="E1093" s="2" t="s">
        <v>142</v>
      </c>
      <c r="F1093" s="2" t="s">
        <v>13</v>
      </c>
      <c r="G1093" s="2">
        <v>424.0</v>
      </c>
      <c r="H1093" s="3" t="str">
        <f>HYPERLINK("http://www.linkedin.com/pub/melissa-kanter/0/142/604","http://www.linkedin.com/pub/melissa-kanter/0/142/604")</f>
        <v>http://www.linkedin.com/pub/melissa-kanter/0/142/604</v>
      </c>
      <c r="I1093" s="2" t="s">
        <v>48</v>
      </c>
      <c r="J1093" s="2" t="s">
        <v>144</v>
      </c>
      <c r="K1093" s="2" t="s">
        <v>766</v>
      </c>
    </row>
    <row r="1094" ht="15.75" customHeight="1">
      <c r="A1094" s="2">
        <v>422840.0</v>
      </c>
      <c r="B1094" s="2" t="s">
        <v>2897</v>
      </c>
      <c r="C1094" s="2" t="s">
        <v>2898</v>
      </c>
      <c r="D1094" s="2" t="s">
        <v>2899</v>
      </c>
      <c r="E1094" s="2" t="s">
        <v>2900</v>
      </c>
      <c r="F1094" s="2">
        <v>0.0</v>
      </c>
      <c r="G1094" s="2">
        <v>235.0</v>
      </c>
      <c r="H1094" s="3" t="str">
        <f>HYPERLINK("http://www.linkedin.com/in/williamfmead","http://www.linkedin.com/in/williamfmead")</f>
        <v>http://www.linkedin.com/in/williamfmead</v>
      </c>
      <c r="I1094" s="2" t="s">
        <v>422</v>
      </c>
      <c r="J1094" s="2" t="s">
        <v>273</v>
      </c>
      <c r="K1094" s="2" t="s">
        <v>58</v>
      </c>
    </row>
    <row r="1095" ht="15.75" customHeight="1">
      <c r="A1095" s="2">
        <v>422882.0</v>
      </c>
      <c r="B1095" s="2" t="s">
        <v>404</v>
      </c>
      <c r="C1095" s="2" t="s">
        <v>2901</v>
      </c>
      <c r="D1095" s="2" t="s">
        <v>42</v>
      </c>
      <c r="E1095" s="2" t="s">
        <v>748</v>
      </c>
      <c r="F1095" s="2">
        <v>2.0</v>
      </c>
      <c r="G1095" s="2">
        <v>500.0</v>
      </c>
      <c r="H1095" s="3" t="str">
        <f>HYPERLINK("http://www.linkedin.com/pub/robin-fisher-roffer/0/176/633","http://www.linkedin.com/pub/robin-fisher-roffer/0/176/633")</f>
        <v>http://www.linkedin.com/pub/robin-fisher-roffer/0/176/633</v>
      </c>
      <c r="I1095" s="2" t="s">
        <v>105</v>
      </c>
      <c r="J1095" s="2" t="s">
        <v>28</v>
      </c>
      <c r="K1095" s="2" t="s">
        <v>168</v>
      </c>
    </row>
    <row r="1096" ht="15.75" customHeight="1">
      <c r="A1096" s="2">
        <v>423474.0</v>
      </c>
      <c r="B1096" s="2" t="s">
        <v>2902</v>
      </c>
      <c r="C1096" s="2" t="s">
        <v>2903</v>
      </c>
      <c r="D1096" s="2" t="s">
        <v>13</v>
      </c>
      <c r="E1096" s="2" t="s">
        <v>136</v>
      </c>
      <c r="F1096" s="2">
        <v>0.0</v>
      </c>
      <c r="G1096" s="2">
        <v>500.0</v>
      </c>
      <c r="H1096" s="3" t="str">
        <f>HYPERLINK("https://www.linkedin.com/in/kathrynshantz","https://www.linkedin.com/in/kathrynshantz")</f>
        <v>https://www.linkedin.com/in/kathrynshantz</v>
      </c>
      <c r="I1096" s="2" t="s">
        <v>69</v>
      </c>
      <c r="J1096" s="2" t="s">
        <v>102</v>
      </c>
      <c r="K1096" s="2" t="s">
        <v>35</v>
      </c>
    </row>
    <row r="1097" ht="15.75" customHeight="1">
      <c r="A1097" s="2">
        <v>423753.0</v>
      </c>
      <c r="B1097" s="2" t="s">
        <v>2904</v>
      </c>
      <c r="C1097" s="2" t="s">
        <v>2905</v>
      </c>
      <c r="D1097" s="2" t="s">
        <v>13</v>
      </c>
      <c r="E1097" s="2" t="s">
        <v>2257</v>
      </c>
      <c r="F1097" s="2">
        <v>0.0</v>
      </c>
      <c r="G1097" s="2">
        <v>500.0</v>
      </c>
      <c r="H1097" s="3" t="str">
        <f>HYPERLINK("http://www.linkedin.com/pub/fabiano-lazzarini/0/265/687","http://www.linkedin.com/pub/fabiano-lazzarini/0/265/687")</f>
        <v>http://www.linkedin.com/pub/fabiano-lazzarini/0/265/687</v>
      </c>
      <c r="I1097" s="2" t="s">
        <v>69</v>
      </c>
      <c r="J1097" s="2" t="s">
        <v>2258</v>
      </c>
      <c r="K1097" s="2" t="s">
        <v>35</v>
      </c>
    </row>
    <row r="1098" ht="15.75" customHeight="1">
      <c r="A1098" s="2">
        <v>424041.0</v>
      </c>
      <c r="B1098" s="2" t="s">
        <v>2906</v>
      </c>
      <c r="C1098" s="2" t="s">
        <v>2907</v>
      </c>
      <c r="D1098" s="2" t="s">
        <v>2908</v>
      </c>
      <c r="E1098" s="2" t="s">
        <v>457</v>
      </c>
      <c r="F1098" s="2">
        <v>6.0</v>
      </c>
      <c r="G1098" s="2">
        <v>500.0</v>
      </c>
      <c r="H1098" s="3" t="str">
        <f>HYPERLINK("http://www.linkedin.com/in/richellerodgers","http://www.linkedin.com/in/richellerodgers")</f>
        <v>http://www.linkedin.com/in/richellerodgers</v>
      </c>
      <c r="I1098" s="2" t="s">
        <v>105</v>
      </c>
      <c r="J1098" s="2" t="s">
        <v>102</v>
      </c>
      <c r="K1098" s="2" t="s">
        <v>35</v>
      </c>
    </row>
    <row r="1099" ht="15.75" customHeight="1">
      <c r="A1099" s="2">
        <v>424248.0</v>
      </c>
      <c r="B1099" s="2" t="s">
        <v>1653</v>
      </c>
      <c r="C1099" s="2" t="s">
        <v>2909</v>
      </c>
      <c r="D1099" s="2" t="s">
        <v>2910</v>
      </c>
      <c r="E1099" s="2" t="s">
        <v>136</v>
      </c>
      <c r="F1099" s="2">
        <v>13.0</v>
      </c>
      <c r="G1099" s="2">
        <v>468.0</v>
      </c>
      <c r="H1099" s="3" t="str">
        <f>HYPERLINK("http://www.linkedin.com/pub/doug-marshall/0/133/621","http://www.linkedin.com/pub/doug-marshall/0/133/621")</f>
        <v>http://www.linkedin.com/pub/doug-marshall/0/133/621</v>
      </c>
      <c r="I1099" s="2" t="s">
        <v>48</v>
      </c>
      <c r="J1099" s="2" t="s">
        <v>102</v>
      </c>
      <c r="K1099" s="2" t="s">
        <v>35</v>
      </c>
    </row>
    <row r="1100" ht="15.75" customHeight="1">
      <c r="A1100" s="2">
        <v>424409.0</v>
      </c>
      <c r="B1100" s="2" t="s">
        <v>2911</v>
      </c>
      <c r="C1100" s="2" t="s">
        <v>2912</v>
      </c>
      <c r="D1100" s="2" t="s">
        <v>2913</v>
      </c>
      <c r="E1100" s="2" t="s">
        <v>765</v>
      </c>
      <c r="F1100" s="2">
        <v>4.0</v>
      </c>
      <c r="G1100" s="2">
        <v>249.0</v>
      </c>
      <c r="H1100" s="3" t="str">
        <f>HYPERLINK("http://www.linkedin.com/pub/rudolf-d-roosli/0/359/356","http://www.linkedin.com/pub/rudolf-d-roosli/0/359/356")</f>
        <v>http://www.linkedin.com/pub/rudolf-d-roosli/0/359/356</v>
      </c>
      <c r="I1100" s="2" t="s">
        <v>2023</v>
      </c>
      <c r="J1100" s="2" t="s">
        <v>144</v>
      </c>
      <c r="K1100" s="2" t="s">
        <v>138</v>
      </c>
    </row>
    <row r="1101" ht="15.75" customHeight="1">
      <c r="A1101" s="2">
        <v>424443.0</v>
      </c>
      <c r="B1101" s="2" t="s">
        <v>703</v>
      </c>
      <c r="C1101" s="2" t="s">
        <v>2914</v>
      </c>
      <c r="D1101" s="2" t="s">
        <v>13</v>
      </c>
      <c r="E1101" s="2" t="s">
        <v>39</v>
      </c>
      <c r="F1101" s="2">
        <v>0.0</v>
      </c>
      <c r="G1101" s="2">
        <v>500.0</v>
      </c>
      <c r="H1101" s="3" t="str">
        <f>HYPERLINK("http://br.linkedin.com/in/rafapi","http://br.linkedin.com/in/rafapi")</f>
        <v>http://br.linkedin.com/in/rafapi</v>
      </c>
      <c r="I1101" s="2" t="s">
        <v>15</v>
      </c>
      <c r="J1101" s="2" t="s">
        <v>34</v>
      </c>
      <c r="K1101" s="2" t="s">
        <v>35</v>
      </c>
    </row>
    <row r="1102" ht="15.75" customHeight="1">
      <c r="A1102" s="2">
        <v>424719.0</v>
      </c>
      <c r="B1102" s="2" t="s">
        <v>2915</v>
      </c>
      <c r="C1102" s="2" t="s">
        <v>2916</v>
      </c>
      <c r="D1102" s="2" t="s">
        <v>2917</v>
      </c>
      <c r="E1102" s="2" t="s">
        <v>808</v>
      </c>
      <c r="F1102" s="2" t="s">
        <v>13</v>
      </c>
      <c r="G1102" s="2">
        <v>234.0</v>
      </c>
      <c r="H1102" s="3" t="str">
        <f>HYPERLINK("http://www.linkedin.com/pub/abbas-amirichimeh/0/100/756","http://www.linkedin.com/pub/abbas-amirichimeh/0/100/756")</f>
        <v>http://www.linkedin.com/pub/abbas-amirichimeh/0/100/756</v>
      </c>
      <c r="I1102" s="2" t="s">
        <v>77</v>
      </c>
      <c r="J1102" s="2" t="s">
        <v>102</v>
      </c>
      <c r="K1102" s="2" t="s">
        <v>97</v>
      </c>
    </row>
    <row r="1103" ht="15.75" customHeight="1">
      <c r="A1103" s="2">
        <v>424970.0</v>
      </c>
      <c r="B1103" s="2" t="s">
        <v>2918</v>
      </c>
      <c r="C1103" s="2" t="s">
        <v>2919</v>
      </c>
      <c r="D1103" s="2" t="s">
        <v>108</v>
      </c>
      <c r="E1103" s="2" t="s">
        <v>136</v>
      </c>
      <c r="F1103" s="2">
        <v>2.0</v>
      </c>
      <c r="G1103" s="2">
        <v>500.0</v>
      </c>
      <c r="H1103" s="3" t="str">
        <f>HYPERLINK("http://www.linkedin.com/in/wkandek","http://www.linkedin.com/in/wkandek")</f>
        <v>http://www.linkedin.com/in/wkandek</v>
      </c>
      <c r="I1103" s="2" t="s">
        <v>69</v>
      </c>
      <c r="J1103" s="2" t="s">
        <v>102</v>
      </c>
      <c r="K1103" s="2" t="s">
        <v>35</v>
      </c>
    </row>
    <row r="1104" ht="15.75" customHeight="1">
      <c r="A1104" s="2">
        <v>425191.0</v>
      </c>
      <c r="B1104" s="2" t="s">
        <v>2920</v>
      </c>
      <c r="C1104" s="2" t="s">
        <v>2921</v>
      </c>
      <c r="D1104" s="2" t="s">
        <v>13</v>
      </c>
      <c r="E1104" s="2" t="s">
        <v>2922</v>
      </c>
      <c r="F1104" s="2">
        <v>2.0</v>
      </c>
      <c r="G1104" s="2">
        <v>210.0</v>
      </c>
      <c r="H1104" s="3" t="str">
        <f>HYPERLINK("http://www.linkedin.com/pub/royall-du/0/308/b21","http://www.linkedin.com/pub/royall-du/0/308/b21")</f>
        <v>http://www.linkedin.com/pub/royall-du/0/308/b21</v>
      </c>
      <c r="I1104" s="2" t="s">
        <v>15</v>
      </c>
      <c r="J1104" s="2" t="s">
        <v>44</v>
      </c>
      <c r="K1104" s="2" t="s">
        <v>35</v>
      </c>
    </row>
    <row r="1105" ht="15.75" customHeight="1">
      <c r="A1105" s="2">
        <v>425357.0</v>
      </c>
      <c r="B1105" s="2" t="s">
        <v>2923</v>
      </c>
      <c r="C1105" s="2" t="s">
        <v>2924</v>
      </c>
      <c r="D1105" s="2" t="s">
        <v>2925</v>
      </c>
      <c r="E1105" s="2" t="s">
        <v>604</v>
      </c>
      <c r="F1105" s="2">
        <v>0.0</v>
      </c>
      <c r="G1105" s="2">
        <v>184.0</v>
      </c>
      <c r="H1105" s="3" t="str">
        <f>HYPERLINK("http://www.linkedin.com/in/quentinf","http://www.linkedin.com/in/quentinf")</f>
        <v>http://www.linkedin.com/in/quentinf</v>
      </c>
      <c r="I1105" s="2" t="s">
        <v>77</v>
      </c>
      <c r="J1105" s="2" t="s">
        <v>16</v>
      </c>
      <c r="K1105" s="2" t="s">
        <v>111</v>
      </c>
    </row>
    <row r="1106" ht="15.75" customHeight="1">
      <c r="A1106" s="2">
        <v>425462.0</v>
      </c>
      <c r="B1106" s="2" t="s">
        <v>414</v>
      </c>
      <c r="C1106" s="2" t="s">
        <v>313</v>
      </c>
      <c r="D1106" s="2" t="s">
        <v>2926</v>
      </c>
      <c r="E1106" s="2" t="s">
        <v>2927</v>
      </c>
      <c r="F1106" s="2">
        <v>8.0</v>
      </c>
      <c r="G1106" s="2">
        <v>500.0</v>
      </c>
      <c r="H1106" s="3" t="str">
        <f>HYPERLINK("http://www.linkedin.com/in/leetomg","http://www.linkedin.com/in/leetomg")</f>
        <v>http://www.linkedin.com/in/leetomg</v>
      </c>
      <c r="I1106" s="2" t="s">
        <v>57</v>
      </c>
      <c r="J1106" s="2" t="s">
        <v>87</v>
      </c>
      <c r="K1106" s="2" t="s">
        <v>196</v>
      </c>
    </row>
    <row r="1107" ht="15.75" customHeight="1">
      <c r="A1107" s="2">
        <v>425693.0</v>
      </c>
      <c r="B1107" s="2" t="s">
        <v>2928</v>
      </c>
      <c r="C1107" s="2" t="s">
        <v>2929</v>
      </c>
      <c r="D1107" s="2"/>
      <c r="E1107" s="2" t="s">
        <v>2930</v>
      </c>
      <c r="F1107" s="2">
        <v>0.0</v>
      </c>
      <c r="G1107" s="2">
        <v>378.0</v>
      </c>
      <c r="H1107" s="3" t="str">
        <f>HYPERLINK("http://www.linkedin.com/pub/rabbi-shmuley-boteach/2/89B/770","http://www.linkedin.com/pub/rabbi-shmuley-boteach/2/89B/770")</f>
        <v>http://www.linkedin.com/pub/rabbi-shmuley-boteach/2/89B/770</v>
      </c>
      <c r="I1107" s="2" t="s">
        <v>2931</v>
      </c>
      <c r="J1107" s="2" t="s">
        <v>273</v>
      </c>
      <c r="K1107" s="2" t="s">
        <v>97</v>
      </c>
    </row>
    <row r="1108" ht="15.75" customHeight="1">
      <c r="A1108" s="2">
        <v>426023.0</v>
      </c>
      <c r="B1108" s="2" t="s">
        <v>2932</v>
      </c>
      <c r="C1108" s="2" t="s">
        <v>2933</v>
      </c>
      <c r="D1108" s="2" t="s">
        <v>2934</v>
      </c>
      <c r="E1108" s="2" t="s">
        <v>720</v>
      </c>
      <c r="F1108" s="2">
        <v>3.0</v>
      </c>
      <c r="G1108" s="2">
        <v>395.0</v>
      </c>
      <c r="H1108" s="3" t="str">
        <f>HYPERLINK("http://www.linkedin.com/in/brianwbowdish","http://www.linkedin.com/in/brianwbowdish")</f>
        <v>http://www.linkedin.com/in/brianwbowdish</v>
      </c>
      <c r="I1108" s="2" t="s">
        <v>77</v>
      </c>
      <c r="J1108" s="2" t="s">
        <v>102</v>
      </c>
      <c r="K1108" s="2" t="s">
        <v>97</v>
      </c>
    </row>
    <row r="1109" ht="15.75" customHeight="1">
      <c r="A1109" s="2">
        <v>426555.0</v>
      </c>
      <c r="B1109" s="2" t="s">
        <v>1545</v>
      </c>
      <c r="C1109" s="2" t="s">
        <v>2935</v>
      </c>
      <c r="D1109" s="2" t="s">
        <v>42</v>
      </c>
      <c r="E1109" s="2" t="s">
        <v>301</v>
      </c>
      <c r="F1109" s="2">
        <v>1.0</v>
      </c>
      <c r="G1109" s="2">
        <v>275.0</v>
      </c>
      <c r="H1109" s="3" t="str">
        <f>HYPERLINK("http://www.linkedin.com/pub/patrick-rush/0/B95/A11","http://www.linkedin.com/pub/patrick-rush/0/B95/A11")</f>
        <v>http://www.linkedin.com/pub/patrick-rush/0/B95/A11</v>
      </c>
      <c r="I1109" s="2" t="s">
        <v>2936</v>
      </c>
      <c r="J1109" s="2" t="s">
        <v>102</v>
      </c>
      <c r="K1109" s="2" t="s">
        <v>58</v>
      </c>
    </row>
    <row r="1110" ht="15.75" customHeight="1">
      <c r="A1110" s="2">
        <v>427512.0</v>
      </c>
      <c r="B1110" s="2" t="s">
        <v>1479</v>
      </c>
      <c r="C1110" s="2" t="s">
        <v>2937</v>
      </c>
      <c r="D1110" s="2" t="s">
        <v>304</v>
      </c>
      <c r="E1110" s="2" t="s">
        <v>301</v>
      </c>
      <c r="F1110" s="2" t="s">
        <v>13</v>
      </c>
      <c r="G1110" s="2">
        <v>500.0</v>
      </c>
      <c r="H1110" s="3" t="str">
        <f>HYPERLINK("http://www.linkedin.com/pub/frank-romano/5/849/262","http://www.linkedin.com/pub/frank-romano/5/849/262")</f>
        <v>http://www.linkedin.com/pub/frank-romano/5/849/262</v>
      </c>
      <c r="I1110" s="2" t="s">
        <v>1183</v>
      </c>
      <c r="J1110" s="2" t="s">
        <v>102</v>
      </c>
      <c r="K1110" s="2" t="s">
        <v>58</v>
      </c>
    </row>
    <row r="1111" ht="15.75" customHeight="1">
      <c r="A1111" s="2">
        <v>428188.0</v>
      </c>
      <c r="B1111" s="2" t="s">
        <v>414</v>
      </c>
      <c r="C1111" s="2" t="s">
        <v>2938</v>
      </c>
      <c r="D1111" s="2" t="s">
        <v>42</v>
      </c>
      <c r="E1111" s="2" t="s">
        <v>101</v>
      </c>
      <c r="F1111" s="2" t="s">
        <v>13</v>
      </c>
      <c r="G1111" s="2">
        <v>258.0</v>
      </c>
      <c r="H1111" s="3" t="str">
        <f>HYPERLINK("http://www.linkedin.com/pub/tom-gildea/1/4/A47","http://www.linkedin.com/pub/tom-gildea/1/4/A47")</f>
        <v>http://www.linkedin.com/pub/tom-gildea/1/4/A47</v>
      </c>
      <c r="I1111" s="2" t="s">
        <v>57</v>
      </c>
      <c r="J1111" s="2" t="s">
        <v>102</v>
      </c>
      <c r="K1111" s="2" t="s">
        <v>58</v>
      </c>
    </row>
    <row r="1112" ht="15.75" customHeight="1">
      <c r="A1112" s="2">
        <v>428242.0</v>
      </c>
      <c r="B1112" s="2" t="s">
        <v>471</v>
      </c>
      <c r="C1112" s="2" t="s">
        <v>2939</v>
      </c>
      <c r="D1112" s="2" t="s">
        <v>2940</v>
      </c>
      <c r="E1112" s="2" t="s">
        <v>136</v>
      </c>
      <c r="F1112" s="2" t="s">
        <v>13</v>
      </c>
      <c r="G1112" s="2">
        <v>478.0</v>
      </c>
      <c r="H1112" s="3" t="str">
        <f>HYPERLINK("http://www.linkedin.com/pub/dan-kanka/0/338/42B","http://www.linkedin.com/pub/dan-kanka/0/338/42B")</f>
        <v>http://www.linkedin.com/pub/dan-kanka/0/338/42B</v>
      </c>
      <c r="I1112" s="2" t="s">
        <v>48</v>
      </c>
      <c r="J1112" s="2" t="s">
        <v>102</v>
      </c>
      <c r="K1112" s="2" t="s">
        <v>35</v>
      </c>
    </row>
    <row r="1113" ht="15.75" customHeight="1">
      <c r="A1113" s="2">
        <v>428263.0</v>
      </c>
      <c r="B1113" s="2" t="s">
        <v>2941</v>
      </c>
      <c r="C1113" s="2" t="s">
        <v>2942</v>
      </c>
      <c r="D1113" s="2" t="s">
        <v>13</v>
      </c>
      <c r="E1113" s="2" t="s">
        <v>136</v>
      </c>
      <c r="F1113" s="2">
        <v>0.0</v>
      </c>
      <c r="G1113" s="2">
        <v>500.0</v>
      </c>
      <c r="H1113" s="3" t="str">
        <f>HYPERLINK("http://www.linkedin.com/in/induprakas","http://www.linkedin.com/in/induprakas")</f>
        <v>http://www.linkedin.com/in/induprakas</v>
      </c>
      <c r="I1113" s="2" t="s">
        <v>48</v>
      </c>
      <c r="J1113" s="2" t="s">
        <v>102</v>
      </c>
      <c r="K1113" s="2" t="s">
        <v>35</v>
      </c>
    </row>
    <row r="1114" ht="15.75" customHeight="1">
      <c r="A1114" s="2">
        <v>428831.0</v>
      </c>
      <c r="B1114" s="2" t="s">
        <v>2943</v>
      </c>
      <c r="C1114" s="2" t="s">
        <v>2944</v>
      </c>
      <c r="D1114" s="2" t="s">
        <v>13</v>
      </c>
      <c r="E1114" s="2" t="s">
        <v>2894</v>
      </c>
      <c r="F1114" s="2">
        <v>0.0</v>
      </c>
      <c r="G1114" s="2">
        <v>500.0</v>
      </c>
      <c r="H1114" s="3" t="str">
        <f>HYPERLINK("http://www.linkedin.com/in/barbarabarreira","http://www.linkedin.com/in/barbarabarreira")</f>
        <v>http://www.linkedin.com/in/barbarabarreira</v>
      </c>
      <c r="I1114" s="2" t="s">
        <v>15</v>
      </c>
      <c r="J1114" s="2" t="s">
        <v>670</v>
      </c>
      <c r="K1114" s="2" t="s">
        <v>35</v>
      </c>
    </row>
    <row r="1115" ht="15.75" customHeight="1">
      <c r="A1115" s="2">
        <v>429055.0</v>
      </c>
      <c r="B1115" s="2" t="s">
        <v>460</v>
      </c>
      <c r="C1115" s="2" t="s">
        <v>2945</v>
      </c>
      <c r="D1115" s="2" t="s">
        <v>2946</v>
      </c>
      <c r="E1115" s="2" t="s">
        <v>301</v>
      </c>
      <c r="F1115" s="2">
        <v>2.0</v>
      </c>
      <c r="G1115" s="2">
        <v>500.0</v>
      </c>
      <c r="H1115" s="3" t="str">
        <f>HYPERLINK("http://www.linkedin.com/pub/john-shaker/1/A4B/B09","http://www.linkedin.com/pub/john-shaker/1/A4B/B09")</f>
        <v>http://www.linkedin.com/pub/john-shaker/1/A4B/B09</v>
      </c>
      <c r="I1115" s="2" t="s">
        <v>195</v>
      </c>
      <c r="J1115" s="2" t="s">
        <v>102</v>
      </c>
      <c r="K1115" s="2" t="s">
        <v>196</v>
      </c>
    </row>
    <row r="1116" ht="15.75" customHeight="1">
      <c r="A1116" s="2">
        <v>430023.0</v>
      </c>
      <c r="B1116" s="2" t="s">
        <v>2947</v>
      </c>
      <c r="C1116" s="2" t="s">
        <v>2948</v>
      </c>
      <c r="D1116" s="2"/>
      <c r="E1116" s="2" t="s">
        <v>2551</v>
      </c>
      <c r="F1116" s="2">
        <v>1.0</v>
      </c>
      <c r="G1116" s="2">
        <v>413.0</v>
      </c>
      <c r="H1116" s="3" t="str">
        <f>HYPERLINK("http://www.linkedin.com/pub/alexa-foster/3/6A1/B32","http://www.linkedin.com/pub/alexa-foster/3/6A1/B32")</f>
        <v>http://www.linkedin.com/pub/alexa-foster/3/6A1/B32</v>
      </c>
      <c r="I1116" s="2" t="s">
        <v>374</v>
      </c>
      <c r="J1116" s="2" t="s">
        <v>273</v>
      </c>
      <c r="K1116" s="2" t="s">
        <v>35</v>
      </c>
    </row>
    <row r="1117" ht="15.75" customHeight="1">
      <c r="A1117" s="2">
        <v>430146.0</v>
      </c>
      <c r="B1117" s="2" t="s">
        <v>2949</v>
      </c>
      <c r="C1117" s="2" t="s">
        <v>2950</v>
      </c>
      <c r="D1117" s="2" t="s">
        <v>2951</v>
      </c>
      <c r="E1117" s="2" t="s">
        <v>39</v>
      </c>
      <c r="F1117" s="2" t="s">
        <v>13</v>
      </c>
      <c r="G1117" s="2">
        <v>463.0</v>
      </c>
      <c r="H1117" s="3" t="str">
        <f>HYPERLINK("http://br.linkedin.com/in/luisfernandokaefer","http://br.linkedin.com/in/luisfernandokaefer")</f>
        <v>http://br.linkedin.com/in/luisfernandokaefer</v>
      </c>
      <c r="I1117" s="2" t="s">
        <v>15</v>
      </c>
      <c r="J1117" s="2" t="s">
        <v>34</v>
      </c>
      <c r="K1117" s="2" t="s">
        <v>35</v>
      </c>
    </row>
    <row r="1118" ht="15.75" customHeight="1">
      <c r="A1118" s="2">
        <v>430193.0</v>
      </c>
      <c r="B1118" s="2" t="s">
        <v>710</v>
      </c>
      <c r="C1118" s="2" t="s">
        <v>2952</v>
      </c>
      <c r="D1118" s="2" t="s">
        <v>2953</v>
      </c>
      <c r="E1118" s="2" t="s">
        <v>628</v>
      </c>
      <c r="F1118" s="2">
        <v>2.0</v>
      </c>
      <c r="G1118" s="2">
        <v>500.0</v>
      </c>
      <c r="H1118" s="3" t="str">
        <f>HYPERLINK("http://www.linkedin.com/pub/jason-kieft/3/765/188","http://www.linkedin.com/pub/jason-kieft/3/765/188")</f>
        <v>http://www.linkedin.com/pub/jason-kieft/3/765/188</v>
      </c>
      <c r="I1118" s="2" t="s">
        <v>599</v>
      </c>
      <c r="J1118" s="2" t="s">
        <v>102</v>
      </c>
      <c r="K1118" s="2" t="s">
        <v>1176</v>
      </c>
    </row>
    <row r="1119" ht="15.75" customHeight="1">
      <c r="A1119" s="2">
        <v>430665.0</v>
      </c>
      <c r="B1119" s="2" t="s">
        <v>1032</v>
      </c>
      <c r="C1119" s="2" t="s">
        <v>2954</v>
      </c>
      <c r="D1119" s="2" t="s">
        <v>47</v>
      </c>
      <c r="E1119" s="2" t="s">
        <v>136</v>
      </c>
      <c r="F1119" s="2">
        <v>11.0</v>
      </c>
      <c r="G1119" s="2">
        <v>500.0</v>
      </c>
      <c r="H1119" s="3" t="str">
        <f>HYPERLINK("http://www.linkedin.com/in/ravipuvvala","http://www.linkedin.com/in/ravipuvvala")</f>
        <v>http://www.linkedin.com/in/ravipuvvala</v>
      </c>
      <c r="I1119" s="2" t="s">
        <v>1496</v>
      </c>
      <c r="J1119" s="2" t="s">
        <v>102</v>
      </c>
      <c r="K1119" s="2" t="s">
        <v>97</v>
      </c>
    </row>
    <row r="1120" ht="15.75" customHeight="1">
      <c r="A1120" s="2">
        <v>430903.0</v>
      </c>
      <c r="B1120" s="2" t="s">
        <v>2955</v>
      </c>
      <c r="C1120" s="2" t="s">
        <v>2956</v>
      </c>
      <c r="D1120" s="2" t="s">
        <v>2957</v>
      </c>
      <c r="E1120" s="2" t="s">
        <v>1430</v>
      </c>
      <c r="F1120" s="2" t="s">
        <v>13</v>
      </c>
      <c r="G1120" s="2">
        <v>500.0</v>
      </c>
      <c r="H1120" s="3" t="str">
        <f>HYPERLINK("http://pk.linkedin.com/pub/niaz-ahmad/12/628/151","http://pk.linkedin.com/pub/niaz-ahmad/12/628/151")</f>
        <v>http://pk.linkedin.com/pub/niaz-ahmad/12/628/151</v>
      </c>
      <c r="I1120" s="2" t="s">
        <v>15</v>
      </c>
      <c r="J1120" s="2" t="s">
        <v>1431</v>
      </c>
      <c r="K1120" s="2" t="s">
        <v>35</v>
      </c>
    </row>
    <row r="1121" ht="15.75" customHeight="1">
      <c r="A1121" s="2">
        <v>431040.0</v>
      </c>
      <c r="B1121" s="2" t="s">
        <v>2958</v>
      </c>
      <c r="C1121" s="2" t="s">
        <v>2959</v>
      </c>
      <c r="D1121" s="2" t="s">
        <v>2960</v>
      </c>
      <c r="E1121" s="2" t="s">
        <v>2961</v>
      </c>
      <c r="F1121" s="2">
        <v>5.0</v>
      </c>
      <c r="G1121" s="2">
        <v>500.0</v>
      </c>
      <c r="H1121" s="3" t="str">
        <f>HYPERLINK("http://www.linkedin.com/in/dmitriykovalev","http://www.linkedin.com/in/dmitriykovalev")</f>
        <v>http://www.linkedin.com/in/dmitriykovalev</v>
      </c>
      <c r="I1121" s="2" t="s">
        <v>629</v>
      </c>
      <c r="J1121" s="2" t="s">
        <v>1703</v>
      </c>
      <c r="K1121" s="2" t="s">
        <v>196</v>
      </c>
    </row>
    <row r="1122" ht="15.75" customHeight="1">
      <c r="A1122" s="2">
        <v>432088.0</v>
      </c>
      <c r="B1122" s="2" t="s">
        <v>178</v>
      </c>
      <c r="C1122" s="2" t="s">
        <v>2962</v>
      </c>
      <c r="D1122" s="2" t="s">
        <v>42</v>
      </c>
      <c r="E1122" s="2" t="s">
        <v>2963</v>
      </c>
      <c r="F1122" s="2">
        <v>1.0</v>
      </c>
      <c r="G1122" s="2">
        <v>262.0</v>
      </c>
      <c r="H1122" s="3" t="str">
        <f>HYPERLINK("http://www.linkedin.com/pub/joe-gallenberger/2/223/28A","http://www.linkedin.com/pub/joe-gallenberger/2/223/28A")</f>
        <v>http://www.linkedin.com/pub/joe-gallenberger/2/223/28A</v>
      </c>
      <c r="I1122" s="2" t="s">
        <v>1390</v>
      </c>
      <c r="J1122" s="2" t="s">
        <v>102</v>
      </c>
      <c r="K1122" s="2" t="s">
        <v>58</v>
      </c>
    </row>
    <row r="1123" ht="15.75" customHeight="1">
      <c r="A1123" s="2">
        <v>432147.0</v>
      </c>
      <c r="B1123" s="2" t="s">
        <v>710</v>
      </c>
      <c r="C1123" s="2" t="s">
        <v>2964</v>
      </c>
      <c r="D1123" s="2" t="s">
        <v>400</v>
      </c>
      <c r="E1123" s="2" t="s">
        <v>2730</v>
      </c>
      <c r="F1123" s="2">
        <v>2.0</v>
      </c>
      <c r="G1123" s="2">
        <v>500.0</v>
      </c>
      <c r="H1123" s="3" t="str">
        <f>HYPERLINK("http://www.linkedin.com/in/4xtraderslive","http://www.linkedin.com/in/4xtraderslive")</f>
        <v>http://www.linkedin.com/in/4xtraderslive</v>
      </c>
      <c r="I1123" s="2" t="s">
        <v>279</v>
      </c>
      <c r="J1123" s="2" t="s">
        <v>102</v>
      </c>
      <c r="K1123" s="2" t="s">
        <v>58</v>
      </c>
    </row>
    <row r="1124" ht="15.75" customHeight="1">
      <c r="A1124" s="2">
        <v>432319.0</v>
      </c>
      <c r="B1124" s="2" t="s">
        <v>845</v>
      </c>
      <c r="C1124" s="2" t="s">
        <v>2965</v>
      </c>
      <c r="D1124" s="2" t="s">
        <v>304</v>
      </c>
      <c r="E1124" s="2" t="s">
        <v>301</v>
      </c>
      <c r="F1124" s="2">
        <v>2.0</v>
      </c>
      <c r="G1124" s="2">
        <v>500.0</v>
      </c>
      <c r="H1124" s="3" t="str">
        <f>HYPERLINK("http://www.linkedin.com/in/dbrontsema","http://www.linkedin.com/in/dbrontsema")</f>
        <v>http://www.linkedin.com/in/dbrontsema</v>
      </c>
      <c r="I1124" s="2" t="s">
        <v>248</v>
      </c>
      <c r="J1124" s="2" t="s">
        <v>102</v>
      </c>
      <c r="K1124" s="2" t="s">
        <v>196</v>
      </c>
    </row>
    <row r="1125" ht="15.75" customHeight="1">
      <c r="A1125" s="2">
        <v>432488.0</v>
      </c>
      <c r="B1125" s="2" t="s">
        <v>2877</v>
      </c>
      <c r="C1125" s="2" t="s">
        <v>2966</v>
      </c>
      <c r="D1125" s="2" t="s">
        <v>2967</v>
      </c>
      <c r="E1125" s="2" t="s">
        <v>2968</v>
      </c>
      <c r="F1125" s="2">
        <v>7.0</v>
      </c>
      <c r="G1125" s="2">
        <v>500.0</v>
      </c>
      <c r="H1125" s="3" t="str">
        <f>HYPERLINK("http://www.linkedin.com/in/chuckkocher","http://www.linkedin.com/in/chuckkocher")</f>
        <v>http://www.linkedin.com/in/chuckkocher</v>
      </c>
      <c r="I1125" s="2" t="s">
        <v>1390</v>
      </c>
      <c r="J1125" s="2" t="s">
        <v>102</v>
      </c>
      <c r="K1125" s="2" t="s">
        <v>29</v>
      </c>
    </row>
    <row r="1126" ht="15.75" customHeight="1">
      <c r="A1126" s="2">
        <v>432549.0</v>
      </c>
      <c r="B1126" s="2" t="s">
        <v>1366</v>
      </c>
      <c r="C1126" s="2" t="s">
        <v>2509</v>
      </c>
      <c r="D1126" s="2" t="s">
        <v>2969</v>
      </c>
      <c r="E1126" s="2" t="s">
        <v>2970</v>
      </c>
      <c r="F1126" s="2" t="s">
        <v>13</v>
      </c>
      <c r="G1126" s="2">
        <v>120.0</v>
      </c>
      <c r="H1126" s="3" t="str">
        <f>HYPERLINK("http://uk.linkedin.com/pub/peter-howes/12/B16/428","http://uk.linkedin.com/pub/peter-howes/12/B16/428")</f>
        <v>http://uk.linkedin.com/pub/peter-howes/12/B16/428</v>
      </c>
      <c r="I1126" s="2" t="s">
        <v>132</v>
      </c>
      <c r="J1126" s="2" t="s">
        <v>53</v>
      </c>
      <c r="K1126" s="2" t="s">
        <v>58</v>
      </c>
    </row>
    <row r="1127" ht="15.75" customHeight="1">
      <c r="A1127" s="2">
        <v>432628.0</v>
      </c>
      <c r="B1127" s="2" t="s">
        <v>2971</v>
      </c>
      <c r="C1127" s="2" t="s">
        <v>2972</v>
      </c>
      <c r="D1127" s="2" t="s">
        <v>114</v>
      </c>
      <c r="E1127" s="2" t="s">
        <v>235</v>
      </c>
      <c r="F1127" s="2" t="s">
        <v>13</v>
      </c>
      <c r="G1127" s="2">
        <v>500.0</v>
      </c>
      <c r="H1127" s="3" t="str">
        <f>HYPERLINK("http://www.linkedin.com/pub/madan-kondayyagari/3/161/37","http://www.linkedin.com/pub/madan-kondayyagari/3/161/37")</f>
        <v>http://www.linkedin.com/pub/madan-kondayyagari/3/161/37</v>
      </c>
      <c r="I1127" s="2" t="s">
        <v>15</v>
      </c>
      <c r="J1127" s="2" t="s">
        <v>102</v>
      </c>
      <c r="K1127" s="2" t="s">
        <v>35</v>
      </c>
    </row>
    <row r="1128" ht="15.75" customHeight="1">
      <c r="A1128" s="2">
        <v>433046.0</v>
      </c>
      <c r="B1128" s="2" t="s">
        <v>245</v>
      </c>
      <c r="C1128" s="2" t="s">
        <v>2973</v>
      </c>
      <c r="D1128" s="2" t="s">
        <v>2974</v>
      </c>
      <c r="E1128" s="2" t="s">
        <v>136</v>
      </c>
      <c r="F1128" s="2">
        <v>9.0</v>
      </c>
      <c r="G1128" s="2">
        <v>500.0</v>
      </c>
      <c r="H1128" s="3" t="str">
        <f>HYPERLINK("http://www.linkedin.com/in/sbmulhall","http://www.linkedin.com/in/sbmulhall")</f>
        <v>http://www.linkedin.com/in/sbmulhall</v>
      </c>
      <c r="I1128" s="2" t="s">
        <v>48</v>
      </c>
      <c r="J1128" s="2" t="s">
        <v>102</v>
      </c>
      <c r="K1128" s="2" t="s">
        <v>35</v>
      </c>
    </row>
    <row r="1129" ht="15.75" customHeight="1">
      <c r="A1129" s="2">
        <v>433362.0</v>
      </c>
      <c r="B1129" s="2" t="s">
        <v>341</v>
      </c>
      <c r="C1129" s="2" t="s">
        <v>2975</v>
      </c>
      <c r="D1129" s="2" t="s">
        <v>2976</v>
      </c>
      <c r="E1129" s="2" t="s">
        <v>1832</v>
      </c>
      <c r="F1129" s="2">
        <v>0.0</v>
      </c>
      <c r="G1129" s="2">
        <v>500.0</v>
      </c>
      <c r="H1129" s="3" t="str">
        <f>HYPERLINK("http://www.linkedin.com/in/kambrosini","http://www.linkedin.com/in/kambrosini")</f>
        <v>http://www.linkedin.com/in/kambrosini</v>
      </c>
      <c r="I1129" s="2" t="s">
        <v>69</v>
      </c>
      <c r="J1129" s="2" t="s">
        <v>102</v>
      </c>
      <c r="K1129" s="2" t="s">
        <v>22</v>
      </c>
    </row>
    <row r="1130" ht="15.75" customHeight="1">
      <c r="A1130" s="2">
        <v>433449.0</v>
      </c>
      <c r="B1130" s="2" t="s">
        <v>2977</v>
      </c>
      <c r="C1130" s="2" t="s">
        <v>2978</v>
      </c>
      <c r="D1130" s="2" t="s">
        <v>114</v>
      </c>
      <c r="E1130" s="2" t="s">
        <v>2979</v>
      </c>
      <c r="F1130" s="2">
        <v>22.0</v>
      </c>
      <c r="G1130" s="2">
        <v>500.0</v>
      </c>
      <c r="H1130" s="3" t="str">
        <f>HYPERLINK("http://www.linkedin.com/in/daultonwestjr","http://www.linkedin.com/in/daultonwestjr")</f>
        <v>http://www.linkedin.com/in/daultonwestjr</v>
      </c>
      <c r="I1130" s="2" t="s">
        <v>422</v>
      </c>
      <c r="J1130" s="2" t="s">
        <v>102</v>
      </c>
      <c r="K1130" s="2" t="s">
        <v>2533</v>
      </c>
    </row>
    <row r="1131" ht="15.75" customHeight="1">
      <c r="A1131" s="2">
        <v>433538.0</v>
      </c>
      <c r="B1131" s="2" t="s">
        <v>1593</v>
      </c>
      <c r="C1131" s="2" t="s">
        <v>2980</v>
      </c>
      <c r="D1131" s="2" t="s">
        <v>2981</v>
      </c>
      <c r="E1131" s="2" t="s">
        <v>728</v>
      </c>
      <c r="F1131" s="2">
        <v>9.0</v>
      </c>
      <c r="G1131" s="2">
        <v>500.0</v>
      </c>
      <c r="H1131" s="3" t="str">
        <f>HYPERLINK("http://www.linkedin.com/in/adamkibble","http://www.linkedin.com/in/adamkibble")</f>
        <v>http://www.linkedin.com/in/adamkibble</v>
      </c>
      <c r="I1131" s="2" t="s">
        <v>240</v>
      </c>
      <c r="J1131" s="2" t="s">
        <v>102</v>
      </c>
      <c r="K1131" s="2" t="s">
        <v>183</v>
      </c>
    </row>
    <row r="1132" ht="15.75" customHeight="1">
      <c r="A1132" s="2">
        <v>434232.0</v>
      </c>
      <c r="B1132" s="2" t="s">
        <v>460</v>
      </c>
      <c r="C1132" s="2" t="s">
        <v>2982</v>
      </c>
      <c r="D1132" s="2" t="s">
        <v>2983</v>
      </c>
      <c r="E1132" s="2" t="s">
        <v>2984</v>
      </c>
      <c r="F1132" s="2" t="s">
        <v>13</v>
      </c>
      <c r="G1132" s="2">
        <v>500.0</v>
      </c>
      <c r="H1132" s="3" t="str">
        <f>HYPERLINK("http://www.linkedin.com/pub/john-pierce/1/467/390","http://www.linkedin.com/pub/john-pierce/1/467/390")</f>
        <v>http://www.linkedin.com/pub/john-pierce/1/467/390</v>
      </c>
      <c r="I1132" s="2" t="s">
        <v>306</v>
      </c>
      <c r="J1132" s="2" t="s">
        <v>102</v>
      </c>
      <c r="K1132" s="2" t="s">
        <v>58</v>
      </c>
    </row>
    <row r="1133" ht="15.75" customHeight="1">
      <c r="A1133" s="2">
        <v>434541.0</v>
      </c>
      <c r="B1133" s="2" t="s">
        <v>511</v>
      </c>
      <c r="C1133" s="2" t="s">
        <v>2985</v>
      </c>
      <c r="D1133" s="2" t="s">
        <v>13</v>
      </c>
      <c r="E1133" s="2" t="s">
        <v>403</v>
      </c>
      <c r="F1133" s="2">
        <v>0.0</v>
      </c>
      <c r="G1133" s="2">
        <v>500.0</v>
      </c>
      <c r="H1133" s="3" t="str">
        <f>HYPERLINK("https://www.linkedin.com/in/mikeparsenault","https://www.linkedin.com/in/mikeparsenault")</f>
        <v>https://www.linkedin.com/in/mikeparsenault</v>
      </c>
      <c r="I1133" s="2" t="s">
        <v>57</v>
      </c>
      <c r="J1133" s="2" t="s">
        <v>44</v>
      </c>
      <c r="K1133" s="2" t="s">
        <v>35</v>
      </c>
    </row>
    <row r="1134" ht="15.75" customHeight="1">
      <c r="A1134" s="2">
        <v>435384.0</v>
      </c>
      <c r="B1134" s="2" t="s">
        <v>2986</v>
      </c>
      <c r="C1134" s="2" t="s">
        <v>2987</v>
      </c>
      <c r="D1134" s="2" t="s">
        <v>13</v>
      </c>
      <c r="E1134" s="2" t="s">
        <v>136</v>
      </c>
      <c r="F1134" s="2">
        <v>8.0</v>
      </c>
      <c r="G1134" s="2">
        <v>500.0</v>
      </c>
      <c r="H1134" s="3" t="str">
        <f>HYPERLINK("http://www.linkedin.com/in/nbdoh","http://www.linkedin.com/in/nbdoh")</f>
        <v>http://www.linkedin.com/in/nbdoh</v>
      </c>
      <c r="I1134" s="2" t="s">
        <v>172</v>
      </c>
      <c r="J1134" s="2" t="s">
        <v>102</v>
      </c>
      <c r="K1134" s="2" t="s">
        <v>58</v>
      </c>
    </row>
    <row r="1135" ht="15.75" customHeight="1">
      <c r="A1135" s="2">
        <v>435623.0</v>
      </c>
      <c r="B1135" s="2" t="s">
        <v>2988</v>
      </c>
      <c r="C1135" s="2" t="s">
        <v>2989</v>
      </c>
      <c r="D1135" s="2" t="s">
        <v>2990</v>
      </c>
      <c r="E1135" s="2" t="s">
        <v>142</v>
      </c>
      <c r="F1135" s="2">
        <v>10.0</v>
      </c>
      <c r="G1135" s="2">
        <v>419.0</v>
      </c>
      <c r="H1135" s="3" t="str">
        <f>HYPERLINK("http://www.linkedin.com/in/jbayad","http://www.linkedin.com/in/jbayad")</f>
        <v>http://www.linkedin.com/in/jbayad</v>
      </c>
      <c r="I1135" s="2" t="s">
        <v>48</v>
      </c>
      <c r="J1135" s="2" t="s">
        <v>144</v>
      </c>
      <c r="K1135" s="2" t="s">
        <v>145</v>
      </c>
    </row>
    <row r="1136" ht="15.75" customHeight="1">
      <c r="A1136" s="2">
        <v>435780.0</v>
      </c>
      <c r="B1136" s="2" t="s">
        <v>2991</v>
      </c>
      <c r="C1136" s="2" t="s">
        <v>2992</v>
      </c>
      <c r="D1136" s="2" t="s">
        <v>2993</v>
      </c>
      <c r="E1136" s="2" t="s">
        <v>2308</v>
      </c>
      <c r="F1136" s="2" t="s">
        <v>13</v>
      </c>
      <c r="G1136" s="2">
        <v>84.0</v>
      </c>
      <c r="H1136" s="3" t="str">
        <f>HYPERLINK("http://www.linkedin.com/pub/bess-spero-li/2/257/A05","http://www.linkedin.com/pub/bess-spero-li/2/257/A05")</f>
        <v>http://www.linkedin.com/pub/bess-spero-li/2/257/A05</v>
      </c>
      <c r="I1136" s="2" t="s">
        <v>2994</v>
      </c>
      <c r="J1136" s="2" t="s">
        <v>273</v>
      </c>
      <c r="K1136" s="2" t="s">
        <v>35</v>
      </c>
    </row>
    <row r="1137" ht="15.75" customHeight="1">
      <c r="A1137" s="2">
        <v>435937.0</v>
      </c>
      <c r="B1137" s="2" t="s">
        <v>152</v>
      </c>
      <c r="C1137" s="2" t="s">
        <v>2995</v>
      </c>
      <c r="D1137" s="2" t="s">
        <v>2996</v>
      </c>
      <c r="E1137" s="2" t="s">
        <v>2435</v>
      </c>
      <c r="F1137" s="2">
        <v>1.0</v>
      </c>
      <c r="G1137" s="2">
        <v>317.0</v>
      </c>
      <c r="H1137" s="3" t="str">
        <f>HYPERLINK("http://www.linkedin.com/pub/eduardo-villegas/13/652/738","http://www.linkedin.com/pub/eduardo-villegas/13/652/738")</f>
        <v>http://www.linkedin.com/pub/eduardo-villegas/13/652/738</v>
      </c>
      <c r="I1137" s="2" t="s">
        <v>374</v>
      </c>
      <c r="J1137" s="2" t="s">
        <v>273</v>
      </c>
      <c r="K1137" s="2" t="s">
        <v>35</v>
      </c>
    </row>
    <row r="1138" ht="15.75" customHeight="1">
      <c r="A1138" s="2">
        <v>436313.0</v>
      </c>
      <c r="B1138" s="2" t="s">
        <v>1071</v>
      </c>
      <c r="C1138" s="2" t="s">
        <v>2997</v>
      </c>
      <c r="D1138" s="2" t="s">
        <v>108</v>
      </c>
      <c r="E1138" s="2" t="s">
        <v>1739</v>
      </c>
      <c r="F1138" s="2" t="s">
        <v>13</v>
      </c>
      <c r="G1138" s="2">
        <v>500.0</v>
      </c>
      <c r="H1138" s="3" t="str">
        <f>HYPERLINK("http://fr.linkedin.com/pub/eric-vogue/2/295/9A7","http://fr.linkedin.com/pub/eric-vogue/2/295/9A7")</f>
        <v>http://fr.linkedin.com/pub/eric-vogue/2/295/9A7</v>
      </c>
      <c r="I1138" s="2" t="s">
        <v>15</v>
      </c>
      <c r="J1138" s="2" t="s">
        <v>65</v>
      </c>
      <c r="K1138" s="2" t="s">
        <v>35</v>
      </c>
    </row>
    <row r="1139" ht="15.75" customHeight="1">
      <c r="A1139" s="2">
        <v>437628.0</v>
      </c>
      <c r="B1139" s="2" t="s">
        <v>2998</v>
      </c>
      <c r="C1139" s="2" t="s">
        <v>2999</v>
      </c>
      <c r="D1139" s="2" t="s">
        <v>3000</v>
      </c>
      <c r="E1139" s="2" t="s">
        <v>1702</v>
      </c>
      <c r="F1139" s="2">
        <v>10.0</v>
      </c>
      <c r="G1139" s="2">
        <v>500.0</v>
      </c>
      <c r="H1139" s="3" t="str">
        <f>HYPERLINK("http://www.linkedin.com/pub/manisha-thakkar/4/3B1/4A3","http://www.linkedin.com/pub/manisha-thakkar/4/3B1/4A3")</f>
        <v>http://www.linkedin.com/pub/manisha-thakkar/4/3B1/4A3</v>
      </c>
      <c r="I1139" s="2" t="s">
        <v>374</v>
      </c>
      <c r="J1139" s="2" t="s">
        <v>1703</v>
      </c>
      <c r="K1139" s="2" t="s">
        <v>58</v>
      </c>
    </row>
    <row r="1140" ht="15.75" customHeight="1">
      <c r="A1140" s="2">
        <v>438363.0</v>
      </c>
      <c r="B1140" s="2" t="s">
        <v>3001</v>
      </c>
      <c r="C1140" s="2" t="s">
        <v>3002</v>
      </c>
      <c r="D1140" s="2" t="s">
        <v>2802</v>
      </c>
      <c r="E1140" s="2" t="s">
        <v>3003</v>
      </c>
      <c r="F1140" s="2">
        <v>5.0</v>
      </c>
      <c r="G1140" s="2">
        <v>500.0</v>
      </c>
      <c r="H1140" s="3" t="str">
        <f>HYPERLINK("http://www.linkedin.com/pub/louie-holmes/1/926/B20","http://www.linkedin.com/pub/louie-holmes/1/926/B20")</f>
        <v>http://www.linkedin.com/pub/louie-holmes/1/926/B20</v>
      </c>
      <c r="I1140" s="2" t="s">
        <v>77</v>
      </c>
      <c r="J1140" s="2" t="s">
        <v>102</v>
      </c>
      <c r="K1140" s="2" t="s">
        <v>97</v>
      </c>
    </row>
    <row r="1141" ht="15.75" customHeight="1">
      <c r="A1141" s="2">
        <v>438406.0</v>
      </c>
      <c r="B1141" s="2" t="s">
        <v>460</v>
      </c>
      <c r="C1141" s="2" t="s">
        <v>3004</v>
      </c>
      <c r="D1141" s="2" t="s">
        <v>42</v>
      </c>
      <c r="E1141" s="2" t="s">
        <v>3005</v>
      </c>
      <c r="F1141" s="2" t="s">
        <v>13</v>
      </c>
      <c r="G1141" s="2">
        <v>500.0</v>
      </c>
      <c r="H1141" s="3" t="str">
        <f>HYPERLINK("http://www.linkedin.com/pub/john-hurley/9/85/261","http://www.linkedin.com/pub/john-hurley/9/85/261")</f>
        <v>http://www.linkedin.com/pub/john-hurley/9/85/261</v>
      </c>
      <c r="I1141" s="2" t="s">
        <v>865</v>
      </c>
      <c r="J1141" s="2" t="s">
        <v>102</v>
      </c>
      <c r="K1141" s="2" t="s">
        <v>58</v>
      </c>
    </row>
    <row r="1142" ht="15.75" customHeight="1">
      <c r="A1142" s="2">
        <v>438627.0</v>
      </c>
      <c r="B1142" s="2" t="s">
        <v>2488</v>
      </c>
      <c r="C1142" s="2" t="s">
        <v>3006</v>
      </c>
      <c r="D1142" s="2" t="s">
        <v>13</v>
      </c>
      <c r="E1142" s="2" t="s">
        <v>574</v>
      </c>
      <c r="F1142" s="2">
        <v>6.0</v>
      </c>
      <c r="G1142" s="2">
        <v>500.0</v>
      </c>
      <c r="H1142" s="3" t="str">
        <f>HYPERLINK("http://www.linkedin.com/pub/manish-gehlot/2/432/399?trk=pub-pbmap","http://www.linkedin.com/pub/manish-gehlot/2/432/399?trk=pub-pbmap")</f>
        <v>http://www.linkedin.com/pub/manish-gehlot/2/432/399?trk=pub-pbmap</v>
      </c>
      <c r="I1142" s="2" t="s">
        <v>15</v>
      </c>
      <c r="J1142" s="2" t="s">
        <v>575</v>
      </c>
      <c r="K1142" s="2" t="s">
        <v>22</v>
      </c>
    </row>
    <row r="1143" ht="15.75" customHeight="1">
      <c r="A1143" s="2">
        <v>438745.0</v>
      </c>
      <c r="B1143" s="2" t="s">
        <v>3007</v>
      </c>
      <c r="C1143" s="2" t="s">
        <v>3008</v>
      </c>
      <c r="D1143" s="2" t="s">
        <v>13</v>
      </c>
      <c r="E1143" s="2" t="s">
        <v>3009</v>
      </c>
      <c r="F1143" s="2">
        <v>0.0</v>
      </c>
      <c r="G1143" s="2">
        <v>500.0</v>
      </c>
      <c r="H1143" s="3" t="str">
        <f>HYPERLINK("http://www.linkedin.com/pub/melike-fibiger/4/490/646","http://www.linkedin.com/pub/melike-fibiger/4/490/646")</f>
        <v>http://www.linkedin.com/pub/melike-fibiger/4/490/646</v>
      </c>
      <c r="I1143" s="2" t="s">
        <v>15</v>
      </c>
      <c r="J1143" s="2" t="s">
        <v>352</v>
      </c>
      <c r="K1143" s="2" t="s">
        <v>35</v>
      </c>
    </row>
    <row r="1144" ht="15.75" customHeight="1">
      <c r="A1144" s="2">
        <v>439724.0</v>
      </c>
      <c r="B1144" s="2" t="s">
        <v>460</v>
      </c>
      <c r="C1144" s="2" t="s">
        <v>3010</v>
      </c>
      <c r="D1144" s="2" t="s">
        <v>13</v>
      </c>
      <c r="E1144" s="2" t="s">
        <v>101</v>
      </c>
      <c r="F1144" s="2">
        <v>0.0</v>
      </c>
      <c r="G1144" s="2">
        <v>500.0</v>
      </c>
      <c r="H1144" s="3" t="str">
        <f>HYPERLINK("http://www.linkedin.com/in/tekwavesolutions","http://www.linkedin.com/in/tekwavesolutions")</f>
        <v>http://www.linkedin.com/in/tekwavesolutions</v>
      </c>
      <c r="I1144" s="2" t="s">
        <v>48</v>
      </c>
      <c r="J1144" s="2" t="s">
        <v>102</v>
      </c>
      <c r="K1144" s="2" t="s">
        <v>35</v>
      </c>
    </row>
    <row r="1145" ht="15.75" customHeight="1">
      <c r="A1145" s="2">
        <v>440435.0</v>
      </c>
      <c r="B1145" s="2" t="s">
        <v>3011</v>
      </c>
      <c r="C1145" s="2" t="s">
        <v>3012</v>
      </c>
      <c r="D1145" s="2" t="s">
        <v>3013</v>
      </c>
      <c r="E1145" s="2" t="s">
        <v>136</v>
      </c>
      <c r="F1145" s="2" t="s">
        <v>13</v>
      </c>
      <c r="G1145" s="2">
        <v>186.0</v>
      </c>
      <c r="H1145" s="3" t="str">
        <f>HYPERLINK("http://www.linkedin.com/pub/ismail-haritaoglu/2/335/A58","http://www.linkedin.com/pub/ismail-haritaoglu/2/335/A58")</f>
        <v>http://www.linkedin.com/pub/ismail-haritaoglu/2/335/A58</v>
      </c>
      <c r="I1145" s="2" t="s">
        <v>15</v>
      </c>
      <c r="J1145" s="2" t="s">
        <v>102</v>
      </c>
      <c r="K1145" s="2" t="s">
        <v>35</v>
      </c>
    </row>
    <row r="1146" ht="15.75" customHeight="1">
      <c r="A1146" s="2">
        <v>440669.0</v>
      </c>
      <c r="B1146" s="2" t="s">
        <v>414</v>
      </c>
      <c r="C1146" s="2" t="s">
        <v>3014</v>
      </c>
      <c r="D1146" s="2" t="s">
        <v>2698</v>
      </c>
      <c r="E1146" s="2" t="s">
        <v>136</v>
      </c>
      <c r="F1146" s="2" t="s">
        <v>13</v>
      </c>
      <c r="G1146" s="2">
        <v>452.0</v>
      </c>
      <c r="H1146" s="3" t="str">
        <f>HYPERLINK("http://www.linkedin.com/pub/tom-bugbee/1/875/304","http://www.linkedin.com/pub/tom-bugbee/1/875/304")</f>
        <v>http://www.linkedin.com/pub/tom-bugbee/1/875/304</v>
      </c>
      <c r="I1146" s="2" t="s">
        <v>1931</v>
      </c>
      <c r="J1146" s="2" t="s">
        <v>102</v>
      </c>
      <c r="K1146" s="2" t="s">
        <v>58</v>
      </c>
    </row>
    <row r="1147" ht="15.75" customHeight="1">
      <c r="A1147" s="2">
        <v>441398.0</v>
      </c>
      <c r="B1147" s="2" t="s">
        <v>3015</v>
      </c>
      <c r="C1147" s="2" t="s">
        <v>3016</v>
      </c>
      <c r="D1147" s="2" t="s">
        <v>3017</v>
      </c>
      <c r="E1147" s="2" t="s">
        <v>3018</v>
      </c>
      <c r="F1147" s="2">
        <v>1.0</v>
      </c>
      <c r="G1147" s="2">
        <v>500.0</v>
      </c>
      <c r="H1147" s="3" t="str">
        <f>HYPERLINK("http://br.linkedin.com/pub/luciano-vaz/29/33A/905","http://br.linkedin.com/pub/luciano-vaz/29/33A/905")</f>
        <v>http://br.linkedin.com/pub/luciano-vaz/29/33A/905</v>
      </c>
      <c r="I1147" s="2" t="s">
        <v>231</v>
      </c>
      <c r="J1147" s="2" t="s">
        <v>34</v>
      </c>
      <c r="K1147" s="2" t="s">
        <v>22</v>
      </c>
    </row>
    <row r="1148" ht="15.75" customHeight="1">
      <c r="A1148" s="2">
        <v>442065.0</v>
      </c>
      <c r="B1148" s="2" t="s">
        <v>3019</v>
      </c>
      <c r="C1148" s="2" t="s">
        <v>3020</v>
      </c>
      <c r="D1148" s="2" t="s">
        <v>3021</v>
      </c>
      <c r="E1148" s="2" t="s">
        <v>3022</v>
      </c>
      <c r="F1148" s="2" t="s">
        <v>13</v>
      </c>
      <c r="G1148" s="2">
        <v>146.0</v>
      </c>
      <c r="H1148" s="3" t="str">
        <f>HYPERLINK("http://br.linkedin.com/pub/tatiane-veras/29/B57/786","http://br.linkedin.com/pub/tatiane-veras/29/B57/786")</f>
        <v>http://br.linkedin.com/pub/tatiane-veras/29/B57/786</v>
      </c>
      <c r="I1148" s="2" t="s">
        <v>2443</v>
      </c>
      <c r="J1148" s="2" t="s">
        <v>34</v>
      </c>
      <c r="K1148" s="2" t="s">
        <v>35</v>
      </c>
    </row>
    <row r="1149" ht="15.75" customHeight="1">
      <c r="A1149" s="2">
        <v>442146.0</v>
      </c>
      <c r="B1149" s="2" t="s">
        <v>2156</v>
      </c>
      <c r="C1149" s="2" t="s">
        <v>3023</v>
      </c>
      <c r="D1149" s="2" t="s">
        <v>3024</v>
      </c>
      <c r="E1149" s="2" t="s">
        <v>136</v>
      </c>
      <c r="F1149" s="2" t="s">
        <v>13</v>
      </c>
      <c r="G1149" s="2">
        <v>358.0</v>
      </c>
      <c r="H1149" s="3" t="str">
        <f>HYPERLINK("http://www.linkedin.com/pub/sanjay-mehta/2/945/582","http://www.linkedin.com/pub/sanjay-mehta/2/945/582")</f>
        <v>http://www.linkedin.com/pub/sanjay-mehta/2/945/582</v>
      </c>
      <c r="I1149" s="2" t="s">
        <v>48</v>
      </c>
      <c r="J1149" s="2" t="s">
        <v>102</v>
      </c>
      <c r="K1149" s="2" t="s">
        <v>35</v>
      </c>
    </row>
    <row r="1150" ht="15.75" customHeight="1">
      <c r="A1150" s="2">
        <v>442404.0</v>
      </c>
      <c r="B1150" s="2" t="s">
        <v>3025</v>
      </c>
      <c r="C1150" s="2" t="s">
        <v>3026</v>
      </c>
      <c r="D1150" s="2" t="s">
        <v>835</v>
      </c>
      <c r="E1150" s="2" t="s">
        <v>301</v>
      </c>
      <c r="F1150" s="2">
        <v>11.0</v>
      </c>
      <c r="G1150" s="2">
        <v>500.0</v>
      </c>
      <c r="H1150" s="3" t="str">
        <f>HYPERLINK("http://www.linkedin.com/in/noelcocca","http://www.linkedin.com/in/noelcocca")</f>
        <v>http://www.linkedin.com/in/noelcocca</v>
      </c>
      <c r="I1150" s="2" t="s">
        <v>248</v>
      </c>
      <c r="J1150" s="2" t="s">
        <v>102</v>
      </c>
      <c r="K1150" s="2" t="s">
        <v>196</v>
      </c>
    </row>
    <row r="1151" ht="15.75" customHeight="1">
      <c r="A1151" s="2">
        <v>442929.0</v>
      </c>
      <c r="B1151" s="2" t="s">
        <v>2109</v>
      </c>
      <c r="C1151" s="2" t="s">
        <v>3027</v>
      </c>
      <c r="D1151" s="2" t="s">
        <v>13</v>
      </c>
      <c r="E1151" s="2" t="s">
        <v>397</v>
      </c>
      <c r="F1151" s="2">
        <v>0.0</v>
      </c>
      <c r="G1151" s="2">
        <v>500.0</v>
      </c>
      <c r="H1151" s="3" t="str">
        <f>HYPERLINK("https://www.linkedin.com/pub/rob-friedlander/1/a54/bb0","https://www.linkedin.com/pub/rob-friedlander/1/a54/bb0")</f>
        <v>https://www.linkedin.com/pub/rob-friedlander/1/a54/bb0</v>
      </c>
      <c r="I1151" s="2" t="s">
        <v>105</v>
      </c>
      <c r="J1151" s="2" t="s">
        <v>102</v>
      </c>
      <c r="K1151" s="2" t="s">
        <v>58</v>
      </c>
    </row>
    <row r="1152" ht="15.75" customHeight="1">
      <c r="A1152" s="2">
        <v>442957.0</v>
      </c>
      <c r="B1152" s="2" t="s">
        <v>1071</v>
      </c>
      <c r="C1152" s="2" t="s">
        <v>3028</v>
      </c>
      <c r="D1152" s="2" t="s">
        <v>1145</v>
      </c>
      <c r="E1152" s="2" t="s">
        <v>235</v>
      </c>
      <c r="F1152" s="2" t="s">
        <v>13</v>
      </c>
      <c r="G1152" s="2">
        <v>500.0</v>
      </c>
      <c r="H1152" s="3" t="str">
        <f>HYPERLINK("http://www.linkedin.com/pub/eric-wallace/9/646/548","http://www.linkedin.com/pub/eric-wallace/9/646/548")</f>
        <v>http://www.linkedin.com/pub/eric-wallace/9/646/548</v>
      </c>
      <c r="I1152" s="2" t="s">
        <v>365</v>
      </c>
      <c r="J1152" s="2" t="s">
        <v>102</v>
      </c>
      <c r="K1152" s="2" t="s">
        <v>58</v>
      </c>
    </row>
    <row r="1153" ht="15.75" customHeight="1">
      <c r="A1153" s="2">
        <v>443070.0</v>
      </c>
      <c r="B1153" s="2" t="s">
        <v>3029</v>
      </c>
      <c r="C1153" s="2" t="s">
        <v>3030</v>
      </c>
      <c r="D1153" s="2" t="s">
        <v>3031</v>
      </c>
      <c r="E1153" s="2" t="s">
        <v>272</v>
      </c>
      <c r="F1153" s="2">
        <v>6.0</v>
      </c>
      <c r="G1153" s="2">
        <v>500.0</v>
      </c>
      <c r="H1153" s="3" t="str">
        <f>HYPERLINK("http://www.linkedin.com/pub/rangam-consultants-inc/5/A32/741","http://www.linkedin.com/pub/rangam-consultants-inc/5/A32/741")</f>
        <v>http://www.linkedin.com/pub/rangam-consultants-inc/5/A32/741</v>
      </c>
      <c r="I1153" s="2" t="s">
        <v>248</v>
      </c>
      <c r="J1153" s="2" t="s">
        <v>273</v>
      </c>
      <c r="K1153" s="2" t="s">
        <v>2390</v>
      </c>
    </row>
    <row r="1154" ht="15.75" customHeight="1">
      <c r="A1154" s="2">
        <v>443074.0</v>
      </c>
      <c r="B1154" s="2" t="s">
        <v>752</v>
      </c>
      <c r="C1154" s="2" t="s">
        <v>1585</v>
      </c>
      <c r="D1154" s="2" t="s">
        <v>3032</v>
      </c>
      <c r="E1154" s="2" t="s">
        <v>505</v>
      </c>
      <c r="F1154" s="2" t="s">
        <v>13</v>
      </c>
      <c r="G1154" s="2">
        <v>500.0</v>
      </c>
      <c r="H1154" s="3" t="str">
        <f>HYPERLINK("http://www.linkedin.com/in/bridgewayjt","http://www.linkedin.com/in/bridgewayjt")</f>
        <v>http://www.linkedin.com/in/bridgewayjt</v>
      </c>
      <c r="I1154" s="2" t="s">
        <v>579</v>
      </c>
      <c r="J1154" s="2" t="s">
        <v>102</v>
      </c>
      <c r="K1154" s="2" t="s">
        <v>58</v>
      </c>
    </row>
    <row r="1155" ht="15.75" customHeight="1">
      <c r="A1155" s="2">
        <v>443161.0</v>
      </c>
      <c r="B1155" s="2" t="s">
        <v>3033</v>
      </c>
      <c r="C1155" s="2" t="s">
        <v>3034</v>
      </c>
      <c r="D1155" s="2" t="s">
        <v>3035</v>
      </c>
      <c r="E1155" s="2" t="s">
        <v>450</v>
      </c>
      <c r="F1155" s="2" t="s">
        <v>13</v>
      </c>
      <c r="G1155" s="2">
        <v>196.0</v>
      </c>
      <c r="H1155" s="3" t="str">
        <f>HYPERLINK("http://www.linkedin.com/pub/frits-besselaar/24/3BB/1AA","http://www.linkedin.com/pub/frits-besselaar/24/3BB/1AA")</f>
        <v>http://www.linkedin.com/pub/frits-besselaar/24/3BB/1AA</v>
      </c>
      <c r="I1155" s="2" t="s">
        <v>279</v>
      </c>
      <c r="J1155" s="2" t="s">
        <v>273</v>
      </c>
      <c r="K1155" s="2" t="s">
        <v>22</v>
      </c>
    </row>
    <row r="1156" ht="15.75" customHeight="1">
      <c r="A1156" s="2">
        <v>443204.0</v>
      </c>
      <c r="B1156" s="2" t="s">
        <v>3036</v>
      </c>
      <c r="C1156" s="2" t="s">
        <v>3037</v>
      </c>
      <c r="D1156" s="2" t="s">
        <v>3038</v>
      </c>
      <c r="E1156" s="2" t="s">
        <v>604</v>
      </c>
      <c r="F1156" s="2">
        <v>0.0</v>
      </c>
      <c r="G1156" s="2">
        <v>64.0</v>
      </c>
      <c r="H1156" s="3" t="str">
        <f>HYPERLINK("http://www.linkedin.com/pub/sara-douglas/3/81/965","http://www.linkedin.com/pub/sara-douglas/3/81/965")</f>
        <v>http://www.linkedin.com/pub/sara-douglas/3/81/965</v>
      </c>
      <c r="I1156" s="2" t="s">
        <v>2268</v>
      </c>
      <c r="J1156" s="2" t="s">
        <v>16</v>
      </c>
      <c r="K1156" s="2" t="s">
        <v>522</v>
      </c>
    </row>
    <row r="1157" ht="15.75" customHeight="1">
      <c r="A1157" s="2">
        <v>443257.0</v>
      </c>
      <c r="B1157" s="2" t="s">
        <v>3039</v>
      </c>
      <c r="C1157" s="2" t="s">
        <v>3040</v>
      </c>
      <c r="D1157" s="2" t="s">
        <v>3041</v>
      </c>
      <c r="E1157" s="2" t="s">
        <v>706</v>
      </c>
      <c r="F1157" s="2">
        <v>0.0</v>
      </c>
      <c r="G1157" s="2">
        <v>234.0</v>
      </c>
      <c r="H1157" s="3" t="str">
        <f>HYPERLINK("http://www.linkedin.com/pub/lucas-juvele-passos/2A/A16/6B9","http://www.linkedin.com/pub/lucas-juvele-passos/2A/A16/6B9")</f>
        <v>http://www.linkedin.com/pub/lucas-juvele-passos/2A/A16/6B9</v>
      </c>
      <c r="I1157" s="2" t="s">
        <v>132</v>
      </c>
      <c r="J1157" s="2" t="s">
        <v>34</v>
      </c>
      <c r="K1157" s="2" t="s">
        <v>35</v>
      </c>
    </row>
    <row r="1158" ht="15.75" customHeight="1">
      <c r="A1158" s="2">
        <v>443537.0</v>
      </c>
      <c r="B1158" s="2" t="s">
        <v>302</v>
      </c>
      <c r="C1158" s="2" t="s">
        <v>3042</v>
      </c>
      <c r="D1158" s="2" t="s">
        <v>114</v>
      </c>
      <c r="E1158" s="2" t="s">
        <v>728</v>
      </c>
      <c r="F1158" s="2">
        <v>15.0</v>
      </c>
      <c r="G1158" s="2">
        <v>500.0</v>
      </c>
      <c r="H1158" s="3" t="str">
        <f>HYPERLINK("http://www.linkedin.com/in/billgrout","http://www.linkedin.com/in/billgrout")</f>
        <v>http://www.linkedin.com/in/billgrout</v>
      </c>
      <c r="I1158" s="2" t="s">
        <v>1390</v>
      </c>
      <c r="J1158" s="2" t="s">
        <v>102</v>
      </c>
      <c r="K1158" s="2" t="s">
        <v>357</v>
      </c>
    </row>
    <row r="1159" ht="15.75" customHeight="1">
      <c r="A1159" s="2">
        <v>443982.0</v>
      </c>
      <c r="B1159" s="2" t="s">
        <v>287</v>
      </c>
      <c r="C1159" s="2" t="s">
        <v>3043</v>
      </c>
      <c r="D1159" s="2" t="s">
        <v>13</v>
      </c>
      <c r="E1159" s="2" t="s">
        <v>628</v>
      </c>
      <c r="F1159" s="2">
        <v>0.0</v>
      </c>
      <c r="G1159" s="2">
        <v>500.0</v>
      </c>
      <c r="H1159" s="3" t="str">
        <f>HYPERLINK("http://www.linkedin.com/pub/paul-rallo-3500/2/903/ba8","http://www.linkedin.com/pub/paul-rallo-3500/2/903/ba8")</f>
        <v>http://www.linkedin.com/pub/paul-rallo-3500/2/903/ba8</v>
      </c>
      <c r="I1159" s="2" t="s">
        <v>3044</v>
      </c>
      <c r="J1159" s="2" t="s">
        <v>102</v>
      </c>
      <c r="K1159" s="2" t="s">
        <v>3045</v>
      </c>
    </row>
    <row r="1160" ht="15.75" customHeight="1">
      <c r="A1160" s="2">
        <v>444205.0</v>
      </c>
      <c r="B1160" s="2" t="s">
        <v>1512</v>
      </c>
      <c r="C1160" s="2" t="s">
        <v>3046</v>
      </c>
      <c r="D1160" s="2" t="s">
        <v>3047</v>
      </c>
      <c r="E1160" s="2" t="s">
        <v>278</v>
      </c>
      <c r="F1160" s="2">
        <v>3.0</v>
      </c>
      <c r="G1160" s="2">
        <v>451.0</v>
      </c>
      <c r="H1160" s="3" t="str">
        <f>HYPERLINK("http://www.linkedin.com/pub/melissa-maus/4/838/79B","http://www.linkedin.com/pub/melissa-maus/4/838/79B")</f>
        <v>http://www.linkedin.com/pub/melissa-maus/4/838/79B</v>
      </c>
      <c r="I1160" s="2" t="s">
        <v>172</v>
      </c>
      <c r="J1160" s="2" t="s">
        <v>28</v>
      </c>
      <c r="K1160" s="2" t="s">
        <v>58</v>
      </c>
    </row>
    <row r="1161" ht="15.75" customHeight="1">
      <c r="A1161" s="2">
        <v>444556.0</v>
      </c>
      <c r="B1161" s="2" t="s">
        <v>3048</v>
      </c>
      <c r="C1161" s="2" t="s">
        <v>3049</v>
      </c>
      <c r="D1161" s="2" t="s">
        <v>3050</v>
      </c>
      <c r="E1161" s="2" t="s">
        <v>3051</v>
      </c>
      <c r="F1161" s="2" t="s">
        <v>13</v>
      </c>
      <c r="G1161" s="2">
        <v>388.0</v>
      </c>
      <c r="H1161" s="3" t="str">
        <f>HYPERLINK("http://www.linkedin.com/in/prashantjawalikar","http://www.linkedin.com/in/prashantjawalikar")</f>
        <v>http://www.linkedin.com/in/prashantjawalikar</v>
      </c>
      <c r="I1161" s="2" t="s">
        <v>15</v>
      </c>
      <c r="J1161" s="2" t="s">
        <v>102</v>
      </c>
      <c r="K1161" s="2" t="s">
        <v>35</v>
      </c>
    </row>
    <row r="1162" ht="15.75" customHeight="1">
      <c r="A1162" s="2">
        <v>444922.0</v>
      </c>
      <c r="B1162" s="2" t="s">
        <v>3052</v>
      </c>
      <c r="C1162" s="2" t="s">
        <v>3053</v>
      </c>
      <c r="D1162" s="2" t="s">
        <v>3054</v>
      </c>
      <c r="E1162" s="2" t="s">
        <v>142</v>
      </c>
      <c r="F1162" s="2">
        <v>19.0</v>
      </c>
      <c r="G1162" s="2">
        <v>500.0</v>
      </c>
      <c r="H1162" s="3" t="str">
        <f>HYPERLINK("http://www.linkedin.com/in/kevinogrady","http://www.linkedin.com/in/kevinogrady")</f>
        <v>http://www.linkedin.com/in/kevinogrady</v>
      </c>
      <c r="I1162" s="2" t="s">
        <v>1237</v>
      </c>
      <c r="J1162" s="2" t="s">
        <v>144</v>
      </c>
      <c r="K1162" s="2" t="s">
        <v>97</v>
      </c>
    </row>
    <row r="1163" ht="15.75" customHeight="1">
      <c r="A1163" s="2">
        <v>445088.0</v>
      </c>
      <c r="B1163" s="2" t="s">
        <v>238</v>
      </c>
      <c r="C1163" s="2" t="s">
        <v>3055</v>
      </c>
      <c r="D1163" s="2" t="s">
        <v>1927</v>
      </c>
      <c r="E1163" s="2" t="s">
        <v>39</v>
      </c>
      <c r="F1163" s="2">
        <v>7.0</v>
      </c>
      <c r="G1163" s="2">
        <v>500.0</v>
      </c>
      <c r="H1163" s="3" t="str">
        <f>HYPERLINK("http://br.linkedin.com/in/juanfuentes","http://br.linkedin.com/in/juanfuentes")</f>
        <v>http://br.linkedin.com/in/juanfuentes</v>
      </c>
      <c r="I1163" s="2" t="s">
        <v>15</v>
      </c>
      <c r="J1163" s="2" t="s">
        <v>34</v>
      </c>
      <c r="K1163" s="2" t="s">
        <v>35</v>
      </c>
    </row>
    <row r="1164" ht="15.75" customHeight="1">
      <c r="A1164" s="2">
        <v>445347.0</v>
      </c>
      <c r="B1164" s="2" t="s">
        <v>3056</v>
      </c>
      <c r="C1164" s="2" t="s">
        <v>3057</v>
      </c>
      <c r="D1164" s="2" t="s">
        <v>3058</v>
      </c>
      <c r="E1164" s="2" t="s">
        <v>2447</v>
      </c>
      <c r="F1164" s="2" t="s">
        <v>13</v>
      </c>
      <c r="G1164" s="2">
        <v>500.0</v>
      </c>
      <c r="H1164" s="3" t="str">
        <f>HYPERLINK("http://in.linkedin.com/in/shilpijohri","http://in.linkedin.com/in/shilpijohri")</f>
        <v>http://in.linkedin.com/in/shilpijohri</v>
      </c>
      <c r="I1164" s="2" t="s">
        <v>279</v>
      </c>
      <c r="J1164" s="2" t="s">
        <v>16</v>
      </c>
      <c r="K1164" s="2" t="s">
        <v>522</v>
      </c>
    </row>
    <row r="1165" ht="15.75" customHeight="1">
      <c r="A1165" s="2">
        <v>445972.0</v>
      </c>
      <c r="B1165" s="2" t="s">
        <v>3059</v>
      </c>
      <c r="C1165" s="2" t="s">
        <v>3060</v>
      </c>
      <c r="D1165" s="2" t="s">
        <v>42</v>
      </c>
      <c r="E1165" s="2" t="s">
        <v>325</v>
      </c>
      <c r="F1165" s="2">
        <v>1.0</v>
      </c>
      <c r="G1165" s="2">
        <v>500.0</v>
      </c>
      <c r="H1165" s="3" t="str">
        <f>HYPERLINK("http://www.linkedin.com/pub/isabel-kallman/4/215/27","http://www.linkedin.com/pub/isabel-kallman/4/215/27")</f>
        <v>http://www.linkedin.com/pub/isabel-kallman/4/215/27</v>
      </c>
      <c r="I1165" s="2" t="s">
        <v>69</v>
      </c>
      <c r="J1165" s="2" t="s">
        <v>102</v>
      </c>
      <c r="K1165" s="2" t="s">
        <v>58</v>
      </c>
    </row>
    <row r="1166" ht="15.75" customHeight="1">
      <c r="A1166" s="2">
        <v>446418.0</v>
      </c>
      <c r="B1166" s="2" t="s">
        <v>1437</v>
      </c>
      <c r="C1166" s="2" t="s">
        <v>3061</v>
      </c>
      <c r="D1166" s="2" t="s">
        <v>47</v>
      </c>
      <c r="E1166" s="2" t="s">
        <v>3062</v>
      </c>
      <c r="F1166" s="2">
        <v>19.0</v>
      </c>
      <c r="G1166" s="2">
        <v>500.0</v>
      </c>
      <c r="H1166" s="3" t="str">
        <f>HYPERLINK("http://www.linkedin.com/pub/al-hahn/1/BB0/81B","http://www.linkedin.com/pub/al-hahn/1/BB0/81B")</f>
        <v>http://www.linkedin.com/pub/al-hahn/1/BB0/81B</v>
      </c>
      <c r="I1166" s="2" t="s">
        <v>1390</v>
      </c>
      <c r="J1166" s="2" t="s">
        <v>144</v>
      </c>
      <c r="K1166" s="2" t="s">
        <v>97</v>
      </c>
    </row>
    <row r="1167" ht="15.75" customHeight="1">
      <c r="A1167" s="2">
        <v>446783.0</v>
      </c>
      <c r="B1167" s="2" t="s">
        <v>1798</v>
      </c>
      <c r="C1167" s="2" t="s">
        <v>3063</v>
      </c>
      <c r="D1167" s="2" t="s">
        <v>3064</v>
      </c>
      <c r="E1167" s="2" t="s">
        <v>3065</v>
      </c>
      <c r="F1167" s="2" t="s">
        <v>13</v>
      </c>
      <c r="G1167" s="2">
        <v>500.0</v>
      </c>
      <c r="H1167" s="3" t="str">
        <f>HYPERLINK("http://www.linkedin.com/in/seththomaspietras","http://www.linkedin.com/in/seththomaspietras")</f>
        <v>http://www.linkedin.com/in/seththomaspietras</v>
      </c>
      <c r="I1167" s="2" t="s">
        <v>579</v>
      </c>
      <c r="J1167" s="2" t="s">
        <v>1803</v>
      </c>
      <c r="K1167" s="2" t="s">
        <v>58</v>
      </c>
    </row>
    <row r="1168" ht="15.75" customHeight="1">
      <c r="A1168" s="2">
        <v>447074.0</v>
      </c>
      <c r="B1168" s="2" t="s">
        <v>3066</v>
      </c>
      <c r="C1168" s="2" t="s">
        <v>3067</v>
      </c>
      <c r="D1168" s="2" t="s">
        <v>3068</v>
      </c>
      <c r="E1168" s="2" t="s">
        <v>783</v>
      </c>
      <c r="F1168" s="2">
        <v>0.0</v>
      </c>
      <c r="G1168" s="2">
        <v>333.0</v>
      </c>
      <c r="H1168" s="3" t="str">
        <f>HYPERLINK("http://www.linkedin.com/pub/swati-ramgopal/1/972/B01","http://www.linkedin.com/pub/swati-ramgopal/1/972/B01")</f>
        <v>http://www.linkedin.com/pub/swati-ramgopal/1/972/B01</v>
      </c>
      <c r="I1168" s="2" t="s">
        <v>15</v>
      </c>
      <c r="J1168" s="2" t="s">
        <v>575</v>
      </c>
      <c r="K1168" s="2" t="s">
        <v>22</v>
      </c>
    </row>
    <row r="1169" ht="15.75" customHeight="1">
      <c r="A1169" s="2">
        <v>447716.0</v>
      </c>
      <c r="B1169" s="2" t="s">
        <v>3069</v>
      </c>
      <c r="C1169" s="2" t="s">
        <v>3070</v>
      </c>
      <c r="D1169" s="2" t="s">
        <v>3071</v>
      </c>
      <c r="E1169" s="2" t="s">
        <v>301</v>
      </c>
      <c r="F1169" s="2">
        <v>27.0</v>
      </c>
      <c r="G1169" s="2">
        <v>500.0</v>
      </c>
      <c r="H1169" s="3" t="str">
        <f>HYPERLINK("http://www.linkedin.com/in/imanilaners","http://www.linkedin.com/in/imanilaners")</f>
        <v>http://www.linkedin.com/in/imanilaners</v>
      </c>
      <c r="I1169" s="2" t="s">
        <v>326</v>
      </c>
      <c r="J1169" s="2" t="s">
        <v>102</v>
      </c>
      <c r="K1169" s="2" t="s">
        <v>58</v>
      </c>
    </row>
    <row r="1170" ht="15.75" customHeight="1">
      <c r="A1170" s="2">
        <v>447740.0</v>
      </c>
      <c r="B1170" s="2" t="s">
        <v>3072</v>
      </c>
      <c r="C1170" s="2" t="s">
        <v>3073</v>
      </c>
      <c r="D1170" s="2" t="s">
        <v>3074</v>
      </c>
      <c r="E1170" s="2" t="s">
        <v>39</v>
      </c>
      <c r="F1170" s="2">
        <v>21.0</v>
      </c>
      <c r="G1170" s="2">
        <v>500.0</v>
      </c>
      <c r="H1170" s="3" t="str">
        <f>HYPERLINK("http://www.linkedin.com/in/lrasquilha","http://www.linkedin.com/in/lrasquilha")</f>
        <v>http://www.linkedin.com/in/lrasquilha</v>
      </c>
      <c r="I1170" s="2" t="s">
        <v>57</v>
      </c>
      <c r="J1170" s="2" t="s">
        <v>34</v>
      </c>
      <c r="K1170" s="2" t="s">
        <v>58</v>
      </c>
    </row>
    <row r="1171" ht="15.75" customHeight="1">
      <c r="A1171" s="2">
        <v>448922.0</v>
      </c>
      <c r="B1171" s="2" t="s">
        <v>3075</v>
      </c>
      <c r="C1171" s="2" t="s">
        <v>1646</v>
      </c>
      <c r="D1171" s="2" t="s">
        <v>400</v>
      </c>
      <c r="E1171" s="2" t="s">
        <v>136</v>
      </c>
      <c r="F1171" s="2">
        <v>2.0</v>
      </c>
      <c r="G1171" s="2">
        <v>500.0</v>
      </c>
      <c r="H1171" s="3" t="str">
        <f>HYPERLINK("http://www.linkedin.com/pub/morgan-snyder/0/7/A54","http://www.linkedin.com/pub/morgan-snyder/0/7/A54")</f>
        <v>http://www.linkedin.com/pub/morgan-snyder/0/7/A54</v>
      </c>
      <c r="I1171" s="2" t="s">
        <v>69</v>
      </c>
      <c r="J1171" s="2" t="s">
        <v>102</v>
      </c>
      <c r="K1171" s="2" t="s">
        <v>35</v>
      </c>
    </row>
    <row r="1172" ht="15.75" customHeight="1">
      <c r="A1172" s="2">
        <v>449000.0</v>
      </c>
      <c r="B1172" s="2" t="s">
        <v>3076</v>
      </c>
      <c r="C1172" s="2" t="s">
        <v>3077</v>
      </c>
      <c r="D1172" s="2" t="s">
        <v>1297</v>
      </c>
      <c r="E1172" s="2" t="s">
        <v>301</v>
      </c>
      <c r="F1172" s="2">
        <v>1.0</v>
      </c>
      <c r="G1172" s="2">
        <v>500.0</v>
      </c>
      <c r="H1172" s="3" t="str">
        <f>HYPERLINK("http://www.linkedin.com/in/benoitflammang","http://www.linkedin.com/in/benoitflammang")</f>
        <v>http://www.linkedin.com/in/benoitflammang</v>
      </c>
      <c r="I1172" s="2" t="s">
        <v>1183</v>
      </c>
      <c r="J1172" s="2" t="s">
        <v>102</v>
      </c>
      <c r="K1172" s="2" t="s">
        <v>58</v>
      </c>
    </row>
    <row r="1173" ht="15.75" customHeight="1">
      <c r="A1173" s="2">
        <v>449067.0</v>
      </c>
      <c r="B1173" s="2" t="s">
        <v>3078</v>
      </c>
      <c r="C1173" s="2" t="s">
        <v>3079</v>
      </c>
      <c r="D1173" s="2" t="s">
        <v>1320</v>
      </c>
      <c r="E1173" s="2" t="s">
        <v>505</v>
      </c>
      <c r="F1173" s="2">
        <v>16.0</v>
      </c>
      <c r="G1173" s="2">
        <v>500.0</v>
      </c>
      <c r="H1173" s="3" t="str">
        <f>HYPERLINK("http://www.linkedin.com/in/kentiler","http://www.linkedin.com/in/kentiler")</f>
        <v>http://www.linkedin.com/in/kentiler</v>
      </c>
      <c r="I1173" s="2" t="s">
        <v>15</v>
      </c>
      <c r="J1173" s="2" t="s">
        <v>102</v>
      </c>
      <c r="K1173" s="2" t="s">
        <v>35</v>
      </c>
    </row>
    <row r="1174" ht="15.75" customHeight="1">
      <c r="A1174" s="2">
        <v>449342.0</v>
      </c>
      <c r="B1174" s="2" t="s">
        <v>845</v>
      </c>
      <c r="C1174" s="2" t="s">
        <v>3080</v>
      </c>
      <c r="D1174" s="2" t="s">
        <v>47</v>
      </c>
      <c r="E1174" s="2" t="s">
        <v>136</v>
      </c>
      <c r="F1174" s="2" t="s">
        <v>13</v>
      </c>
      <c r="G1174" s="2">
        <v>500.0</v>
      </c>
      <c r="H1174" s="3" t="str">
        <f>HYPERLINK("http://www.linkedin.com/pub/david-marshak/0/171/6AA","http://www.linkedin.com/pub/david-marshak/0/171/6AA")</f>
        <v>http://www.linkedin.com/pub/david-marshak/0/171/6AA</v>
      </c>
      <c r="I1174" s="2" t="s">
        <v>15</v>
      </c>
      <c r="J1174" s="2" t="s">
        <v>102</v>
      </c>
      <c r="K1174" s="2" t="s">
        <v>35</v>
      </c>
    </row>
    <row r="1175" ht="15.75" customHeight="1">
      <c r="A1175" s="2">
        <v>449354.0</v>
      </c>
      <c r="B1175" s="2" t="s">
        <v>784</v>
      </c>
      <c r="C1175" s="2" t="s">
        <v>3081</v>
      </c>
      <c r="D1175" s="2" t="s">
        <v>13</v>
      </c>
      <c r="E1175" s="2" t="s">
        <v>136</v>
      </c>
      <c r="F1175" s="2">
        <v>0.0</v>
      </c>
      <c r="G1175" s="2">
        <v>500.0</v>
      </c>
      <c r="H1175" s="3" t="str">
        <f>HYPERLINK("http://www.linkedin.com/in/jefecoon","http://www.linkedin.com/in/jefecoon")</f>
        <v>http://www.linkedin.com/in/jefecoon</v>
      </c>
      <c r="I1175" s="2" t="s">
        <v>48</v>
      </c>
      <c r="J1175" s="2" t="s">
        <v>102</v>
      </c>
      <c r="K1175" s="2" t="s">
        <v>35</v>
      </c>
    </row>
    <row r="1176" ht="15.75" customHeight="1">
      <c r="A1176" s="2">
        <v>449634.0</v>
      </c>
      <c r="B1176" s="2" t="s">
        <v>3082</v>
      </c>
      <c r="C1176" s="2" t="s">
        <v>3083</v>
      </c>
      <c r="D1176" s="2" t="s">
        <v>309</v>
      </c>
      <c r="E1176" s="2" t="s">
        <v>136</v>
      </c>
      <c r="F1176" s="2" t="s">
        <v>13</v>
      </c>
      <c r="G1176" s="2">
        <v>438.0</v>
      </c>
      <c r="H1176" s="3" t="str">
        <f>HYPERLINK("http://www.linkedin.com/pub/rajiv-zutshi/0/418/B42","http://www.linkedin.com/pub/rajiv-zutshi/0/418/B42")</f>
        <v>http://www.linkedin.com/pub/rajiv-zutshi/0/418/B42</v>
      </c>
      <c r="I1176" s="2" t="s">
        <v>48</v>
      </c>
      <c r="J1176" s="2" t="s">
        <v>102</v>
      </c>
      <c r="K1176" s="2" t="s">
        <v>35</v>
      </c>
    </row>
    <row r="1177" ht="15.75" customHeight="1">
      <c r="A1177" s="2">
        <v>449926.0</v>
      </c>
      <c r="B1177" s="2" t="s">
        <v>845</v>
      </c>
      <c r="C1177" s="2" t="s">
        <v>3084</v>
      </c>
      <c r="D1177" s="2" t="s">
        <v>42</v>
      </c>
      <c r="E1177" s="2" t="s">
        <v>403</v>
      </c>
      <c r="F1177" s="2" t="s">
        <v>13</v>
      </c>
      <c r="G1177" s="2">
        <v>146.0</v>
      </c>
      <c r="H1177" s="3" t="str">
        <f>HYPERLINK("http://ca.linkedin.com/pub/david-beyer/0/7A/175","http://ca.linkedin.com/pub/david-beyer/0/7A/175")</f>
        <v>http://ca.linkedin.com/pub/david-beyer/0/7A/175</v>
      </c>
      <c r="I1177" s="2" t="s">
        <v>2268</v>
      </c>
      <c r="J1177" s="2" t="s">
        <v>44</v>
      </c>
      <c r="K1177" s="2" t="s">
        <v>58</v>
      </c>
    </row>
    <row r="1178" ht="15.75" customHeight="1">
      <c r="A1178" s="2">
        <v>450301.0</v>
      </c>
      <c r="B1178" s="2" t="s">
        <v>1318</v>
      </c>
      <c r="C1178" s="2" t="s">
        <v>3085</v>
      </c>
      <c r="D1178" s="2" t="s">
        <v>13</v>
      </c>
      <c r="E1178" s="2" t="s">
        <v>136</v>
      </c>
      <c r="F1178" s="2">
        <v>0.0</v>
      </c>
      <c r="G1178" s="2">
        <v>450.0</v>
      </c>
      <c r="H1178" s="3" t="str">
        <f>HYPERLINK("http://www.linkedin.com/in/walthoman","http://www.linkedin.com/in/walthoman")</f>
        <v>http://www.linkedin.com/in/walthoman</v>
      </c>
      <c r="I1178" s="2" t="s">
        <v>2700</v>
      </c>
      <c r="J1178" s="2" t="s">
        <v>102</v>
      </c>
      <c r="K1178" s="2" t="s">
        <v>58</v>
      </c>
    </row>
    <row r="1179" ht="15.75" customHeight="1">
      <c r="A1179" s="2">
        <v>450668.0</v>
      </c>
      <c r="B1179" s="2" t="s">
        <v>855</v>
      </c>
      <c r="C1179" s="2" t="s">
        <v>3086</v>
      </c>
      <c r="D1179" s="2" t="s">
        <v>3087</v>
      </c>
      <c r="E1179" s="2" t="s">
        <v>235</v>
      </c>
      <c r="F1179" s="2">
        <v>15.0</v>
      </c>
      <c r="G1179" s="2">
        <v>500.0</v>
      </c>
      <c r="H1179" s="3" t="str">
        <f>HYPERLINK("http://www.linkedin.com/in/cshilling","http://www.linkedin.com/in/cshilling")</f>
        <v>http://www.linkedin.com/in/cshilling</v>
      </c>
      <c r="I1179" s="2" t="s">
        <v>48</v>
      </c>
      <c r="J1179" s="2" t="s">
        <v>102</v>
      </c>
      <c r="K1179" s="2" t="s">
        <v>35</v>
      </c>
    </row>
    <row r="1180" ht="15.75" customHeight="1">
      <c r="A1180" s="2">
        <v>450809.0</v>
      </c>
      <c r="B1180" s="2" t="s">
        <v>710</v>
      </c>
      <c r="C1180" s="2" t="s">
        <v>3088</v>
      </c>
      <c r="D1180" s="2" t="s">
        <v>416</v>
      </c>
      <c r="E1180" s="2" t="s">
        <v>136</v>
      </c>
      <c r="F1180" s="2">
        <v>4.0</v>
      </c>
      <c r="G1180" s="2">
        <v>500.0</v>
      </c>
      <c r="H1180" s="3" t="str">
        <f>HYPERLINK("http://www.linkedin.com/in/jasonweisberger","http://www.linkedin.com/in/jasonweisberger")</f>
        <v>http://www.linkedin.com/in/jasonweisberger</v>
      </c>
      <c r="I1180" s="2" t="s">
        <v>326</v>
      </c>
      <c r="J1180" s="2" t="s">
        <v>102</v>
      </c>
      <c r="K1180" s="2" t="s">
        <v>58</v>
      </c>
    </row>
    <row r="1181" ht="15.75" customHeight="1">
      <c r="A1181" s="2">
        <v>450916.0</v>
      </c>
      <c r="B1181" s="2" t="s">
        <v>3089</v>
      </c>
      <c r="C1181" s="2" t="s">
        <v>3090</v>
      </c>
      <c r="D1181" s="2" t="s">
        <v>1674</v>
      </c>
      <c r="E1181" s="2" t="s">
        <v>142</v>
      </c>
      <c r="F1181" s="2">
        <v>3.0</v>
      </c>
      <c r="G1181" s="2">
        <v>500.0</v>
      </c>
      <c r="H1181" s="3" t="str">
        <f>HYPERLINK("http://www.linkedin.com/pub/moises-eilemberg/0/58/71B","http://www.linkedin.com/pub/moises-eilemberg/0/58/71B")</f>
        <v>http://www.linkedin.com/pub/moises-eilemberg/0/58/71B</v>
      </c>
      <c r="I1181" s="2" t="s">
        <v>172</v>
      </c>
      <c r="J1181" s="2" t="s">
        <v>144</v>
      </c>
      <c r="K1181" s="2" t="s">
        <v>357</v>
      </c>
    </row>
    <row r="1182" ht="15.75" customHeight="1">
      <c r="A1182" s="2">
        <v>451219.0</v>
      </c>
      <c r="B1182" s="2" t="s">
        <v>3091</v>
      </c>
      <c r="C1182" s="2" t="s">
        <v>3092</v>
      </c>
      <c r="D1182" s="2" t="s">
        <v>517</v>
      </c>
      <c r="E1182" s="2" t="s">
        <v>301</v>
      </c>
      <c r="F1182" s="2" t="s">
        <v>13</v>
      </c>
      <c r="G1182" s="2">
        <v>228.0</v>
      </c>
      <c r="H1182" s="3" t="str">
        <f>HYPERLINK("http://www.linkedin.com/in/chintanopatel","http://www.linkedin.com/in/chintanopatel")</f>
        <v>http://www.linkedin.com/in/chintanopatel</v>
      </c>
      <c r="I1182" s="2" t="s">
        <v>714</v>
      </c>
      <c r="J1182" s="2" t="s">
        <v>102</v>
      </c>
      <c r="K1182" s="2" t="s">
        <v>58</v>
      </c>
    </row>
    <row r="1183" ht="15.75" customHeight="1">
      <c r="A1183" s="2">
        <v>451252.0</v>
      </c>
      <c r="B1183" s="2" t="s">
        <v>3093</v>
      </c>
      <c r="C1183" s="2" t="s">
        <v>126</v>
      </c>
      <c r="D1183" s="2" t="s">
        <v>3094</v>
      </c>
      <c r="E1183" s="2" t="s">
        <v>278</v>
      </c>
      <c r="F1183" s="2">
        <v>1.0</v>
      </c>
      <c r="G1183" s="2">
        <v>103.0</v>
      </c>
      <c r="H1183" s="3" t="str">
        <f>HYPERLINK("http://www.linkedin.com/pub/jo-ann-newton/5/465/6AA","http://www.linkedin.com/pub/jo-ann-newton/5/465/6AA")</f>
        <v>http://www.linkedin.com/pub/jo-ann-newton/5/465/6AA</v>
      </c>
      <c r="I1183" s="2" t="s">
        <v>696</v>
      </c>
      <c r="J1183" s="2" t="s">
        <v>28</v>
      </c>
      <c r="K1183" s="2" t="s">
        <v>1048</v>
      </c>
    </row>
    <row r="1184" ht="15.75" customHeight="1">
      <c r="A1184" s="2">
        <v>451387.0</v>
      </c>
      <c r="B1184" s="2" t="s">
        <v>1545</v>
      </c>
      <c r="C1184" s="2" t="s">
        <v>3095</v>
      </c>
      <c r="D1184" s="2" t="s">
        <v>47</v>
      </c>
      <c r="E1184" s="2" t="s">
        <v>744</v>
      </c>
      <c r="F1184" s="2">
        <v>6.0</v>
      </c>
      <c r="G1184" s="2">
        <v>500.0</v>
      </c>
      <c r="H1184" s="3" t="str">
        <f>HYPERLINK("http://www.linkedin.com/pub/patrick-thean/0/1B2/A67","http://www.linkedin.com/pub/patrick-thean/0/1B2/A67")</f>
        <v>http://www.linkedin.com/pub/patrick-thean/0/1B2/A67</v>
      </c>
      <c r="I1184" s="2" t="s">
        <v>57</v>
      </c>
      <c r="J1184" s="2" t="s">
        <v>102</v>
      </c>
      <c r="K1184" s="2" t="s">
        <v>58</v>
      </c>
    </row>
    <row r="1185" ht="15.75" customHeight="1">
      <c r="A1185" s="2">
        <v>452490.0</v>
      </c>
      <c r="B1185" s="2" t="s">
        <v>1505</v>
      </c>
      <c r="C1185" s="2" t="s">
        <v>3096</v>
      </c>
      <c r="D1185" s="2" t="s">
        <v>3097</v>
      </c>
      <c r="E1185" s="2" t="s">
        <v>301</v>
      </c>
      <c r="F1185" s="2">
        <v>30.0</v>
      </c>
      <c r="G1185" s="2">
        <v>500.0</v>
      </c>
      <c r="H1185" s="3" t="str">
        <f>HYPERLINK("http://www.linkedin.com/in/lindavan","http://www.linkedin.com/in/lindavan")</f>
        <v>http://www.linkedin.com/in/lindavan</v>
      </c>
      <c r="I1185" s="2" t="s">
        <v>1390</v>
      </c>
      <c r="J1185" s="2" t="s">
        <v>102</v>
      </c>
      <c r="K1185" s="2" t="s">
        <v>29</v>
      </c>
    </row>
    <row r="1186" ht="15.75" customHeight="1">
      <c r="A1186" s="2">
        <v>452611.0</v>
      </c>
      <c r="B1186" s="2" t="s">
        <v>511</v>
      </c>
      <c r="C1186" s="2" t="s">
        <v>3098</v>
      </c>
      <c r="D1186" s="2" t="s">
        <v>13</v>
      </c>
      <c r="E1186" s="2" t="s">
        <v>101</v>
      </c>
      <c r="F1186" s="2">
        <v>0.0</v>
      </c>
      <c r="G1186" s="2">
        <v>500.0</v>
      </c>
      <c r="H1186" s="3" t="str">
        <f>HYPERLINK("https://www.linkedin.com/in/dowdle","https://www.linkedin.com/in/dowdle")</f>
        <v>https://www.linkedin.com/in/dowdle</v>
      </c>
      <c r="I1186" s="2" t="s">
        <v>69</v>
      </c>
      <c r="J1186" s="2" t="s">
        <v>102</v>
      </c>
      <c r="K1186" s="2" t="s">
        <v>35</v>
      </c>
    </row>
    <row r="1187" ht="15.75" customHeight="1">
      <c r="A1187" s="2">
        <v>452722.0</v>
      </c>
      <c r="B1187" s="2" t="s">
        <v>245</v>
      </c>
      <c r="C1187" s="2" t="s">
        <v>3099</v>
      </c>
      <c r="D1187" s="2" t="s">
        <v>3100</v>
      </c>
      <c r="E1187" s="2" t="s">
        <v>136</v>
      </c>
      <c r="F1187" s="2">
        <v>4.0</v>
      </c>
      <c r="G1187" s="2">
        <v>500.0</v>
      </c>
      <c r="H1187" s="3" t="str">
        <f>HYPERLINK("http://www.linkedin.com/pub/steven-shalita/0/728/930","http://www.linkedin.com/pub/steven-shalita/0/728/930")</f>
        <v>http://www.linkedin.com/pub/steven-shalita/0/728/930</v>
      </c>
      <c r="I1187" s="2" t="s">
        <v>873</v>
      </c>
      <c r="J1187" s="2" t="s">
        <v>102</v>
      </c>
      <c r="K1187" s="2" t="s">
        <v>58</v>
      </c>
    </row>
    <row r="1188" ht="15.75" customHeight="1">
      <c r="A1188" s="2">
        <v>452826.0</v>
      </c>
      <c r="B1188" s="2" t="s">
        <v>3101</v>
      </c>
      <c r="C1188" s="2" t="s">
        <v>1193</v>
      </c>
      <c r="D1188" s="2" t="s">
        <v>13</v>
      </c>
      <c r="E1188" s="2" t="s">
        <v>136</v>
      </c>
      <c r="F1188" s="2">
        <v>0.0</v>
      </c>
      <c r="G1188" s="2">
        <v>500.0</v>
      </c>
      <c r="H1188" s="3" t="str">
        <f>HYPERLINK("http://www.linkedin.com/pub/sujeet-kumar/1/1A4/382","http://www.linkedin.com/pub/sujeet-kumar/1/1A4/382")</f>
        <v>http://www.linkedin.com/pub/sujeet-kumar/1/1A4/382</v>
      </c>
      <c r="I1188" s="2" t="s">
        <v>663</v>
      </c>
      <c r="J1188" s="2" t="s">
        <v>102</v>
      </c>
      <c r="K1188" s="2" t="s">
        <v>58</v>
      </c>
    </row>
    <row r="1189" ht="15.75" customHeight="1">
      <c r="A1189" s="2">
        <v>453108.0</v>
      </c>
      <c r="B1189" s="2" t="s">
        <v>1173</v>
      </c>
      <c r="C1189" s="2" t="s">
        <v>3102</v>
      </c>
      <c r="D1189" s="2"/>
      <c r="E1189" s="2" t="s">
        <v>1434</v>
      </c>
      <c r="F1189" s="2">
        <v>3.0</v>
      </c>
      <c r="G1189" s="2">
        <v>101.0</v>
      </c>
      <c r="H1189" s="3" t="str">
        <f>HYPERLINK("http://www.linkedin.com/in/seiserling","http://www.linkedin.com/in/seiserling")</f>
        <v>http://www.linkedin.com/in/seiserling</v>
      </c>
      <c r="I1189" s="2" t="s">
        <v>2443</v>
      </c>
      <c r="J1189" s="2" t="s">
        <v>28</v>
      </c>
      <c r="K1189" s="2" t="s">
        <v>196</v>
      </c>
    </row>
    <row r="1190" ht="15.75" customHeight="1">
      <c r="A1190" s="2">
        <v>453274.0</v>
      </c>
      <c r="B1190" s="2" t="s">
        <v>3103</v>
      </c>
      <c r="C1190" s="2" t="s">
        <v>3104</v>
      </c>
      <c r="D1190" s="2" t="s">
        <v>42</v>
      </c>
      <c r="E1190" s="2" t="s">
        <v>3105</v>
      </c>
      <c r="F1190" s="2">
        <v>4.0</v>
      </c>
      <c r="G1190" s="2">
        <v>500.0</v>
      </c>
      <c r="H1190" s="3" t="str">
        <f>HYPERLINK("http://www.linkedin.com/pub/robert-bob-blake/0/150/1AA","http://www.linkedin.com/pub/robert-bob-blake/0/150/1AA")</f>
        <v>http://www.linkedin.com/pub/robert-bob-blake/0/150/1AA</v>
      </c>
      <c r="I1190" s="2" t="s">
        <v>458</v>
      </c>
      <c r="J1190" s="2" t="s">
        <v>102</v>
      </c>
      <c r="K1190" s="2" t="s">
        <v>58</v>
      </c>
    </row>
    <row r="1191" ht="15.75" customHeight="1">
      <c r="A1191" s="2">
        <v>453581.0</v>
      </c>
      <c r="B1191" s="2" t="s">
        <v>460</v>
      </c>
      <c r="C1191" s="2" t="s">
        <v>3106</v>
      </c>
      <c r="D1191" s="2" t="s">
        <v>13</v>
      </c>
      <c r="E1191" s="2" t="s">
        <v>3107</v>
      </c>
      <c r="F1191" s="2">
        <v>2.0</v>
      </c>
      <c r="G1191" s="2">
        <v>500.0</v>
      </c>
      <c r="H1191" s="3" t="str">
        <f>HYPERLINK("http://www.linkedin.com/pub/john-marker/7/72/94","http://www.linkedin.com/pub/john-marker/7/72/94")</f>
        <v>http://www.linkedin.com/pub/john-marker/7/72/94</v>
      </c>
      <c r="I1191" s="2" t="s">
        <v>105</v>
      </c>
      <c r="J1191" s="2" t="s">
        <v>102</v>
      </c>
      <c r="K1191" s="2" t="s">
        <v>35</v>
      </c>
    </row>
    <row r="1192" ht="15.75" customHeight="1">
      <c r="A1192" s="2">
        <v>453689.0</v>
      </c>
      <c r="B1192" s="2" t="s">
        <v>478</v>
      </c>
      <c r="C1192" s="2" t="s">
        <v>3108</v>
      </c>
      <c r="D1192" s="2" t="s">
        <v>42</v>
      </c>
      <c r="E1192" s="2" t="s">
        <v>301</v>
      </c>
      <c r="F1192" s="2" t="s">
        <v>13</v>
      </c>
      <c r="G1192" s="2">
        <v>10.0</v>
      </c>
      <c r="H1192" s="3" t="str">
        <f>HYPERLINK("http://www.linkedin.com/pub/karen-zarb/1/A92/768","http://www.linkedin.com/pub/karen-zarb/1/A92/768")</f>
        <v>http://www.linkedin.com/pub/karen-zarb/1/A92/768</v>
      </c>
      <c r="I1192" s="2" t="s">
        <v>2268</v>
      </c>
      <c r="J1192" s="2" t="s">
        <v>102</v>
      </c>
      <c r="K1192" s="2" t="s">
        <v>58</v>
      </c>
    </row>
    <row r="1193" ht="15.75" customHeight="1">
      <c r="A1193" s="2">
        <v>454055.0</v>
      </c>
      <c r="B1193" s="2" t="s">
        <v>3109</v>
      </c>
      <c r="C1193" s="2" t="s">
        <v>3110</v>
      </c>
      <c r="D1193" s="2" t="s">
        <v>3111</v>
      </c>
      <c r="E1193" s="2" t="s">
        <v>136</v>
      </c>
      <c r="F1193" s="2">
        <v>2.0</v>
      </c>
      <c r="G1193" s="2">
        <v>500.0</v>
      </c>
      <c r="H1193" s="3" t="str">
        <f>HYPERLINK("http://www.linkedin.com/in/tylers","http://www.linkedin.com/in/tylers")</f>
        <v>http://www.linkedin.com/in/tylers</v>
      </c>
      <c r="I1193" s="2" t="s">
        <v>15</v>
      </c>
      <c r="J1193" s="2" t="s">
        <v>102</v>
      </c>
      <c r="K1193" s="2" t="s">
        <v>35</v>
      </c>
    </row>
    <row r="1194" ht="15.75" customHeight="1">
      <c r="A1194" s="2">
        <v>454202.0</v>
      </c>
      <c r="B1194" s="2" t="s">
        <v>1366</v>
      </c>
      <c r="C1194" s="2" t="s">
        <v>3112</v>
      </c>
      <c r="D1194" s="2" t="s">
        <v>42</v>
      </c>
      <c r="E1194" s="2" t="s">
        <v>3113</v>
      </c>
      <c r="F1194" s="2" t="s">
        <v>13</v>
      </c>
      <c r="G1194" s="2">
        <v>500.0</v>
      </c>
      <c r="H1194" s="3" t="str">
        <f>HYPERLINK("http://uk.linkedin.com/in/birley","http://uk.linkedin.com/in/birley")</f>
        <v>http://uk.linkedin.com/in/birley</v>
      </c>
      <c r="I1194" s="2" t="s">
        <v>1421</v>
      </c>
      <c r="J1194" s="2" t="s">
        <v>65</v>
      </c>
      <c r="K1194" s="2" t="s">
        <v>35</v>
      </c>
    </row>
    <row r="1195" ht="15.75" customHeight="1">
      <c r="A1195" s="2">
        <v>455102.0</v>
      </c>
      <c r="B1195" s="2" t="s">
        <v>1068</v>
      </c>
      <c r="C1195" s="2" t="s">
        <v>3114</v>
      </c>
      <c r="D1195" s="2"/>
      <c r="E1195" s="2" t="s">
        <v>3115</v>
      </c>
      <c r="F1195" s="2">
        <v>5.0</v>
      </c>
      <c r="G1195" s="2">
        <v>500.0</v>
      </c>
      <c r="H1195" s="3" t="str">
        <f>HYPERLINK("http://www.linkedin.com/in/jerrylembo","http://www.linkedin.com/in/jerrylembo")</f>
        <v>http://www.linkedin.com/in/jerrylembo</v>
      </c>
      <c r="I1195" s="2" t="s">
        <v>318</v>
      </c>
      <c r="J1195" s="2" t="s">
        <v>273</v>
      </c>
      <c r="K1195" s="2" t="s">
        <v>196</v>
      </c>
    </row>
    <row r="1196" ht="15.75" customHeight="1">
      <c r="A1196" s="2">
        <v>455214.0</v>
      </c>
      <c r="B1196" s="2" t="s">
        <v>2567</v>
      </c>
      <c r="C1196" s="2" t="s">
        <v>3116</v>
      </c>
      <c r="D1196" s="2" t="s">
        <v>13</v>
      </c>
      <c r="E1196" s="2" t="s">
        <v>1818</v>
      </c>
      <c r="F1196" s="2">
        <v>0.0</v>
      </c>
      <c r="G1196" s="2">
        <v>403.0</v>
      </c>
      <c r="H1196" s="3" t="str">
        <f>HYPERLINK("https://www.linkedin.com/in/mallardi","https://www.linkedin.com/in/mallardi")</f>
        <v>https://www.linkedin.com/in/mallardi</v>
      </c>
      <c r="I1196" s="2" t="s">
        <v>279</v>
      </c>
      <c r="J1196" s="2" t="s">
        <v>102</v>
      </c>
      <c r="K1196" s="2" t="s">
        <v>58</v>
      </c>
    </row>
    <row r="1197" ht="15.75" customHeight="1">
      <c r="A1197" s="2">
        <v>455497.0</v>
      </c>
      <c r="B1197" s="2" t="s">
        <v>433</v>
      </c>
      <c r="C1197" s="2" t="s">
        <v>3117</v>
      </c>
      <c r="D1197" s="2" t="s">
        <v>3118</v>
      </c>
      <c r="E1197" s="2" t="s">
        <v>136</v>
      </c>
      <c r="F1197" s="2" t="s">
        <v>13</v>
      </c>
      <c r="G1197" s="2">
        <v>500.0</v>
      </c>
      <c r="H1197" s="3" t="str">
        <f>HYPERLINK("http://www.linkedin.com/pub/andy-nacsin/0/457/AB4","http://www.linkedin.com/pub/andy-nacsin/0/457/AB4")</f>
        <v>http://www.linkedin.com/pub/andy-nacsin/0/457/AB4</v>
      </c>
      <c r="I1197" s="2" t="s">
        <v>48</v>
      </c>
      <c r="J1197" s="2" t="s">
        <v>102</v>
      </c>
      <c r="K1197" s="2" t="s">
        <v>35</v>
      </c>
    </row>
    <row r="1198" ht="15.75" customHeight="1">
      <c r="A1198" s="2">
        <v>456132.0</v>
      </c>
      <c r="B1198" s="2" t="s">
        <v>313</v>
      </c>
      <c r="C1198" s="2" t="s">
        <v>3119</v>
      </c>
      <c r="D1198" s="2" t="s">
        <v>13</v>
      </c>
      <c r="E1198" s="2" t="s">
        <v>1317</v>
      </c>
      <c r="F1198" s="2">
        <v>0.0</v>
      </c>
      <c r="G1198" s="2">
        <v>500.0</v>
      </c>
      <c r="H1198" s="3" t="str">
        <f>HYPERLINK("http://www.linkedin.com/pub/lee-snedaker/3/170/777","http://www.linkedin.com/pub/lee-snedaker/3/170/777")</f>
        <v>http://www.linkedin.com/pub/lee-snedaker/3/170/777</v>
      </c>
      <c r="I1198" s="2" t="s">
        <v>15</v>
      </c>
      <c r="J1198" s="2" t="s">
        <v>102</v>
      </c>
      <c r="K1198" s="2" t="s">
        <v>97</v>
      </c>
    </row>
    <row r="1199" ht="15.75" customHeight="1">
      <c r="A1199" s="2">
        <v>456179.0</v>
      </c>
      <c r="B1199" s="2" t="s">
        <v>2134</v>
      </c>
      <c r="C1199" s="2" t="s">
        <v>994</v>
      </c>
      <c r="D1199" s="2" t="s">
        <v>114</v>
      </c>
      <c r="E1199" s="2" t="s">
        <v>407</v>
      </c>
      <c r="F1199" s="2">
        <v>2.0</v>
      </c>
      <c r="G1199" s="2">
        <v>135.0</v>
      </c>
      <c r="H1199" s="3" t="str">
        <f>HYPERLINK("http://www.linkedin.com/pub/ginny-lloyd/1/167/13B","http://www.linkedin.com/pub/ginny-lloyd/1/167/13B")</f>
        <v>http://www.linkedin.com/pub/ginny-lloyd/1/167/13B</v>
      </c>
      <c r="I1199" s="2" t="s">
        <v>1390</v>
      </c>
      <c r="J1199" s="2" t="s">
        <v>102</v>
      </c>
      <c r="K1199" s="2" t="s">
        <v>58</v>
      </c>
    </row>
    <row r="1200" ht="15.75" customHeight="1">
      <c r="A1200" s="2">
        <v>456661.0</v>
      </c>
      <c r="B1200" s="2" t="s">
        <v>1096</v>
      </c>
      <c r="C1200" s="2" t="s">
        <v>3120</v>
      </c>
      <c r="D1200" s="2" t="s">
        <v>3121</v>
      </c>
      <c r="E1200" s="2" t="s">
        <v>136</v>
      </c>
      <c r="F1200" s="2" t="s">
        <v>13</v>
      </c>
      <c r="G1200" s="2">
        <v>500.0</v>
      </c>
      <c r="H1200" s="3" t="str">
        <f>HYPERLINK("http://www.linkedin.com/in/tonyyoung","http://www.linkedin.com/in/tonyyoung")</f>
        <v>http://www.linkedin.com/in/tonyyoung</v>
      </c>
      <c r="I1200" s="2" t="s">
        <v>48</v>
      </c>
      <c r="J1200" s="2" t="s">
        <v>102</v>
      </c>
      <c r="K1200" s="2" t="s">
        <v>35</v>
      </c>
    </row>
    <row r="1201" ht="15.75" customHeight="1">
      <c r="A1201" s="2">
        <v>458118.0</v>
      </c>
      <c r="B1201" s="2" t="s">
        <v>3122</v>
      </c>
      <c r="C1201" s="2" t="s">
        <v>3123</v>
      </c>
      <c r="D1201" s="2" t="s">
        <v>1196</v>
      </c>
      <c r="E1201" s="2" t="s">
        <v>574</v>
      </c>
      <c r="F1201" s="2">
        <v>8.0</v>
      </c>
      <c r="G1201" s="2">
        <v>235.0</v>
      </c>
      <c r="H1201" s="3" t="str">
        <f>HYPERLINK("http://in.linkedin.com/pub/sowmyashree-gururaj/14/631/332","http://in.linkedin.com/pub/sowmyashree-gururaj/14/631/332")</f>
        <v>http://in.linkedin.com/pub/sowmyashree-gururaj/14/631/332</v>
      </c>
      <c r="I1201" s="2" t="s">
        <v>48</v>
      </c>
      <c r="J1201" s="2" t="s">
        <v>575</v>
      </c>
      <c r="K1201" s="2" t="s">
        <v>22</v>
      </c>
    </row>
    <row r="1202" ht="15.75" customHeight="1">
      <c r="A1202" s="2">
        <v>458167.0</v>
      </c>
      <c r="B1202" s="2" t="s">
        <v>784</v>
      </c>
      <c r="C1202" s="2" t="s">
        <v>3124</v>
      </c>
      <c r="D1202" s="2" t="s">
        <v>114</v>
      </c>
      <c r="E1202" s="2" t="s">
        <v>301</v>
      </c>
      <c r="F1202" s="2" t="s">
        <v>13</v>
      </c>
      <c r="G1202" s="2">
        <v>500.0</v>
      </c>
      <c r="H1202" s="3" t="str">
        <f>HYPERLINK("http://www.linkedin.com/in/jeffsardis","http://www.linkedin.com/in/jeffsardis")</f>
        <v>http://www.linkedin.com/in/jeffsardis</v>
      </c>
      <c r="I1202" s="2" t="s">
        <v>15</v>
      </c>
      <c r="J1202" s="2" t="s">
        <v>102</v>
      </c>
      <c r="K1202" s="2" t="s">
        <v>35</v>
      </c>
    </row>
    <row r="1203" ht="15.75" customHeight="1">
      <c r="A1203" s="2">
        <v>458320.0</v>
      </c>
      <c r="B1203" s="2" t="s">
        <v>937</v>
      </c>
      <c r="C1203" s="2" t="s">
        <v>3125</v>
      </c>
      <c r="D1203" s="2" t="s">
        <v>13</v>
      </c>
      <c r="E1203" s="2" t="s">
        <v>3126</v>
      </c>
      <c r="F1203" s="2">
        <v>0.0</v>
      </c>
      <c r="G1203" s="2">
        <v>500.0</v>
      </c>
      <c r="H1203" s="3" t="str">
        <f>HYPERLINK("http://www.linkedin.com/pub/danielle-demuro-johnson/1/323/4ab","http://www.linkedin.com/pub/danielle-demuro-johnson/1/323/4ab")</f>
        <v>http://www.linkedin.com/pub/danielle-demuro-johnson/1/323/4ab</v>
      </c>
      <c r="I1203" s="2" t="s">
        <v>458</v>
      </c>
      <c r="J1203" s="2" t="s">
        <v>102</v>
      </c>
      <c r="K1203" s="2" t="s">
        <v>35</v>
      </c>
    </row>
    <row r="1204" ht="15.75" customHeight="1">
      <c r="A1204" s="2">
        <v>458816.0</v>
      </c>
      <c r="B1204" s="2" t="s">
        <v>2156</v>
      </c>
      <c r="C1204" s="2" t="s">
        <v>3127</v>
      </c>
      <c r="D1204" s="2" t="s">
        <v>416</v>
      </c>
      <c r="E1204" s="2" t="s">
        <v>86</v>
      </c>
      <c r="F1204" s="2">
        <v>0.0</v>
      </c>
      <c r="G1204" s="2">
        <v>500.0</v>
      </c>
      <c r="H1204" s="3" t="str">
        <f>HYPERLINK("http://in.linkedin.com/in/sanjaynetrabile","http://in.linkedin.com/in/sanjaynetrabile")</f>
        <v>http://in.linkedin.com/in/sanjaynetrabile</v>
      </c>
      <c r="I1204" s="2" t="s">
        <v>326</v>
      </c>
      <c r="J1204" s="2" t="s">
        <v>87</v>
      </c>
      <c r="K1204" s="2" t="s">
        <v>274</v>
      </c>
    </row>
    <row r="1205" ht="15.75" customHeight="1">
      <c r="A1205" s="2">
        <v>458926.0</v>
      </c>
      <c r="B1205" s="2" t="s">
        <v>3128</v>
      </c>
      <c r="C1205" s="2" t="s">
        <v>3129</v>
      </c>
      <c r="D1205" s="2" t="s">
        <v>347</v>
      </c>
      <c r="E1205" s="2" t="s">
        <v>3130</v>
      </c>
      <c r="F1205" s="2">
        <v>2.0</v>
      </c>
      <c r="G1205" s="2">
        <v>181.0</v>
      </c>
      <c r="H1205" s="3" t="str">
        <f>HYPERLINK("http://www.linkedin.com/pub/a-rahman-mba-pmp-csm/1/863/988","http://www.linkedin.com/pub/a-rahman-mba-pmp-csm/1/863/988")</f>
        <v>http://www.linkedin.com/pub/a-rahman-mba-pmp-csm/1/863/988</v>
      </c>
      <c r="I1205" s="2" t="s">
        <v>2000</v>
      </c>
      <c r="J1205" s="2" t="s">
        <v>102</v>
      </c>
      <c r="K1205" s="2" t="s">
        <v>22</v>
      </c>
    </row>
    <row r="1206" ht="15.75" customHeight="1">
      <c r="A1206" s="2">
        <v>459303.0</v>
      </c>
      <c r="B1206" s="2" t="s">
        <v>414</v>
      </c>
      <c r="C1206" s="2" t="s">
        <v>3131</v>
      </c>
      <c r="D1206" s="2" t="s">
        <v>3132</v>
      </c>
      <c r="E1206" s="2" t="s">
        <v>251</v>
      </c>
      <c r="F1206" s="2">
        <v>9.0</v>
      </c>
      <c r="G1206" s="2">
        <v>500.0</v>
      </c>
      <c r="H1206" s="3" t="str">
        <f>HYPERLINK("http://www.linkedin.com/pub/tom-fitzgerald/0/87A/16A","http://www.linkedin.com/pub/tom-fitzgerald/0/87A/16A")</f>
        <v>http://www.linkedin.com/pub/tom-fitzgerald/0/87A/16A</v>
      </c>
      <c r="I1206" s="2" t="s">
        <v>1094</v>
      </c>
      <c r="J1206" s="2" t="s">
        <v>102</v>
      </c>
      <c r="K1206" s="2" t="s">
        <v>97</v>
      </c>
    </row>
    <row r="1207" ht="15.75" customHeight="1">
      <c r="A1207" s="2">
        <v>459472.0</v>
      </c>
      <c r="B1207" s="2" t="s">
        <v>1104</v>
      </c>
      <c r="C1207" s="2" t="s">
        <v>3133</v>
      </c>
      <c r="D1207" s="2" t="s">
        <v>3134</v>
      </c>
      <c r="E1207" s="2" t="s">
        <v>101</v>
      </c>
      <c r="F1207" s="2">
        <v>11.0</v>
      </c>
      <c r="G1207" s="2">
        <v>500.0</v>
      </c>
      <c r="H1207" s="3" t="str">
        <f>HYPERLINK("http://www.linkedin.com/in/jaysawyer","http://www.linkedin.com/in/jaysawyer")</f>
        <v>http://www.linkedin.com/in/jaysawyer</v>
      </c>
      <c r="I1207" s="2" t="s">
        <v>105</v>
      </c>
      <c r="J1207" s="2" t="s">
        <v>102</v>
      </c>
      <c r="K1207" s="2" t="s">
        <v>58</v>
      </c>
    </row>
    <row r="1208" ht="15.75" customHeight="1">
      <c r="A1208" s="2">
        <v>459630.0</v>
      </c>
      <c r="B1208" s="2" t="s">
        <v>1004</v>
      </c>
      <c r="C1208" s="2" t="s">
        <v>3135</v>
      </c>
      <c r="D1208" s="2" t="s">
        <v>3136</v>
      </c>
      <c r="E1208" s="2" t="s">
        <v>301</v>
      </c>
      <c r="F1208" s="2">
        <v>66.0</v>
      </c>
      <c r="G1208" s="2">
        <v>500.0</v>
      </c>
      <c r="H1208" s="3" t="str">
        <f>HYPERLINK("http://www.linkedin.com/in/scotttivey","http://www.linkedin.com/in/scotttivey")</f>
        <v>http://www.linkedin.com/in/scotttivey</v>
      </c>
      <c r="I1208" s="2" t="s">
        <v>279</v>
      </c>
      <c r="J1208" s="2" t="s">
        <v>102</v>
      </c>
      <c r="K1208" s="2" t="s">
        <v>58</v>
      </c>
    </row>
    <row r="1209" ht="15.75" customHeight="1">
      <c r="A1209" s="2">
        <v>459991.0</v>
      </c>
      <c r="B1209" s="2" t="s">
        <v>845</v>
      </c>
      <c r="C1209" s="2" t="s">
        <v>3137</v>
      </c>
      <c r="D1209" s="2" t="s">
        <v>347</v>
      </c>
      <c r="E1209" s="2" t="s">
        <v>604</v>
      </c>
      <c r="F1209" s="2">
        <v>1.0</v>
      </c>
      <c r="G1209" s="2">
        <v>451.0</v>
      </c>
      <c r="H1209" s="3" t="str">
        <f>HYPERLINK("http://www.linkedin.com/in/davidherrmann","http://www.linkedin.com/in/davidherrmann")</f>
        <v>http://www.linkedin.com/in/davidherrmann</v>
      </c>
      <c r="I1209" s="2" t="s">
        <v>1094</v>
      </c>
      <c r="J1209" s="2" t="s">
        <v>16</v>
      </c>
      <c r="K1209" s="2" t="s">
        <v>3138</v>
      </c>
    </row>
    <row r="1210" ht="15.75" customHeight="1">
      <c r="A1210" s="2">
        <v>460399.0</v>
      </c>
      <c r="B1210" s="2" t="s">
        <v>845</v>
      </c>
      <c r="C1210" s="2" t="s">
        <v>3139</v>
      </c>
      <c r="D1210" s="2" t="s">
        <v>3140</v>
      </c>
      <c r="E1210" s="2" t="s">
        <v>3141</v>
      </c>
      <c r="F1210" s="2">
        <v>16.0</v>
      </c>
      <c r="G1210" s="2">
        <v>500.0</v>
      </c>
      <c r="H1210" s="3" t="str">
        <f>HYPERLINK("http://uk.linkedin.com/in/davidholliday9117","http://uk.linkedin.com/in/davidholliday9117")</f>
        <v>http://uk.linkedin.com/in/davidholliday9117</v>
      </c>
      <c r="I1210" s="2" t="s">
        <v>77</v>
      </c>
      <c r="J1210" s="2" t="s">
        <v>3142</v>
      </c>
      <c r="K1210" s="2" t="s">
        <v>697</v>
      </c>
    </row>
    <row r="1211" ht="15.75" customHeight="1">
      <c r="A1211" s="2">
        <v>461492.0</v>
      </c>
      <c r="B1211" s="2" t="s">
        <v>3143</v>
      </c>
      <c r="C1211" s="2" t="s">
        <v>1585</v>
      </c>
      <c r="D1211" s="2" t="s">
        <v>3144</v>
      </c>
      <c r="E1211" s="2" t="s">
        <v>3145</v>
      </c>
      <c r="F1211" s="2">
        <v>6.0</v>
      </c>
      <c r="G1211" s="2">
        <v>500.0</v>
      </c>
      <c r="H1211" s="3" t="str">
        <f>HYPERLINK("http://www.linkedin.com/in/miriamthomas","http://www.linkedin.com/in/miriamthomas")</f>
        <v>http://www.linkedin.com/in/miriamthomas</v>
      </c>
      <c r="I1211" s="2" t="s">
        <v>669</v>
      </c>
      <c r="J1211" s="2" t="s">
        <v>273</v>
      </c>
      <c r="K1211" s="2" t="s">
        <v>196</v>
      </c>
    </row>
    <row r="1212" ht="15.75" customHeight="1">
      <c r="A1212" s="2">
        <v>461595.0</v>
      </c>
      <c r="B1212" s="2" t="s">
        <v>287</v>
      </c>
      <c r="C1212" s="2" t="s">
        <v>3146</v>
      </c>
      <c r="D1212" s="2" t="s">
        <v>3147</v>
      </c>
      <c r="E1212" s="2" t="s">
        <v>3148</v>
      </c>
      <c r="F1212" s="2">
        <v>5.0</v>
      </c>
      <c r="G1212" s="2">
        <v>199.0</v>
      </c>
      <c r="H1212" s="3" t="str">
        <f>HYPERLINK("http://www.linkedin.com/pub/paul-sinderson/1/470/842","http://www.linkedin.com/pub/paul-sinderson/1/470/842")</f>
        <v>http://www.linkedin.com/pub/paul-sinderson/1/470/842</v>
      </c>
      <c r="I1212" s="2" t="s">
        <v>2285</v>
      </c>
      <c r="J1212" s="2" t="s">
        <v>102</v>
      </c>
      <c r="K1212" s="2" t="s">
        <v>22</v>
      </c>
    </row>
    <row r="1213" ht="15.75" customHeight="1">
      <c r="A1213" s="2">
        <v>461655.0</v>
      </c>
      <c r="B1213" s="2" t="s">
        <v>3149</v>
      </c>
      <c r="C1213" s="2" t="s">
        <v>2061</v>
      </c>
      <c r="D1213" s="2" t="s">
        <v>3150</v>
      </c>
      <c r="E1213" s="2" t="s">
        <v>251</v>
      </c>
      <c r="F1213" s="2" t="s">
        <v>13</v>
      </c>
      <c r="G1213" s="2">
        <v>500.0</v>
      </c>
      <c r="H1213" s="3" t="str">
        <f>HYPERLINK("http://www.linkedin.com/in/eldredwhite","http://www.linkedin.com/in/eldredwhite")</f>
        <v>http://www.linkedin.com/in/eldredwhite</v>
      </c>
      <c r="I1213" s="2" t="s">
        <v>15</v>
      </c>
      <c r="J1213" s="2" t="s">
        <v>102</v>
      </c>
      <c r="K1213" s="2" t="s">
        <v>35</v>
      </c>
    </row>
    <row r="1214" ht="15.75" customHeight="1">
      <c r="A1214" s="2">
        <v>462022.0</v>
      </c>
      <c r="B1214" s="2" t="s">
        <v>788</v>
      </c>
      <c r="C1214" s="2" t="s">
        <v>3151</v>
      </c>
      <c r="D1214" s="2" t="s">
        <v>1674</v>
      </c>
      <c r="E1214" s="2" t="s">
        <v>136</v>
      </c>
      <c r="F1214" s="2" t="s">
        <v>13</v>
      </c>
      <c r="G1214" s="2">
        <v>500.0</v>
      </c>
      <c r="H1214" s="3" t="str">
        <f>HYPERLINK("http://www.linkedin.com/in/samtyagi","http://www.linkedin.com/in/samtyagi")</f>
        <v>http://www.linkedin.com/in/samtyagi</v>
      </c>
      <c r="I1214" s="2" t="s">
        <v>15</v>
      </c>
      <c r="J1214" s="2" t="s">
        <v>102</v>
      </c>
      <c r="K1214" s="2" t="s">
        <v>35</v>
      </c>
    </row>
    <row r="1215" ht="15.75" customHeight="1">
      <c r="A1215" s="2">
        <v>462055.0</v>
      </c>
      <c r="B1215" s="2" t="s">
        <v>1232</v>
      </c>
      <c r="C1215" s="2" t="s">
        <v>3152</v>
      </c>
      <c r="D1215" s="2" t="s">
        <v>3153</v>
      </c>
      <c r="E1215" s="2" t="s">
        <v>136</v>
      </c>
      <c r="F1215" s="2">
        <v>18.0</v>
      </c>
      <c r="G1215" s="2">
        <v>500.0</v>
      </c>
      <c r="H1215" s="3" t="str">
        <f>HYPERLINK("http://www.linkedin.com/pub/roger-brooks/0/140/6B4","http://www.linkedin.com/pub/roger-brooks/0/140/6B4")</f>
        <v>http://www.linkedin.com/pub/roger-brooks/0/140/6B4</v>
      </c>
      <c r="I1215" s="2" t="s">
        <v>2046</v>
      </c>
      <c r="J1215" s="2" t="s">
        <v>102</v>
      </c>
      <c r="K1215" s="2" t="s">
        <v>58</v>
      </c>
    </row>
    <row r="1216" ht="15.75" customHeight="1">
      <c r="A1216" s="2">
        <v>462988.0</v>
      </c>
      <c r="B1216" s="2" t="s">
        <v>754</v>
      </c>
      <c r="C1216" s="2" t="s">
        <v>3154</v>
      </c>
      <c r="D1216" s="2" t="s">
        <v>3155</v>
      </c>
      <c r="E1216" s="2" t="s">
        <v>3156</v>
      </c>
      <c r="F1216" s="2" t="s">
        <v>13</v>
      </c>
      <c r="G1216" s="2">
        <v>500.0</v>
      </c>
      <c r="H1216" s="3" t="str">
        <f>HYPERLINK("http://ca.linkedin.com/pub/greg-paupst/2/627/A21","http://ca.linkedin.com/pub/greg-paupst/2/627/A21")</f>
        <v>http://ca.linkedin.com/pub/greg-paupst/2/627/A21</v>
      </c>
      <c r="I1216" s="2" t="s">
        <v>57</v>
      </c>
      <c r="J1216" s="2" t="s">
        <v>44</v>
      </c>
      <c r="K1216" s="2" t="s">
        <v>58</v>
      </c>
    </row>
    <row r="1217" ht="15.75" customHeight="1">
      <c r="A1217" s="2">
        <v>463146.0</v>
      </c>
      <c r="B1217" s="2" t="s">
        <v>3157</v>
      </c>
      <c r="C1217" s="2" t="s">
        <v>3158</v>
      </c>
      <c r="D1217" s="2" t="s">
        <v>3159</v>
      </c>
      <c r="E1217" s="2" t="s">
        <v>748</v>
      </c>
      <c r="F1217" s="2" t="s">
        <v>13</v>
      </c>
      <c r="G1217" s="2">
        <v>161.0</v>
      </c>
      <c r="H1217" s="3" t="str">
        <f>HYPERLINK("http://www.linkedin.com/in/rajachellappa","http://www.linkedin.com/in/rajachellappa")</f>
        <v>http://www.linkedin.com/in/rajachellappa</v>
      </c>
      <c r="I1217" s="2" t="s">
        <v>225</v>
      </c>
      <c r="J1217" s="2" t="s">
        <v>28</v>
      </c>
      <c r="K1217" s="2" t="s">
        <v>35</v>
      </c>
    </row>
    <row r="1218" ht="15.75" customHeight="1">
      <c r="A1218" s="2">
        <v>463165.0</v>
      </c>
      <c r="B1218" s="2" t="s">
        <v>3160</v>
      </c>
      <c r="C1218" s="2" t="s">
        <v>3161</v>
      </c>
      <c r="D1218" s="2" t="s">
        <v>1145</v>
      </c>
      <c r="E1218" s="2" t="s">
        <v>235</v>
      </c>
      <c r="F1218" s="2" t="s">
        <v>13</v>
      </c>
      <c r="G1218" s="2">
        <v>500.0</v>
      </c>
      <c r="H1218" s="3" t="str">
        <f>HYPERLINK("http://www.linkedin.com/pub/baly-ambegaoker/2/963/581","http://www.linkedin.com/pub/baly-ambegaoker/2/963/581")</f>
        <v>http://www.linkedin.com/pub/baly-ambegaoker/2/963/581</v>
      </c>
      <c r="I1218" s="2" t="s">
        <v>15</v>
      </c>
      <c r="J1218" s="2" t="s">
        <v>102</v>
      </c>
      <c r="K1218" s="2" t="s">
        <v>35</v>
      </c>
    </row>
    <row r="1219" ht="15.75" customHeight="1">
      <c r="A1219" s="2">
        <v>463188.0</v>
      </c>
      <c r="B1219" s="2" t="s">
        <v>3162</v>
      </c>
      <c r="C1219" s="2" t="s">
        <v>3163</v>
      </c>
      <c r="D1219" s="2" t="s">
        <v>289</v>
      </c>
      <c r="E1219" s="2" t="s">
        <v>3164</v>
      </c>
      <c r="F1219" s="2" t="s">
        <v>13</v>
      </c>
      <c r="G1219" s="2">
        <v>500.0</v>
      </c>
      <c r="H1219" s="3" t="str">
        <f>HYPERLINK("http://uk.linkedin.com/pub/vikas-grover/4/339/29A","http://uk.linkedin.com/pub/vikas-grover/4/339/29A")</f>
        <v>http://uk.linkedin.com/pub/vikas-grover/4/339/29A</v>
      </c>
      <c r="I1219" s="2" t="s">
        <v>15</v>
      </c>
      <c r="J1219" s="2" t="s">
        <v>53</v>
      </c>
      <c r="K1219" s="2" t="s">
        <v>35</v>
      </c>
    </row>
    <row r="1220" ht="15.75" customHeight="1">
      <c r="A1220" s="2">
        <v>463384.0</v>
      </c>
      <c r="B1220" s="2" t="s">
        <v>3165</v>
      </c>
      <c r="C1220" s="2" t="s">
        <v>3166</v>
      </c>
      <c r="D1220" s="2" t="s">
        <v>3167</v>
      </c>
      <c r="E1220" s="2" t="s">
        <v>706</v>
      </c>
      <c r="F1220" s="2" t="s">
        <v>13</v>
      </c>
      <c r="G1220" s="2">
        <v>145.0</v>
      </c>
      <c r="H1220" s="3" t="str">
        <f>HYPERLINK("http://br.linkedin.com/pub/luciana-kamiyama/29/386/38","http://br.linkedin.com/pub/luciana-kamiyama/29/386/38")</f>
        <v>http://br.linkedin.com/pub/luciana-kamiyama/29/386/38</v>
      </c>
      <c r="I1220" s="2" t="s">
        <v>3168</v>
      </c>
      <c r="J1220" s="2" t="s">
        <v>34</v>
      </c>
      <c r="K1220" s="2" t="s">
        <v>3169</v>
      </c>
    </row>
    <row r="1221" ht="15.75" customHeight="1">
      <c r="A1221" s="2">
        <v>463388.0</v>
      </c>
      <c r="B1221" s="2" t="s">
        <v>3170</v>
      </c>
      <c r="C1221" s="2" t="s">
        <v>3171</v>
      </c>
      <c r="D1221" s="2" t="s">
        <v>3172</v>
      </c>
      <c r="E1221" s="2" t="s">
        <v>3173</v>
      </c>
      <c r="F1221" s="2">
        <v>5.0</v>
      </c>
      <c r="G1221" s="2">
        <v>500.0</v>
      </c>
      <c r="H1221" s="3" t="str">
        <f>HYPERLINK("http://br.linkedin.com/pub/j-nior-rocha/29/369/572","http://br.linkedin.com/pub/j-nior-rocha/29/369/572")</f>
        <v>http://br.linkedin.com/pub/j-nior-rocha/29/369/572</v>
      </c>
      <c r="I1221" s="2" t="s">
        <v>2574</v>
      </c>
      <c r="J1221" s="2" t="s">
        <v>34</v>
      </c>
      <c r="K1221" s="2" t="s">
        <v>3174</v>
      </c>
    </row>
    <row r="1222" ht="15.75" customHeight="1">
      <c r="A1222" s="2">
        <v>463609.0</v>
      </c>
      <c r="B1222" s="2" t="s">
        <v>3175</v>
      </c>
      <c r="C1222" s="2" t="s">
        <v>3176</v>
      </c>
      <c r="D1222" s="2" t="s">
        <v>3177</v>
      </c>
      <c r="E1222" s="2" t="s">
        <v>187</v>
      </c>
      <c r="F1222" s="2" t="s">
        <v>13</v>
      </c>
      <c r="G1222" s="2">
        <v>123.0</v>
      </c>
      <c r="H1222" s="3" t="str">
        <f>HYPERLINK("http://br.linkedin.com/pub/daniela-epe/29/A24/690","http://br.linkedin.com/pub/daniela-epe/29/A24/690")</f>
        <v>http://br.linkedin.com/pub/daniela-epe/29/A24/690</v>
      </c>
      <c r="I1222" s="2" t="s">
        <v>225</v>
      </c>
      <c r="J1222" s="2" t="s">
        <v>34</v>
      </c>
      <c r="K1222" s="2" t="s">
        <v>168</v>
      </c>
    </row>
    <row r="1223" ht="15.75" customHeight="1">
      <c r="A1223" s="2">
        <v>463712.0</v>
      </c>
      <c r="B1223" s="2" t="s">
        <v>3178</v>
      </c>
      <c r="C1223" s="2" t="s">
        <v>3179</v>
      </c>
      <c r="D1223" s="2" t="s">
        <v>3180</v>
      </c>
      <c r="E1223" s="2" t="s">
        <v>3181</v>
      </c>
      <c r="F1223" s="2" t="s">
        <v>13</v>
      </c>
      <c r="G1223" s="2">
        <v>386.0</v>
      </c>
      <c r="H1223" s="3" t="str">
        <f>HYPERLINK("http://br.linkedin.com/pub/lucas-figueiredo/2A/47/3B5","http://br.linkedin.com/pub/lucas-figueiredo/2A/47/3B5")</f>
        <v>http://br.linkedin.com/pub/lucas-figueiredo/2A/47/3B5</v>
      </c>
      <c r="I1223" s="2" t="s">
        <v>344</v>
      </c>
      <c r="J1223" s="2" t="s">
        <v>34</v>
      </c>
      <c r="K1223" s="2" t="s">
        <v>29</v>
      </c>
    </row>
    <row r="1224" ht="15.75" customHeight="1">
      <c r="A1224" s="2">
        <v>463847.0</v>
      </c>
      <c r="B1224" s="2" t="s">
        <v>3182</v>
      </c>
      <c r="C1224" s="2" t="s">
        <v>3183</v>
      </c>
      <c r="D1224" s="2" t="s">
        <v>289</v>
      </c>
      <c r="E1224" s="2" t="s">
        <v>122</v>
      </c>
      <c r="F1224" s="2">
        <v>1.0</v>
      </c>
      <c r="G1224" s="2">
        <v>500.0</v>
      </c>
      <c r="H1224" s="3" t="str">
        <f>HYPERLINK("http://uk.linkedin.com/in/gojko","http://uk.linkedin.com/in/gojko")</f>
        <v>http://uk.linkedin.com/in/gojko</v>
      </c>
      <c r="I1224" s="2" t="s">
        <v>15</v>
      </c>
      <c r="J1224" s="2" t="s">
        <v>53</v>
      </c>
      <c r="K1224" s="2" t="s">
        <v>35</v>
      </c>
    </row>
    <row r="1225" ht="15.75" customHeight="1">
      <c r="A1225" s="2">
        <v>464036.0</v>
      </c>
      <c r="B1225" s="2" t="s">
        <v>3184</v>
      </c>
      <c r="C1225" s="2" t="s">
        <v>3185</v>
      </c>
      <c r="D1225" s="2" t="s">
        <v>3186</v>
      </c>
      <c r="E1225" s="2" t="s">
        <v>301</v>
      </c>
      <c r="F1225" s="2">
        <v>1.0</v>
      </c>
      <c r="G1225" s="2">
        <v>500.0</v>
      </c>
      <c r="H1225" s="3" t="str">
        <f>HYPERLINK("http://www.linkedin.com/pub/ilya-welfeld/4/374/712","http://www.linkedin.com/pub/ilya-welfeld/4/374/712")</f>
        <v>http://www.linkedin.com/pub/ilya-welfeld/4/374/712</v>
      </c>
      <c r="I1225" s="2" t="s">
        <v>844</v>
      </c>
      <c r="J1225" s="2" t="s">
        <v>102</v>
      </c>
      <c r="K1225" s="2" t="s">
        <v>58</v>
      </c>
    </row>
    <row r="1226" ht="15.75" customHeight="1">
      <c r="A1226" s="2">
        <v>464910.0</v>
      </c>
      <c r="B1226" s="2" t="s">
        <v>333</v>
      </c>
      <c r="C1226" s="2" t="s">
        <v>2696</v>
      </c>
      <c r="D1226" s="2" t="s">
        <v>1674</v>
      </c>
      <c r="E1226" s="2" t="s">
        <v>122</v>
      </c>
      <c r="F1226" s="2">
        <v>166.0</v>
      </c>
      <c r="G1226" s="2">
        <v>500.0</v>
      </c>
      <c r="H1226" s="3" t="str">
        <f>HYPERLINK("http://www.linkedin.com/in/dmorris1","http://www.linkedin.com/in/dmorris1")</f>
        <v>http://www.linkedin.com/in/dmorris1</v>
      </c>
      <c r="I1226" s="2" t="s">
        <v>3187</v>
      </c>
      <c r="J1226" s="2" t="s">
        <v>53</v>
      </c>
      <c r="K1226" s="2" t="s">
        <v>97</v>
      </c>
    </row>
    <row r="1227" ht="15.75" customHeight="1">
      <c r="A1227" s="2">
        <v>465094.0</v>
      </c>
      <c r="B1227" s="2" t="s">
        <v>942</v>
      </c>
      <c r="C1227" s="2" t="s">
        <v>3188</v>
      </c>
      <c r="D1227" s="2" t="s">
        <v>3189</v>
      </c>
      <c r="E1227" s="2" t="s">
        <v>1802</v>
      </c>
      <c r="F1227" s="2" t="s">
        <v>13</v>
      </c>
      <c r="G1227" s="2">
        <v>500.0</v>
      </c>
      <c r="H1227" s="3" t="str">
        <f>HYPERLINK("http://www.linkedin.com/pub/perry-schugart/0/A30/35A","http://www.linkedin.com/pub/perry-schugart/0/A30/35A")</f>
        <v>http://www.linkedin.com/pub/perry-schugart/0/A30/35A</v>
      </c>
      <c r="I1227" s="2" t="s">
        <v>669</v>
      </c>
      <c r="J1227" s="2" t="s">
        <v>1803</v>
      </c>
      <c r="K1227" s="2" t="s">
        <v>58</v>
      </c>
    </row>
    <row r="1228" ht="15.75" customHeight="1">
      <c r="A1228" s="2">
        <v>465538.0</v>
      </c>
      <c r="B1228" s="2" t="s">
        <v>3190</v>
      </c>
      <c r="C1228" s="2" t="s">
        <v>3191</v>
      </c>
      <c r="D1228" s="2" t="s">
        <v>3192</v>
      </c>
      <c r="E1228" s="2" t="s">
        <v>445</v>
      </c>
      <c r="F1228" s="2">
        <v>3.0</v>
      </c>
      <c r="G1228" s="2">
        <v>277.0</v>
      </c>
      <c r="H1228" s="3" t="str">
        <f>HYPERLINK("http://www.linkedin.com/pub/henry-london/15/91/855","http://www.linkedin.com/pub/henry-london/15/91/855")</f>
        <v>http://www.linkedin.com/pub/henry-london/15/91/855</v>
      </c>
      <c r="I1228" s="2" t="s">
        <v>599</v>
      </c>
      <c r="J1228" s="2" t="s">
        <v>273</v>
      </c>
      <c r="K1228" s="2" t="s">
        <v>97</v>
      </c>
    </row>
    <row r="1229" ht="15.75" customHeight="1">
      <c r="A1229" s="2">
        <v>465633.0</v>
      </c>
      <c r="B1229" s="2" t="s">
        <v>2202</v>
      </c>
      <c r="C1229" s="2" t="s">
        <v>3193</v>
      </c>
      <c r="D1229" s="2" t="s">
        <v>42</v>
      </c>
      <c r="E1229" s="2" t="s">
        <v>1041</v>
      </c>
      <c r="F1229" s="2" t="s">
        <v>13</v>
      </c>
      <c r="G1229" s="2">
        <v>237.0</v>
      </c>
      <c r="H1229" s="3" t="str">
        <f>HYPERLINK("http://www.linkedin.com/in/arundhandapani","http://www.linkedin.com/in/arundhandapani")</f>
        <v>http://www.linkedin.com/in/arundhandapani</v>
      </c>
      <c r="I1229" s="2" t="s">
        <v>15</v>
      </c>
      <c r="J1229" s="2" t="s">
        <v>102</v>
      </c>
      <c r="K1229" s="2" t="s">
        <v>35</v>
      </c>
    </row>
    <row r="1230" ht="15.75" customHeight="1">
      <c r="A1230" s="2">
        <v>465735.0</v>
      </c>
      <c r="B1230" s="2" t="s">
        <v>291</v>
      </c>
      <c r="C1230" s="2" t="s">
        <v>3194</v>
      </c>
      <c r="D1230" s="2" t="s">
        <v>47</v>
      </c>
      <c r="E1230" s="2" t="s">
        <v>1781</v>
      </c>
      <c r="F1230" s="2">
        <v>19.0</v>
      </c>
      <c r="G1230" s="2">
        <v>500.0</v>
      </c>
      <c r="H1230" s="3" t="str">
        <f>HYPERLINK("http://www.linkedin.com/in/gbaha","http://www.linkedin.com/in/gbaha")</f>
        <v>http://www.linkedin.com/in/gbaha</v>
      </c>
      <c r="I1230" s="2" t="s">
        <v>15</v>
      </c>
      <c r="J1230" s="2" t="s">
        <v>102</v>
      </c>
      <c r="K1230" s="2" t="s">
        <v>35</v>
      </c>
    </row>
    <row r="1231" ht="15.75" customHeight="1">
      <c r="A1231" s="2">
        <v>465926.0</v>
      </c>
      <c r="B1231" s="2" t="s">
        <v>1032</v>
      </c>
      <c r="C1231" s="2" t="s">
        <v>1814</v>
      </c>
      <c r="D1231" s="2" t="s">
        <v>1966</v>
      </c>
      <c r="E1231" s="2" t="s">
        <v>235</v>
      </c>
      <c r="F1231" s="2" t="s">
        <v>13</v>
      </c>
      <c r="G1231" s="2">
        <v>500.0</v>
      </c>
      <c r="H1231" s="3" t="str">
        <f>HYPERLINK("http://www.linkedin.com/in/campaignguru","http://www.linkedin.com/in/campaignguru")</f>
        <v>http://www.linkedin.com/in/campaignguru</v>
      </c>
      <c r="I1231" s="2" t="s">
        <v>1012</v>
      </c>
      <c r="J1231" s="2" t="s">
        <v>102</v>
      </c>
      <c r="K1231" s="2" t="s">
        <v>58</v>
      </c>
    </row>
    <row r="1232" ht="15.75" customHeight="1">
      <c r="A1232" s="2">
        <v>467369.0</v>
      </c>
      <c r="B1232" s="2" t="s">
        <v>3195</v>
      </c>
      <c r="C1232" s="2" t="s">
        <v>3196</v>
      </c>
      <c r="D1232" s="2" t="s">
        <v>3197</v>
      </c>
      <c r="E1232" s="2" t="s">
        <v>3198</v>
      </c>
      <c r="F1232" s="2">
        <v>4.0</v>
      </c>
      <c r="G1232" s="2">
        <v>248.0</v>
      </c>
      <c r="H1232" s="3" t="str">
        <f>HYPERLINK("http://www.linkedin.com/pub/wayne-wright-pmp/1/768/223","http://www.linkedin.com/pub/wayne-wright-pmp/1/768/223")</f>
        <v>http://www.linkedin.com/pub/wayne-wright-pmp/1/768/223</v>
      </c>
      <c r="I1232" s="2" t="s">
        <v>2443</v>
      </c>
      <c r="J1232" s="2" t="s">
        <v>1047</v>
      </c>
      <c r="K1232" s="2" t="s">
        <v>357</v>
      </c>
    </row>
    <row r="1233" ht="15.75" customHeight="1">
      <c r="A1233" s="2">
        <v>468685.0</v>
      </c>
      <c r="B1233" s="2" t="s">
        <v>3199</v>
      </c>
      <c r="C1233" s="2" t="s">
        <v>3200</v>
      </c>
      <c r="D1233" s="2" t="s">
        <v>13</v>
      </c>
      <c r="E1233" s="2" t="s">
        <v>2208</v>
      </c>
      <c r="F1233" s="2">
        <v>2.0</v>
      </c>
      <c r="G1233" s="2">
        <v>500.0</v>
      </c>
      <c r="H1233" s="3" t="str">
        <f>HYPERLINK("http://www.linkedin.com/in/lassemj","http://www.linkedin.com/in/lassemj")</f>
        <v>http://www.linkedin.com/in/lassemj</v>
      </c>
      <c r="I1233" s="2" t="s">
        <v>143</v>
      </c>
      <c r="J1233" s="2" t="s">
        <v>352</v>
      </c>
      <c r="K1233" s="2" t="s">
        <v>35</v>
      </c>
    </row>
    <row r="1234" ht="15.75" customHeight="1">
      <c r="A1234" s="2">
        <v>468743.0</v>
      </c>
      <c r="B1234" s="2" t="s">
        <v>1087</v>
      </c>
      <c r="C1234" s="2" t="s">
        <v>3201</v>
      </c>
      <c r="D1234" s="2" t="s">
        <v>42</v>
      </c>
      <c r="E1234" s="2" t="s">
        <v>101</v>
      </c>
      <c r="F1234" s="2">
        <v>3.0</v>
      </c>
      <c r="G1234" s="2">
        <v>176.0</v>
      </c>
      <c r="H1234" s="3" t="str">
        <f>HYPERLINK("http://www.linkedin.com/pub/james-sebastian/3/6A/2A1","http://www.linkedin.com/pub/james-sebastian/3/6A/2A1")</f>
        <v>http://www.linkedin.com/pub/james-sebastian/3/6A/2A1</v>
      </c>
      <c r="I1234" s="2" t="s">
        <v>681</v>
      </c>
      <c r="J1234" s="2" t="s">
        <v>102</v>
      </c>
      <c r="K1234" s="2" t="s">
        <v>58</v>
      </c>
    </row>
    <row r="1235" ht="15.75" customHeight="1">
      <c r="A1235" s="2">
        <v>469397.0</v>
      </c>
      <c r="B1235" s="2" t="s">
        <v>3202</v>
      </c>
      <c r="C1235" s="2" t="s">
        <v>3203</v>
      </c>
      <c r="D1235" s="2" t="s">
        <v>3204</v>
      </c>
      <c r="E1235" s="2" t="s">
        <v>278</v>
      </c>
      <c r="F1235" s="2">
        <v>2.0</v>
      </c>
      <c r="G1235" s="2">
        <v>500.0</v>
      </c>
      <c r="H1235" s="3" t="str">
        <f>HYPERLINK("http://www.linkedin.com/pub/mitch-breines/0/B44/582","http://www.linkedin.com/pub/mitch-breines/0/B44/582")</f>
        <v>http://www.linkedin.com/pub/mitch-breines/0/B44/582</v>
      </c>
      <c r="I1235" s="2" t="s">
        <v>119</v>
      </c>
      <c r="J1235" s="2" t="s">
        <v>28</v>
      </c>
      <c r="K1235" s="2" t="s">
        <v>168</v>
      </c>
    </row>
    <row r="1236" ht="15.75" customHeight="1">
      <c r="A1236" s="2">
        <v>469769.0</v>
      </c>
      <c r="B1236" s="2" t="s">
        <v>1659</v>
      </c>
      <c r="C1236" s="2" t="s">
        <v>3205</v>
      </c>
      <c r="D1236" s="2" t="s">
        <v>3206</v>
      </c>
      <c r="E1236" s="2" t="s">
        <v>136</v>
      </c>
      <c r="F1236" s="2">
        <v>6.0</v>
      </c>
      <c r="G1236" s="2">
        <v>500.0</v>
      </c>
      <c r="H1236" s="3" t="str">
        <f>HYPERLINK("http://www.linkedin.com/pub/jan-smyth/2/522/453","http://www.linkedin.com/pub/jan-smyth/2/522/453")</f>
        <v>http://www.linkedin.com/pub/jan-smyth/2/522/453</v>
      </c>
      <c r="I1236" s="2" t="s">
        <v>15</v>
      </c>
      <c r="J1236" s="2" t="s">
        <v>102</v>
      </c>
      <c r="K1236" s="2" t="s">
        <v>35</v>
      </c>
    </row>
    <row r="1237" ht="15.75" customHeight="1">
      <c r="A1237" s="2">
        <v>469788.0</v>
      </c>
      <c r="B1237" s="2" t="s">
        <v>3207</v>
      </c>
      <c r="C1237" s="2" t="s">
        <v>3208</v>
      </c>
      <c r="D1237" s="2" t="s">
        <v>3209</v>
      </c>
      <c r="E1237" s="2" t="s">
        <v>3210</v>
      </c>
      <c r="F1237" s="2">
        <v>5.0</v>
      </c>
      <c r="G1237" s="2">
        <v>500.0</v>
      </c>
      <c r="H1237" s="3" t="str">
        <f>HYPERLINK("http://www.linkedin.com/in/sirajd","http://www.linkedin.com/in/sirajd")</f>
        <v>http://www.linkedin.com/in/sirajd</v>
      </c>
      <c r="I1237" s="2" t="s">
        <v>15</v>
      </c>
      <c r="J1237" s="2" t="s">
        <v>102</v>
      </c>
      <c r="K1237" s="2" t="s">
        <v>196</v>
      </c>
    </row>
    <row r="1238" ht="15.75" customHeight="1">
      <c r="A1238" s="2">
        <v>469954.0</v>
      </c>
      <c r="B1238" s="2" t="s">
        <v>3211</v>
      </c>
      <c r="C1238" s="2" t="s">
        <v>3212</v>
      </c>
      <c r="D1238" s="2" t="s">
        <v>309</v>
      </c>
      <c r="E1238" s="2" t="s">
        <v>3213</v>
      </c>
      <c r="F1238" s="2">
        <v>14.0</v>
      </c>
      <c r="G1238" s="2">
        <v>500.0</v>
      </c>
      <c r="H1238" s="3" t="str">
        <f>HYPERLINK("http://in.linkedin.com/in/omgiri","http://in.linkedin.com/in/omgiri")</f>
        <v>http://in.linkedin.com/in/omgiri</v>
      </c>
      <c r="I1238" s="2" t="s">
        <v>105</v>
      </c>
      <c r="J1238" s="2" t="s">
        <v>87</v>
      </c>
      <c r="K1238" s="2" t="s">
        <v>58</v>
      </c>
    </row>
    <row r="1239" ht="15.75" customHeight="1">
      <c r="A1239" s="2">
        <v>470791.0</v>
      </c>
      <c r="B1239" s="2" t="s">
        <v>3214</v>
      </c>
      <c r="C1239" s="2" t="s">
        <v>3215</v>
      </c>
      <c r="D1239" s="2" t="s">
        <v>114</v>
      </c>
      <c r="E1239" s="2" t="s">
        <v>1294</v>
      </c>
      <c r="F1239" s="2">
        <v>46.0</v>
      </c>
      <c r="G1239" s="2">
        <v>500.0</v>
      </c>
      <c r="H1239" s="3" t="str">
        <f>HYPERLINK("http://www.linkedin.com/in/michaeljhogan1","http://www.linkedin.com/in/michaeljhogan1")</f>
        <v>http://www.linkedin.com/in/michaeljhogan1</v>
      </c>
      <c r="I1239" s="2" t="s">
        <v>560</v>
      </c>
      <c r="J1239" s="2" t="s">
        <v>273</v>
      </c>
      <c r="K1239" s="2" t="s">
        <v>29</v>
      </c>
    </row>
    <row r="1240" ht="15.75" customHeight="1">
      <c r="A1240" s="2">
        <v>470859.0</v>
      </c>
      <c r="B1240" s="2" t="s">
        <v>471</v>
      </c>
      <c r="C1240" s="2" t="s">
        <v>3216</v>
      </c>
      <c r="D1240" s="2" t="s">
        <v>100</v>
      </c>
      <c r="E1240" s="2" t="s">
        <v>101</v>
      </c>
      <c r="F1240" s="2">
        <v>1.0</v>
      </c>
      <c r="G1240" s="2">
        <v>500.0</v>
      </c>
      <c r="H1240" s="3" t="str">
        <f>HYPERLINK("http://www.linkedin.com/pub/dan-duffy/3/548/285","http://www.linkedin.com/pub/dan-duffy/3/548/285")</f>
        <v>http://www.linkedin.com/pub/dan-duffy/3/548/285</v>
      </c>
      <c r="I1240" s="2" t="s">
        <v>15</v>
      </c>
      <c r="J1240" s="2" t="s">
        <v>102</v>
      </c>
      <c r="K1240" s="2" t="s">
        <v>35</v>
      </c>
    </row>
    <row r="1241" ht="15.75" customHeight="1">
      <c r="A1241" s="2">
        <v>471154.0</v>
      </c>
      <c r="B1241" s="2" t="s">
        <v>1289</v>
      </c>
      <c r="C1241" s="2" t="s">
        <v>3217</v>
      </c>
      <c r="D1241" s="2" t="s">
        <v>3218</v>
      </c>
      <c r="E1241" s="2" t="s">
        <v>3219</v>
      </c>
      <c r="F1241" s="2">
        <v>15.0</v>
      </c>
      <c r="G1241" s="2">
        <v>500.0</v>
      </c>
      <c r="H1241" s="3" t="str">
        <f>HYPERLINK("http://www.linkedin.com/in/cliffgregory","http://www.linkedin.com/in/cliffgregory")</f>
        <v>http://www.linkedin.com/in/cliffgregory</v>
      </c>
      <c r="I1241" s="2" t="s">
        <v>560</v>
      </c>
      <c r="J1241" s="2" t="s">
        <v>273</v>
      </c>
      <c r="K1241" s="2" t="s">
        <v>29</v>
      </c>
    </row>
    <row r="1242" ht="15.75" customHeight="1">
      <c r="A1242" s="2">
        <v>471288.0</v>
      </c>
      <c r="B1242" s="2" t="s">
        <v>1366</v>
      </c>
      <c r="C1242" s="2" t="s">
        <v>3220</v>
      </c>
      <c r="D1242" s="2" t="s">
        <v>47</v>
      </c>
      <c r="E1242" s="2" t="s">
        <v>136</v>
      </c>
      <c r="F1242" s="2">
        <v>2.0</v>
      </c>
      <c r="G1242" s="2">
        <v>500.0</v>
      </c>
      <c r="H1242" s="3" t="str">
        <f>HYPERLINK("http://www.linkedin.com/pub/peter-flachsmann/1/594/A58","http://www.linkedin.com/pub/peter-flachsmann/1/594/A58")</f>
        <v>http://www.linkedin.com/pub/peter-flachsmann/1/594/A58</v>
      </c>
      <c r="I1242" s="2" t="s">
        <v>663</v>
      </c>
      <c r="J1242" s="2" t="s">
        <v>102</v>
      </c>
      <c r="K1242" s="2" t="s">
        <v>58</v>
      </c>
    </row>
    <row r="1243" ht="15.75" customHeight="1">
      <c r="A1243" s="2">
        <v>472591.0</v>
      </c>
      <c r="B1243" s="2" t="s">
        <v>1868</v>
      </c>
      <c r="C1243" s="2" t="s">
        <v>3221</v>
      </c>
      <c r="D1243" s="2" t="s">
        <v>13</v>
      </c>
      <c r="E1243" s="2" t="s">
        <v>181</v>
      </c>
      <c r="F1243" s="2">
        <v>0.0</v>
      </c>
      <c r="G1243" s="2">
        <v>500.0</v>
      </c>
      <c r="H1243" s="3" t="str">
        <f>HYPERLINK("http://www.linkedin.com/in/jackwagner54/","http://www.linkedin.com/in/jackwagner54/")</f>
        <v>http://www.linkedin.com/in/jackwagner54/</v>
      </c>
      <c r="I1243" s="2" t="s">
        <v>326</v>
      </c>
      <c r="J1243" s="2" t="s">
        <v>102</v>
      </c>
      <c r="K1243" s="2" t="s">
        <v>35</v>
      </c>
    </row>
    <row r="1244" ht="15.75" customHeight="1">
      <c r="A1244" s="2">
        <v>472683.0</v>
      </c>
      <c r="B1244" s="2" t="s">
        <v>1173</v>
      </c>
      <c r="C1244" s="2" t="s">
        <v>3222</v>
      </c>
      <c r="D1244" s="2" t="s">
        <v>517</v>
      </c>
      <c r="E1244" s="2" t="s">
        <v>2022</v>
      </c>
      <c r="F1244" s="2">
        <v>10.0</v>
      </c>
      <c r="G1244" s="2">
        <v>500.0</v>
      </c>
      <c r="H1244" s="3" t="str">
        <f>HYPERLINK("http://www.linkedin.com/in/sthersh","http://www.linkedin.com/in/sthersh")</f>
        <v>http://www.linkedin.com/in/sthersh</v>
      </c>
      <c r="I1244" s="2" t="s">
        <v>15</v>
      </c>
      <c r="J1244" s="2" t="s">
        <v>87</v>
      </c>
      <c r="K1244" s="2" t="s">
        <v>35</v>
      </c>
    </row>
    <row r="1245" ht="15.75" customHeight="1">
      <c r="A1245" s="2">
        <v>473106.0</v>
      </c>
      <c r="B1245" s="2" t="s">
        <v>3223</v>
      </c>
      <c r="C1245" s="2" t="s">
        <v>3224</v>
      </c>
      <c r="D1245" s="2" t="s">
        <v>3225</v>
      </c>
      <c r="E1245" s="2" t="s">
        <v>2968</v>
      </c>
      <c r="F1245" s="2">
        <v>16.0</v>
      </c>
      <c r="G1245" s="2">
        <v>500.0</v>
      </c>
      <c r="H1245" s="3" t="str">
        <f>HYPERLINK("http://www.linkedin.com/pub/laura-mcguire/0/29/809","http://www.linkedin.com/pub/laura-mcguire/0/29/809")</f>
        <v>http://www.linkedin.com/pub/laura-mcguire/0/29/809</v>
      </c>
      <c r="I1245" s="2" t="s">
        <v>105</v>
      </c>
      <c r="J1245" s="2" t="s">
        <v>102</v>
      </c>
      <c r="K1245" s="2" t="s">
        <v>58</v>
      </c>
    </row>
    <row r="1246" ht="15.75" customHeight="1">
      <c r="A1246" s="2">
        <v>473184.0</v>
      </c>
      <c r="B1246" s="2" t="s">
        <v>1653</v>
      </c>
      <c r="C1246" s="2" t="s">
        <v>3226</v>
      </c>
      <c r="D1246" s="2" t="s">
        <v>536</v>
      </c>
      <c r="E1246" s="2" t="s">
        <v>301</v>
      </c>
      <c r="F1246" s="2">
        <v>1.0</v>
      </c>
      <c r="G1246" s="2">
        <v>500.0</v>
      </c>
      <c r="H1246" s="3" t="str">
        <f>HYPERLINK("http://www.linkedin.com/in/dougperlson","http://www.linkedin.com/in/dougperlson")</f>
        <v>http://www.linkedin.com/in/dougperlson</v>
      </c>
      <c r="I1246" s="2" t="s">
        <v>69</v>
      </c>
      <c r="J1246" s="2" t="s">
        <v>102</v>
      </c>
      <c r="K1246" s="2" t="s">
        <v>35</v>
      </c>
    </row>
    <row r="1247" ht="15.75" customHeight="1">
      <c r="A1247" s="2">
        <v>473473.0</v>
      </c>
      <c r="B1247" s="2" t="s">
        <v>3227</v>
      </c>
      <c r="C1247" s="2" t="s">
        <v>3228</v>
      </c>
      <c r="D1247" s="2"/>
      <c r="E1247" s="2" t="s">
        <v>3229</v>
      </c>
      <c r="F1247" s="2">
        <v>8.0</v>
      </c>
      <c r="G1247" s="2">
        <v>500.0</v>
      </c>
      <c r="H1247" s="3" t="str">
        <f>HYPERLINK("http://www.linkedin.com/pub/chad-laws/0/22/115","http://www.linkedin.com/pub/chad-laws/0/22/115")</f>
        <v>http://www.linkedin.com/pub/chad-laws/0/22/115</v>
      </c>
      <c r="I1247" s="2" t="s">
        <v>15</v>
      </c>
      <c r="J1247" s="2" t="s">
        <v>3230</v>
      </c>
      <c r="K1247" s="2" t="s">
        <v>35</v>
      </c>
    </row>
    <row r="1248" ht="15.75" customHeight="1">
      <c r="A1248" s="2">
        <v>473763.0</v>
      </c>
      <c r="B1248" s="2" t="s">
        <v>3231</v>
      </c>
      <c r="C1248" s="2" t="s">
        <v>3232</v>
      </c>
      <c r="D1248" s="2" t="s">
        <v>416</v>
      </c>
      <c r="E1248" s="2" t="s">
        <v>136</v>
      </c>
      <c r="F1248" s="2">
        <v>6.0</v>
      </c>
      <c r="G1248" s="2">
        <v>500.0</v>
      </c>
      <c r="H1248" s="3" t="str">
        <f>HYPERLINK("http://www.linkedin.com/pub/kia-behnia/0/17A/8B9","http://www.linkedin.com/pub/kia-behnia/0/17A/8B9")</f>
        <v>http://www.linkedin.com/pub/kia-behnia/0/17A/8B9</v>
      </c>
      <c r="I1248" s="2" t="s">
        <v>48</v>
      </c>
      <c r="J1248" s="2" t="s">
        <v>102</v>
      </c>
      <c r="K1248" s="2" t="s">
        <v>35</v>
      </c>
    </row>
    <row r="1249" ht="15.75" customHeight="1">
      <c r="A1249" s="2">
        <v>474123.0</v>
      </c>
      <c r="B1249" s="2" t="s">
        <v>3233</v>
      </c>
      <c r="C1249" s="2" t="s">
        <v>3234</v>
      </c>
      <c r="D1249" s="2" t="s">
        <v>3235</v>
      </c>
      <c r="E1249" s="2" t="s">
        <v>136</v>
      </c>
      <c r="F1249" s="2">
        <v>1.0</v>
      </c>
      <c r="G1249" s="2">
        <v>500.0</v>
      </c>
      <c r="H1249" s="3" t="str">
        <f>HYPERLINK("http://www.linkedin.com/pub/naren-nachiappan/0/387/36","http://www.linkedin.com/pub/naren-nachiappan/0/387/36")</f>
        <v>http://www.linkedin.com/pub/naren-nachiappan/0/387/36</v>
      </c>
      <c r="I1249" s="2" t="s">
        <v>48</v>
      </c>
      <c r="J1249" s="2" t="s">
        <v>102</v>
      </c>
      <c r="K1249" s="2" t="s">
        <v>35</v>
      </c>
    </row>
    <row r="1250" ht="15.75" customHeight="1">
      <c r="A1250" s="2">
        <v>474750.0</v>
      </c>
      <c r="B1250" s="2" t="s">
        <v>3048</v>
      </c>
      <c r="C1250" s="2" t="s">
        <v>3194</v>
      </c>
      <c r="D1250" s="2" t="s">
        <v>3236</v>
      </c>
      <c r="E1250" s="2" t="s">
        <v>301</v>
      </c>
      <c r="F1250" s="2" t="s">
        <v>13</v>
      </c>
      <c r="G1250" s="2">
        <v>500.0</v>
      </c>
      <c r="H1250" s="3" t="str">
        <f>HYPERLINK("http://www.linkedin.com/pub/prashant-bahadur/0/592/986","http://www.linkedin.com/pub/prashant-bahadur/0/592/986")</f>
        <v>http://www.linkedin.com/pub/prashant-bahadur/0/592/986</v>
      </c>
      <c r="I1250" s="2" t="s">
        <v>318</v>
      </c>
      <c r="J1250" s="2" t="s">
        <v>102</v>
      </c>
      <c r="K1250" s="2" t="s">
        <v>58</v>
      </c>
    </row>
    <row r="1251" ht="15.75" customHeight="1">
      <c r="A1251" s="2">
        <v>474879.0</v>
      </c>
      <c r="B1251" s="2" t="s">
        <v>3237</v>
      </c>
      <c r="C1251" s="2" t="s">
        <v>2948</v>
      </c>
      <c r="D1251" s="2" t="s">
        <v>304</v>
      </c>
      <c r="E1251" s="2" t="s">
        <v>294</v>
      </c>
      <c r="F1251" s="2">
        <v>4.0</v>
      </c>
      <c r="G1251" s="2">
        <v>500.0</v>
      </c>
      <c r="H1251" s="3" t="str">
        <f>HYPERLINK("http://www.linkedin.com/in/samanthawfoster","http://www.linkedin.com/in/samanthawfoster")</f>
        <v>http://www.linkedin.com/in/samanthawfoster</v>
      </c>
      <c r="I1251" s="2" t="s">
        <v>1107</v>
      </c>
      <c r="J1251" s="2" t="s">
        <v>102</v>
      </c>
      <c r="K1251" s="2" t="s">
        <v>58</v>
      </c>
    </row>
    <row r="1252" ht="15.75" customHeight="1">
      <c r="A1252" s="2">
        <v>474950.0</v>
      </c>
      <c r="B1252" s="2" t="s">
        <v>313</v>
      </c>
      <c r="C1252" s="2" t="s">
        <v>3238</v>
      </c>
      <c r="D1252" s="2" t="s">
        <v>3239</v>
      </c>
      <c r="E1252" s="2" t="s">
        <v>1041</v>
      </c>
      <c r="F1252" s="2" t="s">
        <v>13</v>
      </c>
      <c r="G1252" s="2">
        <v>500.0</v>
      </c>
      <c r="H1252" s="3" t="str">
        <f>HYPERLINK("http://www.linkedin.com/in/lprevost","http://www.linkedin.com/in/lprevost")</f>
        <v>http://www.linkedin.com/in/lprevost</v>
      </c>
      <c r="I1252" s="2" t="s">
        <v>69</v>
      </c>
      <c r="J1252" s="2" t="s">
        <v>102</v>
      </c>
      <c r="K1252" s="2" t="s">
        <v>35</v>
      </c>
    </row>
    <row r="1253" ht="15.75" customHeight="1">
      <c r="A1253" s="2">
        <v>475229.0</v>
      </c>
      <c r="B1253" s="2" t="s">
        <v>677</v>
      </c>
      <c r="C1253" s="2" t="s">
        <v>3240</v>
      </c>
      <c r="D1253" s="2" t="s">
        <v>3241</v>
      </c>
      <c r="E1253" s="2" t="s">
        <v>301</v>
      </c>
      <c r="F1253" s="2">
        <v>2.0</v>
      </c>
      <c r="G1253" s="2">
        <v>500.0</v>
      </c>
      <c r="H1253" s="3" t="str">
        <f>HYPERLINK("http://www.linkedin.com/pub/daniel-sarro/6/688/AA8","http://www.linkedin.com/pub/daniel-sarro/6/688/AA8")</f>
        <v>http://www.linkedin.com/pub/daniel-sarro/6/688/AA8</v>
      </c>
      <c r="I1253" s="2" t="s">
        <v>865</v>
      </c>
      <c r="J1253" s="2" t="s">
        <v>102</v>
      </c>
      <c r="K1253" s="2" t="s">
        <v>58</v>
      </c>
    </row>
    <row r="1254" ht="15.75" customHeight="1">
      <c r="A1254" s="2">
        <v>475401.0</v>
      </c>
      <c r="B1254" s="2" t="s">
        <v>1019</v>
      </c>
      <c r="C1254" s="2" t="s">
        <v>3242</v>
      </c>
      <c r="D1254" s="2" t="s">
        <v>100</v>
      </c>
      <c r="E1254" s="2" t="s">
        <v>407</v>
      </c>
      <c r="F1254" s="2">
        <v>4.0</v>
      </c>
      <c r="G1254" s="2">
        <v>500.0</v>
      </c>
      <c r="H1254" s="3" t="str">
        <f>HYPERLINK("http://www.linkedin.com/in/kendrall","http://www.linkedin.com/in/kendrall")</f>
        <v>http://www.linkedin.com/in/kendrall</v>
      </c>
      <c r="I1254" s="2" t="s">
        <v>15</v>
      </c>
      <c r="J1254" s="2" t="s">
        <v>102</v>
      </c>
      <c r="K1254" s="2" t="s">
        <v>35</v>
      </c>
    </row>
    <row r="1255" ht="15.75" customHeight="1">
      <c r="A1255" s="2">
        <v>475608.0</v>
      </c>
      <c r="B1255" s="2" t="s">
        <v>3243</v>
      </c>
      <c r="C1255" s="2" t="s">
        <v>1113</v>
      </c>
      <c r="D1255" s="2" t="s">
        <v>536</v>
      </c>
      <c r="E1255" s="2" t="s">
        <v>136</v>
      </c>
      <c r="F1255" s="2" t="s">
        <v>13</v>
      </c>
      <c r="G1255" s="2">
        <v>500.0</v>
      </c>
      <c r="H1255" s="3" t="str">
        <f>HYPERLINK("http://www.linkedin.com/in/traviskatz","http://www.linkedin.com/in/traviskatz")</f>
        <v>http://www.linkedin.com/in/traviskatz</v>
      </c>
      <c r="I1255" s="2" t="s">
        <v>69</v>
      </c>
      <c r="J1255" s="2" t="s">
        <v>102</v>
      </c>
      <c r="K1255" s="2" t="s">
        <v>35</v>
      </c>
    </row>
    <row r="1256" ht="15.75" customHeight="1">
      <c r="A1256" s="2">
        <v>475772.0</v>
      </c>
      <c r="B1256" s="2" t="s">
        <v>3244</v>
      </c>
      <c r="C1256" s="2" t="s">
        <v>3245</v>
      </c>
      <c r="D1256" s="2" t="s">
        <v>3246</v>
      </c>
      <c r="E1256" s="2" t="s">
        <v>301</v>
      </c>
      <c r="F1256" s="2">
        <v>5.0</v>
      </c>
      <c r="G1256" s="2">
        <v>500.0</v>
      </c>
      <c r="H1256" s="3" t="str">
        <f>HYPERLINK("http://www.linkedin.com/in/wendyshtan","http://www.linkedin.com/in/wendyshtan")</f>
        <v>http://www.linkedin.com/in/wendyshtan</v>
      </c>
      <c r="I1256" s="2" t="s">
        <v>1679</v>
      </c>
      <c r="J1256" s="2" t="s">
        <v>102</v>
      </c>
      <c r="K1256" s="2" t="s">
        <v>58</v>
      </c>
    </row>
    <row r="1257" ht="15.75" customHeight="1">
      <c r="A1257" s="2">
        <v>475834.0</v>
      </c>
      <c r="B1257" s="2" t="s">
        <v>313</v>
      </c>
      <c r="C1257" s="2" t="s">
        <v>3247</v>
      </c>
      <c r="D1257" s="2" t="s">
        <v>3248</v>
      </c>
      <c r="E1257" s="2" t="s">
        <v>450</v>
      </c>
      <c r="F1257" s="2">
        <v>4.0</v>
      </c>
      <c r="G1257" s="2">
        <v>438.0</v>
      </c>
      <c r="H1257" s="3" t="str">
        <f>HYPERLINK("http://www.linkedin.com/pub/lee-goldberg/0/166/B23","http://www.linkedin.com/pub/lee-goldberg/0/166/B23")</f>
        <v>http://www.linkedin.com/pub/lee-goldberg/0/166/B23</v>
      </c>
      <c r="I1257" s="2" t="s">
        <v>326</v>
      </c>
      <c r="J1257" s="2" t="s">
        <v>273</v>
      </c>
      <c r="K1257" s="2" t="s">
        <v>97</v>
      </c>
    </row>
    <row r="1258" ht="15.75" customHeight="1">
      <c r="A1258" s="2">
        <v>476145.0</v>
      </c>
      <c r="B1258" s="2" t="s">
        <v>3249</v>
      </c>
      <c r="C1258" s="2" t="s">
        <v>2061</v>
      </c>
      <c r="D1258" s="2" t="s">
        <v>416</v>
      </c>
      <c r="E1258" s="2" t="s">
        <v>235</v>
      </c>
      <c r="F1258" s="2">
        <v>3.0</v>
      </c>
      <c r="G1258" s="2">
        <v>452.0</v>
      </c>
      <c r="H1258" s="3" t="str">
        <f>HYPERLINK("http://www.linkedin.com/in/walkerwhite","http://www.linkedin.com/in/walkerwhite")</f>
        <v>http://www.linkedin.com/in/walkerwhite</v>
      </c>
      <c r="I1258" s="2" t="s">
        <v>48</v>
      </c>
      <c r="J1258" s="2" t="s">
        <v>102</v>
      </c>
      <c r="K1258" s="2" t="s">
        <v>35</v>
      </c>
    </row>
    <row r="1259" ht="15.75" customHeight="1">
      <c r="A1259" s="2">
        <v>476622.0</v>
      </c>
      <c r="B1259" s="2" t="s">
        <v>3250</v>
      </c>
      <c r="C1259" s="2" t="s">
        <v>3251</v>
      </c>
      <c r="D1259" s="2" t="s">
        <v>42</v>
      </c>
      <c r="E1259" s="2" t="s">
        <v>3252</v>
      </c>
      <c r="F1259" s="2">
        <v>5.0</v>
      </c>
      <c r="G1259" s="2">
        <v>500.0</v>
      </c>
      <c r="H1259" s="3" t="str">
        <f>HYPERLINK("http://www.linkedin.com/in/bdupsky","http://www.linkedin.com/in/bdupsky")</f>
        <v>http://www.linkedin.com/in/bdupsky</v>
      </c>
      <c r="I1259" s="2" t="s">
        <v>69</v>
      </c>
      <c r="J1259" s="2" t="s">
        <v>102</v>
      </c>
      <c r="K1259" s="2" t="s">
        <v>35</v>
      </c>
    </row>
    <row r="1260" ht="15.75" customHeight="1">
      <c r="A1260" s="2">
        <v>476788.0</v>
      </c>
      <c r="B1260" s="2" t="s">
        <v>3253</v>
      </c>
      <c r="C1260" s="2" t="s">
        <v>3254</v>
      </c>
      <c r="D1260" s="2" t="s">
        <v>2302</v>
      </c>
      <c r="E1260" s="2" t="s">
        <v>64</v>
      </c>
      <c r="F1260" s="2" t="s">
        <v>13</v>
      </c>
      <c r="G1260" s="2">
        <v>500.0</v>
      </c>
      <c r="H1260" s="3" t="str">
        <f>HYPERLINK("http://fr.linkedin.com/in/jeanlucamagat","http://fr.linkedin.com/in/jeanlucamagat")</f>
        <v>http://fr.linkedin.com/in/jeanlucamagat</v>
      </c>
      <c r="I1260" s="2" t="s">
        <v>15</v>
      </c>
      <c r="J1260" s="2" t="s">
        <v>65</v>
      </c>
      <c r="K1260" s="2" t="s">
        <v>35</v>
      </c>
    </row>
    <row r="1261" ht="15.75" customHeight="1">
      <c r="A1261" s="2">
        <v>476890.0</v>
      </c>
      <c r="B1261" s="2" t="s">
        <v>3255</v>
      </c>
      <c r="C1261" s="2" t="s">
        <v>3256</v>
      </c>
      <c r="D1261" s="2" t="s">
        <v>42</v>
      </c>
      <c r="E1261" s="2" t="s">
        <v>3257</v>
      </c>
      <c r="F1261" s="2" t="s">
        <v>13</v>
      </c>
      <c r="G1261" s="2">
        <v>500.0</v>
      </c>
      <c r="H1261" s="3" t="str">
        <f>HYPERLINK("http://nl.linkedin.com/in/docsys","http://nl.linkedin.com/in/docsys")</f>
        <v>http://nl.linkedin.com/in/docsys</v>
      </c>
      <c r="I1261" s="2" t="s">
        <v>48</v>
      </c>
      <c r="J1261" s="2" t="s">
        <v>837</v>
      </c>
      <c r="K1261" s="2" t="s">
        <v>35</v>
      </c>
    </row>
    <row r="1262" ht="15.75" customHeight="1">
      <c r="A1262" s="2">
        <v>477325.0</v>
      </c>
      <c r="B1262" s="2" t="s">
        <v>571</v>
      </c>
      <c r="C1262" s="2" t="s">
        <v>3092</v>
      </c>
      <c r="D1262" s="2" t="s">
        <v>309</v>
      </c>
      <c r="E1262" s="2" t="s">
        <v>2551</v>
      </c>
      <c r="F1262" s="2" t="s">
        <v>13</v>
      </c>
      <c r="G1262" s="2">
        <v>500.0</v>
      </c>
      <c r="H1262" s="3" t="str">
        <f>HYPERLINK("http://www.linkedin.com/pub/yogesh-patel/1/529/232","http://www.linkedin.com/pub/yogesh-patel/1/529/232")</f>
        <v>http://www.linkedin.com/pub/yogesh-patel/1/529/232</v>
      </c>
      <c r="I1262" s="2" t="s">
        <v>910</v>
      </c>
      <c r="J1262" s="2" t="s">
        <v>273</v>
      </c>
      <c r="K1262" s="2" t="s">
        <v>22</v>
      </c>
    </row>
    <row r="1263" ht="15.75" customHeight="1">
      <c r="A1263" s="2">
        <v>477398.0</v>
      </c>
      <c r="B1263" s="2" t="s">
        <v>3258</v>
      </c>
      <c r="C1263" s="2" t="s">
        <v>3259</v>
      </c>
      <c r="D1263" s="2" t="s">
        <v>3260</v>
      </c>
      <c r="E1263" s="2" t="s">
        <v>3261</v>
      </c>
      <c r="F1263" s="2" t="s">
        <v>13</v>
      </c>
      <c r="G1263" s="2">
        <v>500.0</v>
      </c>
      <c r="H1263" s="3" t="str">
        <f>HYPERLINK("http://it.linkedin.com/in/pierangelorossi","http://it.linkedin.com/in/pierangelorossi")</f>
        <v>http://it.linkedin.com/in/pierangelorossi</v>
      </c>
      <c r="I1263" s="2" t="s">
        <v>48</v>
      </c>
      <c r="J1263" s="2" t="s">
        <v>2258</v>
      </c>
      <c r="K1263" s="2" t="s">
        <v>35</v>
      </c>
    </row>
    <row r="1264" ht="15.75" customHeight="1">
      <c r="A1264" s="2">
        <v>477481.0</v>
      </c>
      <c r="B1264" s="2" t="s">
        <v>3262</v>
      </c>
      <c r="C1264" s="2" t="s">
        <v>3263</v>
      </c>
      <c r="D1264" s="2" t="s">
        <v>13</v>
      </c>
      <c r="E1264" s="2" t="s">
        <v>3264</v>
      </c>
      <c r="F1264" s="2">
        <v>0.0</v>
      </c>
      <c r="G1264" s="2">
        <v>500.0</v>
      </c>
      <c r="H1264" s="3" t="str">
        <f>HYPERLINK("https://www.linkedin.com/in/medicaldeviceexecrecruiter","https://www.linkedin.com/in/medicaldeviceexecrecruiter")</f>
        <v>https://www.linkedin.com/in/medicaldeviceexecrecruiter</v>
      </c>
      <c r="I1264" s="2" t="s">
        <v>865</v>
      </c>
      <c r="J1264" s="2" t="s">
        <v>102</v>
      </c>
      <c r="K1264" s="2" t="s">
        <v>58</v>
      </c>
    </row>
    <row r="1265" ht="15.75" customHeight="1">
      <c r="A1265" s="2">
        <v>477782.0</v>
      </c>
      <c r="B1265" s="2" t="s">
        <v>412</v>
      </c>
      <c r="C1265" s="2" t="s">
        <v>2726</v>
      </c>
      <c r="D1265" s="2" t="s">
        <v>47</v>
      </c>
      <c r="E1265" s="2" t="s">
        <v>301</v>
      </c>
      <c r="F1265" s="2">
        <v>6.0</v>
      </c>
      <c r="G1265" s="2">
        <v>500.0</v>
      </c>
      <c r="H1265" s="3" t="str">
        <f>HYPERLINK("http://www.linkedin.com/pub/robert-levitan/0/61/33B","http://www.linkedin.com/pub/robert-levitan/0/61/33B")</f>
        <v>http://www.linkedin.com/pub/robert-levitan/0/61/33B</v>
      </c>
      <c r="I1265" s="2" t="s">
        <v>69</v>
      </c>
      <c r="J1265" s="2" t="s">
        <v>102</v>
      </c>
      <c r="K1265" s="2" t="s">
        <v>35</v>
      </c>
    </row>
    <row r="1266" ht="15.75" customHeight="1">
      <c r="A1266" s="2">
        <v>477894.0</v>
      </c>
      <c r="B1266" s="2" t="s">
        <v>3265</v>
      </c>
      <c r="C1266" s="2" t="s">
        <v>3266</v>
      </c>
      <c r="D1266" s="2" t="s">
        <v>3267</v>
      </c>
      <c r="E1266" s="2" t="s">
        <v>272</v>
      </c>
      <c r="F1266" s="2">
        <v>1.0</v>
      </c>
      <c r="G1266" s="2">
        <v>500.0</v>
      </c>
      <c r="H1266" s="3" t="str">
        <f>HYPERLINK("http://www.linkedin.com/pub/hyder-bilgrami/2/30/206","http://www.linkedin.com/pub/hyder-bilgrami/2/30/206")</f>
        <v>http://www.linkedin.com/pub/hyder-bilgrami/2/30/206</v>
      </c>
      <c r="I1266" s="2" t="s">
        <v>1740</v>
      </c>
      <c r="J1266" s="2" t="s">
        <v>273</v>
      </c>
      <c r="K1266" s="2" t="s">
        <v>168</v>
      </c>
    </row>
    <row r="1267" ht="15.75" customHeight="1">
      <c r="A1267" s="2">
        <v>478337.0</v>
      </c>
      <c r="B1267" s="2" t="s">
        <v>3268</v>
      </c>
      <c r="C1267" s="2" t="s">
        <v>3269</v>
      </c>
      <c r="D1267" s="2"/>
      <c r="E1267" s="2" t="s">
        <v>457</v>
      </c>
      <c r="F1267" s="2">
        <v>4.0</v>
      </c>
      <c r="G1267" s="2">
        <v>500.0</v>
      </c>
      <c r="H1267" s="3" t="str">
        <f>HYPERLINK("http://www.linkedin.com/in/pjlentr","http://www.linkedin.com/in/pjlentr")</f>
        <v>http://www.linkedin.com/in/pjlentr</v>
      </c>
      <c r="I1267" s="2" t="s">
        <v>1094</v>
      </c>
      <c r="J1267" s="2" t="s">
        <v>102</v>
      </c>
      <c r="K1267" s="2" t="s">
        <v>3270</v>
      </c>
    </row>
    <row r="1268" ht="15.75" customHeight="1">
      <c r="A1268" s="2">
        <v>478387.0</v>
      </c>
      <c r="B1268" s="2" t="s">
        <v>3268</v>
      </c>
      <c r="C1268" s="2" t="s">
        <v>3271</v>
      </c>
      <c r="D1268" s="2" t="s">
        <v>3272</v>
      </c>
      <c r="E1268" s="2" t="s">
        <v>1190</v>
      </c>
      <c r="F1268" s="2" t="s">
        <v>13</v>
      </c>
      <c r="G1268" s="2">
        <v>500.0</v>
      </c>
      <c r="H1268" s="3" t="str">
        <f>HYPERLINK("http://www.linkedin.com/pub/patricia-conway/4/602/6","http://www.linkedin.com/pub/patricia-conway/4/602/6")</f>
        <v>http://www.linkedin.com/pub/patricia-conway/4/602/6</v>
      </c>
      <c r="I1268" s="2" t="s">
        <v>1740</v>
      </c>
      <c r="J1268" s="2" t="s">
        <v>102</v>
      </c>
      <c r="K1268" s="2" t="s">
        <v>3273</v>
      </c>
    </row>
    <row r="1269" ht="15.75" customHeight="1">
      <c r="A1269" s="2">
        <v>478842.0</v>
      </c>
      <c r="B1269" s="2" t="s">
        <v>3274</v>
      </c>
      <c r="C1269" s="2" t="s">
        <v>3275</v>
      </c>
      <c r="D1269" s="2" t="s">
        <v>3276</v>
      </c>
      <c r="E1269" s="2" t="s">
        <v>3277</v>
      </c>
      <c r="F1269" s="2">
        <v>1.0</v>
      </c>
      <c r="G1269" s="2">
        <v>376.0</v>
      </c>
      <c r="H1269" s="3" t="str">
        <f>HYPERLINK("http://www.linkedin.com/pub/brandt-giffin/3/5B2/A07","http://www.linkedin.com/pub/brandt-giffin/3/5B2/A07")</f>
        <v>http://www.linkedin.com/pub/brandt-giffin/3/5B2/A07</v>
      </c>
      <c r="I1269" s="2" t="s">
        <v>374</v>
      </c>
      <c r="J1269" s="2" t="s">
        <v>273</v>
      </c>
      <c r="K1269" s="2" t="s">
        <v>35</v>
      </c>
    </row>
    <row r="1270" ht="15.75" customHeight="1">
      <c r="A1270" s="2">
        <v>479198.0</v>
      </c>
      <c r="B1270" s="2" t="s">
        <v>2457</v>
      </c>
      <c r="C1270" s="2" t="s">
        <v>3278</v>
      </c>
      <c r="D1270" s="2" t="s">
        <v>3279</v>
      </c>
      <c r="E1270" s="2" t="s">
        <v>3280</v>
      </c>
      <c r="F1270" s="2">
        <v>13.0</v>
      </c>
      <c r="G1270" s="2">
        <v>500.0</v>
      </c>
      <c r="H1270" s="3" t="str">
        <f>HYPERLINK("http://www.linkedin.com/in/stephenbakergames","http://www.linkedin.com/in/stephenbakergames")</f>
        <v>http://www.linkedin.com/in/stephenbakergames</v>
      </c>
      <c r="I1270" s="2" t="s">
        <v>612</v>
      </c>
      <c r="J1270" s="2" t="s">
        <v>16</v>
      </c>
      <c r="K1270" s="2" t="s">
        <v>58</v>
      </c>
    </row>
    <row r="1271" ht="15.75" customHeight="1">
      <c r="A1271" s="2">
        <v>479229.0</v>
      </c>
      <c r="B1271" s="2" t="s">
        <v>3281</v>
      </c>
      <c r="C1271" s="2" t="s">
        <v>3282</v>
      </c>
      <c r="D1271" s="2"/>
      <c r="E1271" s="2" t="s">
        <v>783</v>
      </c>
      <c r="F1271" s="2">
        <v>2.0</v>
      </c>
      <c r="G1271" s="2">
        <v>216.0</v>
      </c>
      <c r="H1271" s="3" t="str">
        <f>HYPERLINK("http://www.linkedin.com/in/jayasimhaananth","http://www.linkedin.com/in/jayasimhaananth")</f>
        <v>http://www.linkedin.com/in/jayasimhaananth</v>
      </c>
      <c r="I1271" s="2" t="s">
        <v>48</v>
      </c>
      <c r="J1271" s="2" t="s">
        <v>575</v>
      </c>
      <c r="K1271" s="2" t="s">
        <v>22</v>
      </c>
    </row>
    <row r="1272" ht="15.75" customHeight="1">
      <c r="A1272" s="2">
        <v>479680.0</v>
      </c>
      <c r="B1272" s="2" t="s">
        <v>3283</v>
      </c>
      <c r="C1272" s="2" t="s">
        <v>3284</v>
      </c>
      <c r="D1272" s="2" t="s">
        <v>410</v>
      </c>
      <c r="E1272" s="2" t="s">
        <v>1615</v>
      </c>
      <c r="F1272" s="2">
        <v>15.0</v>
      </c>
      <c r="G1272" s="2">
        <v>500.0</v>
      </c>
      <c r="H1272" s="3" t="str">
        <f>HYPERLINK("http://ph.linkedin.com/in/toddowens","http://ph.linkedin.com/in/toddowens")</f>
        <v>http://ph.linkedin.com/in/toddowens</v>
      </c>
      <c r="I1272" s="2" t="s">
        <v>1237</v>
      </c>
      <c r="J1272" s="2" t="s">
        <v>102</v>
      </c>
      <c r="K1272" s="2" t="s">
        <v>58</v>
      </c>
    </row>
    <row r="1273" ht="15.75" customHeight="1">
      <c r="A1273" s="2">
        <v>479826.0</v>
      </c>
      <c r="B1273" s="2" t="s">
        <v>796</v>
      </c>
      <c r="C1273" s="2" t="s">
        <v>3285</v>
      </c>
      <c r="D1273" s="2" t="s">
        <v>3286</v>
      </c>
      <c r="E1273" s="2" t="s">
        <v>2090</v>
      </c>
      <c r="F1273" s="2">
        <v>3.0</v>
      </c>
      <c r="G1273" s="2">
        <v>500.0</v>
      </c>
      <c r="H1273" s="3" t="str">
        <f>HYPERLINK("http://www.linkedin.com/pub/simon-lukyanchyk-cim/4/766/611","http://www.linkedin.com/pub/simon-lukyanchyk-cim/4/766/611")</f>
        <v>http://www.linkedin.com/pub/simon-lukyanchyk-cim/4/766/611</v>
      </c>
      <c r="I1273" s="2" t="s">
        <v>1679</v>
      </c>
      <c r="J1273" s="2" t="s">
        <v>44</v>
      </c>
      <c r="K1273" s="2" t="s">
        <v>2373</v>
      </c>
    </row>
    <row r="1274" ht="15.75" customHeight="1">
      <c r="A1274" s="2">
        <v>480485.0</v>
      </c>
      <c r="B1274" s="2" t="s">
        <v>3287</v>
      </c>
      <c r="C1274" s="2" t="s">
        <v>3288</v>
      </c>
      <c r="D1274" s="2" t="s">
        <v>3289</v>
      </c>
      <c r="E1274" s="2" t="s">
        <v>142</v>
      </c>
      <c r="F1274" s="2">
        <v>90.0</v>
      </c>
      <c r="G1274" s="2">
        <v>500.0</v>
      </c>
      <c r="H1274" s="3" t="str">
        <f>HYPERLINK("http://www.linkedin.com/in/nadiagruzd","http://www.linkedin.com/in/nadiagruzd")</f>
        <v>http://www.linkedin.com/in/nadiagruzd</v>
      </c>
      <c r="I1274" s="2" t="s">
        <v>248</v>
      </c>
      <c r="J1274" s="2" t="s">
        <v>144</v>
      </c>
      <c r="K1274" s="2" t="s">
        <v>630</v>
      </c>
    </row>
    <row r="1275" ht="15.75" customHeight="1">
      <c r="A1275" s="2">
        <v>480963.0</v>
      </c>
      <c r="B1275" s="2" t="s">
        <v>1071</v>
      </c>
      <c r="C1275" s="2" t="s">
        <v>3290</v>
      </c>
      <c r="D1275" s="2" t="s">
        <v>42</v>
      </c>
      <c r="E1275" s="2" t="s">
        <v>136</v>
      </c>
      <c r="F1275" s="2">
        <v>5.0</v>
      </c>
      <c r="G1275" s="2">
        <v>500.0</v>
      </c>
      <c r="H1275" s="3" t="str">
        <f>HYPERLINK("http://www.linkedin.com/in/workbox","http://www.linkedin.com/in/workbox")</f>
        <v>http://www.linkedin.com/in/workbox</v>
      </c>
      <c r="I1275" s="2" t="s">
        <v>69</v>
      </c>
      <c r="J1275" s="2" t="s">
        <v>102</v>
      </c>
      <c r="K1275" s="2" t="s">
        <v>35</v>
      </c>
    </row>
    <row r="1276" ht="15.75" customHeight="1">
      <c r="A1276" s="2">
        <v>481159.0</v>
      </c>
      <c r="B1276" s="2" t="s">
        <v>3223</v>
      </c>
      <c r="C1276" s="2" t="s">
        <v>3291</v>
      </c>
      <c r="D1276" s="2" t="s">
        <v>3292</v>
      </c>
      <c r="E1276" s="2" t="s">
        <v>235</v>
      </c>
      <c r="F1276" s="2">
        <v>18.0</v>
      </c>
      <c r="G1276" s="2">
        <v>500.0</v>
      </c>
      <c r="H1276" s="3" t="str">
        <f>HYPERLINK("http://www.linkedin.com/in/lauragutnick","http://www.linkedin.com/in/lauragutnick")</f>
        <v>http://www.linkedin.com/in/lauragutnick</v>
      </c>
      <c r="I1276" s="2" t="s">
        <v>422</v>
      </c>
      <c r="J1276" s="2" t="s">
        <v>102</v>
      </c>
      <c r="K1276" s="2" t="s">
        <v>974</v>
      </c>
    </row>
    <row r="1277" ht="15.75" customHeight="1">
      <c r="A1277" s="2">
        <v>481314.0</v>
      </c>
      <c r="B1277" s="2" t="s">
        <v>287</v>
      </c>
      <c r="C1277" s="2" t="s">
        <v>3293</v>
      </c>
      <c r="D1277" s="2" t="s">
        <v>3294</v>
      </c>
      <c r="E1277" s="2" t="s">
        <v>136</v>
      </c>
      <c r="F1277" s="2">
        <v>4.0</v>
      </c>
      <c r="G1277" s="2">
        <v>500.0</v>
      </c>
      <c r="H1277" s="3" t="str">
        <f>HYPERLINK("http://www.linkedin.com/in/paulwakefield","http://www.linkedin.com/in/paulwakefield")</f>
        <v>http://www.linkedin.com/in/paulwakefield</v>
      </c>
      <c r="I1277" s="2" t="s">
        <v>105</v>
      </c>
      <c r="J1277" s="2" t="s">
        <v>102</v>
      </c>
      <c r="K1277" s="2" t="s">
        <v>58</v>
      </c>
    </row>
    <row r="1278" ht="15.75" customHeight="1">
      <c r="A1278" s="2">
        <v>481523.0</v>
      </c>
      <c r="B1278" s="2" t="s">
        <v>3295</v>
      </c>
      <c r="C1278" s="2" t="s">
        <v>3296</v>
      </c>
      <c r="D1278" s="2" t="s">
        <v>3297</v>
      </c>
      <c r="E1278" s="2" t="s">
        <v>397</v>
      </c>
      <c r="F1278" s="2">
        <v>0.0</v>
      </c>
      <c r="G1278" s="2">
        <v>288.0</v>
      </c>
      <c r="H1278" s="3" t="str">
        <f>HYPERLINK("http://www.linkedin.com/pub/kathy-laquadra/4/8B9/574","http://www.linkedin.com/pub/kathy-laquadra/4/8B9/574")</f>
        <v>http://www.linkedin.com/pub/kathy-laquadra/4/8B9/574</v>
      </c>
      <c r="I1278" s="2" t="s">
        <v>15</v>
      </c>
      <c r="J1278" s="2" t="s">
        <v>102</v>
      </c>
      <c r="K1278" s="2" t="s">
        <v>22</v>
      </c>
    </row>
    <row r="1279" ht="15.75" customHeight="1">
      <c r="A1279" s="2">
        <v>482183.0</v>
      </c>
      <c r="B1279" s="2" t="s">
        <v>845</v>
      </c>
      <c r="C1279" s="2" t="s">
        <v>944</v>
      </c>
      <c r="D1279" s="2" t="s">
        <v>3298</v>
      </c>
      <c r="E1279" s="2" t="s">
        <v>301</v>
      </c>
      <c r="F1279" s="2">
        <v>4.0</v>
      </c>
      <c r="G1279" s="2">
        <v>373.0</v>
      </c>
      <c r="H1279" s="3" t="str">
        <f>HYPERLINK("http://www.linkedin.com/in/lazworld","http://www.linkedin.com/in/lazworld")</f>
        <v>http://www.linkedin.com/in/lazworld</v>
      </c>
      <c r="I1279" s="2" t="s">
        <v>105</v>
      </c>
      <c r="J1279" s="2" t="s">
        <v>102</v>
      </c>
      <c r="K1279" s="2" t="s">
        <v>58</v>
      </c>
    </row>
    <row r="1280" ht="15.75" customHeight="1">
      <c r="A1280" s="2">
        <v>482299.0</v>
      </c>
      <c r="B1280" s="2" t="s">
        <v>3299</v>
      </c>
      <c r="C1280" s="2" t="s">
        <v>3300</v>
      </c>
      <c r="D1280" s="2" t="s">
        <v>3301</v>
      </c>
      <c r="E1280" s="2" t="s">
        <v>301</v>
      </c>
      <c r="F1280" s="2">
        <v>17.0</v>
      </c>
      <c r="G1280" s="2">
        <v>500.0</v>
      </c>
      <c r="H1280" s="3" t="str">
        <f>HYPERLINK("http://www.linkedin.com/in/fabianlapresa","http://www.linkedin.com/in/fabianlapresa")</f>
        <v>http://www.linkedin.com/in/fabianlapresa</v>
      </c>
      <c r="I1280" s="2" t="s">
        <v>612</v>
      </c>
      <c r="J1280" s="2" t="s">
        <v>102</v>
      </c>
      <c r="K1280" s="2" t="s">
        <v>58</v>
      </c>
    </row>
    <row r="1281" ht="15.75" customHeight="1">
      <c r="A1281" s="2">
        <v>482577.0</v>
      </c>
      <c r="B1281" s="2" t="s">
        <v>3302</v>
      </c>
      <c r="C1281" s="2" t="s">
        <v>3303</v>
      </c>
      <c r="D1281" s="2" t="s">
        <v>1750</v>
      </c>
      <c r="E1281" s="2" t="s">
        <v>278</v>
      </c>
      <c r="F1281" s="2">
        <v>1.0</v>
      </c>
      <c r="G1281" s="2">
        <v>149.0</v>
      </c>
      <c r="H1281" s="3" t="str">
        <f>HYPERLINK("http://www.linkedin.com/pub/cindy-monroe/4/8B8/7A0","http://www.linkedin.com/pub/cindy-monroe/4/8B8/7A0")</f>
        <v>http://www.linkedin.com/pub/cindy-monroe/4/8B8/7A0</v>
      </c>
      <c r="I1281" s="2" t="s">
        <v>248</v>
      </c>
      <c r="J1281" s="2" t="s">
        <v>28</v>
      </c>
      <c r="K1281" s="2" t="s">
        <v>3304</v>
      </c>
    </row>
    <row r="1282" ht="15.75" customHeight="1">
      <c r="A1282" s="2">
        <v>482588.0</v>
      </c>
      <c r="B1282" s="2" t="s">
        <v>3305</v>
      </c>
      <c r="C1282" s="2" t="s">
        <v>89</v>
      </c>
      <c r="D1282" s="2" t="s">
        <v>3306</v>
      </c>
      <c r="E1282" s="2" t="s">
        <v>39</v>
      </c>
      <c r="F1282" s="2">
        <v>2.0</v>
      </c>
      <c r="G1282" s="2">
        <v>500.0</v>
      </c>
      <c r="H1282" s="3" t="str">
        <f>HYPERLINK("http://br.linkedin.com/pub/ana-cavalcanti/6/41B/B3","http://br.linkedin.com/pub/ana-cavalcanti/6/41B/B3")</f>
        <v>http://br.linkedin.com/pub/ana-cavalcanti/6/41B/B3</v>
      </c>
      <c r="I1282" s="2" t="s">
        <v>48</v>
      </c>
      <c r="J1282" s="2" t="s">
        <v>34</v>
      </c>
      <c r="K1282" s="2" t="s">
        <v>35</v>
      </c>
    </row>
    <row r="1283" ht="15.75" customHeight="1">
      <c r="A1283" s="2">
        <v>482726.0</v>
      </c>
      <c r="B1283" s="2" t="s">
        <v>2667</v>
      </c>
      <c r="C1283" s="2" t="s">
        <v>3307</v>
      </c>
      <c r="D1283" s="2" t="s">
        <v>1062</v>
      </c>
      <c r="E1283" s="2" t="s">
        <v>136</v>
      </c>
      <c r="F1283" s="2">
        <v>15.0</v>
      </c>
      <c r="G1283" s="2">
        <v>500.0</v>
      </c>
      <c r="H1283" s="3" t="str">
        <f>HYPERLINK("http://www.linkedin.com/in/gerardcunningham","http://www.linkedin.com/in/gerardcunningham")</f>
        <v>http://www.linkedin.com/in/gerardcunningham</v>
      </c>
      <c r="I1283" s="2" t="s">
        <v>69</v>
      </c>
      <c r="J1283" s="2" t="s">
        <v>102</v>
      </c>
      <c r="K1283" s="2" t="s">
        <v>35</v>
      </c>
    </row>
    <row r="1284" ht="15.75" customHeight="1">
      <c r="A1284" s="2">
        <v>483415.0</v>
      </c>
      <c r="B1284" s="2" t="s">
        <v>133</v>
      </c>
      <c r="C1284" s="2" t="s">
        <v>3308</v>
      </c>
      <c r="D1284" s="2"/>
      <c r="E1284" s="2" t="s">
        <v>791</v>
      </c>
      <c r="F1284" s="2">
        <v>0.0</v>
      </c>
      <c r="G1284" s="2">
        <v>500.0</v>
      </c>
      <c r="H1284" s="3" t="str">
        <f>HYPERLINK("http://www.linkedin.com/in/michaelang1","http://www.linkedin.com/in/michaelang1")</f>
        <v>http://www.linkedin.com/in/michaelang1</v>
      </c>
      <c r="I1284" s="2" t="s">
        <v>48</v>
      </c>
      <c r="J1284" s="2" t="s">
        <v>575</v>
      </c>
      <c r="K1284" s="2" t="s">
        <v>22</v>
      </c>
    </row>
    <row r="1285" ht="15.75" customHeight="1">
      <c r="A1285" s="2">
        <v>483596.0</v>
      </c>
      <c r="B1285" s="2" t="s">
        <v>341</v>
      </c>
      <c r="C1285" s="2" t="s">
        <v>3309</v>
      </c>
      <c r="D1285" s="2" t="s">
        <v>114</v>
      </c>
      <c r="E1285" s="2" t="s">
        <v>744</v>
      </c>
      <c r="F1285" s="2">
        <v>30.0</v>
      </c>
      <c r="G1285" s="2">
        <v>500.0</v>
      </c>
      <c r="H1285" s="3" t="str">
        <f>HYPERLINK("http://www.linkedin.com/in/kevinkappler","http://www.linkedin.com/in/kevinkappler")</f>
        <v>http://www.linkedin.com/in/kevinkappler</v>
      </c>
      <c r="I1285" s="2" t="s">
        <v>248</v>
      </c>
      <c r="J1285" s="2" t="s">
        <v>102</v>
      </c>
      <c r="K1285" s="2" t="s">
        <v>196</v>
      </c>
    </row>
    <row r="1286" ht="15.75" customHeight="1">
      <c r="A1286" s="2">
        <v>484761.0</v>
      </c>
      <c r="B1286" s="2" t="s">
        <v>1032</v>
      </c>
      <c r="C1286" s="2" t="s">
        <v>3310</v>
      </c>
      <c r="D1286" s="2"/>
      <c r="E1286" s="2" t="s">
        <v>1334</v>
      </c>
      <c r="F1286" s="2">
        <v>1.0</v>
      </c>
      <c r="G1286" s="2">
        <v>328.0</v>
      </c>
      <c r="H1286" s="3" t="str">
        <f>HYPERLINK("http://www.linkedin.com/pub/ravi-mekala/2/60A/136","http://www.linkedin.com/pub/ravi-mekala/2/60A/136")</f>
        <v>http://www.linkedin.com/pub/ravi-mekala/2/60A/136</v>
      </c>
      <c r="I1286" s="2" t="s">
        <v>15</v>
      </c>
      <c r="J1286" s="2" t="s">
        <v>16</v>
      </c>
      <c r="K1286" s="2" t="s">
        <v>22</v>
      </c>
    </row>
    <row r="1287" ht="15.75" customHeight="1">
      <c r="A1287" s="2">
        <v>485590.0</v>
      </c>
      <c r="B1287" s="2" t="s">
        <v>879</v>
      </c>
      <c r="C1287" s="2" t="s">
        <v>764</v>
      </c>
      <c r="D1287" s="2" t="s">
        <v>3311</v>
      </c>
      <c r="E1287" s="2" t="s">
        <v>728</v>
      </c>
      <c r="F1287" s="2">
        <v>0.0</v>
      </c>
      <c r="G1287" s="2">
        <v>29.0</v>
      </c>
      <c r="H1287" s="3" t="str">
        <f>HYPERLINK("http://www.linkedin.com/pub/richard-mann/2/11A/341","http://www.linkedin.com/pub/richard-mann/2/11A/341")</f>
        <v>http://www.linkedin.com/pub/richard-mann/2/11A/341</v>
      </c>
      <c r="I1287" s="2" t="s">
        <v>240</v>
      </c>
      <c r="J1287" s="2" t="s">
        <v>102</v>
      </c>
      <c r="K1287" s="2" t="s">
        <v>3312</v>
      </c>
    </row>
    <row r="1288" ht="15.75" customHeight="1">
      <c r="A1288" s="2">
        <v>485971.0</v>
      </c>
      <c r="B1288" s="2" t="s">
        <v>3313</v>
      </c>
      <c r="C1288" s="2" t="s">
        <v>3314</v>
      </c>
      <c r="D1288" s="2" t="s">
        <v>309</v>
      </c>
      <c r="E1288" s="2" t="s">
        <v>39</v>
      </c>
      <c r="F1288" s="2">
        <v>14.0</v>
      </c>
      <c r="G1288" s="2">
        <v>500.0</v>
      </c>
      <c r="H1288" s="3" t="str">
        <f>HYPERLINK("http://br.linkedin.com/in/candreva","http://br.linkedin.com/in/candreva")</f>
        <v>http://br.linkedin.com/in/candreva</v>
      </c>
      <c r="I1288" s="2" t="s">
        <v>48</v>
      </c>
      <c r="J1288" s="2" t="s">
        <v>34</v>
      </c>
      <c r="K1288" s="2" t="s">
        <v>35</v>
      </c>
    </row>
    <row r="1289" ht="15.75" customHeight="1">
      <c r="A1289" s="2">
        <v>486056.0</v>
      </c>
      <c r="B1289" s="2" t="s">
        <v>3315</v>
      </c>
      <c r="C1289" s="2" t="s">
        <v>3316</v>
      </c>
      <c r="D1289" s="2" t="s">
        <v>1145</v>
      </c>
      <c r="E1289" s="2" t="s">
        <v>136</v>
      </c>
      <c r="F1289" s="2">
        <v>2.0</v>
      </c>
      <c r="G1289" s="2">
        <v>500.0</v>
      </c>
      <c r="H1289" s="3" t="str">
        <f>HYPERLINK("http://www.linkedin.com/in/antobud","http://www.linkedin.com/in/antobud")</f>
        <v>http://www.linkedin.com/in/antobud</v>
      </c>
      <c r="I1289" s="2" t="s">
        <v>15</v>
      </c>
      <c r="J1289" s="2" t="s">
        <v>102</v>
      </c>
      <c r="K1289" s="2" t="s">
        <v>35</v>
      </c>
    </row>
    <row r="1290" ht="15.75" customHeight="1">
      <c r="A1290" s="2">
        <v>486064.0</v>
      </c>
      <c r="B1290" s="2" t="s">
        <v>3317</v>
      </c>
      <c r="C1290" s="2" t="s">
        <v>3318</v>
      </c>
      <c r="D1290" s="2" t="s">
        <v>3319</v>
      </c>
      <c r="E1290" s="2" t="s">
        <v>931</v>
      </c>
      <c r="F1290" s="2" t="s">
        <v>13</v>
      </c>
      <c r="G1290" s="2">
        <v>500.0</v>
      </c>
      <c r="H1290" s="3" t="str">
        <f>HYPERLINK("http://pt.linkedin.com/in/vdomingos","http://pt.linkedin.com/in/vdomingos")</f>
        <v>http://pt.linkedin.com/in/vdomingos</v>
      </c>
      <c r="I1290" s="2" t="s">
        <v>15</v>
      </c>
      <c r="J1290" s="2" t="s">
        <v>53</v>
      </c>
      <c r="K1290" s="2" t="s">
        <v>35</v>
      </c>
    </row>
    <row r="1291" ht="15.75" customHeight="1">
      <c r="A1291" s="2">
        <v>486133.0</v>
      </c>
      <c r="B1291" s="2" t="s">
        <v>3320</v>
      </c>
      <c r="C1291" s="2" t="s">
        <v>1585</v>
      </c>
      <c r="D1291" s="2" t="s">
        <v>3321</v>
      </c>
      <c r="E1291" s="2" t="s">
        <v>259</v>
      </c>
      <c r="F1291" s="2">
        <v>5.0</v>
      </c>
      <c r="G1291" s="2">
        <v>500.0</v>
      </c>
      <c r="H1291" s="3" t="str">
        <f>HYPERLINK("http://www.linkedin.com/in/rogerwthomas","http://www.linkedin.com/in/rogerwthomas")</f>
        <v>http://www.linkedin.com/in/rogerwthomas</v>
      </c>
      <c r="I1291" s="2" t="s">
        <v>48</v>
      </c>
      <c r="J1291" s="2" t="s">
        <v>144</v>
      </c>
      <c r="K1291" s="2" t="s">
        <v>766</v>
      </c>
    </row>
    <row r="1292" ht="15.75" customHeight="1">
      <c r="A1292" s="2">
        <v>486414.0</v>
      </c>
      <c r="B1292" s="2" t="s">
        <v>710</v>
      </c>
      <c r="C1292" s="2" t="s">
        <v>3322</v>
      </c>
      <c r="D1292" s="2" t="s">
        <v>114</v>
      </c>
      <c r="E1292" s="2" t="s">
        <v>101</v>
      </c>
      <c r="F1292" s="2" t="s">
        <v>13</v>
      </c>
      <c r="G1292" s="2">
        <v>500.0</v>
      </c>
      <c r="H1292" s="3" t="str">
        <f>HYPERLINK("http://www.linkedin.com/in/globalebsjasonwu","http://www.linkedin.com/in/globalebsjasonwu")</f>
        <v>http://www.linkedin.com/in/globalebsjasonwu</v>
      </c>
      <c r="I1292" s="2" t="s">
        <v>57</v>
      </c>
      <c r="J1292" s="2" t="s">
        <v>102</v>
      </c>
      <c r="K1292" s="2" t="s">
        <v>58</v>
      </c>
    </row>
    <row r="1293" ht="15.75" customHeight="1">
      <c r="A1293" s="2">
        <v>486531.0</v>
      </c>
      <c r="B1293" s="2" t="s">
        <v>907</v>
      </c>
      <c r="C1293" s="2" t="s">
        <v>3323</v>
      </c>
      <c r="D1293" s="2" t="s">
        <v>3324</v>
      </c>
      <c r="E1293" s="2" t="s">
        <v>1994</v>
      </c>
      <c r="F1293" s="2">
        <v>6.0</v>
      </c>
      <c r="G1293" s="2">
        <v>500.0</v>
      </c>
      <c r="H1293" s="3" t="str">
        <f>HYPERLINK("http://www.linkedin.com/in/lorilovens","http://www.linkedin.com/in/lorilovens")</f>
        <v>http://www.linkedin.com/in/lorilovens</v>
      </c>
      <c r="I1293" s="2" t="s">
        <v>57</v>
      </c>
      <c r="J1293" s="2" t="s">
        <v>102</v>
      </c>
      <c r="K1293" s="2" t="s">
        <v>35</v>
      </c>
    </row>
    <row r="1294" ht="15.75" customHeight="1">
      <c r="A1294" s="2">
        <v>486539.0</v>
      </c>
      <c r="B1294" s="2" t="s">
        <v>1366</v>
      </c>
      <c r="C1294" s="2" t="s">
        <v>3325</v>
      </c>
      <c r="D1294" s="2" t="s">
        <v>42</v>
      </c>
      <c r="E1294" s="2" t="s">
        <v>247</v>
      </c>
      <c r="F1294" s="2">
        <v>2.0</v>
      </c>
      <c r="G1294" s="2">
        <v>49.0</v>
      </c>
      <c r="H1294" s="3" t="str">
        <f>HYPERLINK("http://ca.linkedin.com/in/peterfalconeri","http://ca.linkedin.com/in/peterfalconeri")</f>
        <v>http://ca.linkedin.com/in/peterfalconeri</v>
      </c>
      <c r="I1294" s="2" t="s">
        <v>15</v>
      </c>
      <c r="J1294" s="2" t="s">
        <v>44</v>
      </c>
      <c r="K1294" s="2" t="s">
        <v>35</v>
      </c>
    </row>
    <row r="1295" ht="15.75" customHeight="1">
      <c r="A1295" s="2">
        <v>486758.0</v>
      </c>
      <c r="B1295" s="2" t="s">
        <v>3326</v>
      </c>
      <c r="C1295" s="2" t="s">
        <v>3327</v>
      </c>
      <c r="D1295" s="2" t="s">
        <v>3328</v>
      </c>
      <c r="E1295" s="2" t="s">
        <v>3329</v>
      </c>
      <c r="F1295" s="2">
        <v>1.0</v>
      </c>
      <c r="G1295" s="2">
        <v>500.0</v>
      </c>
      <c r="H1295" s="3" t="str">
        <f>HYPERLINK("http://www.linkedin.com/in/matteococciardo","http://www.linkedin.com/in/matteococciardo")</f>
        <v>http://www.linkedin.com/in/matteococciardo</v>
      </c>
      <c r="I1295" s="2" t="s">
        <v>15</v>
      </c>
      <c r="J1295" s="2" t="s">
        <v>2258</v>
      </c>
      <c r="K1295" s="2" t="s">
        <v>35</v>
      </c>
    </row>
    <row r="1296" ht="15.75" customHeight="1">
      <c r="A1296" s="2">
        <v>486825.0</v>
      </c>
      <c r="B1296" s="2" t="s">
        <v>1716</v>
      </c>
      <c r="C1296" s="2" t="s">
        <v>3330</v>
      </c>
      <c r="D1296" s="2" t="s">
        <v>13</v>
      </c>
      <c r="E1296" s="2" t="s">
        <v>1520</v>
      </c>
      <c r="F1296" s="2">
        <v>0.0</v>
      </c>
      <c r="G1296" s="2">
        <v>146.0</v>
      </c>
      <c r="H1296" s="3" t="str">
        <f>HYPERLINK("http://www.linkedin.com/pub/lars-cavi-lars-cavi-btinternet-com/0/78a/784","http://www.linkedin.com/pub/lars-cavi-lars-cavi-btinternet-com/0/78a/784")</f>
        <v>http://www.linkedin.com/pub/lars-cavi-lars-cavi-btinternet-com/0/78a/784</v>
      </c>
      <c r="I1296" s="2" t="s">
        <v>77</v>
      </c>
      <c r="J1296" s="2" t="s">
        <v>53</v>
      </c>
      <c r="K1296" s="2" t="s">
        <v>97</v>
      </c>
    </row>
    <row r="1297" ht="15.75" customHeight="1">
      <c r="A1297" s="2">
        <v>486905.0</v>
      </c>
      <c r="B1297" s="2" t="s">
        <v>1173</v>
      </c>
      <c r="C1297" s="2" t="s">
        <v>3331</v>
      </c>
      <c r="D1297" s="2" t="s">
        <v>100</v>
      </c>
      <c r="E1297" s="2" t="s">
        <v>301</v>
      </c>
      <c r="F1297" s="2" t="s">
        <v>13</v>
      </c>
      <c r="G1297" s="2">
        <v>500.0</v>
      </c>
      <c r="H1297" s="3" t="str">
        <f>HYPERLINK("http://www.linkedin.com/in/stevenbeisler","http://www.linkedin.com/in/stevenbeisler")</f>
        <v>http://www.linkedin.com/in/stevenbeisler</v>
      </c>
      <c r="I1297" s="2" t="s">
        <v>15</v>
      </c>
      <c r="J1297" s="2" t="s">
        <v>102</v>
      </c>
      <c r="K1297" s="2" t="s">
        <v>35</v>
      </c>
    </row>
    <row r="1298" ht="15.75" customHeight="1">
      <c r="A1298" s="2">
        <v>487354.0</v>
      </c>
      <c r="B1298" s="2" t="s">
        <v>3048</v>
      </c>
      <c r="C1298" s="2" t="s">
        <v>3332</v>
      </c>
      <c r="D1298" s="2" t="s">
        <v>3333</v>
      </c>
      <c r="E1298" s="2" t="s">
        <v>3334</v>
      </c>
      <c r="F1298" s="2">
        <v>15.0</v>
      </c>
      <c r="G1298" s="2">
        <v>500.0</v>
      </c>
      <c r="H1298" s="3" t="str">
        <f>HYPERLINK("http://in.linkedin.com/in/prashantgulati","http://in.linkedin.com/in/prashantgulati")</f>
        <v>http://in.linkedin.com/in/prashantgulati</v>
      </c>
      <c r="I1298" s="2" t="s">
        <v>57</v>
      </c>
      <c r="J1298" s="2" t="s">
        <v>102</v>
      </c>
      <c r="K1298" s="2" t="s">
        <v>35</v>
      </c>
    </row>
    <row r="1299" ht="15.75" customHeight="1">
      <c r="A1299" s="2">
        <v>487771.0</v>
      </c>
      <c r="B1299" s="2" t="s">
        <v>3335</v>
      </c>
      <c r="C1299" s="2" t="s">
        <v>3336</v>
      </c>
      <c r="D1299" s="2" t="s">
        <v>3337</v>
      </c>
      <c r="E1299" s="2" t="s">
        <v>3338</v>
      </c>
      <c r="F1299" s="2" t="s">
        <v>13</v>
      </c>
      <c r="G1299" s="2">
        <v>64.0</v>
      </c>
      <c r="H1299" s="3" t="str">
        <f>HYPERLINK("http://br.linkedin.com/pub/edmilson-magalhaes/29/AA0/260","http://br.linkedin.com/pub/edmilson-magalhaes/29/AA0/260")</f>
        <v>http://br.linkedin.com/pub/edmilson-magalhaes/29/AA0/260</v>
      </c>
      <c r="I1299" s="2" t="s">
        <v>231</v>
      </c>
      <c r="J1299" s="2" t="s">
        <v>34</v>
      </c>
      <c r="K1299" s="2" t="s">
        <v>22</v>
      </c>
    </row>
    <row r="1300" ht="15.75" customHeight="1">
      <c r="A1300" s="2">
        <v>488275.0</v>
      </c>
      <c r="B1300" s="2" t="s">
        <v>3339</v>
      </c>
      <c r="C1300" s="2" t="s">
        <v>740</v>
      </c>
      <c r="D1300" s="2" t="s">
        <v>3340</v>
      </c>
      <c r="E1300" s="2" t="s">
        <v>3341</v>
      </c>
      <c r="F1300" s="2">
        <v>2.0</v>
      </c>
      <c r="G1300" s="2">
        <v>428.0</v>
      </c>
      <c r="H1300" s="3" t="str">
        <f>HYPERLINK("http://br.linkedin.com/pub/jalmir-silva/2A/AA1/51A","http://br.linkedin.com/pub/jalmir-silva/2A/AA1/51A")</f>
        <v>http://br.linkedin.com/pub/jalmir-silva/2A/AA1/51A</v>
      </c>
      <c r="I1300" s="2" t="s">
        <v>344</v>
      </c>
      <c r="J1300" s="2" t="s">
        <v>34</v>
      </c>
      <c r="K1300" s="2" t="s">
        <v>29</v>
      </c>
    </row>
    <row r="1301" ht="15.75" customHeight="1">
      <c r="A1301" s="2">
        <v>489126.0</v>
      </c>
      <c r="B1301" s="2" t="s">
        <v>3342</v>
      </c>
      <c r="C1301" s="2" t="s">
        <v>237</v>
      </c>
      <c r="D1301" s="2" t="s">
        <v>3343</v>
      </c>
      <c r="E1301" s="2" t="s">
        <v>3344</v>
      </c>
      <c r="F1301" s="2">
        <v>2.0</v>
      </c>
      <c r="G1301" s="2">
        <v>197.0</v>
      </c>
      <c r="H1301" s="3" t="str">
        <f>HYPERLINK("http://www.linkedin.com/pub/fabiola-ribeiro/8/165/536","http://www.linkedin.com/pub/fabiola-ribeiro/8/165/536")</f>
        <v>http://www.linkedin.com/pub/fabiola-ribeiro/8/165/536</v>
      </c>
      <c r="I1301" s="2" t="s">
        <v>1107</v>
      </c>
      <c r="J1301" s="2" t="s">
        <v>16</v>
      </c>
      <c r="K1301" s="2" t="s">
        <v>97</v>
      </c>
    </row>
    <row r="1302" ht="15.75" customHeight="1">
      <c r="A1302" s="2">
        <v>489138.0</v>
      </c>
      <c r="B1302" s="2" t="s">
        <v>3345</v>
      </c>
      <c r="C1302" s="2" t="s">
        <v>3346</v>
      </c>
      <c r="D1302" s="2" t="s">
        <v>3347</v>
      </c>
      <c r="E1302" s="2" t="s">
        <v>283</v>
      </c>
      <c r="F1302" s="2">
        <v>12.0</v>
      </c>
      <c r="G1302" s="2">
        <v>500.0</v>
      </c>
      <c r="H1302" s="3" t="str">
        <f>HYPERLINK("http://www.linkedin.com/in/gopikishan","http://www.linkedin.com/in/gopikishan")</f>
        <v>http://www.linkedin.com/in/gopikishan</v>
      </c>
      <c r="I1302" s="2" t="s">
        <v>248</v>
      </c>
      <c r="J1302" s="2" t="s">
        <v>273</v>
      </c>
      <c r="K1302" s="2" t="s">
        <v>22</v>
      </c>
    </row>
    <row r="1303" ht="15.75" customHeight="1">
      <c r="A1303" s="2">
        <v>489163.0</v>
      </c>
      <c r="B1303" s="2" t="s">
        <v>1019</v>
      </c>
      <c r="C1303" s="2" t="s">
        <v>3348</v>
      </c>
      <c r="D1303" s="2" t="s">
        <v>3349</v>
      </c>
      <c r="E1303" s="2" t="s">
        <v>877</v>
      </c>
      <c r="F1303" s="2">
        <v>3.0</v>
      </c>
      <c r="G1303" s="2">
        <v>500.0</v>
      </c>
      <c r="H1303" s="3" t="str">
        <f>HYPERLINK("http://www.linkedin.com/pub/matthew-dvorin/8/32A/571","http://www.linkedin.com/pub/matthew-dvorin/8/32A/571")</f>
        <v>http://www.linkedin.com/pub/matthew-dvorin/8/32A/571</v>
      </c>
      <c r="I1303" s="2" t="s">
        <v>77</v>
      </c>
      <c r="J1303" s="2" t="s">
        <v>273</v>
      </c>
      <c r="K1303" s="2" t="s">
        <v>3350</v>
      </c>
    </row>
    <row r="1304" ht="15.75" customHeight="1">
      <c r="A1304" s="2">
        <v>489195.0</v>
      </c>
      <c r="B1304" s="2" t="s">
        <v>3351</v>
      </c>
      <c r="C1304" s="2" t="s">
        <v>3352</v>
      </c>
      <c r="D1304" s="2" t="s">
        <v>3353</v>
      </c>
      <c r="E1304" s="2" t="s">
        <v>235</v>
      </c>
      <c r="F1304" s="2">
        <v>3.0</v>
      </c>
      <c r="G1304" s="2">
        <v>500.0</v>
      </c>
      <c r="H1304" s="3" t="str">
        <f>HYPERLINK("http://www.linkedin.com/in/darylz","http://www.linkedin.com/in/darylz")</f>
        <v>http://www.linkedin.com/in/darylz</v>
      </c>
      <c r="I1304" s="2" t="s">
        <v>458</v>
      </c>
      <c r="J1304" s="2" t="s">
        <v>102</v>
      </c>
      <c r="K1304" s="2" t="s">
        <v>29</v>
      </c>
    </row>
    <row r="1305" ht="15.75" customHeight="1">
      <c r="A1305" s="2">
        <v>489657.0</v>
      </c>
      <c r="B1305" s="2" t="s">
        <v>245</v>
      </c>
      <c r="C1305" s="2" t="s">
        <v>3354</v>
      </c>
      <c r="D1305" s="2" t="s">
        <v>13</v>
      </c>
      <c r="E1305" s="2" t="s">
        <v>136</v>
      </c>
      <c r="F1305" s="2">
        <v>2.0</v>
      </c>
      <c r="G1305" s="2">
        <v>500.0</v>
      </c>
      <c r="H1305" s="3" t="str">
        <f>HYPERLINK("http://www.linkedin.com/in/stevenwillmott","http://www.linkedin.com/in/stevenwillmott")</f>
        <v>http://www.linkedin.com/in/stevenwillmott</v>
      </c>
      <c r="I1305" s="2" t="s">
        <v>15</v>
      </c>
      <c r="J1305" s="2" t="s">
        <v>102</v>
      </c>
      <c r="K1305" s="2" t="s">
        <v>35</v>
      </c>
    </row>
    <row r="1306" ht="15.75" customHeight="1">
      <c r="A1306" s="2">
        <v>489759.0</v>
      </c>
      <c r="B1306" s="2" t="s">
        <v>1366</v>
      </c>
      <c r="C1306" s="2" t="s">
        <v>3355</v>
      </c>
      <c r="D1306" s="2" t="s">
        <v>3356</v>
      </c>
      <c r="E1306" s="2" t="s">
        <v>2038</v>
      </c>
      <c r="F1306" s="2">
        <v>36.0</v>
      </c>
      <c r="G1306" s="2">
        <v>500.0</v>
      </c>
      <c r="H1306" s="3" t="str">
        <f>HYPERLINK("http://uk.linkedin.com/in/petermcnaney","http://uk.linkedin.com/in/petermcnaney")</f>
        <v>http://uk.linkedin.com/in/petermcnaney</v>
      </c>
      <c r="I1306" s="2" t="s">
        <v>48</v>
      </c>
      <c r="J1306" s="2" t="s">
        <v>53</v>
      </c>
      <c r="K1306" s="2" t="s">
        <v>35</v>
      </c>
    </row>
    <row r="1307" ht="15.75" customHeight="1">
      <c r="A1307" s="2">
        <v>490217.0</v>
      </c>
      <c r="B1307" s="2" t="s">
        <v>2752</v>
      </c>
      <c r="C1307" s="2" t="s">
        <v>3357</v>
      </c>
      <c r="D1307" s="2" t="s">
        <v>3358</v>
      </c>
      <c r="E1307" s="2" t="s">
        <v>122</v>
      </c>
      <c r="F1307" s="2" t="s">
        <v>13</v>
      </c>
      <c r="G1307" s="2">
        <v>500.0</v>
      </c>
      <c r="H1307" s="3" t="str">
        <f>HYPERLINK("http://uk.linkedin.com/pub/craig-pearman/1/B78/554","http://uk.linkedin.com/pub/craig-pearman/1/B78/554")</f>
        <v>http://uk.linkedin.com/pub/craig-pearman/1/B78/554</v>
      </c>
      <c r="I1307" s="2" t="s">
        <v>15</v>
      </c>
      <c r="J1307" s="2" t="s">
        <v>53</v>
      </c>
      <c r="K1307" s="2" t="s">
        <v>35</v>
      </c>
    </row>
    <row r="1308" ht="15.75" customHeight="1">
      <c r="A1308" s="2">
        <v>490357.0</v>
      </c>
      <c r="B1308" s="2" t="s">
        <v>3359</v>
      </c>
      <c r="C1308" s="2" t="s">
        <v>3360</v>
      </c>
      <c r="D1308" s="2" t="s">
        <v>1145</v>
      </c>
      <c r="E1308" s="2" t="s">
        <v>765</v>
      </c>
      <c r="F1308" s="2">
        <v>3.0</v>
      </c>
      <c r="G1308" s="2">
        <v>500.0</v>
      </c>
      <c r="H1308" s="3" t="str">
        <f>HYPERLINK("http://www.linkedin.com/pub/mio-babic/1/AAB/B36","http://www.linkedin.com/pub/mio-babic/1/AAB/B36")</f>
        <v>http://www.linkedin.com/pub/mio-babic/1/AAB/B36</v>
      </c>
      <c r="I1308" s="2" t="s">
        <v>15</v>
      </c>
      <c r="J1308" s="2" t="s">
        <v>144</v>
      </c>
      <c r="K1308" s="2" t="s">
        <v>22</v>
      </c>
    </row>
    <row r="1309" ht="15.75" customHeight="1">
      <c r="A1309" s="2">
        <v>491213.0</v>
      </c>
      <c r="B1309" s="2" t="s">
        <v>3361</v>
      </c>
      <c r="C1309" s="2" t="s">
        <v>3362</v>
      </c>
      <c r="D1309" s="2" t="s">
        <v>13</v>
      </c>
      <c r="E1309" s="2" t="s">
        <v>122</v>
      </c>
      <c r="F1309" s="2">
        <v>0.0</v>
      </c>
      <c r="G1309" s="2">
        <v>500.0</v>
      </c>
      <c r="H1309" s="3" t="str">
        <f>HYPERLINK("http://www.linkedin.com/pub/andrey-dobrynin/1/7ba/18a","http://www.linkedin.com/pub/andrey-dobrynin/1/7ba/18a")</f>
        <v>http://www.linkedin.com/pub/andrey-dobrynin/1/7ba/18a</v>
      </c>
      <c r="I1309" s="2" t="s">
        <v>69</v>
      </c>
      <c r="J1309" s="2" t="s">
        <v>53</v>
      </c>
      <c r="K1309" s="2" t="s">
        <v>35</v>
      </c>
    </row>
    <row r="1310" ht="15.75" customHeight="1">
      <c r="A1310" s="2">
        <v>491467.0</v>
      </c>
      <c r="B1310" s="2" t="s">
        <v>3363</v>
      </c>
      <c r="C1310" s="2" t="s">
        <v>3364</v>
      </c>
      <c r="D1310" s="2" t="s">
        <v>3365</v>
      </c>
      <c r="E1310" s="2" t="s">
        <v>301</v>
      </c>
      <c r="F1310" s="2">
        <v>6.0</v>
      </c>
      <c r="G1310" s="2">
        <v>500.0</v>
      </c>
      <c r="H1310" s="3" t="str">
        <f>HYPERLINK("http://www.linkedin.com/pub/vilma-schonwetter/5/A72/74B","http://www.linkedin.com/pub/vilma-schonwetter/5/A72/74B")</f>
        <v>http://www.linkedin.com/pub/vilma-schonwetter/5/A72/74B</v>
      </c>
      <c r="I1310" s="2" t="s">
        <v>422</v>
      </c>
      <c r="J1310" s="2" t="s">
        <v>102</v>
      </c>
      <c r="K1310" s="2" t="s">
        <v>1176</v>
      </c>
    </row>
    <row r="1311" ht="15.75" customHeight="1">
      <c r="A1311" s="2">
        <v>491977.0</v>
      </c>
      <c r="B1311" s="2" t="s">
        <v>3366</v>
      </c>
      <c r="C1311" s="2" t="s">
        <v>3367</v>
      </c>
      <c r="D1311" s="2" t="s">
        <v>114</v>
      </c>
      <c r="E1311" s="2" t="s">
        <v>3368</v>
      </c>
      <c r="F1311" s="2">
        <v>9.0</v>
      </c>
      <c r="G1311" s="2">
        <v>500.0</v>
      </c>
      <c r="H1311" s="3" t="str">
        <f>HYPERLINK("http://www.linkedin.com/in/kimberlycoletti","http://www.linkedin.com/in/kimberlycoletti")</f>
        <v>http://www.linkedin.com/in/kimberlycoletti</v>
      </c>
      <c r="I1311" s="2" t="s">
        <v>422</v>
      </c>
      <c r="J1311" s="2" t="s">
        <v>102</v>
      </c>
      <c r="K1311" s="2" t="s">
        <v>2116</v>
      </c>
    </row>
    <row r="1312" ht="15.75" customHeight="1">
      <c r="A1312" s="2">
        <v>492778.0</v>
      </c>
      <c r="B1312" s="2" t="s">
        <v>253</v>
      </c>
      <c r="C1312" s="2" t="s">
        <v>3369</v>
      </c>
      <c r="D1312" s="2" t="s">
        <v>1667</v>
      </c>
      <c r="E1312" s="2" t="s">
        <v>499</v>
      </c>
      <c r="F1312" s="2">
        <v>5.0</v>
      </c>
      <c r="G1312" s="2">
        <v>500.0</v>
      </c>
      <c r="H1312" s="3" t="str">
        <f>HYPERLINK("http://pt.linkedin.com/pub/fernando-dias/2/737/736","http://pt.linkedin.com/pub/fernando-dias/2/737/736")</f>
        <v>http://pt.linkedin.com/pub/fernando-dias/2/737/736</v>
      </c>
      <c r="I1312" s="2" t="s">
        <v>15</v>
      </c>
      <c r="J1312" s="2" t="s">
        <v>34</v>
      </c>
      <c r="K1312" s="2" t="s">
        <v>35</v>
      </c>
    </row>
    <row r="1313" ht="15.75" customHeight="1">
      <c r="A1313" s="2">
        <v>492872.0</v>
      </c>
      <c r="B1313" s="2" t="s">
        <v>511</v>
      </c>
      <c r="C1313" s="2" t="s">
        <v>3370</v>
      </c>
      <c r="D1313" s="2" t="s">
        <v>3371</v>
      </c>
      <c r="E1313" s="2" t="s">
        <v>3372</v>
      </c>
      <c r="F1313" s="2" t="s">
        <v>13</v>
      </c>
      <c r="G1313" s="2">
        <v>200.0</v>
      </c>
      <c r="H1313" s="3" t="str">
        <f>HYPERLINK("http://www.linkedin.com/pub/mike-spedick/5/B4A/A04","http://www.linkedin.com/pub/mike-spedick/5/B4A/A04")</f>
        <v>http://www.linkedin.com/pub/mike-spedick/5/B4A/A04</v>
      </c>
      <c r="I1313" s="2" t="s">
        <v>663</v>
      </c>
      <c r="J1313" s="2" t="s">
        <v>144</v>
      </c>
      <c r="K1313" s="2" t="s">
        <v>3373</v>
      </c>
    </row>
    <row r="1314" ht="15.75" customHeight="1">
      <c r="A1314" s="2">
        <v>492898.0</v>
      </c>
      <c r="B1314" s="2" t="s">
        <v>3374</v>
      </c>
      <c r="C1314" s="2" t="s">
        <v>3375</v>
      </c>
      <c r="D1314" s="2"/>
      <c r="E1314" s="2" t="s">
        <v>2288</v>
      </c>
      <c r="F1314" s="2">
        <v>8.0</v>
      </c>
      <c r="G1314" s="2">
        <v>500.0</v>
      </c>
      <c r="H1314" s="3" t="str">
        <f>HYPERLINK("http://www.linkedin.com/pub/marcy-d-rubin/0/9BB/5A9","http://www.linkedin.com/pub/marcy-d-rubin/0/9BB/5A9")</f>
        <v>http://www.linkedin.com/pub/marcy-d-rubin/0/9BB/5A9</v>
      </c>
      <c r="I1314" s="2" t="s">
        <v>248</v>
      </c>
      <c r="J1314" s="2" t="s">
        <v>273</v>
      </c>
      <c r="K1314" s="2" t="s">
        <v>22</v>
      </c>
    </row>
    <row r="1315" ht="15.75" customHeight="1">
      <c r="A1315" s="2">
        <v>493017.0</v>
      </c>
      <c r="B1315" s="2" t="s">
        <v>84</v>
      </c>
      <c r="C1315" s="2" t="s">
        <v>3376</v>
      </c>
      <c r="D1315" s="2" t="s">
        <v>3377</v>
      </c>
      <c r="E1315" s="2" t="s">
        <v>1041</v>
      </c>
      <c r="F1315" s="2">
        <v>17.0</v>
      </c>
      <c r="G1315" s="2">
        <v>500.0</v>
      </c>
      <c r="H1315" s="3" t="str">
        <f>HYPERLINK("http://www.linkedin.com/in/deepakpisipati","http://www.linkedin.com/in/deepakpisipati")</f>
        <v>http://www.linkedin.com/in/deepakpisipati</v>
      </c>
      <c r="I1315" s="2" t="s">
        <v>15</v>
      </c>
      <c r="J1315" s="2" t="s">
        <v>102</v>
      </c>
      <c r="K1315" s="2" t="s">
        <v>35</v>
      </c>
    </row>
    <row r="1316" ht="15.75" customHeight="1">
      <c r="A1316" s="2">
        <v>493094.0</v>
      </c>
      <c r="B1316" s="2" t="s">
        <v>3378</v>
      </c>
      <c r="C1316" s="2" t="s">
        <v>3379</v>
      </c>
      <c r="D1316" s="2" t="s">
        <v>3380</v>
      </c>
      <c r="E1316" s="2" t="s">
        <v>2069</v>
      </c>
      <c r="F1316" s="2">
        <v>1.0</v>
      </c>
      <c r="G1316" s="2">
        <v>500.0</v>
      </c>
      <c r="H1316" s="3" t="str">
        <f>HYPERLINK("http://www.linkedin.com/pub/julia-demichelis/10/316/B4A","http://www.linkedin.com/pub/julia-demichelis/10/316/B4A")</f>
        <v>http://www.linkedin.com/pub/julia-demichelis/10/316/B4A</v>
      </c>
      <c r="I1316" s="2" t="s">
        <v>2725</v>
      </c>
      <c r="J1316" s="2" t="s">
        <v>28</v>
      </c>
      <c r="K1316" s="2" t="s">
        <v>3381</v>
      </c>
    </row>
    <row r="1317" ht="15.75" customHeight="1">
      <c r="A1317" s="2">
        <v>493277.0</v>
      </c>
      <c r="B1317" s="2" t="s">
        <v>1380</v>
      </c>
      <c r="C1317" s="2" t="s">
        <v>3382</v>
      </c>
      <c r="D1317" s="2" t="s">
        <v>3383</v>
      </c>
      <c r="E1317" s="2" t="s">
        <v>3384</v>
      </c>
      <c r="F1317" s="2">
        <v>3.0</v>
      </c>
      <c r="G1317" s="2">
        <v>500.0</v>
      </c>
      <c r="H1317" s="3" t="str">
        <f>HYPERLINK("http://www.linkedin.com/in/randydey","http://www.linkedin.com/in/randydey")</f>
        <v>http://www.linkedin.com/in/randydey</v>
      </c>
      <c r="I1317" s="2" t="s">
        <v>15</v>
      </c>
      <c r="J1317" s="2" t="s">
        <v>273</v>
      </c>
      <c r="K1317" s="2" t="s">
        <v>2373</v>
      </c>
    </row>
    <row r="1318" ht="15.75" customHeight="1">
      <c r="A1318" s="2">
        <v>493335.0</v>
      </c>
      <c r="B1318" s="2" t="s">
        <v>3385</v>
      </c>
      <c r="C1318" s="2" t="s">
        <v>3386</v>
      </c>
      <c r="D1318" s="2" t="s">
        <v>42</v>
      </c>
      <c r="E1318" s="2" t="s">
        <v>235</v>
      </c>
      <c r="F1318" s="2" t="s">
        <v>13</v>
      </c>
      <c r="G1318" s="2">
        <v>94.0</v>
      </c>
      <c r="H1318" s="3" t="str">
        <f>HYPERLINK("http://www.linkedin.com/pub/carrie-lamson/5/32A/798","http://www.linkedin.com/pub/carrie-lamson/5/32A/798")</f>
        <v>http://www.linkedin.com/pub/carrie-lamson/5/32A/798</v>
      </c>
      <c r="I1318" s="2" t="s">
        <v>1740</v>
      </c>
      <c r="J1318" s="2" t="s">
        <v>102</v>
      </c>
      <c r="K1318" s="2" t="s">
        <v>58</v>
      </c>
    </row>
    <row r="1319" ht="15.75" customHeight="1">
      <c r="A1319" s="2">
        <v>493485.0</v>
      </c>
      <c r="B1319" s="2" t="s">
        <v>2856</v>
      </c>
      <c r="C1319" s="2" t="s">
        <v>3387</v>
      </c>
      <c r="D1319" s="2" t="s">
        <v>959</v>
      </c>
      <c r="E1319" s="2" t="s">
        <v>808</v>
      </c>
      <c r="F1319" s="2">
        <v>4.0</v>
      </c>
      <c r="G1319" s="2">
        <v>500.0</v>
      </c>
      <c r="H1319" s="3" t="str">
        <f>HYPERLINK("http://www.linkedin.com/pub/derek-yeap/1/920/5A4","http://www.linkedin.com/pub/derek-yeap/1/920/5A4")</f>
        <v>http://www.linkedin.com/pub/derek-yeap/1/920/5A4</v>
      </c>
      <c r="I1319" s="2" t="s">
        <v>15</v>
      </c>
      <c r="J1319" s="2" t="s">
        <v>102</v>
      </c>
      <c r="K1319" s="2" t="s">
        <v>35</v>
      </c>
    </row>
    <row r="1320" ht="15.75" customHeight="1">
      <c r="A1320" s="2">
        <v>493865.0</v>
      </c>
      <c r="B1320" s="2" t="s">
        <v>133</v>
      </c>
      <c r="C1320" s="2" t="s">
        <v>3388</v>
      </c>
      <c r="D1320" s="2" t="s">
        <v>13</v>
      </c>
      <c r="E1320" s="2" t="s">
        <v>181</v>
      </c>
      <c r="F1320" s="2">
        <v>0.0</v>
      </c>
      <c r="G1320" s="2">
        <v>500.0</v>
      </c>
      <c r="H1320" s="3" t="str">
        <f>HYPERLINK("http://www.linkedin.com/in/michaeliacona","http://www.linkedin.com/in/michaeliacona")</f>
        <v>http://www.linkedin.com/in/michaeliacona</v>
      </c>
      <c r="I1320" s="2" t="s">
        <v>105</v>
      </c>
      <c r="J1320" s="2" t="s">
        <v>102</v>
      </c>
      <c r="K1320" s="2" t="s">
        <v>58</v>
      </c>
    </row>
    <row r="1321" ht="15.75" customHeight="1">
      <c r="A1321" s="2">
        <v>494274.0</v>
      </c>
      <c r="B1321" s="2" t="s">
        <v>3389</v>
      </c>
      <c r="C1321" s="2" t="s">
        <v>3390</v>
      </c>
      <c r="D1321" s="2" t="s">
        <v>13</v>
      </c>
      <c r="E1321" s="2" t="s">
        <v>1082</v>
      </c>
      <c r="F1321" s="2">
        <v>0.0</v>
      </c>
      <c r="G1321" s="2">
        <v>500.0</v>
      </c>
      <c r="H1321" s="3" t="str">
        <f>HYPERLINK("http://www.linkedin.com/in/manojranaweera","http://www.linkedin.com/in/manojranaweera")</f>
        <v>http://www.linkedin.com/in/manojranaweera</v>
      </c>
      <c r="I1321" s="2" t="s">
        <v>15</v>
      </c>
      <c r="J1321" s="2" t="s">
        <v>53</v>
      </c>
      <c r="K1321" s="2" t="s">
        <v>35</v>
      </c>
    </row>
    <row r="1322" ht="15.75" customHeight="1">
      <c r="A1322" s="2">
        <v>494575.0</v>
      </c>
      <c r="B1322" s="2" t="s">
        <v>3391</v>
      </c>
      <c r="C1322" s="2" t="s">
        <v>3392</v>
      </c>
      <c r="D1322" s="2" t="s">
        <v>47</v>
      </c>
      <c r="E1322" s="2" t="s">
        <v>882</v>
      </c>
      <c r="F1322" s="2" t="s">
        <v>13</v>
      </c>
      <c r="G1322" s="2">
        <v>500.0</v>
      </c>
      <c r="H1322" s="3" t="str">
        <f>HYPERLINK("http://www.linkedin.com/in/jeanmarclopezaventurecapital","http://www.linkedin.com/in/jeanmarclopezaventurecapital")</f>
        <v>http://www.linkedin.com/in/jeanmarclopezaventurecapital</v>
      </c>
      <c r="I1322" s="2" t="s">
        <v>279</v>
      </c>
      <c r="J1322" s="2" t="s">
        <v>102</v>
      </c>
      <c r="K1322" s="2" t="s">
        <v>58</v>
      </c>
    </row>
    <row r="1323" ht="15.75" customHeight="1">
      <c r="A1323" s="2">
        <v>494708.0</v>
      </c>
      <c r="B1323" s="2" t="s">
        <v>3393</v>
      </c>
      <c r="C1323" s="2" t="s">
        <v>3394</v>
      </c>
      <c r="D1323" s="2" t="s">
        <v>3395</v>
      </c>
      <c r="E1323" s="2" t="s">
        <v>3396</v>
      </c>
      <c r="F1323" s="2">
        <v>1.0</v>
      </c>
      <c r="G1323" s="2">
        <v>500.0</v>
      </c>
      <c r="H1323" s="3" t="str">
        <f>HYPERLINK("http://www.linkedin.com/in/kinaripachani","http://www.linkedin.com/in/kinaripachani")</f>
        <v>http://www.linkedin.com/in/kinaripachani</v>
      </c>
      <c r="I1323" s="2" t="s">
        <v>248</v>
      </c>
      <c r="J1323" s="2" t="s">
        <v>273</v>
      </c>
      <c r="K1323" s="2" t="s">
        <v>3397</v>
      </c>
    </row>
    <row r="1324" ht="15.75" customHeight="1">
      <c r="A1324" s="2">
        <v>494995.0</v>
      </c>
      <c r="B1324" s="2" t="s">
        <v>1096</v>
      </c>
      <c r="C1324" s="2" t="s">
        <v>3398</v>
      </c>
      <c r="D1324" s="2" t="s">
        <v>309</v>
      </c>
      <c r="E1324" s="2" t="s">
        <v>122</v>
      </c>
      <c r="F1324" s="2" t="s">
        <v>13</v>
      </c>
      <c r="G1324" s="2">
        <v>500.0</v>
      </c>
      <c r="H1324" s="3" t="str">
        <f>HYPERLINK("http://uk.linkedin.com/in/tonygrubb","http://uk.linkedin.com/in/tonygrubb")</f>
        <v>http://uk.linkedin.com/in/tonygrubb</v>
      </c>
      <c r="I1324" s="2" t="s">
        <v>326</v>
      </c>
      <c r="J1324" s="2" t="s">
        <v>53</v>
      </c>
      <c r="K1324" s="2" t="s">
        <v>97</v>
      </c>
    </row>
    <row r="1325" ht="15.75" customHeight="1">
      <c r="A1325" s="2">
        <v>495641.0</v>
      </c>
      <c r="B1325" s="2" t="s">
        <v>178</v>
      </c>
      <c r="C1325" s="2" t="s">
        <v>3399</v>
      </c>
      <c r="D1325" s="2" t="s">
        <v>1145</v>
      </c>
      <c r="E1325" s="2" t="s">
        <v>301</v>
      </c>
      <c r="F1325" s="2" t="s">
        <v>13</v>
      </c>
      <c r="G1325" s="2">
        <v>500.0</v>
      </c>
      <c r="H1325" s="3" t="str">
        <f>HYPERLINK("http://www.linkedin.com/in/joejmeyer","http://www.linkedin.com/in/joejmeyer")</f>
        <v>http://www.linkedin.com/in/joejmeyer</v>
      </c>
      <c r="I1325" s="2" t="s">
        <v>1012</v>
      </c>
      <c r="J1325" s="2" t="s">
        <v>102</v>
      </c>
      <c r="K1325" s="2" t="s">
        <v>35</v>
      </c>
    </row>
    <row r="1326" ht="15.75" customHeight="1">
      <c r="A1326" s="2">
        <v>495888.0</v>
      </c>
      <c r="B1326" s="2" t="s">
        <v>1932</v>
      </c>
      <c r="C1326" s="2" t="s">
        <v>3400</v>
      </c>
      <c r="D1326" s="2" t="s">
        <v>3401</v>
      </c>
      <c r="E1326" s="2" t="s">
        <v>1288</v>
      </c>
      <c r="F1326" s="2" t="s">
        <v>13</v>
      </c>
      <c r="G1326" s="2">
        <v>500.0</v>
      </c>
      <c r="H1326" s="3" t="str">
        <f>HYPERLINK("http://uk.linkedin.com/pub/michelle-sutton/3/A1A/336","http://uk.linkedin.com/pub/michelle-sutton/3/A1A/336")</f>
        <v>http://uk.linkedin.com/pub/michelle-sutton/3/A1A/336</v>
      </c>
      <c r="I1326" s="2" t="s">
        <v>15</v>
      </c>
      <c r="J1326" s="2" t="s">
        <v>53</v>
      </c>
      <c r="K1326" s="2" t="s">
        <v>35</v>
      </c>
    </row>
    <row r="1327" ht="15.75" customHeight="1">
      <c r="A1327" s="2">
        <v>495949.0</v>
      </c>
      <c r="B1327" s="2" t="s">
        <v>471</v>
      </c>
      <c r="C1327" s="2" t="s">
        <v>3402</v>
      </c>
      <c r="D1327" s="2" t="s">
        <v>114</v>
      </c>
      <c r="E1327" s="2" t="s">
        <v>748</v>
      </c>
      <c r="F1327" s="2">
        <v>1.0</v>
      </c>
      <c r="G1327" s="2">
        <v>500.0</v>
      </c>
      <c r="H1327" s="3" t="str">
        <f>HYPERLINK("http://www.linkedin.com/pub/dan-raker/6/A5/966","http://www.linkedin.com/pub/dan-raker/6/A5/966")</f>
        <v>http://www.linkedin.com/pub/dan-raker/6/A5/966</v>
      </c>
      <c r="I1327" s="2" t="s">
        <v>326</v>
      </c>
      <c r="J1327" s="2" t="s">
        <v>28</v>
      </c>
      <c r="K1327" s="2" t="s">
        <v>58</v>
      </c>
    </row>
    <row r="1328" ht="15.75" customHeight="1">
      <c r="A1328" s="2">
        <v>496514.0</v>
      </c>
      <c r="B1328" s="2" t="s">
        <v>3403</v>
      </c>
      <c r="C1328" s="2" t="s">
        <v>3404</v>
      </c>
      <c r="D1328" s="2"/>
      <c r="E1328" s="2" t="s">
        <v>278</v>
      </c>
      <c r="F1328" s="2">
        <v>1.0</v>
      </c>
      <c r="G1328" s="2">
        <v>500.0</v>
      </c>
      <c r="H1328" s="3" t="str">
        <f>HYPERLINK("http://www.linkedin.com/pub/millicent-montoya/1/BA7/73A","http://www.linkedin.com/pub/millicent-montoya/1/BA7/73A")</f>
        <v>http://www.linkedin.com/pub/millicent-montoya/1/BA7/73A</v>
      </c>
      <c r="I1328" s="2" t="s">
        <v>458</v>
      </c>
      <c r="J1328" s="2" t="s">
        <v>28</v>
      </c>
      <c r="K1328" s="2" t="s">
        <v>35</v>
      </c>
    </row>
    <row r="1329" ht="15.75" customHeight="1">
      <c r="A1329" s="2">
        <v>496552.0</v>
      </c>
      <c r="B1329" s="2" t="s">
        <v>1523</v>
      </c>
      <c r="C1329" s="2" t="s">
        <v>3405</v>
      </c>
      <c r="D1329" s="2"/>
      <c r="E1329" s="2" t="s">
        <v>278</v>
      </c>
      <c r="F1329" s="2">
        <v>0.0</v>
      </c>
      <c r="G1329" s="2">
        <v>300.0</v>
      </c>
      <c r="H1329" s="3" t="str">
        <f>HYPERLINK("http://www.linkedin.com/pub/phil-lucey/1/167/ABB","http://www.linkedin.com/pub/phil-lucey/1/167/ABB")</f>
        <v>http://www.linkedin.com/pub/phil-lucey/1/167/ABB</v>
      </c>
      <c r="I1329" s="2" t="s">
        <v>105</v>
      </c>
      <c r="J1329" s="2" t="s">
        <v>28</v>
      </c>
      <c r="K1329" s="2" t="s">
        <v>168</v>
      </c>
    </row>
    <row r="1330" ht="15.75" customHeight="1">
      <c r="A1330" s="2">
        <v>497183.0</v>
      </c>
      <c r="B1330" s="2" t="s">
        <v>3406</v>
      </c>
      <c r="C1330" s="2" t="s">
        <v>3407</v>
      </c>
      <c r="D1330" s="2" t="s">
        <v>289</v>
      </c>
      <c r="E1330" s="2" t="s">
        <v>272</v>
      </c>
      <c r="F1330" s="2">
        <v>0.0</v>
      </c>
      <c r="G1330" s="2">
        <v>261.0</v>
      </c>
      <c r="H1330" s="3" t="str">
        <f>HYPERLINK("http://www.linkedin.com/pub/jamal-ramdani/4/159/5B","http://www.linkedin.com/pub/jamal-ramdani/4/159/5B")</f>
        <v>http://www.linkedin.com/pub/jamal-ramdani/4/159/5B</v>
      </c>
      <c r="I1330" s="2" t="s">
        <v>167</v>
      </c>
      <c r="J1330" s="2" t="s">
        <v>273</v>
      </c>
      <c r="K1330" s="2" t="s">
        <v>78</v>
      </c>
    </row>
    <row r="1331" ht="15.75" customHeight="1">
      <c r="A1331" s="2">
        <v>498369.0</v>
      </c>
      <c r="B1331" s="2" t="s">
        <v>471</v>
      </c>
      <c r="C1331" s="2" t="s">
        <v>3408</v>
      </c>
      <c r="D1331" s="2" t="s">
        <v>410</v>
      </c>
      <c r="E1331" s="2" t="s">
        <v>101</v>
      </c>
      <c r="F1331" s="2" t="s">
        <v>13</v>
      </c>
      <c r="G1331" s="2">
        <v>500.0</v>
      </c>
      <c r="H1331" s="3" t="str">
        <f>HYPERLINK("http://www.linkedin.com/in/danwebber","http://www.linkedin.com/in/danwebber")</f>
        <v>http://www.linkedin.com/in/danwebber</v>
      </c>
      <c r="I1331" s="2" t="s">
        <v>172</v>
      </c>
      <c r="J1331" s="2" t="s">
        <v>102</v>
      </c>
      <c r="K1331" s="2" t="s">
        <v>58</v>
      </c>
    </row>
    <row r="1332" ht="15.75" customHeight="1">
      <c r="A1332" s="2">
        <v>498382.0</v>
      </c>
      <c r="B1332" s="2" t="s">
        <v>3409</v>
      </c>
      <c r="C1332" s="2" t="s">
        <v>3410</v>
      </c>
      <c r="D1332" s="2" t="s">
        <v>13</v>
      </c>
      <c r="E1332" s="2" t="s">
        <v>403</v>
      </c>
      <c r="F1332" s="2">
        <v>0.0</v>
      </c>
      <c r="G1332" s="2">
        <v>385.0</v>
      </c>
      <c r="H1332" s="3" t="str">
        <f>HYPERLINK("https://www.linkedin.com/in/judyradan","https://www.linkedin.com/in/judyradan")</f>
        <v>https://www.linkedin.com/in/judyradan</v>
      </c>
      <c r="I1332" s="2" t="s">
        <v>105</v>
      </c>
      <c r="J1332" s="2" t="s">
        <v>44</v>
      </c>
      <c r="K1332" s="2" t="s">
        <v>58</v>
      </c>
    </row>
    <row r="1333" ht="15.75" customHeight="1">
      <c r="A1333" s="2">
        <v>498570.0</v>
      </c>
      <c r="B1333" s="2" t="s">
        <v>3411</v>
      </c>
      <c r="C1333" s="2" t="s">
        <v>3412</v>
      </c>
      <c r="D1333" s="2" t="s">
        <v>3413</v>
      </c>
      <c r="E1333" s="2" t="s">
        <v>3372</v>
      </c>
      <c r="F1333" s="2">
        <v>47.0</v>
      </c>
      <c r="G1333" s="2">
        <v>500.0</v>
      </c>
      <c r="H1333" s="3" t="str">
        <f>HYPERLINK("http://www.linkedin.com/in/willemboom","http://www.linkedin.com/in/willemboom")</f>
        <v>http://www.linkedin.com/in/willemboom</v>
      </c>
      <c r="I1333" s="2" t="s">
        <v>15</v>
      </c>
      <c r="J1333" s="2" t="s">
        <v>144</v>
      </c>
      <c r="K1333" s="2" t="s">
        <v>3138</v>
      </c>
    </row>
    <row r="1334" ht="15.75" customHeight="1">
      <c r="A1334" s="2">
        <v>498773.0</v>
      </c>
      <c r="B1334" s="2" t="s">
        <v>631</v>
      </c>
      <c r="C1334" s="2" t="s">
        <v>1776</v>
      </c>
      <c r="D1334" s="2" t="s">
        <v>289</v>
      </c>
      <c r="E1334" s="2" t="s">
        <v>1531</v>
      </c>
      <c r="F1334" s="2">
        <v>2.0</v>
      </c>
      <c r="G1334" s="2">
        <v>500.0</v>
      </c>
      <c r="H1334" s="3" t="str">
        <f>HYPERLINK("https://www.linkedin.com/in/resourceflow","https://www.linkedin.com/in/resourceflow")</f>
        <v>https://www.linkedin.com/in/resourceflow</v>
      </c>
      <c r="I1334" s="2" t="s">
        <v>15</v>
      </c>
      <c r="J1334" s="2" t="s">
        <v>53</v>
      </c>
      <c r="K1334" s="2" t="s">
        <v>35</v>
      </c>
    </row>
    <row r="1335" ht="15.75" customHeight="1">
      <c r="A1335" s="2">
        <v>498859.0</v>
      </c>
      <c r="B1335" s="2" t="s">
        <v>431</v>
      </c>
      <c r="C1335" s="2" t="s">
        <v>1729</v>
      </c>
      <c r="D1335" s="2" t="s">
        <v>309</v>
      </c>
      <c r="E1335" s="2" t="s">
        <v>136</v>
      </c>
      <c r="F1335" s="2" t="s">
        <v>13</v>
      </c>
      <c r="G1335" s="2">
        <v>500.0</v>
      </c>
      <c r="H1335" s="3" t="str">
        <f>HYPERLINK("http://uk.linkedin.com/in/rmartinezv","http://uk.linkedin.com/in/rmartinezv")</f>
        <v>http://uk.linkedin.com/in/rmartinezv</v>
      </c>
      <c r="I1335" s="2" t="s">
        <v>69</v>
      </c>
      <c r="J1335" s="2" t="s">
        <v>102</v>
      </c>
      <c r="K1335" s="2" t="s">
        <v>35</v>
      </c>
    </row>
    <row r="1336" ht="15.75" customHeight="1">
      <c r="A1336" s="2">
        <v>499014.0</v>
      </c>
      <c r="B1336" s="2" t="s">
        <v>460</v>
      </c>
      <c r="C1336" s="2" t="s">
        <v>3414</v>
      </c>
      <c r="D1336" s="2" t="s">
        <v>42</v>
      </c>
      <c r="E1336" s="2" t="s">
        <v>166</v>
      </c>
      <c r="F1336" s="2" t="s">
        <v>13</v>
      </c>
      <c r="G1336" s="2">
        <v>147.0</v>
      </c>
      <c r="H1336" s="3" t="str">
        <f>HYPERLINK("http://www.linkedin.com/pub/john-fairholme/1/9A5/B0A","http://www.linkedin.com/pub/john-fairholme/1/9A5/B0A")</f>
        <v>http://www.linkedin.com/pub/john-fairholme/1/9A5/B0A</v>
      </c>
      <c r="I1336" s="2" t="s">
        <v>167</v>
      </c>
      <c r="J1336" s="2" t="s">
        <v>102</v>
      </c>
      <c r="K1336" s="2" t="s">
        <v>58</v>
      </c>
    </row>
    <row r="1337" ht="15.75" customHeight="1">
      <c r="A1337" s="2">
        <v>499535.0</v>
      </c>
      <c r="B1337" s="2" t="s">
        <v>3415</v>
      </c>
      <c r="C1337" s="2" t="s">
        <v>1131</v>
      </c>
      <c r="D1337" s="2" t="s">
        <v>3416</v>
      </c>
      <c r="E1337" s="2" t="s">
        <v>1288</v>
      </c>
      <c r="F1337" s="2" t="s">
        <v>13</v>
      </c>
      <c r="G1337" s="2">
        <v>500.0</v>
      </c>
      <c r="H1337" s="3" t="str">
        <f>HYPERLINK("http://uk.linkedin.com/pub/eoin-jennings/1/31/204","http://uk.linkedin.com/pub/eoin-jennings/1/31/204")</f>
        <v>http://uk.linkedin.com/pub/eoin-jennings/1/31/204</v>
      </c>
      <c r="I1337" s="2" t="s">
        <v>15</v>
      </c>
      <c r="J1337" s="2" t="s">
        <v>53</v>
      </c>
      <c r="K1337" s="2" t="s">
        <v>35</v>
      </c>
    </row>
    <row r="1338" ht="15.75" customHeight="1">
      <c r="A1338" s="2">
        <v>499582.0</v>
      </c>
      <c r="B1338" s="2" t="s">
        <v>3072</v>
      </c>
      <c r="C1338" s="2" t="s">
        <v>3417</v>
      </c>
      <c r="D1338" s="2" t="s">
        <v>13</v>
      </c>
      <c r="E1338" s="2" t="s">
        <v>491</v>
      </c>
      <c r="F1338" s="2">
        <v>0.0</v>
      </c>
      <c r="G1338" s="2">
        <v>500.0</v>
      </c>
      <c r="H1338" s="3" t="str">
        <f>HYPERLINK("http://www.linkedin.com/pub/luis-ojeda-s%C3%A1nchez/16/6b4/a4","http://www.linkedin.com/pub/luis-ojeda-s%C3%A1nchez/16/6b4/a4")</f>
        <v>http://www.linkedin.com/pub/luis-ojeda-s%C3%A1nchez/16/6b4/a4</v>
      </c>
      <c r="I1338" s="2" t="s">
        <v>15</v>
      </c>
      <c r="J1338" s="2" t="s">
        <v>220</v>
      </c>
      <c r="K1338" s="2" t="s">
        <v>35</v>
      </c>
    </row>
    <row r="1339" ht="15.75" customHeight="1">
      <c r="A1339" s="2">
        <v>500184.0</v>
      </c>
      <c r="B1339" s="2" t="s">
        <v>3418</v>
      </c>
      <c r="C1339" s="2" t="s">
        <v>3023</v>
      </c>
      <c r="D1339" s="2" t="s">
        <v>13</v>
      </c>
      <c r="E1339" s="2" t="s">
        <v>136</v>
      </c>
      <c r="F1339" s="2">
        <v>9.0</v>
      </c>
      <c r="G1339" s="2">
        <v>500.0</v>
      </c>
      <c r="H1339" s="3" t="str">
        <f>HYPERLINK("http://www.linkedin.com/in/nirumehta","http://www.linkedin.com/in/nirumehta")</f>
        <v>http://www.linkedin.com/in/nirumehta</v>
      </c>
      <c r="I1339" s="2" t="s">
        <v>69</v>
      </c>
      <c r="J1339" s="2" t="s">
        <v>102</v>
      </c>
      <c r="K1339" s="2" t="s">
        <v>58</v>
      </c>
    </row>
    <row r="1340" ht="15.75" customHeight="1">
      <c r="A1340" s="2">
        <v>500684.0</v>
      </c>
      <c r="B1340" s="2" t="s">
        <v>2646</v>
      </c>
      <c r="C1340" s="2" t="s">
        <v>3419</v>
      </c>
      <c r="D1340" s="2" t="s">
        <v>3420</v>
      </c>
      <c r="E1340" s="2" t="s">
        <v>604</v>
      </c>
      <c r="F1340" s="2">
        <v>0.0</v>
      </c>
      <c r="G1340" s="2">
        <v>417.0</v>
      </c>
      <c r="H1340" s="3" t="str">
        <f>HYPERLINK("http://www.linkedin.com/pub/justin-hayes/6/338/516","http://www.linkedin.com/pub/justin-hayes/6/338/516")</f>
        <v>http://www.linkedin.com/pub/justin-hayes/6/338/516</v>
      </c>
      <c r="I1340" s="2" t="s">
        <v>115</v>
      </c>
      <c r="J1340" s="2" t="s">
        <v>16</v>
      </c>
      <c r="K1340" s="2" t="s">
        <v>3421</v>
      </c>
    </row>
    <row r="1341" ht="15.75" customHeight="1">
      <c r="A1341" s="2">
        <v>501045.0</v>
      </c>
      <c r="B1341" s="2" t="s">
        <v>3422</v>
      </c>
      <c r="C1341" s="2" t="s">
        <v>3423</v>
      </c>
      <c r="D1341" s="2" t="s">
        <v>42</v>
      </c>
      <c r="E1341" s="2" t="s">
        <v>3424</v>
      </c>
      <c r="F1341" s="2">
        <v>1.0</v>
      </c>
      <c r="G1341" s="2">
        <v>384.0</v>
      </c>
      <c r="H1341" s="3" t="str">
        <f>HYPERLINK("http://www.linkedin.com/in/mgudipati","http://www.linkedin.com/in/mgudipati")</f>
        <v>http://www.linkedin.com/in/mgudipati</v>
      </c>
      <c r="I1341" s="2" t="s">
        <v>252</v>
      </c>
      <c r="J1341" s="2" t="s">
        <v>87</v>
      </c>
      <c r="K1341" s="2" t="s">
        <v>97</v>
      </c>
    </row>
    <row r="1342" ht="15.75" customHeight="1">
      <c r="A1342" s="2">
        <v>501465.0</v>
      </c>
      <c r="B1342" s="2" t="s">
        <v>133</v>
      </c>
      <c r="C1342" s="2" t="s">
        <v>3278</v>
      </c>
      <c r="D1342" s="2" t="s">
        <v>304</v>
      </c>
      <c r="E1342" s="2" t="s">
        <v>765</v>
      </c>
      <c r="F1342" s="2">
        <v>3.0</v>
      </c>
      <c r="G1342" s="2">
        <v>500.0</v>
      </c>
      <c r="H1342" s="3" t="str">
        <f>HYPERLINK("http://www.linkedin.com/in/micbaker","http://www.linkedin.com/in/micbaker")</f>
        <v>http://www.linkedin.com/in/micbaker</v>
      </c>
      <c r="I1342" s="2" t="s">
        <v>873</v>
      </c>
      <c r="J1342" s="2" t="s">
        <v>144</v>
      </c>
      <c r="K1342" s="2" t="s">
        <v>522</v>
      </c>
    </row>
    <row r="1343" ht="15.75" customHeight="1">
      <c r="A1343" s="2">
        <v>501501.0</v>
      </c>
      <c r="B1343" s="2" t="s">
        <v>3425</v>
      </c>
      <c r="C1343" s="3" t="str">
        <f>HYPERLINK("http://robininsightrecruiters.com","robininsightrecruiters.com")</f>
        <v>robininsightrecruiters.com</v>
      </c>
      <c r="D1343" s="2" t="s">
        <v>13</v>
      </c>
      <c r="E1343" s="2" t="s">
        <v>3426</v>
      </c>
      <c r="F1343" s="2">
        <v>2.0</v>
      </c>
      <c r="G1343" s="2">
        <v>273.0</v>
      </c>
      <c r="H1343" s="3" t="str">
        <f>HYPERLINK("http://www.linkedin.com/pub/robin-manley-robin-insightrecruiters-com/0/293/9a5","http://www.linkedin.com/pub/robin-manley-robin-insightrecruiters-com/0/293/9a5")</f>
        <v>http://www.linkedin.com/pub/robin-manley-robin-insightrecruiters-com/0/293/9a5</v>
      </c>
      <c r="I1343" s="2" t="s">
        <v>458</v>
      </c>
      <c r="J1343" s="2" t="s">
        <v>102</v>
      </c>
      <c r="K1343" s="2" t="s">
        <v>58</v>
      </c>
    </row>
    <row r="1344" ht="15.75" customHeight="1">
      <c r="A1344" s="2">
        <v>501601.0</v>
      </c>
      <c r="B1344" s="2" t="s">
        <v>677</v>
      </c>
      <c r="C1344" s="2" t="s">
        <v>3427</v>
      </c>
      <c r="D1344" s="2" t="s">
        <v>3428</v>
      </c>
      <c r="E1344" s="2" t="s">
        <v>3429</v>
      </c>
      <c r="F1344" s="2" t="s">
        <v>13</v>
      </c>
      <c r="G1344" s="2">
        <v>500.0</v>
      </c>
      <c r="H1344" s="3" t="str">
        <f>HYPERLINK("http://uk.linkedin.com/pub/daniel-trangmar/0/770/584","http://uk.linkedin.com/pub/daniel-trangmar/0/770/584")</f>
        <v>http://uk.linkedin.com/pub/daniel-trangmar/0/770/584</v>
      </c>
      <c r="I1344" s="2" t="s">
        <v>57</v>
      </c>
      <c r="J1344" s="2" t="s">
        <v>53</v>
      </c>
      <c r="K1344" s="2" t="s">
        <v>35</v>
      </c>
    </row>
    <row r="1345" ht="15.75" customHeight="1">
      <c r="A1345" s="2">
        <v>501818.0</v>
      </c>
      <c r="B1345" s="2" t="s">
        <v>1593</v>
      </c>
      <c r="C1345" s="2" t="s">
        <v>3430</v>
      </c>
      <c r="D1345" s="2" t="s">
        <v>114</v>
      </c>
      <c r="E1345" s="2" t="s">
        <v>3372</v>
      </c>
      <c r="F1345" s="2">
        <v>4.0</v>
      </c>
      <c r="G1345" s="2">
        <v>500.0</v>
      </c>
      <c r="H1345" s="3" t="str">
        <f>HYPERLINK("http://www.linkedin.com/in/adamaudette","http://www.linkedin.com/in/adamaudette")</f>
        <v>http://www.linkedin.com/in/adamaudette</v>
      </c>
      <c r="I1345" s="2" t="s">
        <v>105</v>
      </c>
      <c r="J1345" s="2" t="s">
        <v>144</v>
      </c>
      <c r="K1345" s="2" t="s">
        <v>522</v>
      </c>
    </row>
    <row r="1346" ht="15.75" customHeight="1">
      <c r="A1346" s="2">
        <v>501852.0</v>
      </c>
      <c r="B1346" s="2" t="s">
        <v>3313</v>
      </c>
      <c r="C1346" s="2" t="s">
        <v>501</v>
      </c>
      <c r="D1346" s="2" t="s">
        <v>47</v>
      </c>
      <c r="E1346" s="2" t="s">
        <v>3431</v>
      </c>
      <c r="F1346" s="2" t="s">
        <v>13</v>
      </c>
      <c r="G1346" s="2">
        <v>500.0</v>
      </c>
      <c r="H1346" s="3" t="str">
        <f>HYPERLINK("http://br.linkedin.com/pub/luiz-francisco-pinto-freitas/1/70/27A","http://br.linkedin.com/pub/luiz-francisco-pinto-freitas/1/70/27A")</f>
        <v>http://br.linkedin.com/pub/luiz-francisco-pinto-freitas/1/70/27A</v>
      </c>
      <c r="I1346" s="2" t="s">
        <v>132</v>
      </c>
      <c r="J1346" s="2" t="s">
        <v>34</v>
      </c>
      <c r="K1346" s="2" t="s">
        <v>58</v>
      </c>
    </row>
    <row r="1347" ht="15.75" customHeight="1">
      <c r="A1347" s="2">
        <v>501868.0</v>
      </c>
      <c r="B1347" s="2" t="s">
        <v>3432</v>
      </c>
      <c r="C1347" s="2" t="s">
        <v>3433</v>
      </c>
      <c r="D1347" s="2" t="s">
        <v>1674</v>
      </c>
      <c r="E1347" s="2" t="s">
        <v>136</v>
      </c>
      <c r="F1347" s="2">
        <v>3.0</v>
      </c>
      <c r="G1347" s="2">
        <v>500.0</v>
      </c>
      <c r="H1347" s="3" t="str">
        <f>HYPERLINK("http://www.linkedin.com/pub/joseph-bonocore/0/78/A68","http://www.linkedin.com/pub/joseph-bonocore/0/78/A68")</f>
        <v>http://www.linkedin.com/pub/joseph-bonocore/0/78/A68</v>
      </c>
      <c r="I1347" s="2" t="s">
        <v>57</v>
      </c>
      <c r="J1347" s="2" t="s">
        <v>102</v>
      </c>
      <c r="K1347" s="2" t="s">
        <v>58</v>
      </c>
    </row>
    <row r="1348" ht="15.75" customHeight="1">
      <c r="A1348" s="2">
        <v>501892.0</v>
      </c>
      <c r="B1348" s="2" t="s">
        <v>1032</v>
      </c>
      <c r="C1348" s="2" t="s">
        <v>3434</v>
      </c>
      <c r="D1348" s="2" t="s">
        <v>3435</v>
      </c>
      <c r="E1348" s="2" t="s">
        <v>3436</v>
      </c>
      <c r="F1348" s="2">
        <v>4.0</v>
      </c>
      <c r="G1348" s="2">
        <v>500.0</v>
      </c>
      <c r="H1348" s="3" t="str">
        <f>HYPERLINK("http://ca.linkedin.com/in/ravirevuri","http://ca.linkedin.com/in/ravirevuri")</f>
        <v>http://ca.linkedin.com/in/ravirevuri</v>
      </c>
      <c r="I1348" s="2" t="s">
        <v>15</v>
      </c>
      <c r="J1348" s="2" t="s">
        <v>44</v>
      </c>
      <c r="K1348" s="2" t="s">
        <v>35</v>
      </c>
    </row>
    <row r="1349" ht="15.75" customHeight="1">
      <c r="A1349" s="2">
        <v>502289.0</v>
      </c>
      <c r="B1349" s="2" t="s">
        <v>631</v>
      </c>
      <c r="C1349" s="2" t="s">
        <v>3437</v>
      </c>
      <c r="D1349" s="2" t="s">
        <v>47</v>
      </c>
      <c r="E1349" s="2" t="s">
        <v>3438</v>
      </c>
      <c r="F1349" s="2">
        <v>58.0</v>
      </c>
      <c r="G1349" s="2">
        <v>500.0</v>
      </c>
      <c r="H1349" s="3" t="str">
        <f>HYPERLINK("http://uk.linkedin.com/in/chrisbrassington","http://uk.linkedin.com/in/chrisbrassington")</f>
        <v>http://uk.linkedin.com/in/chrisbrassington</v>
      </c>
      <c r="I1349" s="2" t="s">
        <v>77</v>
      </c>
      <c r="J1349" s="2" t="s">
        <v>53</v>
      </c>
      <c r="K1349" s="2" t="s">
        <v>97</v>
      </c>
    </row>
    <row r="1350" ht="15.75" customHeight="1">
      <c r="A1350" s="2">
        <v>502341.0</v>
      </c>
      <c r="B1350" s="2" t="s">
        <v>3439</v>
      </c>
      <c r="C1350" s="2" t="s">
        <v>2168</v>
      </c>
      <c r="D1350" s="2" t="s">
        <v>3440</v>
      </c>
      <c r="E1350" s="2" t="s">
        <v>762</v>
      </c>
      <c r="F1350" s="2">
        <v>17.0</v>
      </c>
      <c r="G1350" s="2">
        <v>500.0</v>
      </c>
      <c r="H1350" s="3" t="str">
        <f>HYPERLINK("http://ca.linkedin.com/in/gameaudio","http://ca.linkedin.com/in/gameaudio")</f>
        <v>http://ca.linkedin.com/in/gameaudio</v>
      </c>
      <c r="I1350" s="2" t="s">
        <v>143</v>
      </c>
      <c r="J1350" s="2" t="s">
        <v>102</v>
      </c>
      <c r="K1350" s="2" t="s">
        <v>35</v>
      </c>
    </row>
    <row r="1351" ht="15.75" customHeight="1">
      <c r="A1351" s="2">
        <v>502345.0</v>
      </c>
      <c r="B1351" s="2" t="s">
        <v>3441</v>
      </c>
      <c r="C1351" s="2" t="s">
        <v>1502</v>
      </c>
      <c r="D1351" s="2" t="s">
        <v>3442</v>
      </c>
      <c r="E1351" s="2" t="s">
        <v>301</v>
      </c>
      <c r="F1351" s="2">
        <v>1.0</v>
      </c>
      <c r="G1351" s="2">
        <v>500.0</v>
      </c>
      <c r="H1351" s="3" t="str">
        <f>HYPERLINK("http://www.linkedin.com/pub/elizabeth-cohen/4/8A8/92A","http://www.linkedin.com/pub/elizabeth-cohen/4/8A8/92A")</f>
        <v>http://www.linkedin.com/pub/elizabeth-cohen/4/8A8/92A</v>
      </c>
      <c r="I1351" s="2" t="s">
        <v>105</v>
      </c>
      <c r="J1351" s="2" t="s">
        <v>102</v>
      </c>
      <c r="K1351" s="2" t="s">
        <v>58</v>
      </c>
    </row>
    <row r="1352" ht="15.75" customHeight="1">
      <c r="A1352" s="2">
        <v>502419.0</v>
      </c>
      <c r="B1352" s="2" t="s">
        <v>3443</v>
      </c>
      <c r="C1352" s="2" t="s">
        <v>3444</v>
      </c>
      <c r="D1352" s="2" t="s">
        <v>1196</v>
      </c>
      <c r="E1352" s="2" t="s">
        <v>301</v>
      </c>
      <c r="F1352" s="2">
        <v>5.0</v>
      </c>
      <c r="G1352" s="2">
        <v>500.0</v>
      </c>
      <c r="H1352" s="3" t="str">
        <f>HYPERLINK("http://www.linkedin.com/in/dhavelock","http://www.linkedin.com/in/dhavelock")</f>
        <v>http://www.linkedin.com/in/dhavelock</v>
      </c>
      <c r="I1352" s="2" t="s">
        <v>248</v>
      </c>
      <c r="J1352" s="2" t="s">
        <v>102</v>
      </c>
      <c r="K1352" s="2" t="s">
        <v>35</v>
      </c>
    </row>
    <row r="1353" ht="15.75" customHeight="1">
      <c r="A1353" s="2">
        <v>502651.0</v>
      </c>
      <c r="B1353" s="2" t="s">
        <v>3445</v>
      </c>
      <c r="C1353" s="2" t="s">
        <v>3446</v>
      </c>
      <c r="D1353" s="2" t="s">
        <v>3447</v>
      </c>
      <c r="E1353" s="2" t="s">
        <v>1147</v>
      </c>
      <c r="F1353" s="2">
        <v>20.0</v>
      </c>
      <c r="G1353" s="2">
        <v>500.0</v>
      </c>
      <c r="H1353" s="3" t="str">
        <f>HYPERLINK("http://www.linkedin.com/in/anthonyjosephdublino","http://www.linkedin.com/in/anthonyjosephdublino")</f>
        <v>http://www.linkedin.com/in/anthonyjosephdublino</v>
      </c>
      <c r="I1353" s="2" t="s">
        <v>15</v>
      </c>
      <c r="J1353" s="2" t="s">
        <v>102</v>
      </c>
      <c r="K1353" s="2" t="s">
        <v>58</v>
      </c>
    </row>
    <row r="1354" ht="15.75" customHeight="1">
      <c r="A1354" s="2">
        <v>502703.0</v>
      </c>
      <c r="B1354" s="2" t="s">
        <v>189</v>
      </c>
      <c r="C1354" s="2" t="s">
        <v>3448</v>
      </c>
      <c r="D1354" s="2" t="s">
        <v>13</v>
      </c>
      <c r="E1354" s="2" t="s">
        <v>1561</v>
      </c>
      <c r="F1354" s="2">
        <v>0.0</v>
      </c>
      <c r="G1354" s="2">
        <v>500.0</v>
      </c>
      <c r="H1354" s="3" t="str">
        <f>HYPERLINK("http://www.linkedin.com/in/wdhopkins","http://www.linkedin.com/in/wdhopkins")</f>
        <v>http://www.linkedin.com/in/wdhopkins</v>
      </c>
      <c r="I1354" s="2" t="s">
        <v>1012</v>
      </c>
      <c r="J1354" s="2" t="s">
        <v>44</v>
      </c>
      <c r="K1354" s="2" t="s">
        <v>58</v>
      </c>
    </row>
    <row r="1355" ht="15.75" customHeight="1">
      <c r="A1355" s="2">
        <v>503297.0</v>
      </c>
      <c r="B1355" s="2" t="s">
        <v>275</v>
      </c>
      <c r="C1355" s="2" t="s">
        <v>3449</v>
      </c>
      <c r="D1355" s="2" t="s">
        <v>47</v>
      </c>
      <c r="E1355" s="2" t="s">
        <v>301</v>
      </c>
      <c r="F1355" s="2">
        <v>28.0</v>
      </c>
      <c r="G1355" s="2">
        <v>500.0</v>
      </c>
      <c r="H1355" s="3" t="str">
        <f>HYPERLINK("http://www.linkedin.com/in/marklkay","http://www.linkedin.com/in/marklkay")</f>
        <v>http://www.linkedin.com/in/marklkay</v>
      </c>
      <c r="I1355" s="2" t="s">
        <v>15</v>
      </c>
      <c r="J1355" s="2" t="s">
        <v>102</v>
      </c>
      <c r="K1355" s="2" t="s">
        <v>35</v>
      </c>
    </row>
    <row r="1356" ht="15.75" customHeight="1">
      <c r="A1356" s="2">
        <v>503380.0</v>
      </c>
      <c r="B1356" s="2" t="s">
        <v>845</v>
      </c>
      <c r="C1356" s="2" t="s">
        <v>3450</v>
      </c>
      <c r="D1356" s="2" t="s">
        <v>47</v>
      </c>
      <c r="E1356" s="2" t="s">
        <v>301</v>
      </c>
      <c r="F1356" s="2">
        <v>14.0</v>
      </c>
      <c r="G1356" s="2">
        <v>500.0</v>
      </c>
      <c r="H1356" s="3" t="str">
        <f>HYPERLINK("http://www.linkedin.com/pub/david-sasson/0/1AA/A02","http://www.linkedin.com/pub/david-sasson/0/1AA/A02")</f>
        <v>http://www.linkedin.com/pub/david-sasson/0/1AA/A02</v>
      </c>
      <c r="I1356" s="2" t="s">
        <v>1496</v>
      </c>
      <c r="J1356" s="2" t="s">
        <v>102</v>
      </c>
      <c r="K1356" s="2" t="s">
        <v>97</v>
      </c>
    </row>
    <row r="1357" ht="15.75" customHeight="1">
      <c r="A1357" s="2">
        <v>503492.0</v>
      </c>
      <c r="B1357" s="2" t="s">
        <v>3451</v>
      </c>
      <c r="C1357" s="2" t="s">
        <v>3452</v>
      </c>
      <c r="D1357" s="2" t="s">
        <v>3453</v>
      </c>
      <c r="E1357" s="2" t="s">
        <v>3454</v>
      </c>
      <c r="F1357" s="2">
        <v>9.0</v>
      </c>
      <c r="G1357" s="2">
        <v>500.0</v>
      </c>
      <c r="H1357" s="3" t="str">
        <f>HYPERLINK("http://uk.linkedin.com/in/dylanjones","http://uk.linkedin.com/in/dylanjones")</f>
        <v>http://uk.linkedin.com/in/dylanjones</v>
      </c>
      <c r="I1357" s="2" t="s">
        <v>15</v>
      </c>
      <c r="J1357" s="2" t="s">
        <v>53</v>
      </c>
      <c r="K1357" s="2" t="s">
        <v>35</v>
      </c>
    </row>
    <row r="1358" ht="15.75" customHeight="1">
      <c r="A1358" s="2">
        <v>503505.0</v>
      </c>
      <c r="B1358" s="2" t="s">
        <v>3455</v>
      </c>
      <c r="C1358" s="2" t="s">
        <v>3456</v>
      </c>
      <c r="D1358" s="2" t="s">
        <v>2331</v>
      </c>
      <c r="E1358" s="2" t="s">
        <v>1052</v>
      </c>
      <c r="F1358" s="2">
        <v>6.0</v>
      </c>
      <c r="G1358" s="2">
        <v>500.0</v>
      </c>
      <c r="H1358" s="3" t="str">
        <f>HYPERLINK("http://www.linkedin.com/in/harrycorless","http://www.linkedin.com/in/harrycorless")</f>
        <v>http://www.linkedin.com/in/harrycorless</v>
      </c>
      <c r="I1358" s="2" t="s">
        <v>374</v>
      </c>
      <c r="J1358" s="2" t="s">
        <v>273</v>
      </c>
      <c r="K1358" s="2" t="s">
        <v>1516</v>
      </c>
    </row>
    <row r="1359" ht="15.75" customHeight="1">
      <c r="A1359" s="2">
        <v>504235.0</v>
      </c>
      <c r="B1359" s="2" t="s">
        <v>3457</v>
      </c>
      <c r="C1359" s="2" t="s">
        <v>3458</v>
      </c>
      <c r="D1359" s="2" t="s">
        <v>42</v>
      </c>
      <c r="E1359" s="2" t="s">
        <v>3459</v>
      </c>
      <c r="F1359" s="2">
        <v>1.0</v>
      </c>
      <c r="G1359" s="2">
        <v>266.0</v>
      </c>
      <c r="H1359" s="3" t="str">
        <f>HYPERLINK("http://www.linkedin.com/pub/g-thomas-furgerson/0/211/624","http://www.linkedin.com/pub/g-thomas-furgerson/0/211/624")</f>
        <v>http://www.linkedin.com/pub/g-thomas-furgerson/0/211/624</v>
      </c>
      <c r="I1359" s="2" t="s">
        <v>195</v>
      </c>
      <c r="J1359" s="2" t="s">
        <v>102</v>
      </c>
      <c r="K1359" s="2" t="s">
        <v>196</v>
      </c>
    </row>
    <row r="1360" ht="15.75" customHeight="1">
      <c r="A1360" s="2">
        <v>504331.0</v>
      </c>
      <c r="B1360" s="2" t="s">
        <v>2665</v>
      </c>
      <c r="C1360" s="2" t="s">
        <v>3460</v>
      </c>
      <c r="D1360" s="2" t="s">
        <v>13</v>
      </c>
      <c r="E1360" s="2" t="s">
        <v>3461</v>
      </c>
      <c r="F1360" s="2">
        <v>0.0</v>
      </c>
      <c r="G1360" s="2">
        <v>500.0</v>
      </c>
      <c r="H1360" s="3" t="str">
        <f>HYPERLINK("https://www.linkedin.com/in/kurtdavidkratchman","https://www.linkedin.com/in/kurtdavidkratchman")</f>
        <v>https://www.linkedin.com/in/kurtdavidkratchman</v>
      </c>
      <c r="I1360" s="2" t="s">
        <v>48</v>
      </c>
      <c r="J1360" s="2" t="s">
        <v>102</v>
      </c>
      <c r="K1360" s="2" t="s">
        <v>35</v>
      </c>
    </row>
    <row r="1361" ht="15.75" customHeight="1">
      <c r="A1361" s="2">
        <v>504555.0</v>
      </c>
      <c r="B1361" s="2" t="s">
        <v>3462</v>
      </c>
      <c r="C1361" s="2" t="s">
        <v>3463</v>
      </c>
      <c r="D1361" s="2" t="s">
        <v>13</v>
      </c>
      <c r="E1361" s="2" t="s">
        <v>3464</v>
      </c>
      <c r="F1361" s="2">
        <v>0.0</v>
      </c>
      <c r="G1361" s="2">
        <v>500.0</v>
      </c>
      <c r="H1361" s="3" t="str">
        <f>HYPERLINK("http://www.linkedin.com/in/troymckaskle","http://www.linkedin.com/in/troymckaskle")</f>
        <v>http://www.linkedin.com/in/troymckaskle</v>
      </c>
      <c r="I1361" s="2" t="s">
        <v>48</v>
      </c>
      <c r="J1361" s="2" t="s">
        <v>16</v>
      </c>
      <c r="K1361" s="2" t="s">
        <v>22</v>
      </c>
    </row>
    <row r="1362" ht="15.75" customHeight="1">
      <c r="A1362" s="2">
        <v>504693.0</v>
      </c>
      <c r="B1362" s="2" t="s">
        <v>940</v>
      </c>
      <c r="C1362" s="2" t="s">
        <v>3465</v>
      </c>
      <c r="D1362" s="2" t="s">
        <v>3466</v>
      </c>
      <c r="E1362" s="2" t="s">
        <v>1321</v>
      </c>
      <c r="F1362" s="2" t="s">
        <v>13</v>
      </c>
      <c r="G1362" s="2">
        <v>500.0</v>
      </c>
      <c r="H1362" s="3" t="str">
        <f>HYPERLINK("http://www.linkedin.com/in/bcrowley","http://www.linkedin.com/in/bcrowley")</f>
        <v>http://www.linkedin.com/in/bcrowley</v>
      </c>
      <c r="I1362" s="2" t="s">
        <v>709</v>
      </c>
      <c r="J1362" s="2" t="s">
        <v>102</v>
      </c>
      <c r="K1362" s="2" t="s">
        <v>58</v>
      </c>
    </row>
    <row r="1363" ht="15.75" customHeight="1">
      <c r="A1363" s="2">
        <v>504908.0</v>
      </c>
      <c r="B1363" s="2" t="s">
        <v>1173</v>
      </c>
      <c r="C1363" s="2" t="s">
        <v>1789</v>
      </c>
      <c r="D1363" s="2" t="s">
        <v>3467</v>
      </c>
      <c r="E1363" s="2" t="s">
        <v>136</v>
      </c>
      <c r="F1363" s="2" t="s">
        <v>13</v>
      </c>
      <c r="G1363" s="2">
        <v>132.0</v>
      </c>
      <c r="H1363" s="3" t="str">
        <f>HYPERLINK("http://www.linkedin.com/in/talentdevelopment","http://www.linkedin.com/in/talentdevelopment")</f>
        <v>http://www.linkedin.com/in/talentdevelopment</v>
      </c>
      <c r="I1363" s="2" t="s">
        <v>1390</v>
      </c>
      <c r="J1363" s="2" t="s">
        <v>102</v>
      </c>
      <c r="K1363" s="2" t="s">
        <v>58</v>
      </c>
    </row>
    <row r="1364" ht="15.75" customHeight="1">
      <c r="A1364" s="2">
        <v>505189.0</v>
      </c>
      <c r="B1364" s="2" t="s">
        <v>275</v>
      </c>
      <c r="C1364" s="2" t="s">
        <v>3468</v>
      </c>
      <c r="D1364" s="2"/>
      <c r="E1364" s="2" t="s">
        <v>224</v>
      </c>
      <c r="F1364" s="2">
        <v>0.0</v>
      </c>
      <c r="G1364" s="2">
        <v>500.0</v>
      </c>
      <c r="H1364" s="3" t="str">
        <f>HYPERLINK("http://www.linkedin.com/pub/mark-jacobs-mha-cphimss-fhimss/0/758/163","http://www.linkedin.com/pub/mark-jacobs-mha-cphimss-fhimss/0/758/163")</f>
        <v>http://www.linkedin.com/pub/mark-jacobs-mha-cphimss-fhimss/0/758/163</v>
      </c>
      <c r="I1364" s="2" t="s">
        <v>172</v>
      </c>
      <c r="J1364" s="2" t="s">
        <v>16</v>
      </c>
      <c r="K1364" s="2" t="s">
        <v>357</v>
      </c>
    </row>
    <row r="1365" ht="15.75" customHeight="1">
      <c r="A1365" s="2">
        <v>505462.0</v>
      </c>
      <c r="B1365" s="2" t="s">
        <v>287</v>
      </c>
      <c r="C1365" s="2" t="s">
        <v>3469</v>
      </c>
      <c r="D1365" s="2" t="s">
        <v>47</v>
      </c>
      <c r="E1365" s="2" t="s">
        <v>3470</v>
      </c>
      <c r="F1365" s="2" t="s">
        <v>13</v>
      </c>
      <c r="G1365" s="2">
        <v>500.0</v>
      </c>
      <c r="H1365" s="3" t="str">
        <f>HYPERLINK("http://uk.linkedin.com/in/paulkelsall","http://uk.linkedin.com/in/paulkelsall")</f>
        <v>http://uk.linkedin.com/in/paulkelsall</v>
      </c>
      <c r="I1365" s="2" t="s">
        <v>15</v>
      </c>
      <c r="J1365" s="2" t="s">
        <v>53</v>
      </c>
      <c r="K1365" s="2" t="s">
        <v>35</v>
      </c>
    </row>
    <row r="1366" ht="15.75" customHeight="1">
      <c r="A1366" s="2">
        <v>505673.0</v>
      </c>
      <c r="B1366" s="2" t="s">
        <v>348</v>
      </c>
      <c r="C1366" s="2" t="s">
        <v>2107</v>
      </c>
      <c r="D1366" s="2" t="s">
        <v>1145</v>
      </c>
      <c r="E1366" s="2" t="s">
        <v>136</v>
      </c>
      <c r="F1366" s="2">
        <v>17.0</v>
      </c>
      <c r="G1366" s="2">
        <v>500.0</v>
      </c>
      <c r="H1366" s="3" t="str">
        <f>HYPERLINK("http://ca.linkedin.com/in/kimjpeters","http://ca.linkedin.com/in/kimjpeters")</f>
        <v>http://ca.linkedin.com/in/kimjpeters</v>
      </c>
      <c r="I1366" s="2" t="s">
        <v>69</v>
      </c>
      <c r="J1366" s="2" t="s">
        <v>102</v>
      </c>
      <c r="K1366" s="2" t="s">
        <v>35</v>
      </c>
    </row>
    <row r="1367" ht="15.75" customHeight="1">
      <c r="A1367" s="2">
        <v>506036.0</v>
      </c>
      <c r="B1367" s="2" t="s">
        <v>631</v>
      </c>
      <c r="C1367" s="2" t="s">
        <v>3471</v>
      </c>
      <c r="D1367" s="2" t="s">
        <v>47</v>
      </c>
      <c r="E1367" s="2" t="s">
        <v>122</v>
      </c>
      <c r="F1367" s="2" t="s">
        <v>13</v>
      </c>
      <c r="G1367" s="2">
        <v>500.0</v>
      </c>
      <c r="H1367" s="3" t="str">
        <f>HYPERLINK("http://uk.linkedin.com/pub/chris-saynor/1/502/84A","http://uk.linkedin.com/pub/chris-saynor/1/502/84A")</f>
        <v>http://uk.linkedin.com/pub/chris-saynor/1/502/84A</v>
      </c>
      <c r="I1367" s="2" t="s">
        <v>231</v>
      </c>
      <c r="J1367" s="2" t="s">
        <v>53</v>
      </c>
      <c r="K1367" s="2" t="s">
        <v>58</v>
      </c>
    </row>
    <row r="1368" ht="15.75" customHeight="1">
      <c r="A1368" s="2">
        <v>506335.0</v>
      </c>
      <c r="B1368" s="2" t="s">
        <v>3472</v>
      </c>
      <c r="C1368" s="2" t="s">
        <v>3473</v>
      </c>
      <c r="D1368" s="2" t="s">
        <v>3474</v>
      </c>
      <c r="E1368" s="2" t="s">
        <v>301</v>
      </c>
      <c r="F1368" s="2">
        <v>11.0</v>
      </c>
      <c r="G1368" s="2">
        <v>464.0</v>
      </c>
      <c r="H1368" s="3" t="str">
        <f>HYPERLINK("http://www.linkedin.com/in/sandeepkurne","http://www.linkedin.com/in/sandeepkurne")</f>
        <v>http://www.linkedin.com/in/sandeepkurne</v>
      </c>
      <c r="I1368" s="2" t="s">
        <v>57</v>
      </c>
      <c r="J1368" s="2" t="s">
        <v>102</v>
      </c>
      <c r="K1368" s="2" t="s">
        <v>58</v>
      </c>
    </row>
    <row r="1369" ht="15.75" customHeight="1">
      <c r="A1369" s="2">
        <v>506435.0</v>
      </c>
      <c r="B1369" s="2" t="s">
        <v>2003</v>
      </c>
      <c r="C1369" s="2" t="s">
        <v>3475</v>
      </c>
      <c r="D1369" s="2" t="s">
        <v>3476</v>
      </c>
      <c r="E1369" s="2" t="s">
        <v>136</v>
      </c>
      <c r="F1369" s="2">
        <v>1.0</v>
      </c>
      <c r="G1369" s="2">
        <v>500.0</v>
      </c>
      <c r="H1369" s="3" t="str">
        <f>HYPERLINK("http://www.linkedin.com/in/valeriebritt","http://www.linkedin.com/in/valeriebritt")</f>
        <v>http://www.linkedin.com/in/valeriebritt</v>
      </c>
      <c r="I1369" s="2" t="s">
        <v>2275</v>
      </c>
      <c r="J1369" s="2" t="s">
        <v>102</v>
      </c>
      <c r="K1369" s="2" t="s">
        <v>974</v>
      </c>
    </row>
    <row r="1370" ht="15.75" customHeight="1">
      <c r="A1370" s="2">
        <v>507253.0</v>
      </c>
      <c r="B1370" s="2" t="s">
        <v>3477</v>
      </c>
      <c r="C1370" s="2" t="s">
        <v>3478</v>
      </c>
      <c r="D1370" s="2" t="s">
        <v>3440</v>
      </c>
      <c r="E1370" s="2" t="s">
        <v>142</v>
      </c>
      <c r="F1370" s="2">
        <v>11.0</v>
      </c>
      <c r="G1370" s="2">
        <v>226.0</v>
      </c>
      <c r="H1370" s="3" t="str">
        <f>HYPERLINK("http://www.linkedin.com/in/joshcagwin","http://www.linkedin.com/in/joshcagwin")</f>
        <v>http://www.linkedin.com/in/joshcagwin</v>
      </c>
      <c r="I1370" s="2" t="s">
        <v>69</v>
      </c>
      <c r="J1370" s="2" t="s">
        <v>144</v>
      </c>
      <c r="K1370" s="2" t="s">
        <v>284</v>
      </c>
    </row>
    <row r="1371" ht="15.75" customHeight="1">
      <c r="A1371" s="2">
        <v>507328.0</v>
      </c>
      <c r="B1371" s="2" t="s">
        <v>3479</v>
      </c>
      <c r="C1371" s="2" t="s">
        <v>3480</v>
      </c>
      <c r="D1371" s="2" t="s">
        <v>3481</v>
      </c>
      <c r="E1371" s="2" t="s">
        <v>1407</v>
      </c>
      <c r="F1371" s="2">
        <v>18.0</v>
      </c>
      <c r="G1371" s="2">
        <v>500.0</v>
      </c>
      <c r="H1371" s="3" t="str">
        <f>HYPERLINK("http://www.linkedin.com/in/gialuvsrecruiting","http://www.linkedin.com/in/gialuvsrecruiting")</f>
        <v>http://www.linkedin.com/in/gialuvsrecruiting</v>
      </c>
      <c r="I1371" s="2" t="s">
        <v>696</v>
      </c>
      <c r="J1371" s="2" t="s">
        <v>102</v>
      </c>
      <c r="K1371" s="2" t="s">
        <v>766</v>
      </c>
    </row>
    <row r="1372" ht="15.75" customHeight="1">
      <c r="A1372" s="2">
        <v>507834.0</v>
      </c>
      <c r="B1372" s="2" t="s">
        <v>631</v>
      </c>
      <c r="C1372" s="2" t="s">
        <v>3482</v>
      </c>
      <c r="D1372" s="2" t="s">
        <v>3483</v>
      </c>
      <c r="E1372" s="2" t="s">
        <v>136</v>
      </c>
      <c r="F1372" s="2" t="s">
        <v>13</v>
      </c>
      <c r="G1372" s="2">
        <v>500.0</v>
      </c>
      <c r="H1372" s="3" t="str">
        <f>HYPERLINK("http://www.linkedin.com/in/czeffy","http://www.linkedin.com/in/czeffy")</f>
        <v>http://www.linkedin.com/in/czeffy</v>
      </c>
      <c r="I1372" s="2" t="s">
        <v>1094</v>
      </c>
      <c r="J1372" s="2" t="s">
        <v>102</v>
      </c>
      <c r="K1372" s="2" t="s">
        <v>168</v>
      </c>
    </row>
    <row r="1373" ht="15.75" customHeight="1">
      <c r="A1373" s="2">
        <v>507994.0</v>
      </c>
      <c r="B1373" s="2" t="s">
        <v>3484</v>
      </c>
      <c r="C1373" s="2" t="s">
        <v>3485</v>
      </c>
      <c r="D1373" s="2" t="s">
        <v>114</v>
      </c>
      <c r="E1373" s="2" t="s">
        <v>762</v>
      </c>
      <c r="F1373" s="2">
        <v>34.0</v>
      </c>
      <c r="G1373" s="2">
        <v>500.0</v>
      </c>
      <c r="H1373" s="3" t="str">
        <f>HYPERLINK("http://www.linkedin.com/in/garrettstephenson","http://www.linkedin.com/in/garrettstephenson")</f>
        <v>http://www.linkedin.com/in/garrettstephenson</v>
      </c>
      <c r="I1373" s="2" t="s">
        <v>248</v>
      </c>
      <c r="J1373" s="2" t="s">
        <v>102</v>
      </c>
      <c r="K1373" s="2" t="s">
        <v>196</v>
      </c>
    </row>
    <row r="1374" ht="15.75" customHeight="1">
      <c r="A1374" s="2">
        <v>508059.0</v>
      </c>
      <c r="B1374" s="2" t="s">
        <v>1934</v>
      </c>
      <c r="C1374" s="2" t="s">
        <v>3486</v>
      </c>
      <c r="D1374" s="2" t="s">
        <v>3487</v>
      </c>
      <c r="E1374" s="2" t="s">
        <v>3488</v>
      </c>
      <c r="F1374" s="2">
        <v>5.0</v>
      </c>
      <c r="G1374" s="2">
        <v>500.0</v>
      </c>
      <c r="H1374" s="3" t="str">
        <f>HYPERLINK("http://www.linkedin.com/in/kellymcgough","http://www.linkedin.com/in/kellymcgough")</f>
        <v>http://www.linkedin.com/in/kellymcgough</v>
      </c>
      <c r="I1374" s="2" t="s">
        <v>15</v>
      </c>
      <c r="J1374" s="2" t="s">
        <v>102</v>
      </c>
      <c r="K1374" s="2" t="s">
        <v>2031</v>
      </c>
    </row>
    <row r="1375" ht="15.75" customHeight="1">
      <c r="A1375" s="2">
        <v>508592.0</v>
      </c>
      <c r="B1375" s="2" t="s">
        <v>3489</v>
      </c>
      <c r="C1375" s="2" t="s">
        <v>3490</v>
      </c>
      <c r="D1375" s="2" t="s">
        <v>42</v>
      </c>
      <c r="E1375" s="2" t="s">
        <v>808</v>
      </c>
      <c r="F1375" s="2" t="s">
        <v>13</v>
      </c>
      <c r="G1375" s="2">
        <v>408.0</v>
      </c>
      <c r="H1375" s="3" t="str">
        <f>HYPERLINK("http://www.linkedin.com/pub/damion-hickman/3/843/B08","http://www.linkedin.com/pub/damion-hickman/3/843/B08")</f>
        <v>http://www.linkedin.com/pub/damion-hickman/3/843/B08</v>
      </c>
      <c r="I1375" s="2" t="s">
        <v>2081</v>
      </c>
      <c r="J1375" s="2" t="s">
        <v>102</v>
      </c>
      <c r="K1375" s="2" t="s">
        <v>58</v>
      </c>
    </row>
    <row r="1376" ht="15.75" customHeight="1">
      <c r="A1376" s="2">
        <v>509129.0</v>
      </c>
      <c r="B1376" s="2" t="s">
        <v>3491</v>
      </c>
      <c r="C1376" s="2" t="s">
        <v>3492</v>
      </c>
      <c r="D1376" s="2" t="s">
        <v>3493</v>
      </c>
      <c r="E1376" s="2" t="s">
        <v>3494</v>
      </c>
      <c r="F1376" s="2">
        <v>2.0</v>
      </c>
      <c r="G1376" s="2">
        <v>500.0</v>
      </c>
      <c r="H1376" s="3" t="str">
        <f>HYPERLINK("http://uk.linkedin.com/pub/sav-rick/5/27/939","http://uk.linkedin.com/pub/sav-rick/5/27/939")</f>
        <v>http://uk.linkedin.com/pub/sav-rick/5/27/939</v>
      </c>
      <c r="I1376" s="2" t="s">
        <v>458</v>
      </c>
      <c r="J1376" s="2" t="s">
        <v>273</v>
      </c>
      <c r="K1376" s="2" t="s">
        <v>22</v>
      </c>
    </row>
    <row r="1377" ht="15.75" customHeight="1">
      <c r="A1377" s="2">
        <v>509572.0</v>
      </c>
      <c r="B1377" s="2" t="s">
        <v>2129</v>
      </c>
      <c r="C1377" s="2" t="s">
        <v>3495</v>
      </c>
      <c r="D1377" s="2" t="s">
        <v>1674</v>
      </c>
      <c r="E1377" s="2" t="s">
        <v>235</v>
      </c>
      <c r="F1377" s="2">
        <v>5.0</v>
      </c>
      <c r="G1377" s="2">
        <v>500.0</v>
      </c>
      <c r="H1377" s="3" t="str">
        <f>HYPERLINK("http://www.linkedin.com/pub/anurag-lal/0/93A/37","http://www.linkedin.com/pub/anurag-lal/0/93A/37")</f>
        <v>http://www.linkedin.com/pub/anurag-lal/0/93A/37</v>
      </c>
      <c r="I1377" s="2" t="s">
        <v>1496</v>
      </c>
      <c r="J1377" s="2" t="s">
        <v>102</v>
      </c>
      <c r="K1377" s="2" t="s">
        <v>97</v>
      </c>
    </row>
    <row r="1378" ht="15.75" customHeight="1">
      <c r="A1378" s="2">
        <v>509614.0</v>
      </c>
      <c r="B1378" s="2" t="s">
        <v>1934</v>
      </c>
      <c r="C1378" s="2" t="s">
        <v>1916</v>
      </c>
      <c r="D1378" s="2" t="s">
        <v>3496</v>
      </c>
      <c r="E1378" s="2" t="s">
        <v>259</v>
      </c>
      <c r="F1378" s="2" t="s">
        <v>13</v>
      </c>
      <c r="G1378" s="2">
        <v>91.0</v>
      </c>
      <c r="H1378" s="3" t="str">
        <f>HYPERLINK("http://www.linkedin.com/pub/kelly-benton/4/533/19","http://www.linkedin.com/pub/kelly-benton/4/533/19")</f>
        <v>http://www.linkedin.com/pub/kelly-benton/4/533/19</v>
      </c>
      <c r="I1378" s="2" t="s">
        <v>77</v>
      </c>
      <c r="J1378" s="2" t="s">
        <v>144</v>
      </c>
      <c r="K1378" s="2" t="s">
        <v>1048</v>
      </c>
    </row>
    <row r="1379" ht="15.75" customHeight="1">
      <c r="A1379" s="2">
        <v>509659.0</v>
      </c>
      <c r="B1379" s="2" t="s">
        <v>341</v>
      </c>
      <c r="C1379" s="2" t="s">
        <v>3497</v>
      </c>
      <c r="D1379" s="2" t="s">
        <v>3498</v>
      </c>
      <c r="E1379" s="2" t="s">
        <v>101</v>
      </c>
      <c r="F1379" s="2">
        <v>2.0</v>
      </c>
      <c r="G1379" s="2">
        <v>243.0</v>
      </c>
      <c r="H1379" s="3" t="str">
        <f>HYPERLINK("http://www.linkedin.com/pub/kevin-rathi/1/13B/487","http://www.linkedin.com/pub/kevin-rathi/1/13B/487")</f>
        <v>http://www.linkedin.com/pub/kevin-rathi/1/13B/487</v>
      </c>
      <c r="I1379" s="2" t="s">
        <v>15</v>
      </c>
      <c r="J1379" s="2" t="s">
        <v>102</v>
      </c>
      <c r="K1379" s="2" t="s">
        <v>35</v>
      </c>
    </row>
    <row r="1380" ht="15.75" customHeight="1">
      <c r="A1380" s="2">
        <v>509669.0</v>
      </c>
      <c r="B1380" s="2" t="s">
        <v>2242</v>
      </c>
      <c r="C1380" s="2" t="s">
        <v>3499</v>
      </c>
      <c r="D1380" s="2" t="s">
        <v>1062</v>
      </c>
      <c r="E1380" s="2" t="s">
        <v>136</v>
      </c>
      <c r="F1380" s="2">
        <v>1.0</v>
      </c>
      <c r="G1380" s="2">
        <v>500.0</v>
      </c>
      <c r="H1380" s="3" t="str">
        <f>HYPERLINK("http://www.linkedin.com/pub/yoav-izhar-prato/0/172/967","http://www.linkedin.com/pub/yoav-izhar-prato/0/172/967")</f>
        <v>http://www.linkedin.com/pub/yoav-izhar-prato/0/172/967</v>
      </c>
      <c r="I1380" s="2" t="s">
        <v>69</v>
      </c>
      <c r="J1380" s="2" t="s">
        <v>102</v>
      </c>
      <c r="K1380" s="2" t="s">
        <v>35</v>
      </c>
    </row>
    <row r="1381" ht="15.75" customHeight="1">
      <c r="A1381" s="2">
        <v>509758.0</v>
      </c>
      <c r="B1381" s="2" t="s">
        <v>1868</v>
      </c>
      <c r="C1381" s="2" t="s">
        <v>348</v>
      </c>
      <c r="D1381" s="2" t="s">
        <v>114</v>
      </c>
      <c r="E1381" s="2" t="s">
        <v>3500</v>
      </c>
      <c r="F1381" s="2" t="s">
        <v>13</v>
      </c>
      <c r="G1381" s="2">
        <v>500.0</v>
      </c>
      <c r="H1381" s="3" t="str">
        <f>HYPERLINK("http://www.linkedin.com/in/jackkim","http://www.linkedin.com/in/jackkim")</f>
        <v>http://www.linkedin.com/in/jackkim</v>
      </c>
      <c r="I1381" s="2" t="s">
        <v>1698</v>
      </c>
      <c r="J1381" s="2" t="s">
        <v>102</v>
      </c>
      <c r="K1381" s="2" t="s">
        <v>58</v>
      </c>
    </row>
    <row r="1382" ht="15.75" customHeight="1">
      <c r="A1382" s="2">
        <v>510160.0</v>
      </c>
      <c r="B1382" s="2" t="s">
        <v>3501</v>
      </c>
      <c r="C1382" s="2" t="s">
        <v>3502</v>
      </c>
      <c r="D1382" s="2" t="s">
        <v>3503</v>
      </c>
      <c r="E1382" s="2" t="s">
        <v>3504</v>
      </c>
      <c r="F1382" s="2">
        <v>0.0</v>
      </c>
      <c r="G1382" s="2">
        <v>205.0</v>
      </c>
      <c r="H1382" s="3" t="str">
        <f>HYPERLINK("http://www.linkedin.com/pub/masaki-kawamura/1A/295/B66","http://www.linkedin.com/pub/masaki-kawamura/1A/295/B66")</f>
        <v>http://www.linkedin.com/pub/masaki-kawamura/1A/295/B66</v>
      </c>
      <c r="I1382" s="2" t="s">
        <v>612</v>
      </c>
      <c r="J1382" s="2" t="s">
        <v>3505</v>
      </c>
      <c r="K1382" s="2" t="s">
        <v>97</v>
      </c>
    </row>
    <row r="1383" ht="15.75" customHeight="1">
      <c r="A1383" s="2">
        <v>510220.0</v>
      </c>
      <c r="B1383" s="2" t="s">
        <v>3506</v>
      </c>
      <c r="C1383" s="2" t="s">
        <v>3507</v>
      </c>
      <c r="D1383" s="2" t="s">
        <v>517</v>
      </c>
      <c r="E1383" s="2" t="s">
        <v>3508</v>
      </c>
      <c r="F1383" s="2" t="s">
        <v>13</v>
      </c>
      <c r="G1383" s="2">
        <v>247.0</v>
      </c>
      <c r="H1383" s="3" t="str">
        <f>HYPERLINK("http://www.linkedin.com/in/curtisoreilly","http://www.linkedin.com/in/curtisoreilly")</f>
        <v>http://www.linkedin.com/in/curtisoreilly</v>
      </c>
      <c r="I1383" s="2" t="s">
        <v>69</v>
      </c>
      <c r="J1383" s="2" t="s">
        <v>102</v>
      </c>
      <c r="K1383" s="2" t="s">
        <v>35</v>
      </c>
    </row>
    <row r="1384" ht="15.75" customHeight="1">
      <c r="A1384" s="2">
        <v>510984.0</v>
      </c>
      <c r="B1384" s="2" t="s">
        <v>993</v>
      </c>
      <c r="C1384" s="2" t="s">
        <v>3509</v>
      </c>
      <c r="D1384" s="2" t="s">
        <v>1297</v>
      </c>
      <c r="E1384" s="2" t="s">
        <v>301</v>
      </c>
      <c r="F1384" s="2">
        <v>2.0</v>
      </c>
      <c r="G1384" s="2">
        <v>500.0</v>
      </c>
      <c r="H1384" s="3" t="str">
        <f>HYPERLINK("http://www.linkedin.com/in/shutterstock","http://www.linkedin.com/in/shutterstock")</f>
        <v>http://www.linkedin.com/in/shutterstock</v>
      </c>
      <c r="I1384" s="2" t="s">
        <v>326</v>
      </c>
      <c r="J1384" s="2" t="s">
        <v>102</v>
      </c>
      <c r="K1384" s="2" t="s">
        <v>58</v>
      </c>
    </row>
    <row r="1385" ht="15.75" customHeight="1">
      <c r="A1385" s="2">
        <v>511110.0</v>
      </c>
      <c r="B1385" s="2" t="s">
        <v>3510</v>
      </c>
      <c r="C1385" s="2" t="s">
        <v>3511</v>
      </c>
      <c r="D1385" s="2" t="s">
        <v>3512</v>
      </c>
      <c r="E1385" s="2" t="s">
        <v>457</v>
      </c>
      <c r="F1385" s="2">
        <v>0.0</v>
      </c>
      <c r="G1385" s="2">
        <v>24.0</v>
      </c>
      <c r="H1385" s="3" t="str">
        <f>HYPERLINK("http://www.linkedin.com/pub/clarence-augustin/1B/2AA/78","http://www.linkedin.com/pub/clarence-augustin/1B/2AA/78")</f>
        <v>http://www.linkedin.com/pub/clarence-augustin/1B/2AA/78</v>
      </c>
      <c r="I1385" s="2" t="s">
        <v>475</v>
      </c>
      <c r="J1385" s="2" t="s">
        <v>102</v>
      </c>
      <c r="K1385" s="2" t="s">
        <v>168</v>
      </c>
    </row>
    <row r="1386" ht="15.75" customHeight="1">
      <c r="A1386" s="2">
        <v>511332.0</v>
      </c>
      <c r="B1386" s="2" t="s">
        <v>3513</v>
      </c>
      <c r="C1386" s="2" t="s">
        <v>3514</v>
      </c>
      <c r="D1386" s="2"/>
      <c r="E1386" s="2" t="s">
        <v>2035</v>
      </c>
      <c r="F1386" s="2">
        <v>0.0</v>
      </c>
      <c r="G1386" s="2">
        <v>259.0</v>
      </c>
      <c r="H1386" s="3" t="str">
        <f>HYPERLINK("http://www.linkedin.com/pub/malky-schlesinger/3/0/132","http://www.linkedin.com/pub/malky-schlesinger/3/0/132")</f>
        <v>http://www.linkedin.com/pub/malky-schlesinger/3/0/132</v>
      </c>
      <c r="I1386" s="2" t="s">
        <v>1452</v>
      </c>
      <c r="J1386" s="2" t="s">
        <v>273</v>
      </c>
      <c r="K1386" s="2" t="s">
        <v>35</v>
      </c>
    </row>
    <row r="1387" ht="15.75" customHeight="1">
      <c r="A1387" s="2">
        <v>511998.0</v>
      </c>
      <c r="B1387" s="2" t="s">
        <v>3351</v>
      </c>
      <c r="C1387" s="2" t="s">
        <v>3515</v>
      </c>
      <c r="D1387" s="2" t="s">
        <v>47</v>
      </c>
      <c r="E1387" s="2" t="s">
        <v>3516</v>
      </c>
      <c r="F1387" s="2">
        <v>2.0</v>
      </c>
      <c r="G1387" s="2">
        <v>500.0</v>
      </c>
      <c r="H1387" s="3" t="str">
        <f>HYPERLINK("http://www.linkedin.com/in/darylthompson","http://www.linkedin.com/in/darylthompson")</f>
        <v>http://www.linkedin.com/in/darylthompson</v>
      </c>
      <c r="I1387" s="2" t="s">
        <v>279</v>
      </c>
      <c r="J1387" s="2" t="s">
        <v>102</v>
      </c>
      <c r="K1387" s="2" t="s">
        <v>522</v>
      </c>
    </row>
    <row r="1388" ht="15.75" customHeight="1">
      <c r="A1388" s="2">
        <v>512128.0</v>
      </c>
      <c r="B1388" s="2" t="s">
        <v>3517</v>
      </c>
      <c r="C1388" s="2" t="s">
        <v>3518</v>
      </c>
      <c r="D1388" s="2" t="s">
        <v>3519</v>
      </c>
      <c r="E1388" s="2" t="s">
        <v>2447</v>
      </c>
      <c r="F1388" s="2">
        <v>2.0</v>
      </c>
      <c r="G1388" s="2">
        <v>202.0</v>
      </c>
      <c r="H1388" s="3" t="str">
        <f>HYPERLINK("http://www.linkedin.com/pub/raj-reddy/7/A66/BB","http://www.linkedin.com/pub/raj-reddy/7/A66/BB")</f>
        <v>http://www.linkedin.com/pub/raj-reddy/7/A66/BB</v>
      </c>
      <c r="I1388" s="2" t="s">
        <v>15</v>
      </c>
      <c r="J1388" s="2" t="s">
        <v>16</v>
      </c>
      <c r="K1388" s="2" t="s">
        <v>2390</v>
      </c>
    </row>
    <row r="1389" ht="15.75" customHeight="1">
      <c r="A1389" s="2">
        <v>512147.0</v>
      </c>
      <c r="B1389" s="2" t="s">
        <v>471</v>
      </c>
      <c r="C1389" s="2" t="s">
        <v>1643</v>
      </c>
      <c r="D1389" s="2" t="s">
        <v>400</v>
      </c>
      <c r="E1389" s="2" t="s">
        <v>235</v>
      </c>
      <c r="F1389" s="2" t="s">
        <v>13</v>
      </c>
      <c r="G1389" s="2">
        <v>500.0</v>
      </c>
      <c r="H1389" s="3" t="str">
        <f>HYPERLINK("http://www.linkedin.com/in/solmandan","http://www.linkedin.com/in/solmandan")</f>
        <v>http://www.linkedin.com/in/solmandan</v>
      </c>
      <c r="I1389" s="2" t="s">
        <v>48</v>
      </c>
      <c r="J1389" s="2" t="s">
        <v>102</v>
      </c>
      <c r="K1389" s="2" t="s">
        <v>35</v>
      </c>
    </row>
    <row r="1390" ht="15.75" customHeight="1">
      <c r="A1390" s="2">
        <v>512393.0</v>
      </c>
      <c r="B1390" s="2" t="s">
        <v>2578</v>
      </c>
      <c r="C1390" s="2" t="s">
        <v>3520</v>
      </c>
      <c r="D1390" s="2" t="s">
        <v>114</v>
      </c>
      <c r="E1390" s="2" t="s">
        <v>783</v>
      </c>
      <c r="F1390" s="2">
        <v>27.0</v>
      </c>
      <c r="G1390" s="2">
        <v>500.0</v>
      </c>
      <c r="H1390" s="3" t="str">
        <f>HYPERLINK("http://in.linkedin.com/pub/philip-kurian/7/A73/6A1","http://in.linkedin.com/pub/philip-kurian/7/A73/6A1")</f>
        <v>http://in.linkedin.com/pub/philip-kurian/7/A73/6A1</v>
      </c>
      <c r="I1390" s="2" t="s">
        <v>560</v>
      </c>
      <c r="J1390" s="2" t="s">
        <v>575</v>
      </c>
      <c r="K1390" s="2" t="s">
        <v>3138</v>
      </c>
    </row>
    <row r="1391" ht="15.75" customHeight="1">
      <c r="A1391" s="2">
        <v>512609.0</v>
      </c>
      <c r="B1391" s="2" t="s">
        <v>845</v>
      </c>
      <c r="C1391" s="2" t="s">
        <v>3521</v>
      </c>
      <c r="D1391" s="2" t="s">
        <v>13</v>
      </c>
      <c r="E1391" s="2" t="s">
        <v>3522</v>
      </c>
      <c r="F1391" s="2">
        <v>0.0</v>
      </c>
      <c r="G1391" s="2">
        <v>500.0</v>
      </c>
      <c r="H1391" s="3" t="str">
        <f>HYPERLINK("http://www.linkedin.com/pub/david-zylka/0/827/774","http://www.linkedin.com/pub/david-zylka/0/827/774")</f>
        <v>http://www.linkedin.com/pub/david-zylka/0/827/774</v>
      </c>
      <c r="I1391" s="2" t="s">
        <v>1496</v>
      </c>
      <c r="J1391" s="2" t="s">
        <v>102</v>
      </c>
      <c r="K1391" s="2" t="s">
        <v>97</v>
      </c>
    </row>
    <row r="1392" ht="15.75" customHeight="1">
      <c r="A1392" s="2">
        <v>512677.0</v>
      </c>
      <c r="B1392" s="2" t="s">
        <v>1412</v>
      </c>
      <c r="C1392" s="2" t="s">
        <v>3523</v>
      </c>
      <c r="D1392" s="2"/>
      <c r="E1392" s="2" t="s">
        <v>3524</v>
      </c>
      <c r="F1392" s="2">
        <v>4.0</v>
      </c>
      <c r="G1392" s="2">
        <v>406.0</v>
      </c>
      <c r="H1392" s="3" t="str">
        <f>HYPERLINK("http://www.linkedin.com/pub/carroll-lefon/2/2A7/250","http://www.linkedin.com/pub/carroll-lefon/2/2A7/250")</f>
        <v>http://www.linkedin.com/pub/carroll-lefon/2/2A7/250</v>
      </c>
      <c r="I1392" s="2" t="s">
        <v>3525</v>
      </c>
      <c r="J1392" s="2" t="s">
        <v>16</v>
      </c>
      <c r="K1392" s="2" t="s">
        <v>138</v>
      </c>
    </row>
    <row r="1393" ht="15.75" customHeight="1">
      <c r="A1393" s="2">
        <v>512686.0</v>
      </c>
      <c r="B1393" s="2" t="s">
        <v>1458</v>
      </c>
      <c r="C1393" s="2" t="s">
        <v>3526</v>
      </c>
      <c r="D1393" s="2" t="s">
        <v>3527</v>
      </c>
      <c r="E1393" s="2" t="s">
        <v>2730</v>
      </c>
      <c r="F1393" s="2">
        <v>2.0</v>
      </c>
      <c r="G1393" s="2">
        <v>500.0</v>
      </c>
      <c r="H1393" s="3" t="str">
        <f>HYPERLINK("http://www.linkedin.com/pub/todd-kobayashi-cfa/1/620/883","http://www.linkedin.com/pub/todd-kobayashi-cfa/1/620/883")</f>
        <v>http://www.linkedin.com/pub/todd-kobayashi-cfa/1/620/883</v>
      </c>
      <c r="I1393" s="2" t="s">
        <v>475</v>
      </c>
      <c r="J1393" s="2" t="s">
        <v>102</v>
      </c>
      <c r="K1393" s="2" t="s">
        <v>58</v>
      </c>
    </row>
    <row r="1394" ht="15.75" customHeight="1">
      <c r="A1394" s="2">
        <v>512884.0</v>
      </c>
      <c r="B1394" s="2" t="s">
        <v>1157</v>
      </c>
      <c r="C1394" s="2" t="s">
        <v>3528</v>
      </c>
      <c r="D1394" s="2" t="s">
        <v>3529</v>
      </c>
      <c r="E1394" s="2" t="s">
        <v>101</v>
      </c>
      <c r="F1394" s="2">
        <v>10.0</v>
      </c>
      <c r="G1394" s="2">
        <v>500.0</v>
      </c>
      <c r="H1394" s="3" t="str">
        <f>HYPERLINK("http://www.linkedin.com/in/howardstentz","http://www.linkedin.com/in/howardstentz")</f>
        <v>http://www.linkedin.com/in/howardstentz</v>
      </c>
      <c r="I1394" s="2" t="s">
        <v>15</v>
      </c>
      <c r="J1394" s="2" t="s">
        <v>102</v>
      </c>
      <c r="K1394" s="2" t="s">
        <v>35</v>
      </c>
    </row>
    <row r="1395" ht="15.75" customHeight="1">
      <c r="A1395" s="2">
        <v>512889.0</v>
      </c>
      <c r="B1395" s="2" t="s">
        <v>3530</v>
      </c>
      <c r="C1395" s="2" t="s">
        <v>3531</v>
      </c>
      <c r="D1395" s="2" t="s">
        <v>3532</v>
      </c>
      <c r="E1395" s="2" t="s">
        <v>136</v>
      </c>
      <c r="F1395" s="2">
        <v>10.0</v>
      </c>
      <c r="G1395" s="2">
        <v>500.0</v>
      </c>
      <c r="H1395" s="3" t="str">
        <f>HYPERLINK("http://www.linkedin.com/in/sashafroyland","http://www.linkedin.com/in/sashafroyland")</f>
        <v>http://www.linkedin.com/in/sashafroyland</v>
      </c>
      <c r="I1395" s="2" t="s">
        <v>15</v>
      </c>
      <c r="J1395" s="2" t="s">
        <v>102</v>
      </c>
      <c r="K1395" s="2" t="s">
        <v>35</v>
      </c>
    </row>
    <row r="1396" ht="15.75" customHeight="1">
      <c r="A1396" s="2">
        <v>512998.0</v>
      </c>
      <c r="B1396" s="2" t="s">
        <v>3201</v>
      </c>
      <c r="C1396" s="2" t="s">
        <v>3533</v>
      </c>
      <c r="D1396" s="2" t="s">
        <v>1674</v>
      </c>
      <c r="E1396" s="2" t="s">
        <v>301</v>
      </c>
      <c r="F1396" s="2">
        <v>2.0</v>
      </c>
      <c r="G1396" s="2">
        <v>500.0</v>
      </c>
      <c r="H1396" s="3" t="str">
        <f>HYPERLINK("http://www.linkedin.com/in/sebastiangiordano","http://www.linkedin.com/in/sebastiangiordano")</f>
        <v>http://www.linkedin.com/in/sebastiangiordano</v>
      </c>
      <c r="I1396" s="2" t="s">
        <v>57</v>
      </c>
      <c r="J1396" s="2" t="s">
        <v>102</v>
      </c>
      <c r="K1396" s="2" t="s">
        <v>58</v>
      </c>
    </row>
    <row r="1397" ht="15.75" customHeight="1">
      <c r="A1397" s="2">
        <v>513000.0</v>
      </c>
      <c r="B1397" s="2" t="s">
        <v>302</v>
      </c>
      <c r="C1397" s="2" t="s">
        <v>3534</v>
      </c>
      <c r="D1397" s="2" t="s">
        <v>3535</v>
      </c>
      <c r="E1397" s="2" t="s">
        <v>3536</v>
      </c>
      <c r="F1397" s="2">
        <v>0.0</v>
      </c>
      <c r="G1397" s="2">
        <v>159.0</v>
      </c>
      <c r="H1397" s="3" t="str">
        <f>HYPERLINK("http://www.linkedin.com/pub/bill-dunn/3/74A/648","http://www.linkedin.com/pub/bill-dunn/3/74A/648")</f>
        <v>http://www.linkedin.com/pub/bill-dunn/3/74A/648</v>
      </c>
      <c r="I1397" s="2" t="s">
        <v>669</v>
      </c>
      <c r="J1397" s="2" t="s">
        <v>102</v>
      </c>
      <c r="K1397" s="2" t="s">
        <v>97</v>
      </c>
    </row>
    <row r="1398" ht="15.75" customHeight="1">
      <c r="A1398" s="2">
        <v>513002.0</v>
      </c>
      <c r="B1398" s="2" t="s">
        <v>285</v>
      </c>
      <c r="C1398" s="2" t="s">
        <v>593</v>
      </c>
      <c r="D1398" s="2" t="s">
        <v>3537</v>
      </c>
      <c r="E1398" s="2" t="s">
        <v>301</v>
      </c>
      <c r="F1398" s="2">
        <v>2.0</v>
      </c>
      <c r="G1398" s="2">
        <v>500.0</v>
      </c>
      <c r="H1398" s="3" t="str">
        <f>HYPERLINK("http://www.linkedin.com/pub/marc-weiss/1/3B4/232","http://www.linkedin.com/pub/marc-weiss/1/3B4/232")</f>
        <v>http://www.linkedin.com/pub/marc-weiss/1/3B4/232</v>
      </c>
      <c r="I1398" s="2" t="s">
        <v>115</v>
      </c>
      <c r="J1398" s="2" t="s">
        <v>102</v>
      </c>
      <c r="K1398" s="2" t="s">
        <v>58</v>
      </c>
    </row>
    <row r="1399" ht="15.75" customHeight="1">
      <c r="A1399" s="2">
        <v>513090.0</v>
      </c>
      <c r="B1399" s="2" t="s">
        <v>1104</v>
      </c>
      <c r="C1399" s="2" t="s">
        <v>3538</v>
      </c>
      <c r="D1399" s="2" t="s">
        <v>1324</v>
      </c>
      <c r="E1399" s="2" t="s">
        <v>136</v>
      </c>
      <c r="F1399" s="2">
        <v>50.0</v>
      </c>
      <c r="G1399" s="2">
        <v>500.0</v>
      </c>
      <c r="H1399" s="3" t="str">
        <f>HYPERLINK("http://ph.linkedin.com/in/jayarenas","http://ph.linkedin.com/in/jayarenas")</f>
        <v>http://ph.linkedin.com/in/jayarenas</v>
      </c>
      <c r="I1399" s="2" t="s">
        <v>2081</v>
      </c>
      <c r="J1399" s="2" t="s">
        <v>102</v>
      </c>
      <c r="K1399" s="2" t="s">
        <v>58</v>
      </c>
    </row>
    <row r="1400" ht="15.75" customHeight="1">
      <c r="A1400" s="2">
        <v>514414.0</v>
      </c>
      <c r="B1400" s="2" t="s">
        <v>3539</v>
      </c>
      <c r="C1400" s="2" t="s">
        <v>3540</v>
      </c>
      <c r="D1400" s="2" t="s">
        <v>2079</v>
      </c>
      <c r="E1400" s="2" t="s">
        <v>3541</v>
      </c>
      <c r="F1400" s="2">
        <v>1.0</v>
      </c>
      <c r="G1400" s="2">
        <v>500.0</v>
      </c>
      <c r="H1400" s="3" t="str">
        <f>HYPERLINK("https://www.linkedin.com/in/barclaymcfadden","https://www.linkedin.com/in/barclaymcfadden")</f>
        <v>https://www.linkedin.com/in/barclaymcfadden</v>
      </c>
      <c r="I1400" s="2" t="s">
        <v>48</v>
      </c>
      <c r="J1400" s="2" t="s">
        <v>102</v>
      </c>
      <c r="K1400" s="2" t="s">
        <v>35</v>
      </c>
    </row>
    <row r="1401" ht="15.75" customHeight="1">
      <c r="A1401" s="2">
        <v>515054.0</v>
      </c>
      <c r="B1401" s="2" t="s">
        <v>937</v>
      </c>
      <c r="C1401" s="2" t="s">
        <v>3542</v>
      </c>
      <c r="D1401" s="2" t="s">
        <v>3543</v>
      </c>
      <c r="E1401" s="2" t="s">
        <v>3544</v>
      </c>
      <c r="F1401" s="2">
        <v>10.0</v>
      </c>
      <c r="G1401" s="2">
        <v>500.0</v>
      </c>
      <c r="H1401" s="3" t="str">
        <f>HYPERLINK("http://www.linkedin.com/in/daniellescherman","http://www.linkedin.com/in/daniellescherman")</f>
        <v>http://www.linkedin.com/in/daniellescherman</v>
      </c>
      <c r="I1401" s="2" t="s">
        <v>137</v>
      </c>
      <c r="J1401" s="2" t="s">
        <v>16</v>
      </c>
      <c r="K1401" s="2" t="s">
        <v>357</v>
      </c>
    </row>
    <row r="1402" ht="15.75" customHeight="1">
      <c r="A1402" s="2">
        <v>515106.0</v>
      </c>
      <c r="B1402" s="2" t="s">
        <v>1366</v>
      </c>
      <c r="C1402" s="2" t="s">
        <v>3545</v>
      </c>
      <c r="D1402" s="2" t="s">
        <v>3546</v>
      </c>
      <c r="E1402" s="2" t="s">
        <v>2035</v>
      </c>
      <c r="F1402" s="2">
        <v>6.0</v>
      </c>
      <c r="G1402" s="2">
        <v>366.0</v>
      </c>
      <c r="H1402" s="3" t="str">
        <f>HYPERLINK("http://www.linkedin.com/pub/peter-chiboucas/3/AB1/B61","http://www.linkedin.com/pub/peter-chiboucas/3/AB1/B61")</f>
        <v>http://www.linkedin.com/pub/peter-chiboucas/3/AB1/B61</v>
      </c>
      <c r="I1402" s="2" t="s">
        <v>612</v>
      </c>
      <c r="J1402" s="2" t="s">
        <v>273</v>
      </c>
      <c r="K1402" s="2" t="s">
        <v>1974</v>
      </c>
    </row>
    <row r="1403" ht="15.75" customHeight="1">
      <c r="A1403" s="2">
        <v>515324.0</v>
      </c>
      <c r="B1403" s="2" t="s">
        <v>2543</v>
      </c>
      <c r="C1403" s="2" t="s">
        <v>3547</v>
      </c>
      <c r="D1403" s="2" t="s">
        <v>3548</v>
      </c>
      <c r="E1403" s="2" t="s">
        <v>101</v>
      </c>
      <c r="F1403" s="2">
        <v>5.0</v>
      </c>
      <c r="G1403" s="2">
        <v>500.0</v>
      </c>
      <c r="H1403" s="3" t="str">
        <f>HYPERLINK("http://www.linkedin.com/pub/don-sloan/0/B6/824","http://www.linkedin.com/pub/don-sloan/0/B6/824")</f>
        <v>http://www.linkedin.com/pub/don-sloan/0/B6/824</v>
      </c>
      <c r="I1403" s="2" t="s">
        <v>48</v>
      </c>
      <c r="J1403" s="2" t="s">
        <v>102</v>
      </c>
      <c r="K1403" s="2" t="s">
        <v>35</v>
      </c>
    </row>
    <row r="1404" ht="15.75" customHeight="1">
      <c r="A1404" s="2">
        <v>515413.0</v>
      </c>
      <c r="B1404" s="2" t="s">
        <v>414</v>
      </c>
      <c r="C1404" s="2" t="s">
        <v>3549</v>
      </c>
      <c r="D1404" s="2" t="s">
        <v>13</v>
      </c>
      <c r="E1404" s="2" t="s">
        <v>181</v>
      </c>
      <c r="F1404" s="2">
        <v>0.0</v>
      </c>
      <c r="G1404" s="2">
        <v>500.0</v>
      </c>
      <c r="H1404" s="3" t="str">
        <f>HYPERLINK("http://www.linkedin.com/pub/tom-martin-tomburchmartin-gmail-com/1/98/347","http://www.linkedin.com/pub/tom-martin-tomburchmartin-gmail-com/1/98/347")</f>
        <v>http://www.linkedin.com/pub/tom-martin-tomburchmartin-gmail-com/1/98/347</v>
      </c>
      <c r="I1404" s="2" t="s">
        <v>844</v>
      </c>
      <c r="J1404" s="2" t="s">
        <v>102</v>
      </c>
      <c r="K1404" s="2" t="s">
        <v>58</v>
      </c>
    </row>
    <row r="1405" ht="15.75" customHeight="1">
      <c r="A1405" s="2">
        <v>515726.0</v>
      </c>
      <c r="B1405" s="2" t="s">
        <v>3550</v>
      </c>
      <c r="C1405" s="2" t="s">
        <v>3551</v>
      </c>
      <c r="D1405" s="2" t="s">
        <v>100</v>
      </c>
      <c r="E1405" s="2" t="s">
        <v>122</v>
      </c>
      <c r="F1405" s="2">
        <v>10.0</v>
      </c>
      <c r="G1405" s="2">
        <v>500.0</v>
      </c>
      <c r="H1405" s="3" t="str">
        <f>HYPERLINK("http://uk.linkedin.com/in/nicolasladoucette","http://uk.linkedin.com/in/nicolasladoucette")</f>
        <v>http://uk.linkedin.com/in/nicolasladoucette</v>
      </c>
      <c r="I1405" s="2" t="s">
        <v>458</v>
      </c>
      <c r="J1405" s="2" t="s">
        <v>53</v>
      </c>
      <c r="K1405" s="2" t="s">
        <v>58</v>
      </c>
    </row>
    <row r="1406" ht="15.75" customHeight="1">
      <c r="A1406" s="2">
        <v>515930.0</v>
      </c>
      <c r="B1406" s="2" t="s">
        <v>1087</v>
      </c>
      <c r="C1406" s="2" t="s">
        <v>3552</v>
      </c>
      <c r="D1406" s="2" t="s">
        <v>3553</v>
      </c>
      <c r="E1406" s="2" t="s">
        <v>3554</v>
      </c>
      <c r="F1406" s="2">
        <v>1.0</v>
      </c>
      <c r="G1406" s="2">
        <v>428.0</v>
      </c>
      <c r="H1406" s="3" t="str">
        <f>HYPERLINK("http://www.linkedin.com/pub/james-dillion/23/2A5/B81","http://www.linkedin.com/pub/james-dillion/23/2A5/B81")</f>
        <v>http://www.linkedin.com/pub/james-dillion/23/2A5/B81</v>
      </c>
      <c r="I1406" s="2" t="s">
        <v>599</v>
      </c>
      <c r="J1406" s="2" t="s">
        <v>1047</v>
      </c>
      <c r="K1406" s="2" t="s">
        <v>138</v>
      </c>
    </row>
    <row r="1407" ht="15.75" customHeight="1">
      <c r="A1407" s="2">
        <v>516366.0</v>
      </c>
      <c r="B1407" s="2" t="s">
        <v>3555</v>
      </c>
      <c r="C1407" s="2" t="s">
        <v>3556</v>
      </c>
      <c r="D1407" s="2" t="s">
        <v>42</v>
      </c>
      <c r="E1407" s="2" t="s">
        <v>136</v>
      </c>
      <c r="F1407" s="2" t="s">
        <v>13</v>
      </c>
      <c r="G1407" s="2">
        <v>499.0</v>
      </c>
      <c r="H1407" s="3" t="str">
        <f>HYPERLINK("http://www.linkedin.com/pub/naishou-varazslo/1/A44/880","http://www.linkedin.com/pub/naishou-varazslo/1/A44/880")</f>
        <v>http://www.linkedin.com/pub/naishou-varazslo/1/A44/880</v>
      </c>
      <c r="I1407" s="2" t="s">
        <v>15</v>
      </c>
      <c r="J1407" s="2" t="s">
        <v>102</v>
      </c>
      <c r="K1407" s="2" t="s">
        <v>35</v>
      </c>
    </row>
    <row r="1408" ht="15.75" customHeight="1">
      <c r="A1408" s="2">
        <v>516501.0</v>
      </c>
      <c r="B1408" s="2" t="s">
        <v>3244</v>
      </c>
      <c r="C1408" s="2" t="s">
        <v>1337</v>
      </c>
      <c r="D1408" s="2" t="s">
        <v>536</v>
      </c>
      <c r="E1408" s="2" t="s">
        <v>882</v>
      </c>
      <c r="F1408" s="2">
        <v>11.0</v>
      </c>
      <c r="G1408" s="2">
        <v>487.0</v>
      </c>
      <c r="H1408" s="3" t="str">
        <f>HYPERLINK("http://www.linkedin.com/in/wendyhong","http://www.linkedin.com/in/wendyhong")</f>
        <v>http://www.linkedin.com/in/wendyhong</v>
      </c>
      <c r="I1408" s="2" t="s">
        <v>422</v>
      </c>
      <c r="J1408" s="2" t="s">
        <v>102</v>
      </c>
      <c r="K1408" s="2" t="s">
        <v>974</v>
      </c>
    </row>
    <row r="1409" ht="15.75" customHeight="1">
      <c r="A1409" s="2">
        <v>517024.0</v>
      </c>
      <c r="B1409" s="2" t="s">
        <v>3557</v>
      </c>
      <c r="C1409" s="2" t="s">
        <v>3558</v>
      </c>
      <c r="D1409" s="2" t="s">
        <v>3559</v>
      </c>
      <c r="E1409" s="2" t="s">
        <v>3560</v>
      </c>
      <c r="F1409" s="2" t="s">
        <v>13</v>
      </c>
      <c r="G1409" s="2">
        <v>405.0</v>
      </c>
      <c r="H1409" s="3" t="str">
        <f>HYPERLINK("http://www.linkedin.com/pub/vinayak-joshi/24/10B/A13","http://www.linkedin.com/pub/vinayak-joshi/24/10B/A13")</f>
        <v>http://www.linkedin.com/pub/vinayak-joshi/24/10B/A13</v>
      </c>
      <c r="I1409" s="2" t="s">
        <v>225</v>
      </c>
      <c r="J1409" s="2" t="s">
        <v>28</v>
      </c>
      <c r="K1409" s="2" t="s">
        <v>35</v>
      </c>
    </row>
    <row r="1410" ht="15.75" customHeight="1">
      <c r="A1410" s="2">
        <v>517281.0</v>
      </c>
      <c r="B1410" s="2" t="s">
        <v>3561</v>
      </c>
      <c r="C1410" s="2" t="s">
        <v>1843</v>
      </c>
      <c r="D1410" s="2" t="s">
        <v>114</v>
      </c>
      <c r="E1410" s="2" t="s">
        <v>301</v>
      </c>
      <c r="F1410" s="2" t="s">
        <v>13</v>
      </c>
      <c r="G1410" s="2">
        <v>500.0</v>
      </c>
      <c r="H1410" s="3" t="str">
        <f>HYPERLINK("http://www.linkedin.com/pub/kumar-shah/B/4/819","http://www.linkedin.com/pub/kumar-shah/B/4/819")</f>
        <v>http://www.linkedin.com/pub/kumar-shah/B/4/819</v>
      </c>
      <c r="I1410" s="2" t="s">
        <v>3562</v>
      </c>
      <c r="J1410" s="2" t="s">
        <v>102</v>
      </c>
      <c r="K1410" s="2" t="s">
        <v>58</v>
      </c>
    </row>
    <row r="1411" ht="15.75" customHeight="1">
      <c r="A1411" s="2">
        <v>517834.0</v>
      </c>
      <c r="B1411" s="2" t="s">
        <v>3563</v>
      </c>
      <c r="C1411" s="2" t="s">
        <v>3564</v>
      </c>
      <c r="D1411" s="2" t="s">
        <v>3565</v>
      </c>
      <c r="E1411" s="2" t="s">
        <v>204</v>
      </c>
      <c r="F1411" s="2" t="s">
        <v>13</v>
      </c>
      <c r="G1411" s="2">
        <v>127.0</v>
      </c>
      <c r="H1411" s="3" t="str">
        <f>HYPERLINK("http://mx.linkedin.com/pub/manuel-fragoso/24/995/926","http://mx.linkedin.com/pub/manuel-fragoso/24/995/926")</f>
        <v>http://mx.linkedin.com/pub/manuel-fragoso/24/995/926</v>
      </c>
      <c r="I1411" s="2" t="s">
        <v>1237</v>
      </c>
      <c r="J1411" s="2" t="s">
        <v>28</v>
      </c>
      <c r="K1411" s="2" t="s">
        <v>2116</v>
      </c>
    </row>
    <row r="1412" ht="15.75" customHeight="1">
      <c r="A1412" s="2">
        <v>518177.0</v>
      </c>
      <c r="B1412" s="2" t="s">
        <v>845</v>
      </c>
      <c r="C1412" s="2" t="s">
        <v>3566</v>
      </c>
      <c r="D1412" s="2" t="s">
        <v>3567</v>
      </c>
      <c r="E1412" s="2" t="s">
        <v>491</v>
      </c>
      <c r="F1412" s="2" t="s">
        <v>13</v>
      </c>
      <c r="G1412" s="2">
        <v>500.0</v>
      </c>
      <c r="H1412" s="3" t="str">
        <f>HYPERLINK("http://es.linkedin.com/in/davidsanchez71","http://es.linkedin.com/in/davidsanchez71")</f>
        <v>http://es.linkedin.com/in/davidsanchez71</v>
      </c>
      <c r="I1412" s="2" t="s">
        <v>15</v>
      </c>
      <c r="J1412" s="2" t="s">
        <v>220</v>
      </c>
      <c r="K1412" s="2" t="s">
        <v>35</v>
      </c>
    </row>
    <row r="1413" ht="15.75" customHeight="1">
      <c r="A1413" s="2">
        <v>518458.0</v>
      </c>
      <c r="B1413" s="2" t="s">
        <v>412</v>
      </c>
      <c r="C1413" s="2" t="s">
        <v>3568</v>
      </c>
      <c r="D1413" s="2" t="s">
        <v>3569</v>
      </c>
      <c r="E1413" s="2" t="s">
        <v>3570</v>
      </c>
      <c r="F1413" s="2">
        <v>2.0</v>
      </c>
      <c r="G1413" s="2">
        <v>215.0</v>
      </c>
      <c r="H1413" s="3" t="str">
        <f>HYPERLINK("http://www.linkedin.com/in/rlegatie","http://www.linkedin.com/in/rlegatie")</f>
        <v>http://www.linkedin.com/in/rlegatie</v>
      </c>
      <c r="I1413" s="2" t="s">
        <v>560</v>
      </c>
      <c r="J1413" s="2" t="s">
        <v>273</v>
      </c>
      <c r="K1413" s="2" t="s">
        <v>3174</v>
      </c>
    </row>
    <row r="1414" ht="15.75" customHeight="1">
      <c r="A1414" s="2">
        <v>519018.0</v>
      </c>
      <c r="B1414" s="2" t="s">
        <v>1456</v>
      </c>
      <c r="C1414" s="2" t="s">
        <v>3571</v>
      </c>
      <c r="D1414" s="2" t="s">
        <v>3572</v>
      </c>
      <c r="E1414" s="2" t="s">
        <v>706</v>
      </c>
      <c r="F1414" s="2">
        <v>1.0</v>
      </c>
      <c r="G1414" s="2">
        <v>500.0</v>
      </c>
      <c r="H1414" s="3" t="str">
        <f>HYPERLINK("http://www.linkedin.com/pub/anderson-tadeu/24/878/572","http://www.linkedin.com/pub/anderson-tadeu/24/878/572")</f>
        <v>http://www.linkedin.com/pub/anderson-tadeu/24/878/572</v>
      </c>
      <c r="I1414" s="2" t="s">
        <v>629</v>
      </c>
      <c r="J1414" s="2" t="s">
        <v>34</v>
      </c>
      <c r="K1414" s="2" t="s">
        <v>1883</v>
      </c>
    </row>
    <row r="1415" ht="15.75" customHeight="1">
      <c r="A1415" s="2">
        <v>519104.0</v>
      </c>
      <c r="B1415" s="2" t="s">
        <v>1447</v>
      </c>
      <c r="C1415" s="2" t="s">
        <v>3573</v>
      </c>
      <c r="D1415" s="2" t="s">
        <v>114</v>
      </c>
      <c r="E1415" s="2" t="s">
        <v>142</v>
      </c>
      <c r="F1415" s="2">
        <v>47.0</v>
      </c>
      <c r="G1415" s="2">
        <v>500.0</v>
      </c>
      <c r="H1415" s="3" t="str">
        <f>HYPERLINK("http://www.linkedin.com/in/caryburch","http://www.linkedin.com/in/caryburch")</f>
        <v>http://www.linkedin.com/in/caryburch</v>
      </c>
      <c r="I1415" s="2" t="s">
        <v>48</v>
      </c>
      <c r="J1415" s="2" t="s">
        <v>144</v>
      </c>
      <c r="K1415" s="2" t="s">
        <v>1692</v>
      </c>
    </row>
    <row r="1416" ht="15.75" customHeight="1">
      <c r="A1416" s="2">
        <v>519476.0</v>
      </c>
      <c r="B1416" s="2" t="s">
        <v>133</v>
      </c>
      <c r="C1416" s="2" t="s">
        <v>3574</v>
      </c>
      <c r="D1416" s="2" t="s">
        <v>3575</v>
      </c>
      <c r="E1416" s="2" t="s">
        <v>136</v>
      </c>
      <c r="F1416" s="2" t="s">
        <v>13</v>
      </c>
      <c r="G1416" s="2">
        <v>281.0</v>
      </c>
      <c r="H1416" s="3" t="str">
        <f>HYPERLINK("http://www.linkedin.com/pub/michael-heinstein/0/4/68","http://www.linkedin.com/pub/michael-heinstein/0/4/68")</f>
        <v>http://www.linkedin.com/pub/michael-heinstein/0/4/68</v>
      </c>
      <c r="I1416" s="2" t="s">
        <v>69</v>
      </c>
      <c r="J1416" s="2" t="s">
        <v>102</v>
      </c>
      <c r="K1416" s="2" t="s">
        <v>35</v>
      </c>
    </row>
    <row r="1417" ht="15.75" customHeight="1">
      <c r="A1417" s="2">
        <v>519568.0</v>
      </c>
      <c r="B1417" s="2" t="s">
        <v>3576</v>
      </c>
      <c r="C1417" s="2" t="s">
        <v>3577</v>
      </c>
      <c r="D1417" s="2" t="s">
        <v>3578</v>
      </c>
      <c r="E1417" s="2" t="s">
        <v>278</v>
      </c>
      <c r="F1417" s="2" t="s">
        <v>13</v>
      </c>
      <c r="G1417" s="2">
        <v>48.0</v>
      </c>
      <c r="H1417" s="3" t="str">
        <f>HYPERLINK("http://www.linkedin.com/pub/kellee-vernon/26/855/B83","http://www.linkedin.com/pub/kellee-vernon/26/855/B83")</f>
        <v>http://www.linkedin.com/pub/kellee-vernon/26/855/B83</v>
      </c>
      <c r="I1417" s="2" t="s">
        <v>306</v>
      </c>
      <c r="J1417" s="2" t="s">
        <v>28</v>
      </c>
      <c r="K1417" s="2" t="s">
        <v>357</v>
      </c>
    </row>
    <row r="1418" ht="15.75" customHeight="1">
      <c r="A1418" s="2">
        <v>519759.0</v>
      </c>
      <c r="B1418" s="2" t="s">
        <v>3579</v>
      </c>
      <c r="C1418" s="2" t="s">
        <v>2520</v>
      </c>
      <c r="D1418" s="2" t="s">
        <v>3580</v>
      </c>
      <c r="E1418" s="2" t="s">
        <v>235</v>
      </c>
      <c r="F1418" s="2">
        <v>1.0</v>
      </c>
      <c r="G1418" s="2">
        <v>500.0</v>
      </c>
      <c r="H1418" s="3" t="str">
        <f>HYPERLINK("http://www.linkedin.com/in/skybasu","http://www.linkedin.com/in/skybasu")</f>
        <v>http://www.linkedin.com/in/skybasu</v>
      </c>
      <c r="I1418" s="2" t="s">
        <v>48</v>
      </c>
      <c r="J1418" s="2" t="s">
        <v>102</v>
      </c>
      <c r="K1418" s="2" t="s">
        <v>35</v>
      </c>
    </row>
    <row r="1419" ht="15.75" customHeight="1">
      <c r="A1419" s="2">
        <v>520035.0</v>
      </c>
      <c r="B1419" s="2" t="s">
        <v>471</v>
      </c>
      <c r="C1419" s="2" t="s">
        <v>3581</v>
      </c>
      <c r="D1419" s="2" t="s">
        <v>3582</v>
      </c>
      <c r="E1419" s="2" t="s">
        <v>101</v>
      </c>
      <c r="F1419" s="2">
        <v>8.0</v>
      </c>
      <c r="G1419" s="2">
        <v>500.0</v>
      </c>
      <c r="H1419" s="3" t="str">
        <f>HYPERLINK("http://www.linkedin.com/pub/dan-gentile/0/A45/168","http://www.linkedin.com/pub/dan-gentile/0/A45/168")</f>
        <v>http://www.linkedin.com/pub/dan-gentile/0/A45/168</v>
      </c>
      <c r="I1419" s="2" t="s">
        <v>1237</v>
      </c>
      <c r="J1419" s="2" t="s">
        <v>102</v>
      </c>
      <c r="K1419" s="2" t="s">
        <v>29</v>
      </c>
    </row>
    <row r="1420" ht="15.75" customHeight="1">
      <c r="A1420" s="2">
        <v>520917.0</v>
      </c>
      <c r="B1420" s="2" t="s">
        <v>784</v>
      </c>
      <c r="C1420" s="2" t="s">
        <v>3583</v>
      </c>
      <c r="D1420" s="2" t="s">
        <v>841</v>
      </c>
      <c r="E1420" s="2" t="s">
        <v>101</v>
      </c>
      <c r="F1420" s="2">
        <v>8.0</v>
      </c>
      <c r="G1420" s="2">
        <v>500.0</v>
      </c>
      <c r="H1420" s="3" t="str">
        <f>HYPERLINK("http://www.linkedin.com/pub/jeff-jarvis/2/106/708","http://www.linkedin.com/pub/jeff-jarvis/2/106/708")</f>
        <v>http://www.linkedin.com/pub/jeff-jarvis/2/106/708</v>
      </c>
      <c r="I1420" s="2" t="s">
        <v>15</v>
      </c>
      <c r="J1420" s="2" t="s">
        <v>102</v>
      </c>
      <c r="K1420" s="2" t="s">
        <v>35</v>
      </c>
    </row>
    <row r="1421" ht="15.75" customHeight="1">
      <c r="A1421" s="2">
        <v>521020.0</v>
      </c>
      <c r="B1421" s="2" t="s">
        <v>3584</v>
      </c>
      <c r="C1421" s="2" t="s">
        <v>3585</v>
      </c>
      <c r="D1421" s="2" t="s">
        <v>114</v>
      </c>
      <c r="E1421" s="2" t="s">
        <v>101</v>
      </c>
      <c r="F1421" s="2" t="s">
        <v>13</v>
      </c>
      <c r="G1421" s="2">
        <v>132.0</v>
      </c>
      <c r="H1421" s="3" t="str">
        <f>HYPERLINK("http://www.linkedin.com/pub/hugh-hayman/A/129/773","http://www.linkedin.com/pub/hugh-hayman/A/129/773")</f>
        <v>http://www.linkedin.com/pub/hugh-hayman/A/129/773</v>
      </c>
      <c r="I1421" s="2" t="s">
        <v>57</v>
      </c>
      <c r="J1421" s="2" t="s">
        <v>102</v>
      </c>
      <c r="K1421" s="2" t="s">
        <v>58</v>
      </c>
    </row>
    <row r="1422" ht="15.75" customHeight="1">
      <c r="A1422" s="2">
        <v>521486.0</v>
      </c>
      <c r="B1422" s="2" t="s">
        <v>2601</v>
      </c>
      <c r="C1422" s="2" t="s">
        <v>3586</v>
      </c>
      <c r="D1422" s="2" t="s">
        <v>3587</v>
      </c>
      <c r="E1422" s="2" t="s">
        <v>142</v>
      </c>
      <c r="F1422" s="2">
        <v>7.0</v>
      </c>
      <c r="G1422" s="2">
        <v>500.0</v>
      </c>
      <c r="H1422" s="3" t="str">
        <f>HYPERLINK("http://www.linkedin.com/in/rebeccamilkey","http://www.linkedin.com/in/rebeccamilkey")</f>
        <v>http://www.linkedin.com/in/rebeccamilkey</v>
      </c>
      <c r="I1422" s="2" t="s">
        <v>105</v>
      </c>
      <c r="J1422" s="2" t="s">
        <v>144</v>
      </c>
      <c r="K1422" s="2" t="s">
        <v>357</v>
      </c>
    </row>
    <row r="1423" ht="15.75" customHeight="1">
      <c r="A1423" s="2">
        <v>522362.0</v>
      </c>
      <c r="B1423" s="2" t="s">
        <v>3588</v>
      </c>
      <c r="C1423" s="2" t="s">
        <v>3589</v>
      </c>
      <c r="D1423" s="2" t="s">
        <v>3590</v>
      </c>
      <c r="E1423" s="2" t="s">
        <v>3591</v>
      </c>
      <c r="F1423" s="2" t="s">
        <v>13</v>
      </c>
      <c r="G1423" s="2">
        <v>500.0</v>
      </c>
      <c r="H1423" s="3" t="str">
        <f>HYPERLINK("http://nl.linkedin.com/in/harmrietmeijer","http://nl.linkedin.com/in/harmrietmeijer")</f>
        <v>http://nl.linkedin.com/in/harmrietmeijer</v>
      </c>
      <c r="I1423" s="2" t="s">
        <v>15</v>
      </c>
      <c r="J1423" s="2" t="s">
        <v>837</v>
      </c>
      <c r="K1423" s="2" t="s">
        <v>35</v>
      </c>
    </row>
    <row r="1424" ht="15.75" customHeight="1">
      <c r="A1424" s="2">
        <v>523590.0</v>
      </c>
      <c r="B1424" s="2" t="s">
        <v>3592</v>
      </c>
      <c r="C1424" s="2" t="s">
        <v>3593</v>
      </c>
      <c r="D1424" s="2" t="s">
        <v>47</v>
      </c>
      <c r="E1424" s="2" t="s">
        <v>1009</v>
      </c>
      <c r="F1424" s="2">
        <v>11.0</v>
      </c>
      <c r="G1424" s="2">
        <v>500.0</v>
      </c>
      <c r="H1424" s="3" t="str">
        <f>HYPERLINK("http://www.linkedin.com/in/caseybridgeford","http://www.linkedin.com/in/caseybridgeford")</f>
        <v>http://www.linkedin.com/in/caseybridgeford</v>
      </c>
      <c r="I1424" s="2" t="s">
        <v>105</v>
      </c>
      <c r="J1424" s="2" t="s">
        <v>87</v>
      </c>
      <c r="K1424" s="2" t="s">
        <v>58</v>
      </c>
    </row>
    <row r="1425" ht="15.75" customHeight="1">
      <c r="A1425" s="2">
        <v>523638.0</v>
      </c>
      <c r="B1425" s="2" t="s">
        <v>3594</v>
      </c>
      <c r="C1425" s="2" t="s">
        <v>3595</v>
      </c>
      <c r="D1425" s="2" t="s">
        <v>3596</v>
      </c>
      <c r="E1425" s="2" t="s">
        <v>3597</v>
      </c>
      <c r="F1425" s="2" t="s">
        <v>13</v>
      </c>
      <c r="G1425" s="2">
        <v>316.0</v>
      </c>
      <c r="H1425" s="3" t="str">
        <f>HYPERLINK("http://www.linkedin.com/pub/artem-orange-cfa/3/850/B63","http://www.linkedin.com/pub/artem-orange-cfa/3/850/B63")</f>
        <v>http://www.linkedin.com/pub/artem-orange-cfa/3/850/B63</v>
      </c>
      <c r="I1425" s="2" t="s">
        <v>77</v>
      </c>
      <c r="J1425" s="2" t="s">
        <v>3598</v>
      </c>
      <c r="K1425" s="2" t="s">
        <v>168</v>
      </c>
    </row>
    <row r="1426" ht="15.75" customHeight="1">
      <c r="A1426" s="2">
        <v>524434.0</v>
      </c>
      <c r="B1426" s="2" t="s">
        <v>1015</v>
      </c>
      <c r="C1426" s="2" t="s">
        <v>3599</v>
      </c>
      <c r="D1426" s="2" t="s">
        <v>289</v>
      </c>
      <c r="E1426" s="2" t="s">
        <v>301</v>
      </c>
      <c r="F1426" s="2">
        <v>13.0</v>
      </c>
      <c r="G1426" s="2">
        <v>500.0</v>
      </c>
      <c r="H1426" s="3" t="str">
        <f>HYPERLINK("http://www.linkedin.com/in/bshydlo","http://www.linkedin.com/in/bshydlo")</f>
        <v>http://www.linkedin.com/in/bshydlo</v>
      </c>
      <c r="I1426" s="2" t="s">
        <v>15</v>
      </c>
      <c r="J1426" s="2" t="s">
        <v>102</v>
      </c>
      <c r="K1426" s="2" t="s">
        <v>35</v>
      </c>
    </row>
    <row r="1427" ht="15.75" customHeight="1">
      <c r="A1427" s="2">
        <v>524726.0</v>
      </c>
      <c r="B1427" s="2" t="s">
        <v>1173</v>
      </c>
      <c r="C1427" s="2" t="s">
        <v>3600</v>
      </c>
      <c r="D1427" s="2" t="s">
        <v>3601</v>
      </c>
      <c r="E1427" s="2" t="s">
        <v>101</v>
      </c>
      <c r="F1427" s="2">
        <v>3.0</v>
      </c>
      <c r="G1427" s="2">
        <v>500.0</v>
      </c>
      <c r="H1427" s="3" t="str">
        <f>HYPERLINK("http://www.linkedin.com/in/sndawson68","http://www.linkedin.com/in/sndawson68")</f>
        <v>http://www.linkedin.com/in/sndawson68</v>
      </c>
      <c r="I1427" s="2" t="s">
        <v>612</v>
      </c>
      <c r="J1427" s="2" t="s">
        <v>102</v>
      </c>
      <c r="K1427" s="2" t="s">
        <v>58</v>
      </c>
    </row>
    <row r="1428" ht="15.75" customHeight="1">
      <c r="A1428" s="2">
        <v>525873.0</v>
      </c>
      <c r="B1428" s="2" t="s">
        <v>1265</v>
      </c>
      <c r="C1428" s="2" t="s">
        <v>3602</v>
      </c>
      <c r="D1428" s="2" t="s">
        <v>75</v>
      </c>
      <c r="E1428" s="2" t="s">
        <v>1615</v>
      </c>
      <c r="F1428" s="2" t="s">
        <v>13</v>
      </c>
      <c r="G1428" s="2">
        <v>144.0</v>
      </c>
      <c r="H1428" s="3" t="str">
        <f>HYPERLINK("http://www.linkedin.com/in/jfalcigno","http://www.linkedin.com/in/jfalcigno")</f>
        <v>http://www.linkedin.com/in/jfalcigno</v>
      </c>
      <c r="I1428" s="2" t="s">
        <v>48</v>
      </c>
      <c r="J1428" s="2" t="s">
        <v>102</v>
      </c>
      <c r="K1428" s="2" t="s">
        <v>35</v>
      </c>
    </row>
    <row r="1429" ht="15.75" customHeight="1">
      <c r="A1429" s="2">
        <v>525974.0</v>
      </c>
      <c r="B1429" s="2" t="s">
        <v>275</v>
      </c>
      <c r="C1429" s="2" t="s">
        <v>3603</v>
      </c>
      <c r="D1429" s="2" t="s">
        <v>3604</v>
      </c>
      <c r="E1429" s="2" t="s">
        <v>3605</v>
      </c>
      <c r="F1429" s="2" t="s">
        <v>13</v>
      </c>
      <c r="G1429" s="2">
        <v>500.0</v>
      </c>
      <c r="H1429" s="3" t="str">
        <f>HYPERLINK("http://uk.linkedin.com/in/mjslater","http://uk.linkedin.com/in/mjslater")</f>
        <v>http://uk.linkedin.com/in/mjslater</v>
      </c>
      <c r="I1429" s="2" t="s">
        <v>15</v>
      </c>
      <c r="J1429" s="2" t="s">
        <v>53</v>
      </c>
      <c r="K1429" s="2" t="s">
        <v>35</v>
      </c>
    </row>
    <row r="1430" ht="15.75" customHeight="1">
      <c r="A1430" s="2">
        <v>526582.0</v>
      </c>
      <c r="B1430" s="2" t="s">
        <v>3606</v>
      </c>
      <c r="C1430" s="2" t="s">
        <v>3607</v>
      </c>
      <c r="D1430" s="2" t="s">
        <v>636</v>
      </c>
      <c r="E1430" s="2" t="s">
        <v>3608</v>
      </c>
      <c r="F1430" s="2">
        <v>8.0</v>
      </c>
      <c r="G1430" s="2">
        <v>259.0</v>
      </c>
      <c r="H1430" s="3" t="str">
        <f>HYPERLINK("http://www.linkedin.com/in/tracyobrien","http://www.linkedin.com/in/tracyobrien")</f>
        <v>http://www.linkedin.com/in/tracyobrien</v>
      </c>
      <c r="I1430" s="2" t="s">
        <v>681</v>
      </c>
      <c r="J1430" s="2" t="s">
        <v>273</v>
      </c>
      <c r="K1430" s="2" t="s">
        <v>58</v>
      </c>
    </row>
    <row r="1431" ht="15.75" customHeight="1">
      <c r="A1431" s="2">
        <v>526648.0</v>
      </c>
      <c r="B1431" s="2" t="s">
        <v>3609</v>
      </c>
      <c r="C1431" s="2" t="s">
        <v>3610</v>
      </c>
      <c r="D1431" s="2" t="s">
        <v>3611</v>
      </c>
      <c r="E1431" s="2" t="s">
        <v>3612</v>
      </c>
      <c r="F1431" s="2">
        <v>5.0</v>
      </c>
      <c r="G1431" s="2">
        <v>500.0</v>
      </c>
      <c r="H1431" s="3" t="str">
        <f>HYPERLINK("http://br.linkedin.com/pub/ana-viviane-freire-de-s-/29/1B2/B22","http://br.linkedin.com/pub/ana-viviane-freire-de-s-/29/1B2/B22")</f>
        <v>http://br.linkedin.com/pub/ana-viviane-freire-de-s-/29/1B2/B22</v>
      </c>
      <c r="I1431" s="2" t="s">
        <v>344</v>
      </c>
      <c r="J1431" s="2" t="s">
        <v>34</v>
      </c>
      <c r="K1431" s="2" t="s">
        <v>29</v>
      </c>
    </row>
    <row r="1432" ht="15.75" customHeight="1">
      <c r="A1432" s="2">
        <v>527032.0</v>
      </c>
      <c r="B1432" s="2" t="s">
        <v>1296</v>
      </c>
      <c r="C1432" s="2" t="s">
        <v>3613</v>
      </c>
      <c r="D1432" s="2" t="s">
        <v>3614</v>
      </c>
      <c r="E1432" s="2" t="s">
        <v>301</v>
      </c>
      <c r="F1432" s="2" t="s">
        <v>13</v>
      </c>
      <c r="G1432" s="2">
        <v>500.0</v>
      </c>
      <c r="H1432" s="3" t="str">
        <f>HYPERLINK("http://www.linkedin.com/pub/andrea-fennewald/2/919/66B","http://www.linkedin.com/pub/andrea-fennewald/2/919/66B")</f>
        <v>http://www.linkedin.com/pub/andrea-fennewald/2/919/66B</v>
      </c>
      <c r="I1432" s="2" t="s">
        <v>156</v>
      </c>
      <c r="J1432" s="2" t="s">
        <v>102</v>
      </c>
      <c r="K1432" s="2" t="s">
        <v>58</v>
      </c>
    </row>
    <row r="1433" ht="15.75" customHeight="1">
      <c r="A1433" s="2">
        <v>527122.0</v>
      </c>
      <c r="B1433" s="2" t="s">
        <v>2049</v>
      </c>
      <c r="C1433" s="2" t="s">
        <v>3615</v>
      </c>
      <c r="D1433" s="2" t="s">
        <v>3616</v>
      </c>
      <c r="E1433" s="2" t="s">
        <v>283</v>
      </c>
      <c r="F1433" s="2">
        <v>2.0</v>
      </c>
      <c r="G1433" s="2">
        <v>221.0</v>
      </c>
      <c r="H1433" s="3" t="str">
        <f>HYPERLINK("http://www.linkedin.com/pub/stephanie-staiano/B/779/551","http://www.linkedin.com/pub/stephanie-staiano/B/779/551")</f>
        <v>http://www.linkedin.com/pub/stephanie-staiano/B/779/551</v>
      </c>
      <c r="I1433" s="2" t="s">
        <v>560</v>
      </c>
      <c r="J1433" s="2" t="s">
        <v>273</v>
      </c>
      <c r="K1433" s="2" t="s">
        <v>29</v>
      </c>
    </row>
    <row r="1434" ht="15.75" customHeight="1">
      <c r="A1434" s="2">
        <v>527909.0</v>
      </c>
      <c r="B1434" s="2" t="s">
        <v>3617</v>
      </c>
      <c r="C1434" s="2" t="s">
        <v>3618</v>
      </c>
      <c r="D1434" s="2" t="s">
        <v>13</v>
      </c>
      <c r="E1434" s="2" t="s">
        <v>181</v>
      </c>
      <c r="F1434" s="2">
        <v>0.0</v>
      </c>
      <c r="G1434" s="2">
        <v>500.0</v>
      </c>
      <c r="H1434" s="3" t="str">
        <f>HYPERLINK("https://www.linkedin.com/in/joelburger","https://www.linkedin.com/in/joelburger")</f>
        <v>https://www.linkedin.com/in/joelburger</v>
      </c>
      <c r="I1434" s="2" t="s">
        <v>105</v>
      </c>
      <c r="J1434" s="2" t="s">
        <v>102</v>
      </c>
      <c r="K1434" s="2" t="s">
        <v>58</v>
      </c>
    </row>
    <row r="1435" ht="15.75" customHeight="1">
      <c r="A1435" s="2">
        <v>528393.0</v>
      </c>
      <c r="B1435" s="2" t="s">
        <v>3619</v>
      </c>
      <c r="C1435" s="2" t="s">
        <v>3620</v>
      </c>
      <c r="D1435" s="2" t="s">
        <v>3621</v>
      </c>
      <c r="E1435" s="2" t="s">
        <v>2257</v>
      </c>
      <c r="F1435" s="2">
        <v>1.0</v>
      </c>
      <c r="G1435" s="2">
        <v>500.0</v>
      </c>
      <c r="H1435" s="3" t="str">
        <f>HYPERLINK("http://it.linkedin.com/pub/antonella-de-cristofaro/7/A85/29A","http://it.linkedin.com/pub/antonella-de-cristofaro/7/A85/29A")</f>
        <v>http://it.linkedin.com/pub/antonella-de-cristofaro/7/A85/29A</v>
      </c>
      <c r="I1435" s="2" t="s">
        <v>48</v>
      </c>
      <c r="J1435" s="2" t="s">
        <v>2258</v>
      </c>
      <c r="K1435" s="2" t="s">
        <v>35</v>
      </c>
    </row>
    <row r="1436" ht="15.75" customHeight="1">
      <c r="A1436" s="2">
        <v>528499.0</v>
      </c>
      <c r="B1436" s="2" t="s">
        <v>3622</v>
      </c>
      <c r="C1436" s="2" t="s">
        <v>3623</v>
      </c>
      <c r="D1436" s="2" t="s">
        <v>3624</v>
      </c>
      <c r="E1436" s="2" t="s">
        <v>3625</v>
      </c>
      <c r="F1436" s="2" t="s">
        <v>13</v>
      </c>
      <c r="G1436" s="2">
        <v>298.0</v>
      </c>
      <c r="H1436" s="3" t="str">
        <f>HYPERLINK("http://br.linkedin.com/pub/evaldo-kuiava/29/940/4AA","http://br.linkedin.com/pub/evaldo-kuiava/29/940/4AA")</f>
        <v>http://br.linkedin.com/pub/evaldo-kuiava/29/940/4AA</v>
      </c>
      <c r="I1436" s="2" t="s">
        <v>1094</v>
      </c>
      <c r="J1436" s="2" t="s">
        <v>34</v>
      </c>
      <c r="K1436" s="2" t="s">
        <v>1895</v>
      </c>
    </row>
    <row r="1437" ht="15.75" customHeight="1">
      <c r="A1437" s="2">
        <v>528613.0</v>
      </c>
      <c r="B1437" s="2" t="s">
        <v>3626</v>
      </c>
      <c r="C1437" s="2" t="s">
        <v>3627</v>
      </c>
      <c r="D1437" s="2" t="s">
        <v>3628</v>
      </c>
      <c r="E1437" s="2" t="s">
        <v>706</v>
      </c>
      <c r="F1437" s="2" t="s">
        <v>13</v>
      </c>
      <c r="G1437" s="2">
        <v>500.0</v>
      </c>
      <c r="H1437" s="3" t="str">
        <f>HYPERLINK("http://br.linkedin.com/pub/beatriz-savastano/29/987/492","http://br.linkedin.com/pub/beatriz-savastano/29/987/492")</f>
        <v>http://br.linkedin.com/pub/beatriz-savastano/29/987/492</v>
      </c>
      <c r="I1437" s="2" t="s">
        <v>681</v>
      </c>
      <c r="J1437" s="2" t="s">
        <v>34</v>
      </c>
      <c r="K1437" s="2" t="s">
        <v>97</v>
      </c>
    </row>
    <row r="1438" ht="15.75" customHeight="1">
      <c r="A1438" s="2">
        <v>528646.0</v>
      </c>
      <c r="B1438" s="2" t="s">
        <v>23</v>
      </c>
      <c r="C1438" s="2" t="s">
        <v>3629</v>
      </c>
      <c r="D1438" s="2" t="s">
        <v>3630</v>
      </c>
      <c r="E1438" s="2" t="s">
        <v>3631</v>
      </c>
      <c r="F1438" s="2">
        <v>20.0</v>
      </c>
      <c r="G1438" s="2">
        <v>500.0</v>
      </c>
      <c r="H1438" s="3" t="str">
        <f>HYPERLINK("http://br.linkedin.com/pub/julio-abdala/29/98A/64","http://br.linkedin.com/pub/julio-abdala/29/98A/64")</f>
        <v>http://br.linkedin.com/pub/julio-abdala/29/98A/64</v>
      </c>
      <c r="I1438" s="2" t="s">
        <v>356</v>
      </c>
      <c r="J1438" s="2" t="s">
        <v>34</v>
      </c>
      <c r="K1438" s="2" t="s">
        <v>29</v>
      </c>
    </row>
    <row r="1439" ht="15.75" customHeight="1">
      <c r="A1439" s="2">
        <v>528819.0</v>
      </c>
      <c r="B1439" s="2" t="s">
        <v>1032</v>
      </c>
      <c r="C1439" s="2" t="s">
        <v>3632</v>
      </c>
      <c r="D1439" s="2" t="s">
        <v>42</v>
      </c>
      <c r="E1439" s="2" t="s">
        <v>101</v>
      </c>
      <c r="F1439" s="2">
        <v>1.0</v>
      </c>
      <c r="G1439" s="2">
        <v>500.0</v>
      </c>
      <c r="H1439" s="3" t="str">
        <f>HYPERLINK("http://www.linkedin.com/in/singareddy","http://www.linkedin.com/in/singareddy")</f>
        <v>http://www.linkedin.com/in/singareddy</v>
      </c>
      <c r="I1439" s="2" t="s">
        <v>15</v>
      </c>
      <c r="J1439" s="2" t="s">
        <v>102</v>
      </c>
      <c r="K1439" s="2" t="s">
        <v>35</v>
      </c>
    </row>
    <row r="1440" ht="15.75" customHeight="1">
      <c r="A1440" s="2">
        <v>528842.0</v>
      </c>
      <c r="B1440" s="2" t="s">
        <v>3633</v>
      </c>
      <c r="C1440" s="2" t="s">
        <v>3634</v>
      </c>
      <c r="D1440" s="2" t="s">
        <v>3635</v>
      </c>
      <c r="E1440" s="2" t="s">
        <v>204</v>
      </c>
      <c r="F1440" s="2">
        <v>0.0</v>
      </c>
      <c r="G1440" s="2">
        <v>441.0</v>
      </c>
      <c r="H1440" s="3" t="str">
        <f>HYPERLINK("http://www.linkedin.com/pub/otto-seijas/29/A5B/817","http://www.linkedin.com/pub/otto-seijas/29/A5B/817")</f>
        <v>http://www.linkedin.com/pub/otto-seijas/29/A5B/817</v>
      </c>
      <c r="I1440" s="2" t="s">
        <v>608</v>
      </c>
      <c r="J1440" s="2" t="s">
        <v>28</v>
      </c>
      <c r="K1440" s="2" t="s">
        <v>357</v>
      </c>
    </row>
    <row r="1441" ht="15.75" customHeight="1">
      <c r="A1441" s="2">
        <v>529027.0</v>
      </c>
      <c r="B1441" s="2" t="s">
        <v>358</v>
      </c>
      <c r="C1441" s="2" t="s">
        <v>3636</v>
      </c>
      <c r="D1441" s="2" t="s">
        <v>3637</v>
      </c>
      <c r="E1441" s="2" t="s">
        <v>706</v>
      </c>
      <c r="F1441" s="2">
        <v>1.0</v>
      </c>
      <c r="G1441" s="2">
        <v>357.0</v>
      </c>
      <c r="H1441" s="3" t="str">
        <f>HYPERLINK("http://br.linkedin.com/pub/marcelo-panteri-martins-dos-santos/29/B51/8A","http://br.linkedin.com/pub/marcelo-panteri-martins-dos-santos/29/B51/8A")</f>
        <v>http://br.linkedin.com/pub/marcelo-panteri-martins-dos-santos/29/B51/8A</v>
      </c>
      <c r="I1441" s="2" t="s">
        <v>231</v>
      </c>
      <c r="J1441" s="2" t="s">
        <v>34</v>
      </c>
      <c r="K1441" s="2" t="s">
        <v>22</v>
      </c>
    </row>
    <row r="1442" ht="15.75" customHeight="1">
      <c r="A1442" s="2">
        <v>529037.0</v>
      </c>
      <c r="B1442" s="2" t="s">
        <v>2740</v>
      </c>
      <c r="C1442" s="2" t="s">
        <v>1527</v>
      </c>
      <c r="D1442" s="2" t="s">
        <v>3638</v>
      </c>
      <c r="E1442" s="2" t="s">
        <v>821</v>
      </c>
      <c r="F1442" s="2">
        <v>4.0</v>
      </c>
      <c r="G1442" s="2">
        <v>263.0</v>
      </c>
      <c r="H1442" s="3" t="str">
        <f>HYPERLINK("http://uk.linkedin.com/pub/stewart-clark/3/26/547","http://uk.linkedin.com/pub/stewart-clark/3/26/547")</f>
        <v>http://uk.linkedin.com/pub/stewart-clark/3/26/547</v>
      </c>
      <c r="I1442" s="2" t="s">
        <v>15</v>
      </c>
      <c r="J1442" s="2" t="s">
        <v>575</v>
      </c>
      <c r="K1442" s="2" t="s">
        <v>729</v>
      </c>
    </row>
    <row r="1443" ht="15.75" customHeight="1">
      <c r="A1443" s="2">
        <v>529144.0</v>
      </c>
      <c r="B1443" s="2" t="s">
        <v>1260</v>
      </c>
      <c r="C1443" s="2" t="s">
        <v>3639</v>
      </c>
      <c r="D1443" s="2" t="s">
        <v>835</v>
      </c>
      <c r="E1443" s="2" t="s">
        <v>799</v>
      </c>
      <c r="F1443" s="2" t="s">
        <v>13</v>
      </c>
      <c r="G1443" s="2">
        <v>500.0</v>
      </c>
      <c r="H1443" s="3" t="str">
        <f>HYPERLINK("http://uk.linkedin.com/in/darrencoomer","http://uk.linkedin.com/in/darrencoomer")</f>
        <v>http://uk.linkedin.com/in/darrencoomer</v>
      </c>
      <c r="I1443" s="2" t="s">
        <v>57</v>
      </c>
      <c r="J1443" s="2" t="s">
        <v>53</v>
      </c>
      <c r="K1443" s="2" t="s">
        <v>58</v>
      </c>
    </row>
    <row r="1444" ht="15.75" customHeight="1">
      <c r="A1444" s="2">
        <v>529823.0</v>
      </c>
      <c r="B1444" s="2" t="s">
        <v>3640</v>
      </c>
      <c r="C1444" s="2" t="s">
        <v>3641</v>
      </c>
      <c r="D1444" s="2" t="s">
        <v>3642</v>
      </c>
      <c r="E1444" s="2" t="s">
        <v>713</v>
      </c>
      <c r="F1444" s="2">
        <v>1.0</v>
      </c>
      <c r="G1444" s="2">
        <v>169.0</v>
      </c>
      <c r="H1444" s="3" t="str">
        <f>HYPERLINK("http://www.linkedin.com/pub/fern-bassow/4/3A9/2B8","http://www.linkedin.com/pub/fern-bassow/4/3A9/2B8")</f>
        <v>http://www.linkedin.com/pub/fern-bassow/4/3A9/2B8</v>
      </c>
      <c r="I1444" s="2" t="s">
        <v>48</v>
      </c>
      <c r="J1444" s="2" t="s">
        <v>102</v>
      </c>
      <c r="K1444" s="2" t="s">
        <v>22</v>
      </c>
    </row>
    <row r="1445" ht="15.75" customHeight="1">
      <c r="A1445" s="2">
        <v>530210.0</v>
      </c>
      <c r="B1445" s="2" t="s">
        <v>3643</v>
      </c>
      <c r="C1445" s="2" t="s">
        <v>3644</v>
      </c>
      <c r="D1445" s="2" t="s">
        <v>13</v>
      </c>
      <c r="E1445" s="2" t="s">
        <v>1630</v>
      </c>
      <c r="F1445" s="2">
        <v>0.0</v>
      </c>
      <c r="G1445" s="2">
        <v>218.0</v>
      </c>
      <c r="H1445" s="3" t="str">
        <f>HYPERLINK("http://www.linkedin.com/pub/leigh-byblow/3/431/512","http://www.linkedin.com/pub/leigh-byblow/3/431/512")</f>
        <v>http://www.linkedin.com/pub/leigh-byblow/3/431/512</v>
      </c>
      <c r="I1445" s="2" t="s">
        <v>3645</v>
      </c>
      <c r="J1445" s="2" t="s">
        <v>44</v>
      </c>
      <c r="K1445" s="2" t="s">
        <v>35</v>
      </c>
    </row>
    <row r="1446" ht="15.75" customHeight="1">
      <c r="A1446" s="2">
        <v>531010.0</v>
      </c>
      <c r="B1446" s="2" t="s">
        <v>2578</v>
      </c>
      <c r="C1446" s="2" t="s">
        <v>3646</v>
      </c>
      <c r="D1446" s="2" t="s">
        <v>47</v>
      </c>
      <c r="E1446" s="2" t="s">
        <v>3647</v>
      </c>
      <c r="F1446" s="2">
        <v>7.0</v>
      </c>
      <c r="G1446" s="2">
        <v>478.0</v>
      </c>
      <c r="H1446" s="3" t="str">
        <f>HYPERLINK("http://uk.linkedin.com/in/philipemsley","http://uk.linkedin.com/in/philipemsley")</f>
        <v>http://uk.linkedin.com/in/philipemsley</v>
      </c>
      <c r="I1446" s="2" t="s">
        <v>579</v>
      </c>
      <c r="J1446" s="2" t="s">
        <v>53</v>
      </c>
      <c r="K1446" s="2" t="s">
        <v>97</v>
      </c>
    </row>
    <row r="1447" ht="15.75" customHeight="1">
      <c r="A1447" s="2">
        <v>531136.0</v>
      </c>
      <c r="B1447" s="2" t="s">
        <v>133</v>
      </c>
      <c r="C1447" s="2" t="s">
        <v>2948</v>
      </c>
      <c r="D1447" s="2" t="s">
        <v>3648</v>
      </c>
      <c r="E1447" s="2" t="s">
        <v>3649</v>
      </c>
      <c r="F1447" s="2" t="s">
        <v>13</v>
      </c>
      <c r="G1447" s="2">
        <v>500.0</v>
      </c>
      <c r="H1447" s="3" t="str">
        <f>HYPERLINK("http://uk.linkedin.com/pub/michael-foster/13/92A/B9B","http://uk.linkedin.com/pub/michael-foster/13/92A/B9B")</f>
        <v>http://uk.linkedin.com/pub/michael-foster/13/92A/B9B</v>
      </c>
      <c r="I1447" s="2" t="s">
        <v>15</v>
      </c>
      <c r="J1447" s="2" t="s">
        <v>53</v>
      </c>
      <c r="K1447" s="2" t="s">
        <v>35</v>
      </c>
    </row>
    <row r="1448" ht="15.75" customHeight="1">
      <c r="A1448" s="2">
        <v>531531.0</v>
      </c>
      <c r="B1448" s="2" t="s">
        <v>2335</v>
      </c>
      <c r="C1448" s="2" t="s">
        <v>3650</v>
      </c>
      <c r="D1448" s="2" t="s">
        <v>3651</v>
      </c>
      <c r="E1448" s="2" t="s">
        <v>3652</v>
      </c>
      <c r="F1448" s="2">
        <v>3.0</v>
      </c>
      <c r="G1448" s="2">
        <v>500.0</v>
      </c>
      <c r="H1448" s="3" t="str">
        <f>HYPERLINK("http://fr.linkedin.com/pub/bruno-bouygues/0/A4/8B2","http://fr.linkedin.com/pub/bruno-bouygues/0/A4/8B2")</f>
        <v>http://fr.linkedin.com/pub/bruno-bouygues/0/A4/8B2</v>
      </c>
      <c r="I1448" s="2" t="s">
        <v>2419</v>
      </c>
      <c r="J1448" s="2" t="s">
        <v>65</v>
      </c>
      <c r="K1448" s="2" t="s">
        <v>58</v>
      </c>
    </row>
    <row r="1449" ht="15.75" customHeight="1">
      <c r="A1449" s="2">
        <v>531585.0</v>
      </c>
      <c r="B1449" s="2" t="s">
        <v>2567</v>
      </c>
      <c r="C1449" s="2" t="s">
        <v>3653</v>
      </c>
      <c r="D1449" s="2" t="s">
        <v>47</v>
      </c>
      <c r="E1449" s="2" t="s">
        <v>301</v>
      </c>
      <c r="F1449" s="2">
        <v>10.0</v>
      </c>
      <c r="G1449" s="2">
        <v>500.0</v>
      </c>
      <c r="H1449" s="3" t="str">
        <f>HYPERLINK("http://www.linkedin.com/in/chrisulrich","http://www.linkedin.com/in/chrisulrich")</f>
        <v>http://www.linkedin.com/in/chrisulrich</v>
      </c>
      <c r="I1449" s="2" t="s">
        <v>105</v>
      </c>
      <c r="J1449" s="2" t="s">
        <v>102</v>
      </c>
      <c r="K1449" s="2" t="s">
        <v>35</v>
      </c>
    </row>
    <row r="1450" ht="15.75" customHeight="1">
      <c r="A1450" s="2">
        <v>532100.0</v>
      </c>
      <c r="B1450" s="2" t="s">
        <v>3654</v>
      </c>
      <c r="C1450" s="2" t="s">
        <v>3655</v>
      </c>
      <c r="D1450" s="2" t="s">
        <v>3656</v>
      </c>
      <c r="E1450" s="2" t="s">
        <v>259</v>
      </c>
      <c r="F1450" s="2">
        <v>4.0</v>
      </c>
      <c r="G1450" s="2">
        <v>454.0</v>
      </c>
      <c r="H1450" s="3" t="str">
        <f>HYPERLINK("http://www.linkedin.com/in/peggyharrington","http://www.linkedin.com/in/peggyharrington")</f>
        <v>http://www.linkedin.com/in/peggyharrington</v>
      </c>
      <c r="I1450" s="2" t="s">
        <v>15</v>
      </c>
      <c r="J1450" s="2" t="s">
        <v>144</v>
      </c>
      <c r="K1450" s="2" t="s">
        <v>145</v>
      </c>
    </row>
    <row r="1451" ht="15.75" customHeight="1">
      <c r="A1451" s="2">
        <v>532102.0</v>
      </c>
      <c r="B1451" s="2" t="s">
        <v>2457</v>
      </c>
      <c r="C1451" s="2" t="s">
        <v>3657</v>
      </c>
      <c r="D1451" s="2" t="s">
        <v>42</v>
      </c>
      <c r="E1451" s="2" t="s">
        <v>331</v>
      </c>
      <c r="F1451" s="2">
        <v>4.0</v>
      </c>
      <c r="G1451" s="2">
        <v>292.0</v>
      </c>
      <c r="H1451" s="3" t="str">
        <f>HYPERLINK("http://www.linkedin.com/pub/stephen-finegold/0/78/AA","http://www.linkedin.com/pub/stephen-finegold/0/78/AA")</f>
        <v>http://www.linkedin.com/pub/stephen-finegold/0/78/AA</v>
      </c>
      <c r="I1451" s="2" t="s">
        <v>15</v>
      </c>
      <c r="J1451" s="2" t="s">
        <v>332</v>
      </c>
      <c r="K1451" s="2" t="s">
        <v>22</v>
      </c>
    </row>
    <row r="1452" ht="15.75" customHeight="1">
      <c r="A1452" s="2">
        <v>532123.0</v>
      </c>
      <c r="B1452" s="2" t="s">
        <v>3658</v>
      </c>
      <c r="C1452" s="2" t="s">
        <v>3659</v>
      </c>
      <c r="D1452" s="2" t="s">
        <v>13</v>
      </c>
      <c r="E1452" s="2" t="s">
        <v>3660</v>
      </c>
      <c r="F1452" s="2">
        <v>1.0</v>
      </c>
      <c r="G1452" s="2">
        <v>500.0</v>
      </c>
      <c r="H1452" s="3" t="str">
        <f>HYPERLINK("http://www.linkedin.com/pub/niva-vilela/0/16a/aa4","http://www.linkedin.com/pub/niva-vilela/0/16a/aa4")</f>
        <v>http://www.linkedin.com/pub/niva-vilela/0/16a/aa4</v>
      </c>
      <c r="I1452" s="2" t="s">
        <v>15</v>
      </c>
      <c r="J1452" s="2" t="s">
        <v>34</v>
      </c>
      <c r="K1452" s="2" t="s">
        <v>35</v>
      </c>
    </row>
    <row r="1453" ht="15.75" customHeight="1">
      <c r="A1453" s="2">
        <v>532358.0</v>
      </c>
      <c r="B1453" s="2" t="s">
        <v>3661</v>
      </c>
      <c r="C1453" s="2" t="s">
        <v>3662</v>
      </c>
      <c r="D1453" s="2" t="s">
        <v>13</v>
      </c>
      <c r="E1453" s="2" t="s">
        <v>1873</v>
      </c>
      <c r="F1453" s="2">
        <v>3.0</v>
      </c>
      <c r="G1453" s="2">
        <v>500.0</v>
      </c>
      <c r="H1453" s="3" t="str">
        <f>HYPERLINK("http://www.linkedin.com/pub/laufran-wosniak/0/a33/135","http://www.linkedin.com/pub/laufran-wosniak/0/a33/135")</f>
        <v>http://www.linkedin.com/pub/laufran-wosniak/0/a33/135</v>
      </c>
      <c r="I1453" s="2" t="s">
        <v>15</v>
      </c>
      <c r="J1453" s="2" t="s">
        <v>34</v>
      </c>
      <c r="K1453" s="2" t="s">
        <v>35</v>
      </c>
    </row>
    <row r="1454" ht="15.75" customHeight="1">
      <c r="A1454" s="2">
        <v>532854.0</v>
      </c>
      <c r="B1454" s="2" t="s">
        <v>1483</v>
      </c>
      <c r="C1454" s="2" t="s">
        <v>3663</v>
      </c>
      <c r="D1454" s="2" t="s">
        <v>13</v>
      </c>
      <c r="E1454" s="2" t="s">
        <v>122</v>
      </c>
      <c r="F1454" s="2">
        <v>0.0</v>
      </c>
      <c r="G1454" s="2">
        <v>500.0</v>
      </c>
      <c r="H1454" s="3" t="str">
        <f>HYPERLINK("https://www.linkedin.com/in/trevorohara","https://www.linkedin.com/in/trevorohara")</f>
        <v>https://www.linkedin.com/in/trevorohara</v>
      </c>
      <c r="I1454" s="2" t="s">
        <v>69</v>
      </c>
      <c r="J1454" s="2" t="s">
        <v>53</v>
      </c>
      <c r="K1454" s="2" t="s">
        <v>58</v>
      </c>
    </row>
    <row r="1455" ht="15.75" customHeight="1">
      <c r="A1455" s="2">
        <v>532956.0</v>
      </c>
      <c r="B1455" s="2" t="s">
        <v>3664</v>
      </c>
      <c r="C1455" s="2" t="s">
        <v>3665</v>
      </c>
      <c r="D1455" s="2" t="s">
        <v>3666</v>
      </c>
      <c r="E1455" s="2" t="s">
        <v>1702</v>
      </c>
      <c r="F1455" s="2" t="s">
        <v>13</v>
      </c>
      <c r="G1455" s="2">
        <v>500.0</v>
      </c>
      <c r="H1455" s="3" t="str">
        <f>HYPERLINK("http://www.linkedin.com/in/christinembergey","http://www.linkedin.com/in/christinembergey")</f>
        <v>http://www.linkedin.com/in/christinembergey</v>
      </c>
      <c r="I1455" s="2" t="s">
        <v>1841</v>
      </c>
      <c r="J1455" s="2" t="s">
        <v>1703</v>
      </c>
      <c r="K1455" s="2" t="s">
        <v>58</v>
      </c>
    </row>
    <row r="1456" ht="15.75" customHeight="1">
      <c r="A1456" s="2">
        <v>533478.0</v>
      </c>
      <c r="B1456" s="2" t="s">
        <v>3667</v>
      </c>
      <c r="C1456" s="2" t="s">
        <v>3668</v>
      </c>
      <c r="D1456" s="2" t="s">
        <v>3669</v>
      </c>
      <c r="E1456" s="2" t="s">
        <v>574</v>
      </c>
      <c r="F1456" s="2">
        <v>11.0</v>
      </c>
      <c r="G1456" s="2">
        <v>500.0</v>
      </c>
      <c r="H1456" s="3" t="str">
        <f>HYPERLINK("http://in.linkedin.com/pub/anil-valluri/0/6B8/504","http://in.linkedin.com/pub/anil-valluri/0/6B8/504")</f>
        <v>http://in.linkedin.com/pub/anil-valluri/0/6B8/504</v>
      </c>
      <c r="I1456" s="2" t="s">
        <v>15</v>
      </c>
      <c r="J1456" s="2" t="s">
        <v>575</v>
      </c>
      <c r="K1456" s="2" t="s">
        <v>22</v>
      </c>
    </row>
    <row r="1457" ht="15.75" customHeight="1">
      <c r="A1457" s="2">
        <v>533525.0</v>
      </c>
      <c r="B1457" s="2" t="s">
        <v>1167</v>
      </c>
      <c r="C1457" s="2" t="s">
        <v>3670</v>
      </c>
      <c r="D1457" s="2" t="s">
        <v>42</v>
      </c>
      <c r="E1457" s="2" t="s">
        <v>301</v>
      </c>
      <c r="F1457" s="2">
        <v>6.0</v>
      </c>
      <c r="G1457" s="2">
        <v>500.0</v>
      </c>
      <c r="H1457" s="3" t="str">
        <f>HYPERLINK("http://www.linkedin.com/pub/ben-gross-bgross-hitechteam-com/0/56A/69A","http://www.linkedin.com/pub/ben-gross-bgross-hitechteam-com/0/56A/69A")</f>
        <v>http://www.linkedin.com/pub/ben-gross-bgross-hitechteam-com/0/56A/69A</v>
      </c>
      <c r="I1457" s="2" t="s">
        <v>15</v>
      </c>
      <c r="J1457" s="2" t="s">
        <v>102</v>
      </c>
      <c r="K1457" s="2" t="s">
        <v>35</v>
      </c>
    </row>
    <row r="1458" ht="15.75" customHeight="1">
      <c r="A1458" s="2">
        <v>533640.0</v>
      </c>
      <c r="B1458" s="2" t="s">
        <v>133</v>
      </c>
      <c r="C1458" s="2" t="s">
        <v>3671</v>
      </c>
      <c r="D1458" s="2" t="s">
        <v>3672</v>
      </c>
      <c r="E1458" s="2" t="s">
        <v>971</v>
      </c>
      <c r="F1458" s="2">
        <v>2.0</v>
      </c>
      <c r="G1458" s="2">
        <v>500.0</v>
      </c>
      <c r="H1458" s="3" t="str">
        <f>HYPERLINK("http://www.linkedin.com/in/edwardsprg","http://www.linkedin.com/in/edwardsprg")</f>
        <v>http://www.linkedin.com/in/edwardsprg</v>
      </c>
      <c r="I1458" s="2" t="s">
        <v>248</v>
      </c>
      <c r="J1458" s="2" t="s">
        <v>102</v>
      </c>
      <c r="K1458" s="2" t="s">
        <v>196</v>
      </c>
    </row>
    <row r="1459" ht="15.75" customHeight="1">
      <c r="A1459" s="2">
        <v>533779.0</v>
      </c>
      <c r="B1459" s="2" t="s">
        <v>275</v>
      </c>
      <c r="C1459" s="2" t="s">
        <v>3673</v>
      </c>
      <c r="D1459" s="2" t="s">
        <v>3674</v>
      </c>
      <c r="E1459" s="2" t="s">
        <v>3372</v>
      </c>
      <c r="F1459" s="2">
        <v>2.0</v>
      </c>
      <c r="G1459" s="2">
        <v>500.0</v>
      </c>
      <c r="H1459" s="3" t="str">
        <f>HYPERLINK("http://www.linkedin.com/in/markaverskog","http://www.linkedin.com/in/markaverskog")</f>
        <v>http://www.linkedin.com/in/markaverskog</v>
      </c>
      <c r="I1459" s="2" t="s">
        <v>48</v>
      </c>
      <c r="J1459" s="2" t="s">
        <v>144</v>
      </c>
      <c r="K1459" s="2" t="s">
        <v>145</v>
      </c>
    </row>
    <row r="1460" ht="15.75" customHeight="1">
      <c r="A1460" s="2">
        <v>533997.0</v>
      </c>
      <c r="B1460" s="2" t="s">
        <v>1458</v>
      </c>
      <c r="C1460" s="2" t="s">
        <v>3675</v>
      </c>
      <c r="D1460" s="2" t="s">
        <v>400</v>
      </c>
      <c r="E1460" s="2" t="s">
        <v>301</v>
      </c>
      <c r="F1460" s="2">
        <v>34.0</v>
      </c>
      <c r="G1460" s="2">
        <v>500.0</v>
      </c>
      <c r="H1460" s="3" t="str">
        <f>HYPERLINK("http://www.linkedin.com/in/toddkosik","http://www.linkedin.com/in/toddkosik")</f>
        <v>http://www.linkedin.com/in/toddkosik</v>
      </c>
      <c r="I1460" s="2" t="s">
        <v>248</v>
      </c>
      <c r="J1460" s="2" t="s">
        <v>102</v>
      </c>
      <c r="K1460" s="2" t="s">
        <v>196</v>
      </c>
    </row>
    <row r="1461" ht="15.75" customHeight="1">
      <c r="A1461" s="2">
        <v>534557.0</v>
      </c>
      <c r="B1461" s="2" t="s">
        <v>1618</v>
      </c>
      <c r="C1461" s="2" t="s">
        <v>3676</v>
      </c>
      <c r="D1461" s="2" t="s">
        <v>47</v>
      </c>
      <c r="E1461" s="2" t="s">
        <v>403</v>
      </c>
      <c r="F1461" s="2" t="s">
        <v>13</v>
      </c>
      <c r="G1461" s="2">
        <v>372.0</v>
      </c>
      <c r="H1461" s="3" t="str">
        <f>HYPERLINK("http://ca.linkedin.com/pub/rahul-petkar/1/594/34B","http://ca.linkedin.com/pub/rahul-petkar/1/594/34B")</f>
        <v>http://ca.linkedin.com/pub/rahul-petkar/1/594/34B</v>
      </c>
      <c r="I1461" s="2" t="s">
        <v>15</v>
      </c>
      <c r="J1461" s="2" t="s">
        <v>44</v>
      </c>
      <c r="K1461" s="2" t="s">
        <v>58</v>
      </c>
    </row>
    <row r="1462" ht="15.75" customHeight="1">
      <c r="A1462" s="2">
        <v>534615.0</v>
      </c>
      <c r="B1462" s="2" t="s">
        <v>2109</v>
      </c>
      <c r="C1462" s="2" t="s">
        <v>3677</v>
      </c>
      <c r="D1462" s="2" t="s">
        <v>114</v>
      </c>
      <c r="E1462" s="2" t="s">
        <v>3678</v>
      </c>
      <c r="F1462" s="2">
        <v>8.0</v>
      </c>
      <c r="G1462" s="2">
        <v>500.0</v>
      </c>
      <c r="H1462" s="3" t="str">
        <f>HYPERLINK("http://www.linkedin.com/in/roblauer","http://www.linkedin.com/in/roblauer")</f>
        <v>http://www.linkedin.com/in/roblauer</v>
      </c>
      <c r="I1462" s="2" t="s">
        <v>248</v>
      </c>
      <c r="J1462" s="2" t="s">
        <v>102</v>
      </c>
      <c r="K1462" s="2" t="s">
        <v>196</v>
      </c>
    </row>
    <row r="1463" ht="15.75" customHeight="1">
      <c r="A1463" s="2">
        <v>534970.0</v>
      </c>
      <c r="B1463" s="2" t="s">
        <v>3679</v>
      </c>
      <c r="C1463" s="2" t="s">
        <v>3680</v>
      </c>
      <c r="D1463" s="2" t="s">
        <v>13</v>
      </c>
      <c r="E1463" s="2" t="s">
        <v>3681</v>
      </c>
      <c r="F1463" s="2">
        <v>0.0</v>
      </c>
      <c r="G1463" s="2">
        <v>500.0</v>
      </c>
      <c r="H1463" s="3" t="str">
        <f>HYPERLINK("http://www.linkedin.com/in/edwindejonge","http://www.linkedin.com/in/edwindejonge")</f>
        <v>http://www.linkedin.com/in/edwindejonge</v>
      </c>
      <c r="I1463" s="2" t="s">
        <v>15</v>
      </c>
      <c r="J1463" s="2" t="s">
        <v>837</v>
      </c>
      <c r="K1463" s="2" t="s">
        <v>35</v>
      </c>
    </row>
    <row r="1464" ht="15.75" customHeight="1">
      <c r="A1464" s="2">
        <v>534972.0</v>
      </c>
      <c r="B1464" s="2" t="s">
        <v>3682</v>
      </c>
      <c r="C1464" s="2" t="s">
        <v>1410</v>
      </c>
      <c r="D1464" s="2" t="s">
        <v>3683</v>
      </c>
      <c r="E1464" s="2" t="s">
        <v>716</v>
      </c>
      <c r="F1464" s="2">
        <v>1.0</v>
      </c>
      <c r="G1464" s="2">
        <v>335.0</v>
      </c>
      <c r="H1464" s="3" t="str">
        <f>HYPERLINK("http://www.linkedin.com/in/anubhutis","http://www.linkedin.com/in/anubhutis")</f>
        <v>http://www.linkedin.com/in/anubhutis</v>
      </c>
      <c r="I1464" s="2" t="s">
        <v>15</v>
      </c>
      <c r="J1464" s="2" t="s">
        <v>575</v>
      </c>
      <c r="K1464" s="2" t="s">
        <v>22</v>
      </c>
    </row>
    <row r="1465" ht="15.75" customHeight="1">
      <c r="A1465" s="2">
        <v>535102.0</v>
      </c>
      <c r="B1465" s="2" t="s">
        <v>3684</v>
      </c>
      <c r="C1465" s="2" t="s">
        <v>3685</v>
      </c>
      <c r="D1465" s="2" t="s">
        <v>47</v>
      </c>
      <c r="E1465" s="2" t="s">
        <v>2155</v>
      </c>
      <c r="F1465" s="2">
        <v>0.0</v>
      </c>
      <c r="G1465" s="2">
        <v>500.0</v>
      </c>
      <c r="H1465" s="3" t="str">
        <f>HYPERLINK("http://uk.linkedin.com/in/waltervandenbosch","http://uk.linkedin.com/in/waltervandenbosch")</f>
        <v>http://uk.linkedin.com/in/waltervandenbosch</v>
      </c>
      <c r="I1465" s="2" t="s">
        <v>69</v>
      </c>
      <c r="J1465" s="2" t="s">
        <v>53</v>
      </c>
      <c r="K1465" s="2" t="s">
        <v>22</v>
      </c>
    </row>
    <row r="1466" ht="15.75" customHeight="1">
      <c r="A1466" s="2">
        <v>535242.0</v>
      </c>
      <c r="B1466" s="2" t="s">
        <v>1173</v>
      </c>
      <c r="C1466" s="2" t="s">
        <v>3686</v>
      </c>
      <c r="D1466" s="2" t="s">
        <v>3687</v>
      </c>
      <c r="E1466" s="2" t="s">
        <v>403</v>
      </c>
      <c r="F1466" s="2">
        <v>14.0</v>
      </c>
      <c r="G1466" s="2">
        <v>500.0</v>
      </c>
      <c r="H1466" s="3" t="str">
        <f>HYPERLINK("http://ca.linkedin.com/pub/steve-brennan/0/216/36B","http://ca.linkedin.com/pub/steve-brennan/0/216/36B")</f>
        <v>http://ca.linkedin.com/pub/steve-brennan/0/216/36B</v>
      </c>
      <c r="I1466" s="2" t="s">
        <v>248</v>
      </c>
      <c r="J1466" s="2" t="s">
        <v>44</v>
      </c>
      <c r="K1466" s="2" t="s">
        <v>196</v>
      </c>
    </row>
    <row r="1467" ht="15.75" customHeight="1">
      <c r="A1467" s="2">
        <v>535462.0</v>
      </c>
      <c r="B1467" s="2" t="s">
        <v>710</v>
      </c>
      <c r="C1467" s="2" t="s">
        <v>3688</v>
      </c>
      <c r="D1467" s="2" t="s">
        <v>114</v>
      </c>
      <c r="E1467" s="2" t="s">
        <v>1052</v>
      </c>
      <c r="F1467" s="2">
        <v>10.0</v>
      </c>
      <c r="G1467" s="2">
        <v>193.0</v>
      </c>
      <c r="H1467" s="3" t="str">
        <f>HYPERLINK("http://www.linkedin.com/in/jkrochalis","http://www.linkedin.com/in/jkrochalis")</f>
        <v>http://www.linkedin.com/in/jkrochalis</v>
      </c>
      <c r="I1467" s="2" t="s">
        <v>1948</v>
      </c>
      <c r="J1467" s="2" t="s">
        <v>273</v>
      </c>
      <c r="K1467" s="2" t="s">
        <v>35</v>
      </c>
    </row>
    <row r="1468" ht="15.75" customHeight="1">
      <c r="A1468" s="2">
        <v>536181.0</v>
      </c>
      <c r="B1468" s="2" t="s">
        <v>275</v>
      </c>
      <c r="C1468" s="2" t="s">
        <v>3689</v>
      </c>
      <c r="D1468" s="2" t="s">
        <v>3690</v>
      </c>
      <c r="E1468" s="2" t="s">
        <v>142</v>
      </c>
      <c r="F1468" s="2" t="s">
        <v>13</v>
      </c>
      <c r="G1468" s="2">
        <v>132.0</v>
      </c>
      <c r="H1468" s="3" t="str">
        <f>HYPERLINK("http://www.linkedin.com/pub/mark-barmettler/13/507/850","http://www.linkedin.com/pub/mark-barmettler/13/507/850")</f>
        <v>http://www.linkedin.com/pub/mark-barmettler/13/507/850</v>
      </c>
      <c r="I1468" s="2" t="s">
        <v>669</v>
      </c>
      <c r="J1468" s="2" t="s">
        <v>144</v>
      </c>
      <c r="K1468" s="2" t="s">
        <v>1306</v>
      </c>
    </row>
    <row r="1469" ht="15.75" customHeight="1">
      <c r="A1469" s="2">
        <v>536739.0</v>
      </c>
      <c r="B1469" s="2" t="s">
        <v>511</v>
      </c>
      <c r="C1469" s="2" t="s">
        <v>3691</v>
      </c>
      <c r="D1469" s="2" t="s">
        <v>13</v>
      </c>
      <c r="E1469" s="2" t="s">
        <v>101</v>
      </c>
      <c r="F1469" s="2">
        <v>0.0</v>
      </c>
      <c r="G1469" s="2">
        <v>150.0</v>
      </c>
      <c r="H1469" s="3" t="str">
        <f>HYPERLINK("http://www.linkedin.com/pub/mike-senior/0/742/40","http://www.linkedin.com/pub/mike-senior/0/742/40")</f>
        <v>http://www.linkedin.com/pub/mike-senior/0/742/40</v>
      </c>
      <c r="I1469" s="2" t="s">
        <v>57</v>
      </c>
      <c r="J1469" s="2" t="s">
        <v>102</v>
      </c>
      <c r="K1469" s="2" t="s">
        <v>58</v>
      </c>
    </row>
    <row r="1470" ht="15.75" customHeight="1">
      <c r="A1470" s="2">
        <v>536990.0</v>
      </c>
      <c r="B1470" s="2" t="s">
        <v>3692</v>
      </c>
      <c r="C1470" s="2" t="s">
        <v>3693</v>
      </c>
      <c r="D1470" s="2" t="s">
        <v>13</v>
      </c>
      <c r="E1470" s="2" t="s">
        <v>3694</v>
      </c>
      <c r="F1470" s="2">
        <v>0.0</v>
      </c>
      <c r="G1470" s="2">
        <v>288.0</v>
      </c>
      <c r="H1470" s="3" t="str">
        <f>HYPERLINK("http://www.linkedin.com/pub/federico-diprima/18/733/999","http://www.linkedin.com/pub/federico-diprima/18/733/999")</f>
        <v>http://www.linkedin.com/pub/federico-diprima/18/733/999</v>
      </c>
      <c r="I1470" s="2" t="s">
        <v>15</v>
      </c>
      <c r="J1470" s="2" t="s">
        <v>2258</v>
      </c>
      <c r="K1470" s="2" t="s">
        <v>35</v>
      </c>
    </row>
    <row r="1471" ht="15.75" customHeight="1">
      <c r="A1471" s="2">
        <v>537257.0</v>
      </c>
      <c r="B1471" s="2" t="s">
        <v>3695</v>
      </c>
      <c r="C1471" s="2" t="s">
        <v>3696</v>
      </c>
      <c r="D1471" s="2" t="s">
        <v>13</v>
      </c>
      <c r="E1471" s="2" t="s">
        <v>439</v>
      </c>
      <c r="F1471" s="2">
        <v>0.0</v>
      </c>
      <c r="G1471" s="2">
        <v>254.0</v>
      </c>
      <c r="H1471" s="3" t="str">
        <f>HYPERLINK("http://www.linkedin.com/pub/andre-lomonaco/3/195/990","http://www.linkedin.com/pub/andre-lomonaco/3/195/990")</f>
        <v>http://www.linkedin.com/pub/andre-lomonaco/3/195/990</v>
      </c>
      <c r="I1471" s="2" t="s">
        <v>77</v>
      </c>
      <c r="J1471" s="2" t="s">
        <v>34</v>
      </c>
      <c r="K1471" s="2" t="s">
        <v>97</v>
      </c>
    </row>
    <row r="1472" ht="15.75" customHeight="1">
      <c r="A1472" s="2">
        <v>537501.0</v>
      </c>
      <c r="B1472" s="2" t="s">
        <v>752</v>
      </c>
      <c r="C1472" s="2" t="s">
        <v>3697</v>
      </c>
      <c r="D1472" s="2" t="s">
        <v>3698</v>
      </c>
      <c r="E1472" s="2" t="s">
        <v>301</v>
      </c>
      <c r="F1472" s="2">
        <v>12.0</v>
      </c>
      <c r="G1472" s="2">
        <v>374.0</v>
      </c>
      <c r="H1472" s="3" t="str">
        <f>HYPERLINK("http://www.linkedin.com/pub/jim-spaloss/5/A3A/637","http://www.linkedin.com/pub/jim-spaloss/5/A3A/637")</f>
        <v>http://www.linkedin.com/pub/jim-spaloss/5/A3A/637</v>
      </c>
      <c r="I1472" s="2" t="s">
        <v>15</v>
      </c>
      <c r="J1472" s="2" t="s">
        <v>102</v>
      </c>
      <c r="K1472" s="2" t="s">
        <v>35</v>
      </c>
    </row>
    <row r="1473" ht="15.75" customHeight="1">
      <c r="A1473" s="2">
        <v>538299.0</v>
      </c>
      <c r="B1473" s="2" t="s">
        <v>3441</v>
      </c>
      <c r="C1473" s="2" t="s">
        <v>3699</v>
      </c>
      <c r="D1473" s="2" t="s">
        <v>3700</v>
      </c>
      <c r="E1473" s="2" t="s">
        <v>2058</v>
      </c>
      <c r="F1473" s="2">
        <v>1.0</v>
      </c>
      <c r="G1473" s="2">
        <v>19.0</v>
      </c>
      <c r="H1473" s="3" t="str">
        <f>HYPERLINK("http://www.linkedin.com/in/elizabethwilmott","http://www.linkedin.com/in/elizabethwilmott")</f>
        <v>http://www.linkedin.com/in/elizabethwilmott</v>
      </c>
      <c r="I1473" s="2" t="s">
        <v>240</v>
      </c>
      <c r="J1473" s="2" t="s">
        <v>102</v>
      </c>
      <c r="K1473" s="2" t="s">
        <v>3312</v>
      </c>
    </row>
    <row r="1474" ht="15.75" customHeight="1">
      <c r="A1474" s="2">
        <v>538309.0</v>
      </c>
      <c r="B1474" s="2" t="s">
        <v>2014</v>
      </c>
      <c r="C1474" s="2" t="s">
        <v>3701</v>
      </c>
      <c r="D1474" s="2" t="s">
        <v>3702</v>
      </c>
      <c r="E1474" s="2" t="s">
        <v>101</v>
      </c>
      <c r="F1474" s="2" t="s">
        <v>13</v>
      </c>
      <c r="G1474" s="2">
        <v>500.0</v>
      </c>
      <c r="H1474" s="3" t="str">
        <f>HYPERLINK("http://www.linkedin.com/pub/ken-morse/0/716/23A","http://www.linkedin.com/pub/ken-morse/0/716/23A")</f>
        <v>http://www.linkedin.com/pub/ken-morse/0/716/23A</v>
      </c>
      <c r="I1474" s="2" t="s">
        <v>77</v>
      </c>
      <c r="J1474" s="2" t="s">
        <v>102</v>
      </c>
      <c r="K1474" s="2" t="s">
        <v>97</v>
      </c>
    </row>
    <row r="1475" ht="15.75" customHeight="1">
      <c r="A1475" s="2">
        <v>538350.0</v>
      </c>
      <c r="B1475" s="2" t="s">
        <v>2394</v>
      </c>
      <c r="C1475" s="2" t="s">
        <v>3703</v>
      </c>
      <c r="D1475" s="2" t="s">
        <v>3704</v>
      </c>
      <c r="E1475" s="2" t="s">
        <v>3705</v>
      </c>
      <c r="F1475" s="2">
        <v>1.0</v>
      </c>
      <c r="G1475" s="2">
        <v>500.0</v>
      </c>
      <c r="H1475" s="3" t="str">
        <f>HYPERLINK("http://www.linkedin.com/in/jamiesonduston","http://www.linkedin.com/in/jamiesonduston")</f>
        <v>http://www.linkedin.com/in/jamiesonduston</v>
      </c>
      <c r="I1475" s="2" t="s">
        <v>475</v>
      </c>
      <c r="J1475" s="2" t="s">
        <v>102</v>
      </c>
      <c r="K1475" s="2" t="s">
        <v>196</v>
      </c>
    </row>
    <row r="1476" ht="15.75" customHeight="1">
      <c r="A1476" s="2">
        <v>538671.0</v>
      </c>
      <c r="B1476" s="2" t="s">
        <v>133</v>
      </c>
      <c r="C1476" s="2" t="s">
        <v>3706</v>
      </c>
      <c r="D1476" s="2" t="s">
        <v>13</v>
      </c>
      <c r="E1476" s="2" t="s">
        <v>181</v>
      </c>
      <c r="F1476" s="2">
        <v>0.0</v>
      </c>
      <c r="G1476" s="2">
        <v>500.0</v>
      </c>
      <c r="H1476" s="3" t="str">
        <f>HYPERLINK("http://www.linkedin.com/in/michaelpallatta","http://www.linkedin.com/in/michaelpallatta")</f>
        <v>http://www.linkedin.com/in/michaelpallatta</v>
      </c>
      <c r="I1476" s="2" t="s">
        <v>48</v>
      </c>
      <c r="J1476" s="2" t="s">
        <v>102</v>
      </c>
      <c r="K1476" s="2" t="s">
        <v>97</v>
      </c>
    </row>
    <row r="1477" ht="15.75" customHeight="1">
      <c r="A1477" s="2">
        <v>538843.0</v>
      </c>
      <c r="B1477" s="2" t="s">
        <v>592</v>
      </c>
      <c r="C1477" s="2" t="s">
        <v>3707</v>
      </c>
      <c r="D1477" s="2" t="s">
        <v>3708</v>
      </c>
      <c r="E1477" s="2" t="s">
        <v>3709</v>
      </c>
      <c r="F1477" s="2" t="s">
        <v>13</v>
      </c>
      <c r="G1477" s="2">
        <v>500.0</v>
      </c>
      <c r="H1477" s="3" t="str">
        <f>HYPERLINK("http://uk.linkedin.com/in/barryhutton","http://uk.linkedin.com/in/barryhutton")</f>
        <v>http://uk.linkedin.com/in/barryhutton</v>
      </c>
      <c r="I1477" s="2" t="s">
        <v>15</v>
      </c>
      <c r="J1477" s="2" t="s">
        <v>53</v>
      </c>
      <c r="K1477" s="2" t="s">
        <v>35</v>
      </c>
    </row>
    <row r="1478" ht="15.75" customHeight="1">
      <c r="A1478" s="2">
        <v>538852.0</v>
      </c>
      <c r="B1478" s="2" t="s">
        <v>3710</v>
      </c>
      <c r="C1478" s="2" t="s">
        <v>3711</v>
      </c>
      <c r="D1478" s="2" t="s">
        <v>3712</v>
      </c>
      <c r="E1478" s="2" t="s">
        <v>3713</v>
      </c>
      <c r="F1478" s="2">
        <v>5.0</v>
      </c>
      <c r="G1478" s="2">
        <v>500.0</v>
      </c>
      <c r="H1478" s="3" t="str">
        <f>HYPERLINK("http://www.linkedin.com/in/edward2006","http://www.linkedin.com/in/edward2006")</f>
        <v>http://www.linkedin.com/in/edward2006</v>
      </c>
      <c r="I1478" s="2" t="s">
        <v>579</v>
      </c>
      <c r="J1478" s="2" t="s">
        <v>1703</v>
      </c>
      <c r="K1478" s="2" t="s">
        <v>1053</v>
      </c>
    </row>
    <row r="1479" ht="15.75" customHeight="1">
      <c r="A1479" s="2">
        <v>539140.0</v>
      </c>
      <c r="B1479" s="2" t="s">
        <v>1479</v>
      </c>
      <c r="C1479" s="2" t="s">
        <v>3714</v>
      </c>
      <c r="D1479" s="2" t="s">
        <v>3715</v>
      </c>
      <c r="E1479" s="2" t="s">
        <v>604</v>
      </c>
      <c r="F1479" s="2">
        <v>0.0</v>
      </c>
      <c r="G1479" s="2">
        <v>500.0</v>
      </c>
      <c r="H1479" s="3" t="str">
        <f>HYPERLINK("http://www.linkedin.com/in/frankdiaz1","http://www.linkedin.com/in/frankdiaz1")</f>
        <v>http://www.linkedin.com/in/frankdiaz1</v>
      </c>
      <c r="I1479" s="2" t="s">
        <v>172</v>
      </c>
      <c r="J1479" s="2" t="s">
        <v>16</v>
      </c>
      <c r="K1479" s="2" t="s">
        <v>357</v>
      </c>
    </row>
    <row r="1480" ht="15.75" customHeight="1">
      <c r="A1480" s="2">
        <v>539252.0</v>
      </c>
      <c r="B1480" s="2" t="s">
        <v>754</v>
      </c>
      <c r="C1480" s="2" t="s">
        <v>3716</v>
      </c>
      <c r="D1480" s="2" t="s">
        <v>3717</v>
      </c>
      <c r="E1480" s="2" t="s">
        <v>1288</v>
      </c>
      <c r="F1480" s="2">
        <v>22.0</v>
      </c>
      <c r="G1480" s="2">
        <v>500.0</v>
      </c>
      <c r="H1480" s="3" t="str">
        <f>HYPERLINK("http://uk.linkedin.com/in/gregday","http://uk.linkedin.com/in/gregday")</f>
        <v>http://uk.linkedin.com/in/gregday</v>
      </c>
      <c r="I1480" s="2" t="s">
        <v>160</v>
      </c>
      <c r="J1480" s="2" t="s">
        <v>53</v>
      </c>
      <c r="K1480" s="2" t="s">
        <v>97</v>
      </c>
    </row>
    <row r="1481" ht="15.75" customHeight="1">
      <c r="A1481" s="2">
        <v>540433.0</v>
      </c>
      <c r="B1481" s="2" t="s">
        <v>1173</v>
      </c>
      <c r="C1481" s="2" t="s">
        <v>3718</v>
      </c>
      <c r="D1481" s="2" t="s">
        <v>410</v>
      </c>
      <c r="E1481" s="2" t="s">
        <v>1009</v>
      </c>
      <c r="F1481" s="2">
        <v>8.0</v>
      </c>
      <c r="G1481" s="2">
        <v>500.0</v>
      </c>
      <c r="H1481" s="3" t="str">
        <f>HYPERLINK("http://www.linkedin.com/pub/steve-fusek/21/817/A9","http://www.linkedin.com/pub/steve-fusek/21/817/A9")</f>
        <v>http://www.linkedin.com/pub/steve-fusek/21/817/A9</v>
      </c>
      <c r="I1481" s="2" t="s">
        <v>96</v>
      </c>
      <c r="J1481" s="2" t="s">
        <v>87</v>
      </c>
      <c r="K1481" s="2" t="s">
        <v>646</v>
      </c>
    </row>
    <row r="1482" ht="15.75" customHeight="1">
      <c r="A1482" s="2">
        <v>540440.0</v>
      </c>
      <c r="B1482" s="2" t="s">
        <v>3719</v>
      </c>
      <c r="C1482" s="2" t="s">
        <v>3720</v>
      </c>
      <c r="D1482" s="2" t="s">
        <v>3721</v>
      </c>
      <c r="E1482" s="2" t="s">
        <v>3722</v>
      </c>
      <c r="F1482" s="2">
        <v>3.0</v>
      </c>
      <c r="G1482" s="2">
        <v>500.0</v>
      </c>
      <c r="H1482" s="3" t="str">
        <f>HYPERLINK("http://in.linkedin.com/pub/rajasekhar-bhavaraju/6/5B3/233","http://in.linkedin.com/pub/rajasekhar-bhavaraju/6/5B3/233")</f>
        <v>http://in.linkedin.com/pub/rajasekhar-bhavaraju/6/5B3/233</v>
      </c>
      <c r="I1482" s="2" t="s">
        <v>248</v>
      </c>
      <c r="J1482" s="2" t="s">
        <v>273</v>
      </c>
      <c r="K1482" s="2" t="s">
        <v>22</v>
      </c>
    </row>
    <row r="1483" ht="15.75" customHeight="1">
      <c r="A1483" s="2">
        <v>540477.0</v>
      </c>
      <c r="B1483" s="2" t="s">
        <v>133</v>
      </c>
      <c r="C1483" s="2" t="s">
        <v>3723</v>
      </c>
      <c r="D1483" s="2" t="s">
        <v>3724</v>
      </c>
      <c r="E1483" s="2" t="s">
        <v>235</v>
      </c>
      <c r="F1483" s="2">
        <v>11.0</v>
      </c>
      <c r="G1483" s="2">
        <v>500.0</v>
      </c>
      <c r="H1483" s="3" t="str">
        <f>HYPERLINK("http://www.linkedin.com/in/michaeljmulcahy","http://www.linkedin.com/in/michaeljmulcahy")</f>
        <v>http://www.linkedin.com/in/michaeljmulcahy</v>
      </c>
      <c r="I1483" s="2" t="s">
        <v>15</v>
      </c>
      <c r="J1483" s="2" t="s">
        <v>102</v>
      </c>
      <c r="K1483" s="2" t="s">
        <v>35</v>
      </c>
    </row>
    <row r="1484" ht="15.75" customHeight="1">
      <c r="A1484" s="2">
        <v>540526.0</v>
      </c>
      <c r="B1484" s="2" t="s">
        <v>3725</v>
      </c>
      <c r="C1484" s="2" t="s">
        <v>3726</v>
      </c>
      <c r="D1484" s="2" t="s">
        <v>13</v>
      </c>
      <c r="E1484" s="2" t="s">
        <v>136</v>
      </c>
      <c r="F1484" s="2">
        <v>15.0</v>
      </c>
      <c r="G1484" s="2">
        <v>500.0</v>
      </c>
      <c r="H1484" s="3" t="str">
        <f>HYPERLINK("http://www.linkedin.com/pub/aisha-chiappetta/1/a4b/754","http://www.linkedin.com/pub/aisha-chiappetta/1/a4b/754")</f>
        <v>http://www.linkedin.com/pub/aisha-chiappetta/1/a4b/754</v>
      </c>
      <c r="I1484" s="2" t="s">
        <v>15</v>
      </c>
      <c r="J1484" s="2" t="s">
        <v>102</v>
      </c>
      <c r="K1484" s="2" t="s">
        <v>35</v>
      </c>
    </row>
    <row r="1485" ht="15.75" customHeight="1">
      <c r="A1485" s="2">
        <v>540617.0</v>
      </c>
      <c r="B1485" s="2" t="s">
        <v>133</v>
      </c>
      <c r="C1485" s="2" t="s">
        <v>3727</v>
      </c>
      <c r="D1485" s="2" t="s">
        <v>3728</v>
      </c>
      <c r="E1485" s="2" t="s">
        <v>1832</v>
      </c>
      <c r="F1485" s="2">
        <v>0.0</v>
      </c>
      <c r="G1485" s="2">
        <v>500.0</v>
      </c>
      <c r="H1485" s="3" t="str">
        <f>HYPERLINK("http://www.linkedin.com/in/goadvantage","http://www.linkedin.com/in/goadvantage")</f>
        <v>http://www.linkedin.com/in/goadvantage</v>
      </c>
      <c r="I1485" s="2" t="s">
        <v>326</v>
      </c>
      <c r="J1485" s="2" t="s">
        <v>102</v>
      </c>
      <c r="K1485" s="2" t="s">
        <v>97</v>
      </c>
    </row>
    <row r="1486" ht="15.75" customHeight="1">
      <c r="A1486" s="2">
        <v>541159.0</v>
      </c>
      <c r="B1486" s="2" t="s">
        <v>3729</v>
      </c>
      <c r="C1486" s="2" t="s">
        <v>3730</v>
      </c>
      <c r="D1486" s="2" t="s">
        <v>47</v>
      </c>
      <c r="E1486" s="2" t="s">
        <v>808</v>
      </c>
      <c r="F1486" s="2">
        <v>5.0</v>
      </c>
      <c r="G1486" s="2">
        <v>500.0</v>
      </c>
      <c r="H1486" s="3" t="str">
        <f>HYPERLINK("http://www.linkedin.com/pub/dr-s-said/11/52/B9A","http://www.linkedin.com/pub/dr-s-said/11/52/B9A")</f>
        <v>http://www.linkedin.com/pub/dr-s-said/11/52/B9A</v>
      </c>
      <c r="I1486" s="2" t="s">
        <v>69</v>
      </c>
      <c r="J1486" s="2" t="s">
        <v>102</v>
      </c>
      <c r="K1486" s="2" t="s">
        <v>35</v>
      </c>
    </row>
    <row r="1487" ht="15.75" customHeight="1">
      <c r="A1487" s="2">
        <v>541350.0</v>
      </c>
      <c r="B1487" s="2" t="s">
        <v>460</v>
      </c>
      <c r="C1487" s="2" t="s">
        <v>3731</v>
      </c>
      <c r="D1487" s="2" t="s">
        <v>3732</v>
      </c>
      <c r="E1487" s="2" t="s">
        <v>235</v>
      </c>
      <c r="F1487" s="2" t="s">
        <v>13</v>
      </c>
      <c r="G1487" s="2">
        <v>385.0</v>
      </c>
      <c r="H1487" s="3" t="str">
        <f>HYPERLINK("http://www.linkedin.com/pub/john-hertel/0/884/145","http://www.linkedin.com/pub/john-hertel/0/884/145")</f>
        <v>http://www.linkedin.com/pub/john-hertel/0/884/145</v>
      </c>
      <c r="I1487" s="2" t="s">
        <v>48</v>
      </c>
      <c r="J1487" s="2" t="s">
        <v>102</v>
      </c>
      <c r="K1487" s="2" t="s">
        <v>35</v>
      </c>
    </row>
    <row r="1488" ht="15.75" customHeight="1">
      <c r="A1488" s="2">
        <v>541527.0</v>
      </c>
      <c r="B1488" s="2" t="s">
        <v>116</v>
      </c>
      <c r="C1488" s="2" t="s">
        <v>559</v>
      </c>
      <c r="D1488" s="2" t="s">
        <v>3733</v>
      </c>
      <c r="E1488" s="2" t="s">
        <v>136</v>
      </c>
      <c r="F1488" s="2">
        <v>3.0</v>
      </c>
      <c r="G1488" s="2">
        <v>500.0</v>
      </c>
      <c r="H1488" s="3" t="str">
        <f>HYPERLINK("http://www.linkedin.com/in/alexadamsa2","http://www.linkedin.com/in/alexadamsa2")</f>
        <v>http://www.linkedin.com/in/alexadamsa2</v>
      </c>
      <c r="I1488" s="2" t="s">
        <v>48</v>
      </c>
      <c r="J1488" s="2" t="s">
        <v>102</v>
      </c>
      <c r="K1488" s="2" t="s">
        <v>35</v>
      </c>
    </row>
    <row r="1489" ht="15.75" customHeight="1">
      <c r="A1489" s="2">
        <v>541801.0</v>
      </c>
      <c r="B1489" s="2" t="s">
        <v>3734</v>
      </c>
      <c r="C1489" s="2" t="s">
        <v>3735</v>
      </c>
      <c r="D1489" s="2" t="s">
        <v>42</v>
      </c>
      <c r="E1489" s="2" t="s">
        <v>836</v>
      </c>
      <c r="F1489" s="2">
        <v>0.0</v>
      </c>
      <c r="G1489" s="2">
        <v>123.0</v>
      </c>
      <c r="H1489" s="3" t="str">
        <f>HYPERLINK("http://www.linkedin.com/pub/j-n-pereira/0/51b/846","http://www.linkedin.com/pub/j-n-pereira/0/51b/846")</f>
        <v>http://www.linkedin.com/pub/j-n-pereira/0/51b/846</v>
      </c>
      <c r="I1489" s="2" t="s">
        <v>15</v>
      </c>
      <c r="J1489" s="2" t="s">
        <v>837</v>
      </c>
      <c r="K1489" s="2" t="s">
        <v>35</v>
      </c>
    </row>
    <row r="1490" ht="15.75" customHeight="1">
      <c r="A1490" s="2">
        <v>541854.0</v>
      </c>
      <c r="B1490" s="2" t="s">
        <v>3736</v>
      </c>
      <c r="C1490" s="2" t="s">
        <v>3737</v>
      </c>
      <c r="D1490" s="2" t="s">
        <v>304</v>
      </c>
      <c r="E1490" s="2" t="s">
        <v>122</v>
      </c>
      <c r="F1490" s="2" t="s">
        <v>13</v>
      </c>
      <c r="G1490" s="2">
        <v>500.0</v>
      </c>
      <c r="H1490" s="3" t="str">
        <f>HYPERLINK("http://uk.linkedin.com/in/harveyflather","http://uk.linkedin.com/in/harveyflather")</f>
        <v>http://uk.linkedin.com/in/harveyflather</v>
      </c>
      <c r="I1490" s="2" t="s">
        <v>48</v>
      </c>
      <c r="J1490" s="2" t="s">
        <v>53</v>
      </c>
      <c r="K1490" s="2" t="s">
        <v>35</v>
      </c>
    </row>
    <row r="1491" ht="15.75" customHeight="1">
      <c r="A1491" s="2">
        <v>541934.0</v>
      </c>
      <c r="B1491" s="2" t="s">
        <v>2129</v>
      </c>
      <c r="C1491" s="2" t="s">
        <v>3738</v>
      </c>
      <c r="D1491" s="2" t="s">
        <v>3739</v>
      </c>
      <c r="E1491" s="2" t="s">
        <v>450</v>
      </c>
      <c r="F1491" s="2">
        <v>3.0</v>
      </c>
      <c r="G1491" s="2">
        <v>500.0</v>
      </c>
      <c r="H1491" s="3" t="str">
        <f>HYPERLINK("http://www.linkedin.com/pub/anurag-chaturvedi/0/312/530","http://www.linkedin.com/pub/anurag-chaturvedi/0/312/530")</f>
        <v>http://www.linkedin.com/pub/anurag-chaturvedi/0/312/530</v>
      </c>
      <c r="I1491" s="2" t="s">
        <v>374</v>
      </c>
      <c r="J1491" s="2" t="s">
        <v>273</v>
      </c>
      <c r="K1491" s="2" t="s">
        <v>35</v>
      </c>
    </row>
    <row r="1492" ht="15.75" customHeight="1">
      <c r="A1492" s="2">
        <v>542275.0</v>
      </c>
      <c r="B1492" s="2" t="s">
        <v>3217</v>
      </c>
      <c r="C1492" s="2" t="s">
        <v>3740</v>
      </c>
      <c r="D1492" s="2" t="s">
        <v>13</v>
      </c>
      <c r="E1492" s="2" t="s">
        <v>2749</v>
      </c>
      <c r="F1492" s="2">
        <v>0.0</v>
      </c>
      <c r="G1492" s="2">
        <v>500.0</v>
      </c>
      <c r="H1492" s="3" t="str">
        <f>HYPERLINK("https://www.linkedin.com/in/gbinsfeld","https://www.linkedin.com/in/gbinsfeld")</f>
        <v>https://www.linkedin.com/in/gbinsfeld</v>
      </c>
      <c r="I1492" s="2" t="s">
        <v>69</v>
      </c>
      <c r="J1492" s="2" t="s">
        <v>926</v>
      </c>
      <c r="K1492" s="2" t="s">
        <v>35</v>
      </c>
    </row>
    <row r="1493" ht="15.75" customHeight="1">
      <c r="A1493" s="2">
        <v>542282.0</v>
      </c>
      <c r="B1493" s="2" t="s">
        <v>2198</v>
      </c>
      <c r="C1493" s="2" t="s">
        <v>3736</v>
      </c>
      <c r="D1493" s="2" t="s">
        <v>3741</v>
      </c>
      <c r="E1493" s="2" t="s">
        <v>3742</v>
      </c>
      <c r="F1493" s="2">
        <v>13.0</v>
      </c>
      <c r="G1493" s="2">
        <v>500.0</v>
      </c>
      <c r="H1493" s="3" t="str">
        <f>HYPERLINK("http://uk.linkedin.com/in/nfharvey","http://uk.linkedin.com/in/nfharvey")</f>
        <v>http://uk.linkedin.com/in/nfharvey</v>
      </c>
      <c r="I1493" s="2" t="s">
        <v>48</v>
      </c>
      <c r="J1493" s="2" t="s">
        <v>53</v>
      </c>
      <c r="K1493" s="2" t="s">
        <v>35</v>
      </c>
    </row>
    <row r="1494" ht="15.75" customHeight="1">
      <c r="A1494" s="2">
        <v>543135.0</v>
      </c>
      <c r="B1494" s="2" t="s">
        <v>592</v>
      </c>
      <c r="C1494" s="2" t="s">
        <v>3743</v>
      </c>
      <c r="D1494" s="2" t="s">
        <v>3744</v>
      </c>
      <c r="E1494" s="2" t="s">
        <v>301</v>
      </c>
      <c r="F1494" s="2">
        <v>18.0</v>
      </c>
      <c r="G1494" s="2">
        <v>500.0</v>
      </c>
      <c r="H1494" s="3" t="str">
        <f>HYPERLINK("http://www.linkedin.com/in/barrybergman","http://www.linkedin.com/in/barrybergman")</f>
        <v>http://www.linkedin.com/in/barrybergman</v>
      </c>
      <c r="I1494" s="2" t="s">
        <v>48</v>
      </c>
      <c r="J1494" s="2" t="s">
        <v>102</v>
      </c>
      <c r="K1494" s="2" t="s">
        <v>35</v>
      </c>
    </row>
    <row r="1495" ht="15.75" customHeight="1">
      <c r="A1495" s="2">
        <v>543245.0</v>
      </c>
      <c r="B1495" s="2" t="s">
        <v>2609</v>
      </c>
      <c r="C1495" s="2" t="s">
        <v>3745</v>
      </c>
      <c r="D1495" s="2" t="s">
        <v>47</v>
      </c>
      <c r="E1495" s="2" t="s">
        <v>3746</v>
      </c>
      <c r="F1495" s="2">
        <v>1.0</v>
      </c>
      <c r="G1495" s="2">
        <v>494.0</v>
      </c>
      <c r="H1495" s="3" t="str">
        <f>HYPERLINK("http://ca.linkedin.com/in/carlmalartre","http://ca.linkedin.com/in/carlmalartre")</f>
        <v>http://ca.linkedin.com/in/carlmalartre</v>
      </c>
      <c r="I1495" s="2" t="s">
        <v>440</v>
      </c>
      <c r="J1495" s="2" t="s">
        <v>44</v>
      </c>
      <c r="K1495" s="2" t="s">
        <v>97</v>
      </c>
    </row>
    <row r="1496" ht="15.75" customHeight="1">
      <c r="A1496" s="2">
        <v>543948.0</v>
      </c>
      <c r="B1496" s="2" t="s">
        <v>3747</v>
      </c>
      <c r="C1496" s="2" t="s">
        <v>3748</v>
      </c>
      <c r="D1496" s="2" t="s">
        <v>3136</v>
      </c>
      <c r="E1496" s="2" t="s">
        <v>1009</v>
      </c>
      <c r="F1496" s="2">
        <v>2.0</v>
      </c>
      <c r="G1496" s="2">
        <v>500.0</v>
      </c>
      <c r="H1496" s="3" t="str">
        <f>HYPERLINK("http://www.linkedin.com/in/tophero","http://www.linkedin.com/in/tophero")</f>
        <v>http://www.linkedin.com/in/tophero</v>
      </c>
      <c r="I1496" s="2" t="s">
        <v>105</v>
      </c>
      <c r="J1496" s="2" t="s">
        <v>87</v>
      </c>
      <c r="K1496" s="2" t="s">
        <v>196</v>
      </c>
    </row>
    <row r="1497" ht="15.75" customHeight="1">
      <c r="A1497" s="2">
        <v>543949.0</v>
      </c>
      <c r="B1497" s="2" t="s">
        <v>3749</v>
      </c>
      <c r="C1497" s="2" t="s">
        <v>3750</v>
      </c>
      <c r="D1497" s="2" t="s">
        <v>108</v>
      </c>
      <c r="E1497" s="2" t="s">
        <v>762</v>
      </c>
      <c r="F1497" s="2">
        <v>4.0</v>
      </c>
      <c r="G1497" s="2">
        <v>500.0</v>
      </c>
      <c r="H1497" s="3" t="str">
        <f>HYPERLINK("http://www.linkedin.com/pub/collin-chan/1/7A3/52","http://www.linkedin.com/pub/collin-chan/1/7A3/52")</f>
        <v>http://www.linkedin.com/pub/collin-chan/1/7A3/52</v>
      </c>
      <c r="I1497" s="2" t="s">
        <v>48</v>
      </c>
      <c r="J1497" s="2" t="s">
        <v>102</v>
      </c>
      <c r="K1497" s="2" t="s">
        <v>35</v>
      </c>
    </row>
    <row r="1498" ht="15.75" customHeight="1">
      <c r="A1498" s="2">
        <v>544262.0</v>
      </c>
      <c r="B1498" s="2" t="s">
        <v>3751</v>
      </c>
      <c r="C1498" s="2" t="s">
        <v>2956</v>
      </c>
      <c r="D1498" s="2" t="s">
        <v>309</v>
      </c>
      <c r="E1498" s="2" t="s">
        <v>166</v>
      </c>
      <c r="F1498" s="2" t="s">
        <v>13</v>
      </c>
      <c r="G1498" s="2">
        <v>500.0</v>
      </c>
      <c r="H1498" s="3" t="str">
        <f>HYPERLINK("http://www.linkedin.com/in/lubnamahmad","http://www.linkedin.com/in/lubnamahmad")</f>
        <v>http://www.linkedin.com/in/lubnamahmad</v>
      </c>
      <c r="I1498" s="2" t="s">
        <v>865</v>
      </c>
      <c r="J1498" s="2" t="s">
        <v>102</v>
      </c>
      <c r="K1498" s="2" t="s">
        <v>58</v>
      </c>
    </row>
    <row r="1499" ht="15.75" customHeight="1">
      <c r="A1499" s="2">
        <v>544461.0</v>
      </c>
      <c r="B1499" s="2" t="s">
        <v>3752</v>
      </c>
      <c r="C1499" s="2" t="s">
        <v>3753</v>
      </c>
      <c r="D1499" s="2" t="s">
        <v>289</v>
      </c>
      <c r="E1499" s="2" t="s">
        <v>122</v>
      </c>
      <c r="F1499" s="2" t="s">
        <v>13</v>
      </c>
      <c r="G1499" s="2">
        <v>500.0</v>
      </c>
      <c r="H1499" s="3" t="str">
        <f>HYPERLINK("http://uk.linkedin.com/in/umersheikh","http://uk.linkedin.com/in/umersheikh")</f>
        <v>http://uk.linkedin.com/in/umersheikh</v>
      </c>
      <c r="I1499" s="2" t="s">
        <v>669</v>
      </c>
      <c r="J1499" s="2" t="s">
        <v>53</v>
      </c>
      <c r="K1499" s="2" t="s">
        <v>35</v>
      </c>
    </row>
    <row r="1500" ht="15.75" customHeight="1">
      <c r="A1500" s="2">
        <v>544738.0</v>
      </c>
      <c r="B1500" s="2" t="s">
        <v>3754</v>
      </c>
      <c r="C1500" s="2" t="s">
        <v>3755</v>
      </c>
      <c r="D1500" s="2" t="s">
        <v>3756</v>
      </c>
      <c r="E1500" s="2" t="s">
        <v>3757</v>
      </c>
      <c r="F1500" s="2">
        <v>5.0</v>
      </c>
      <c r="G1500" s="2">
        <v>500.0</v>
      </c>
      <c r="H1500" s="3" t="str">
        <f>HYPERLINK("http://www.linkedin.com/pub/liz-friedland/7/199/BB7","http://www.linkedin.com/pub/liz-friedland/7/199/BB7")</f>
        <v>http://www.linkedin.com/pub/liz-friedland/7/199/BB7</v>
      </c>
      <c r="I1500" s="2" t="s">
        <v>1728</v>
      </c>
      <c r="J1500" s="2" t="s">
        <v>273</v>
      </c>
      <c r="K1500" s="2" t="s">
        <v>97</v>
      </c>
    </row>
    <row r="1501" ht="15.75" customHeight="1">
      <c r="A1501" s="2">
        <v>545740.0</v>
      </c>
      <c r="B1501" s="2" t="s">
        <v>3378</v>
      </c>
      <c r="C1501" s="2" t="s">
        <v>292</v>
      </c>
      <c r="D1501" s="2" t="s">
        <v>13</v>
      </c>
      <c r="E1501" s="2" t="s">
        <v>931</v>
      </c>
      <c r="F1501" s="2">
        <v>0.0</v>
      </c>
      <c r="G1501" s="2">
        <v>500.0</v>
      </c>
      <c r="H1501" s="3" t="str">
        <f>HYPERLINK("http://www.linkedin.com/in/julialiptrot","http://www.linkedin.com/in/julialiptrot")</f>
        <v>http://www.linkedin.com/in/julialiptrot</v>
      </c>
      <c r="I1501" s="2" t="s">
        <v>69</v>
      </c>
      <c r="J1501" s="2" t="s">
        <v>53</v>
      </c>
      <c r="K1501" s="2" t="s">
        <v>35</v>
      </c>
    </row>
    <row r="1502" ht="15.75" customHeight="1">
      <c r="A1502" s="2">
        <v>546447.0</v>
      </c>
      <c r="B1502" s="2" t="s">
        <v>845</v>
      </c>
      <c r="C1502" s="2" t="s">
        <v>3758</v>
      </c>
      <c r="D1502" s="2" t="s">
        <v>3759</v>
      </c>
      <c r="E1502" s="2" t="s">
        <v>1368</v>
      </c>
      <c r="F1502" s="2" t="s">
        <v>13</v>
      </c>
      <c r="G1502" s="2">
        <v>500.0</v>
      </c>
      <c r="H1502" s="3" t="str">
        <f>HYPERLINK("http://nl.linkedin.com/in/davidsaris","http://nl.linkedin.com/in/davidsaris")</f>
        <v>http://nl.linkedin.com/in/davidsaris</v>
      </c>
      <c r="I1502" s="2" t="s">
        <v>15</v>
      </c>
      <c r="J1502" s="2" t="s">
        <v>837</v>
      </c>
      <c r="K1502" s="2" t="s">
        <v>35</v>
      </c>
    </row>
    <row r="1503" ht="15.75" customHeight="1">
      <c r="A1503" s="2">
        <v>546534.0</v>
      </c>
      <c r="B1503" s="2" t="s">
        <v>3760</v>
      </c>
      <c r="C1503" s="2" t="s">
        <v>3761</v>
      </c>
      <c r="D1503" s="2" t="s">
        <v>3762</v>
      </c>
      <c r="E1503" s="2" t="s">
        <v>278</v>
      </c>
      <c r="F1503" s="2">
        <v>1.0</v>
      </c>
      <c r="G1503" s="2">
        <v>500.0</v>
      </c>
      <c r="H1503" s="3" t="str">
        <f>HYPERLINK("http://www.linkedin.com/in/soringp","http://www.linkedin.com/in/soringp")</f>
        <v>http://www.linkedin.com/in/soringp</v>
      </c>
      <c r="I1503" s="2" t="s">
        <v>1679</v>
      </c>
      <c r="J1503" s="2" t="s">
        <v>28</v>
      </c>
      <c r="K1503" s="2" t="s">
        <v>138</v>
      </c>
    </row>
    <row r="1504" ht="15.75" customHeight="1">
      <c r="A1504" s="2">
        <v>546619.0</v>
      </c>
      <c r="B1504" s="2" t="s">
        <v>3763</v>
      </c>
      <c r="C1504" s="2" t="s">
        <v>3764</v>
      </c>
      <c r="D1504" s="2" t="s">
        <v>3765</v>
      </c>
      <c r="E1504" s="2" t="s">
        <v>136</v>
      </c>
      <c r="F1504" s="2" t="s">
        <v>13</v>
      </c>
      <c r="G1504" s="2">
        <v>500.0</v>
      </c>
      <c r="H1504" s="3" t="str">
        <f>HYPERLINK("http://www.linkedin.com/in/dirkezondagjr","http://www.linkedin.com/in/dirkezondagjr")</f>
        <v>http://www.linkedin.com/in/dirkezondagjr</v>
      </c>
      <c r="I1504" s="2" t="s">
        <v>48</v>
      </c>
      <c r="J1504" s="2" t="s">
        <v>102</v>
      </c>
      <c r="K1504" s="2" t="s">
        <v>35</v>
      </c>
    </row>
    <row r="1505" ht="15.75" customHeight="1">
      <c r="A1505" s="2">
        <v>546871.0</v>
      </c>
      <c r="B1505" s="2" t="s">
        <v>3385</v>
      </c>
      <c r="C1505" s="2" t="s">
        <v>3766</v>
      </c>
      <c r="D1505" s="2" t="s">
        <v>3767</v>
      </c>
      <c r="E1505" s="2" t="s">
        <v>2058</v>
      </c>
      <c r="F1505" s="2">
        <v>2.0</v>
      </c>
      <c r="G1505" s="2">
        <v>427.0</v>
      </c>
      <c r="H1505" s="3" t="str">
        <f>HYPERLINK("http://www.linkedin.com/pub/carrie-talick/4/519/38","http://www.linkedin.com/pub/carrie-talick/4/519/38")</f>
        <v>http://www.linkedin.com/pub/carrie-talick/4/519/38</v>
      </c>
      <c r="I1505" s="2" t="s">
        <v>105</v>
      </c>
      <c r="J1505" s="2" t="s">
        <v>102</v>
      </c>
      <c r="K1505" s="2" t="s">
        <v>3768</v>
      </c>
    </row>
    <row r="1506" ht="15.75" customHeight="1">
      <c r="A1506" s="2">
        <v>547128.0</v>
      </c>
      <c r="B1506" s="2" t="s">
        <v>631</v>
      </c>
      <c r="C1506" s="2" t="s">
        <v>3769</v>
      </c>
      <c r="D1506" s="2" t="s">
        <v>13</v>
      </c>
      <c r="E1506" s="2" t="s">
        <v>122</v>
      </c>
      <c r="F1506" s="2">
        <v>0.0</v>
      </c>
      <c r="G1506" s="2">
        <v>500.0</v>
      </c>
      <c r="H1506" s="3" t="str">
        <f>HYPERLINK("http://uk.linkedin.com/in/chrisledbury","http://uk.linkedin.com/in/chrisledbury")</f>
        <v>http://uk.linkedin.com/in/chrisledbury</v>
      </c>
      <c r="I1506" s="2" t="s">
        <v>248</v>
      </c>
      <c r="J1506" s="2" t="s">
        <v>53</v>
      </c>
      <c r="K1506" s="2" t="s">
        <v>196</v>
      </c>
    </row>
    <row r="1507" ht="15.75" customHeight="1">
      <c r="A1507" s="2">
        <v>548268.0</v>
      </c>
      <c r="B1507" s="2" t="s">
        <v>412</v>
      </c>
      <c r="C1507" s="2" t="s">
        <v>3770</v>
      </c>
      <c r="D1507" s="2" t="s">
        <v>3771</v>
      </c>
      <c r="E1507" s="2" t="s">
        <v>136</v>
      </c>
      <c r="F1507" s="2">
        <v>6.0</v>
      </c>
      <c r="G1507" s="2">
        <v>500.0</v>
      </c>
      <c r="H1507" s="3" t="str">
        <f>HYPERLINK("http://ca.linkedin.com/in/bobdelamar","http://ca.linkedin.com/in/bobdelamar")</f>
        <v>http://ca.linkedin.com/in/bobdelamar</v>
      </c>
      <c r="I1507" s="2" t="s">
        <v>910</v>
      </c>
      <c r="J1507" s="2" t="s">
        <v>102</v>
      </c>
      <c r="K1507" s="2" t="s">
        <v>58</v>
      </c>
    </row>
    <row r="1508" ht="15.75" customHeight="1">
      <c r="A1508" s="2">
        <v>549541.0</v>
      </c>
      <c r="B1508" s="2" t="s">
        <v>1505</v>
      </c>
      <c r="C1508" s="2" t="s">
        <v>3772</v>
      </c>
      <c r="D1508" s="2" t="s">
        <v>3773</v>
      </c>
      <c r="E1508" s="2" t="s">
        <v>2090</v>
      </c>
      <c r="F1508" s="2">
        <v>5.0</v>
      </c>
      <c r="G1508" s="2">
        <v>500.0</v>
      </c>
      <c r="H1508" s="3" t="str">
        <f>HYPERLINK("http://ca.linkedin.com/in/lindapinizzotto","http://ca.linkedin.com/in/lindapinizzotto")</f>
        <v>http://ca.linkedin.com/in/lindapinizzotto</v>
      </c>
      <c r="I1508" s="2" t="s">
        <v>475</v>
      </c>
      <c r="J1508" s="2" t="s">
        <v>44</v>
      </c>
      <c r="K1508" s="2" t="s">
        <v>58</v>
      </c>
    </row>
    <row r="1509" ht="15.75" customHeight="1">
      <c r="A1509" s="2">
        <v>550618.0</v>
      </c>
      <c r="B1509" s="2" t="s">
        <v>3774</v>
      </c>
      <c r="C1509" s="2" t="s">
        <v>3775</v>
      </c>
      <c r="D1509" s="2" t="s">
        <v>400</v>
      </c>
      <c r="E1509" s="2" t="s">
        <v>301</v>
      </c>
      <c r="F1509" s="2" t="s">
        <v>13</v>
      </c>
      <c r="G1509" s="2">
        <v>500.0</v>
      </c>
      <c r="H1509" s="3" t="str">
        <f>HYPERLINK("http://www.linkedin.com/pub/rees-morrison/3/364/18B","http://www.linkedin.com/pub/rees-morrison/3/364/18B")</f>
        <v>http://www.linkedin.com/pub/rees-morrison/3/364/18B</v>
      </c>
      <c r="I1509" s="2" t="s">
        <v>621</v>
      </c>
      <c r="J1509" s="2" t="s">
        <v>102</v>
      </c>
      <c r="K1509" s="2" t="s">
        <v>58</v>
      </c>
    </row>
    <row r="1510" ht="15.75" customHeight="1">
      <c r="A1510" s="2">
        <v>550925.0</v>
      </c>
      <c r="B1510" s="2" t="s">
        <v>3776</v>
      </c>
      <c r="C1510" s="2" t="s">
        <v>3777</v>
      </c>
      <c r="D1510" s="2" t="s">
        <v>13</v>
      </c>
      <c r="E1510" s="2" t="s">
        <v>491</v>
      </c>
      <c r="F1510" s="2">
        <v>10.0</v>
      </c>
      <c r="G1510" s="2">
        <v>500.0</v>
      </c>
      <c r="H1510" s="3" t="str">
        <f>HYPERLINK("http://www.linkedin.com/pub/pedro-cepeda-herreros/4/765/9bb","http://www.linkedin.com/pub/pedro-cepeda-herreros/4/765/9bb")</f>
        <v>http://www.linkedin.com/pub/pedro-cepeda-herreros/4/765/9bb</v>
      </c>
      <c r="I1510" s="2" t="s">
        <v>231</v>
      </c>
      <c r="J1510" s="2" t="s">
        <v>220</v>
      </c>
      <c r="K1510" s="2" t="s">
        <v>58</v>
      </c>
    </row>
    <row r="1511" ht="15.75" customHeight="1">
      <c r="A1511" s="2">
        <v>551353.0</v>
      </c>
      <c r="B1511" s="2" t="s">
        <v>698</v>
      </c>
      <c r="C1511" s="2" t="s">
        <v>3778</v>
      </c>
      <c r="D1511" s="2" t="s">
        <v>42</v>
      </c>
      <c r="E1511" s="2" t="s">
        <v>1251</v>
      </c>
      <c r="F1511" s="2" t="s">
        <v>13</v>
      </c>
      <c r="G1511" s="2">
        <v>90.0</v>
      </c>
      <c r="H1511" s="3" t="str">
        <f>HYPERLINK("http://pt.linkedin.com/pub/armando-matos/1/460/860","http://pt.linkedin.com/pub/armando-matos/1/460/860")</f>
        <v>http://pt.linkedin.com/pub/armando-matos/1/460/860</v>
      </c>
      <c r="I1511" s="2" t="s">
        <v>15</v>
      </c>
      <c r="J1511" s="2" t="s">
        <v>670</v>
      </c>
      <c r="K1511" s="2" t="s">
        <v>35</v>
      </c>
    </row>
    <row r="1512" ht="15.75" customHeight="1">
      <c r="A1512" s="2">
        <v>551628.0</v>
      </c>
      <c r="B1512" s="2" t="s">
        <v>3779</v>
      </c>
      <c r="C1512" s="2" t="s">
        <v>3780</v>
      </c>
      <c r="D1512" s="2"/>
      <c r="E1512" s="2" t="s">
        <v>783</v>
      </c>
      <c r="F1512" s="2">
        <v>4.0</v>
      </c>
      <c r="G1512" s="2">
        <v>500.0</v>
      </c>
      <c r="H1512" s="3" t="str">
        <f>HYPERLINK("http://www.linkedin.com/in/shobhitmohan","http://www.linkedin.com/in/shobhitmohan")</f>
        <v>http://www.linkedin.com/in/shobhitmohan</v>
      </c>
      <c r="I1512" s="2" t="s">
        <v>15</v>
      </c>
      <c r="J1512" s="2" t="s">
        <v>575</v>
      </c>
      <c r="K1512" s="2" t="s">
        <v>22</v>
      </c>
    </row>
    <row r="1513" ht="15.75" customHeight="1">
      <c r="A1513" s="2">
        <v>551863.0</v>
      </c>
      <c r="B1513" s="2" t="s">
        <v>2606</v>
      </c>
      <c r="C1513" s="2" t="s">
        <v>745</v>
      </c>
      <c r="D1513" s="2" t="s">
        <v>3781</v>
      </c>
      <c r="E1513" s="2" t="s">
        <v>101</v>
      </c>
      <c r="F1513" s="2">
        <v>7.0</v>
      </c>
      <c r="G1513" s="2">
        <v>500.0</v>
      </c>
      <c r="H1513" s="3" t="str">
        <f>HYPERLINK("http://www.linkedin.com/in/ddharlan","http://www.linkedin.com/in/ddharlan")</f>
        <v>http://www.linkedin.com/in/ddharlan</v>
      </c>
      <c r="I1513" s="2" t="s">
        <v>48</v>
      </c>
      <c r="J1513" s="2" t="s">
        <v>102</v>
      </c>
      <c r="K1513" s="2" t="s">
        <v>35</v>
      </c>
    </row>
    <row r="1514" ht="15.75" customHeight="1">
      <c r="A1514" s="2">
        <v>552786.0</v>
      </c>
      <c r="B1514" s="2" t="s">
        <v>3782</v>
      </c>
      <c r="C1514" s="2" t="s">
        <v>3783</v>
      </c>
      <c r="D1514" s="2" t="s">
        <v>3784</v>
      </c>
      <c r="E1514" s="2" t="s">
        <v>187</v>
      </c>
      <c r="F1514" s="2">
        <v>3.0</v>
      </c>
      <c r="G1514" s="2">
        <v>452.0</v>
      </c>
      <c r="H1514" s="3" t="str">
        <f>HYPERLINK("http://br.linkedin.com/in/ronaldocaetano","http://br.linkedin.com/in/ronaldocaetano")</f>
        <v>http://br.linkedin.com/in/ronaldocaetano</v>
      </c>
      <c r="I1514" s="2" t="s">
        <v>231</v>
      </c>
      <c r="J1514" s="2" t="s">
        <v>34</v>
      </c>
      <c r="K1514" s="2" t="s">
        <v>22</v>
      </c>
    </row>
    <row r="1515" ht="15.75" customHeight="1">
      <c r="A1515" s="2">
        <v>552877.0</v>
      </c>
      <c r="B1515" s="2" t="s">
        <v>1427</v>
      </c>
      <c r="C1515" s="2" t="s">
        <v>3785</v>
      </c>
      <c r="D1515" s="2" t="s">
        <v>536</v>
      </c>
      <c r="E1515" s="2" t="s">
        <v>3786</v>
      </c>
      <c r="F1515" s="2" t="s">
        <v>13</v>
      </c>
      <c r="G1515" s="2">
        <v>500.0</v>
      </c>
      <c r="H1515" s="3" t="str">
        <f>HYPERLINK("http://uk.linkedin.com/in/seoprofessionallondon","http://uk.linkedin.com/in/seoprofessionallondon")</f>
        <v>http://uk.linkedin.com/in/seoprofessionallondon</v>
      </c>
      <c r="I1515" s="2" t="s">
        <v>15</v>
      </c>
      <c r="J1515" s="2" t="s">
        <v>53</v>
      </c>
      <c r="K1515" s="2" t="s">
        <v>35</v>
      </c>
    </row>
    <row r="1516" ht="15.75" customHeight="1">
      <c r="A1516" s="2">
        <v>553109.0</v>
      </c>
      <c r="B1516" s="2" t="s">
        <v>3787</v>
      </c>
      <c r="C1516" s="2" t="s">
        <v>3788</v>
      </c>
      <c r="D1516" s="2" t="s">
        <v>304</v>
      </c>
      <c r="E1516" s="2" t="s">
        <v>403</v>
      </c>
      <c r="F1516" s="2" t="s">
        <v>13</v>
      </c>
      <c r="G1516" s="2">
        <v>500.0</v>
      </c>
      <c r="H1516" s="3" t="str">
        <f>HYPERLINK("http://ca.linkedin.com/in/terrybrandgetsresults","http://ca.linkedin.com/in/terrybrandgetsresults")</f>
        <v>http://ca.linkedin.com/in/terrybrandgetsresults</v>
      </c>
      <c r="I1516" s="2" t="s">
        <v>57</v>
      </c>
      <c r="J1516" s="2" t="s">
        <v>44</v>
      </c>
      <c r="K1516" s="2" t="s">
        <v>58</v>
      </c>
    </row>
    <row r="1517" ht="15.75" customHeight="1">
      <c r="A1517" s="2">
        <v>553157.0</v>
      </c>
      <c r="B1517" s="2" t="s">
        <v>3789</v>
      </c>
      <c r="C1517" s="2" t="s">
        <v>3790</v>
      </c>
      <c r="D1517" s="2" t="s">
        <v>3791</v>
      </c>
      <c r="E1517" s="2" t="s">
        <v>3792</v>
      </c>
      <c r="F1517" s="2">
        <v>4.0</v>
      </c>
      <c r="G1517" s="2">
        <v>83.0</v>
      </c>
      <c r="H1517" s="3" t="str">
        <f>HYPERLINK("http://br.linkedin.com/pub/claudio-rogerio-guimaraes/2A/BA7/437","http://br.linkedin.com/pub/claudio-rogerio-guimaraes/2A/BA7/437")</f>
        <v>http://br.linkedin.com/pub/claudio-rogerio-guimaraes/2A/BA7/437</v>
      </c>
      <c r="I1517" s="2" t="s">
        <v>96</v>
      </c>
      <c r="J1517" s="2" t="s">
        <v>34</v>
      </c>
      <c r="K1517" s="2" t="s">
        <v>97</v>
      </c>
    </row>
    <row r="1518" ht="15.75" customHeight="1">
      <c r="A1518" s="2">
        <v>553245.0</v>
      </c>
      <c r="B1518" s="2" t="s">
        <v>3793</v>
      </c>
      <c r="C1518" s="2" t="s">
        <v>3794</v>
      </c>
      <c r="D1518" s="2" t="s">
        <v>114</v>
      </c>
      <c r="E1518" s="2" t="s">
        <v>2058</v>
      </c>
      <c r="F1518" s="2">
        <v>2.0</v>
      </c>
      <c r="G1518" s="2">
        <v>500.0</v>
      </c>
      <c r="H1518" s="3" t="str">
        <f>HYPERLINK("http://www.linkedin.com/in/jillbaldauf","http://www.linkedin.com/in/jillbaldauf")</f>
        <v>http://www.linkedin.com/in/jillbaldauf</v>
      </c>
      <c r="I1518" s="2" t="s">
        <v>240</v>
      </c>
      <c r="J1518" s="2" t="s">
        <v>102</v>
      </c>
      <c r="K1518" s="2" t="s">
        <v>3795</v>
      </c>
    </row>
    <row r="1519" ht="15.75" customHeight="1">
      <c r="A1519" s="2">
        <v>553953.0</v>
      </c>
      <c r="B1519" s="2" t="s">
        <v>1157</v>
      </c>
      <c r="C1519" s="2" t="s">
        <v>3796</v>
      </c>
      <c r="D1519" s="2" t="s">
        <v>13</v>
      </c>
      <c r="E1519" s="2" t="s">
        <v>181</v>
      </c>
      <c r="F1519" s="2">
        <v>0.0</v>
      </c>
      <c r="G1519" s="2">
        <v>500.0</v>
      </c>
      <c r="H1519" s="3" t="str">
        <f>HYPERLINK("https://www.linkedin.com/pub/howard-steinberg/9/458/212","https://www.linkedin.com/pub/howard-steinberg/9/458/212")</f>
        <v>https://www.linkedin.com/pub/howard-steinberg/9/458/212</v>
      </c>
      <c r="I1519" s="2" t="s">
        <v>27</v>
      </c>
      <c r="J1519" s="2" t="s">
        <v>102</v>
      </c>
      <c r="K1519" s="2" t="s">
        <v>58</v>
      </c>
    </row>
    <row r="1520" ht="15.75" customHeight="1">
      <c r="A1520" s="2">
        <v>556882.0</v>
      </c>
      <c r="B1520" s="2" t="s">
        <v>3797</v>
      </c>
      <c r="C1520" s="2" t="s">
        <v>3798</v>
      </c>
      <c r="D1520" s="2" t="s">
        <v>3799</v>
      </c>
      <c r="E1520" s="2" t="s">
        <v>301</v>
      </c>
      <c r="F1520" s="2">
        <v>12.0</v>
      </c>
      <c r="G1520" s="2">
        <v>500.0</v>
      </c>
      <c r="H1520" s="3" t="str">
        <f>HYPERLINK("http://dk.linkedin.com/in/troelssmit","http://dk.linkedin.com/in/troelssmit")</f>
        <v>http://dk.linkedin.com/in/troelssmit</v>
      </c>
      <c r="I1520" s="2" t="s">
        <v>15</v>
      </c>
      <c r="J1520" s="2" t="s">
        <v>102</v>
      </c>
      <c r="K1520" s="2" t="s">
        <v>35</v>
      </c>
    </row>
    <row r="1521" ht="15.75" customHeight="1">
      <c r="A1521" s="2">
        <v>557164.0</v>
      </c>
      <c r="B1521" s="2" t="s">
        <v>1071</v>
      </c>
      <c r="C1521" s="2" t="s">
        <v>3800</v>
      </c>
      <c r="D1521" s="2" t="s">
        <v>1765</v>
      </c>
      <c r="E1521" s="2" t="s">
        <v>882</v>
      </c>
      <c r="F1521" s="2">
        <v>15.0</v>
      </c>
      <c r="G1521" s="2">
        <v>500.0</v>
      </c>
      <c r="H1521" s="3" t="str">
        <f>HYPERLINK("http://www.linkedin.com/in/ericmoll","http://www.linkedin.com/in/ericmoll")</f>
        <v>http://www.linkedin.com/in/ericmoll</v>
      </c>
      <c r="I1521" s="2" t="s">
        <v>105</v>
      </c>
      <c r="J1521" s="2" t="s">
        <v>102</v>
      </c>
      <c r="K1521" s="2" t="s">
        <v>35</v>
      </c>
    </row>
    <row r="1522" ht="15.75" customHeight="1">
      <c r="A1522" s="2">
        <v>557175.0</v>
      </c>
      <c r="B1522" s="2" t="s">
        <v>3801</v>
      </c>
      <c r="C1522" s="2" t="s">
        <v>3802</v>
      </c>
      <c r="D1522" s="2" t="s">
        <v>13</v>
      </c>
      <c r="E1522" s="2" t="s">
        <v>1873</v>
      </c>
      <c r="F1522" s="2">
        <v>0.0</v>
      </c>
      <c r="G1522" s="2">
        <v>500.0</v>
      </c>
      <c r="H1522" s="3" t="str">
        <f>HYPERLINK("http://www.linkedin.com/pub/rubens-h-murasse/1/89/820","http://www.linkedin.com/pub/rubens-h-murasse/1/89/820")</f>
        <v>http://www.linkedin.com/pub/rubens-h-murasse/1/89/820</v>
      </c>
      <c r="I1522" s="2" t="s">
        <v>15</v>
      </c>
      <c r="J1522" s="2" t="s">
        <v>34</v>
      </c>
      <c r="K1522" s="2" t="s">
        <v>35</v>
      </c>
    </row>
    <row r="1523" ht="15.75" customHeight="1">
      <c r="A1523" s="2">
        <v>558074.0</v>
      </c>
      <c r="B1523" s="2" t="s">
        <v>2049</v>
      </c>
      <c r="C1523" s="2" t="s">
        <v>3803</v>
      </c>
      <c r="D1523" s="2" t="s">
        <v>3804</v>
      </c>
      <c r="E1523" s="2" t="s">
        <v>3148</v>
      </c>
      <c r="F1523" s="2">
        <v>11.0</v>
      </c>
      <c r="G1523" s="2">
        <v>500.0</v>
      </c>
      <c r="H1523" s="3" t="str">
        <f>HYPERLINK("http://www.linkedin.com/pub/stephanie-demaro/7/806/575","http://www.linkedin.com/pub/stephanie-demaro/7/806/575")</f>
        <v>http://www.linkedin.com/pub/stephanie-demaro/7/806/575</v>
      </c>
      <c r="I1523" s="2" t="s">
        <v>240</v>
      </c>
      <c r="J1523" s="2" t="s">
        <v>102</v>
      </c>
      <c r="K1523" s="2" t="s">
        <v>729</v>
      </c>
    </row>
    <row r="1524" ht="15.75" customHeight="1">
      <c r="A1524" s="2">
        <v>558467.0</v>
      </c>
      <c r="B1524" s="2" t="s">
        <v>2514</v>
      </c>
      <c r="C1524" s="2" t="s">
        <v>3805</v>
      </c>
      <c r="D1524" s="2" t="s">
        <v>13</v>
      </c>
      <c r="E1524" s="2" t="s">
        <v>836</v>
      </c>
      <c r="F1524" s="2">
        <v>1.0</v>
      </c>
      <c r="G1524" s="2">
        <v>500.0</v>
      </c>
      <c r="H1524" s="3" t="str">
        <f>HYPERLINK("http://www.linkedin.com/pub/hans-mannaert/1/9b/403","http://www.linkedin.com/pub/hans-mannaert/1/9b/403")</f>
        <v>http://www.linkedin.com/pub/hans-mannaert/1/9b/403</v>
      </c>
      <c r="I1524" s="2" t="s">
        <v>15</v>
      </c>
      <c r="J1524" s="2" t="s">
        <v>837</v>
      </c>
      <c r="K1524" s="2" t="s">
        <v>35</v>
      </c>
    </row>
    <row r="1525" ht="15.75" customHeight="1">
      <c r="A1525" s="2">
        <v>558907.0</v>
      </c>
      <c r="B1525" s="2" t="s">
        <v>3806</v>
      </c>
      <c r="C1525" s="2" t="s">
        <v>3807</v>
      </c>
      <c r="D1525" s="2" t="s">
        <v>3808</v>
      </c>
      <c r="E1525" s="2" t="s">
        <v>142</v>
      </c>
      <c r="F1525" s="2">
        <v>0.0</v>
      </c>
      <c r="G1525" s="2">
        <v>500.0</v>
      </c>
      <c r="H1525" s="3" t="str">
        <f>HYPERLINK("http://www.linkedin.com/pub/dawn-coughlin/3/275/28A","http://www.linkedin.com/pub/dawn-coughlin/3/275/28A")</f>
        <v>http://www.linkedin.com/pub/dawn-coughlin/3/275/28A</v>
      </c>
      <c r="I1525" s="2" t="s">
        <v>1841</v>
      </c>
      <c r="J1525" s="2" t="s">
        <v>144</v>
      </c>
      <c r="K1525" s="2" t="s">
        <v>3809</v>
      </c>
    </row>
    <row r="1526" ht="15.75" customHeight="1">
      <c r="A1526" s="2">
        <v>559314.0</v>
      </c>
      <c r="B1526" s="2" t="s">
        <v>1366</v>
      </c>
      <c r="C1526" s="2" t="s">
        <v>3810</v>
      </c>
      <c r="D1526" s="2" t="s">
        <v>3811</v>
      </c>
      <c r="E1526" s="2" t="s">
        <v>3164</v>
      </c>
      <c r="F1526" s="2" t="s">
        <v>13</v>
      </c>
      <c r="G1526" s="2">
        <v>200.0</v>
      </c>
      <c r="H1526" s="3" t="str">
        <f>HYPERLINK("http://uk.linkedin.com/in/ptyndale","http://uk.linkedin.com/in/ptyndale")</f>
        <v>http://uk.linkedin.com/in/ptyndale</v>
      </c>
      <c r="I1526" s="2" t="s">
        <v>15</v>
      </c>
      <c r="J1526" s="2" t="s">
        <v>53</v>
      </c>
      <c r="K1526" s="2" t="s">
        <v>35</v>
      </c>
    </row>
    <row r="1527" ht="15.75" customHeight="1">
      <c r="A1527" s="2">
        <v>559724.0</v>
      </c>
      <c r="B1527" s="2" t="s">
        <v>993</v>
      </c>
      <c r="C1527" s="2" t="s">
        <v>3812</v>
      </c>
      <c r="D1527" s="2" t="s">
        <v>3813</v>
      </c>
      <c r="E1527" s="2" t="s">
        <v>762</v>
      </c>
      <c r="F1527" s="2">
        <v>26.0</v>
      </c>
      <c r="G1527" s="2">
        <v>500.0</v>
      </c>
      <c r="H1527" s="3" t="str">
        <f>HYPERLINK("http://www.linkedin.com/in/jonhigby","http://www.linkedin.com/in/jonhigby")</f>
        <v>http://www.linkedin.com/in/jonhigby</v>
      </c>
      <c r="I1527" s="2" t="s">
        <v>48</v>
      </c>
      <c r="J1527" s="2" t="s">
        <v>102</v>
      </c>
      <c r="K1527" s="2" t="s">
        <v>35</v>
      </c>
    </row>
    <row r="1528" ht="15.75" customHeight="1">
      <c r="A1528" s="2">
        <v>559736.0</v>
      </c>
      <c r="B1528" s="2" t="s">
        <v>169</v>
      </c>
      <c r="C1528" s="2" t="s">
        <v>1143</v>
      </c>
      <c r="D1528" s="2" t="s">
        <v>42</v>
      </c>
      <c r="E1528" s="2" t="s">
        <v>989</v>
      </c>
      <c r="F1528" s="2" t="s">
        <v>13</v>
      </c>
      <c r="G1528" s="2">
        <v>43.0</v>
      </c>
      <c r="H1528" s="3" t="str">
        <f>HYPERLINK("http://www.linkedin.com/pub/teresa-carter/7/8B7/3BB","http://www.linkedin.com/pub/teresa-carter/7/8B7/3BB")</f>
        <v>http://www.linkedin.com/pub/teresa-carter/7/8B7/3BB</v>
      </c>
      <c r="I1528" s="2" t="s">
        <v>248</v>
      </c>
      <c r="J1528" s="2" t="s">
        <v>102</v>
      </c>
      <c r="K1528" s="2" t="s">
        <v>196</v>
      </c>
    </row>
    <row r="1529" ht="15.75" customHeight="1">
      <c r="A1529" s="2">
        <v>559882.0</v>
      </c>
      <c r="B1529" s="2" t="s">
        <v>3814</v>
      </c>
      <c r="C1529" s="2" t="s">
        <v>3815</v>
      </c>
      <c r="D1529" s="2" t="s">
        <v>3816</v>
      </c>
      <c r="E1529" s="2" t="s">
        <v>3817</v>
      </c>
      <c r="F1529" s="2" t="s">
        <v>13</v>
      </c>
      <c r="G1529" s="2">
        <v>500.0</v>
      </c>
      <c r="H1529" s="3" t="str">
        <f>HYPERLINK("http://fr.linkedin.com/in/muriellelacombled","http://fr.linkedin.com/in/muriellelacombled")</f>
        <v>http://fr.linkedin.com/in/muriellelacombled</v>
      </c>
      <c r="I1529" s="2" t="s">
        <v>48</v>
      </c>
      <c r="J1529" s="2" t="s">
        <v>65</v>
      </c>
      <c r="K1529" s="2" t="s">
        <v>35</v>
      </c>
    </row>
    <row r="1530" ht="15.75" customHeight="1">
      <c r="A1530" s="2">
        <v>559931.0</v>
      </c>
      <c r="B1530" s="2" t="s">
        <v>3818</v>
      </c>
      <c r="C1530" s="2" t="s">
        <v>3819</v>
      </c>
      <c r="D1530" s="2" t="s">
        <v>3820</v>
      </c>
      <c r="E1530" s="2" t="s">
        <v>3821</v>
      </c>
      <c r="F1530" s="2">
        <v>18.0</v>
      </c>
      <c r="G1530" s="2">
        <v>500.0</v>
      </c>
      <c r="H1530" s="3" t="str">
        <f>HYPERLINK("http://www.linkedin.com/in/presentforward","http://www.linkedin.com/in/presentforward")</f>
        <v>http://www.linkedin.com/in/presentforward</v>
      </c>
      <c r="I1530" s="2" t="s">
        <v>374</v>
      </c>
      <c r="J1530" s="2" t="s">
        <v>273</v>
      </c>
      <c r="K1530" s="2" t="s">
        <v>1516</v>
      </c>
    </row>
    <row r="1531" ht="15.75" customHeight="1">
      <c r="A1531" s="2">
        <v>559968.0</v>
      </c>
      <c r="B1531" s="2" t="s">
        <v>558</v>
      </c>
      <c r="C1531" s="2" t="s">
        <v>1218</v>
      </c>
      <c r="D1531" s="2" t="s">
        <v>1297</v>
      </c>
      <c r="E1531" s="2" t="s">
        <v>1234</v>
      </c>
      <c r="F1531" s="2">
        <v>20.0</v>
      </c>
      <c r="G1531" s="2">
        <v>500.0</v>
      </c>
      <c r="H1531" s="3" t="str">
        <f>HYPERLINK("http://www.linkedin.com/in/tedmurphy","http://www.linkedin.com/in/tedmurphy")</f>
        <v>http://www.linkedin.com/in/tedmurphy</v>
      </c>
      <c r="I1531" s="2" t="s">
        <v>69</v>
      </c>
      <c r="J1531" s="2" t="s">
        <v>102</v>
      </c>
      <c r="K1531" s="2" t="s">
        <v>35</v>
      </c>
    </row>
    <row r="1532" ht="15.75" customHeight="1">
      <c r="A1532" s="2">
        <v>560432.0</v>
      </c>
      <c r="B1532" s="2" t="s">
        <v>433</v>
      </c>
      <c r="C1532" s="2" t="s">
        <v>3822</v>
      </c>
      <c r="D1532" s="2" t="s">
        <v>1073</v>
      </c>
      <c r="E1532" s="2" t="s">
        <v>808</v>
      </c>
      <c r="F1532" s="2">
        <v>14.0</v>
      </c>
      <c r="G1532" s="2">
        <v>500.0</v>
      </c>
      <c r="H1532" s="3" t="str">
        <f>HYPERLINK("http://www.linkedin.com/in/andyvick","http://www.linkedin.com/in/andyvick")</f>
        <v>http://www.linkedin.com/in/andyvick</v>
      </c>
      <c r="I1532" s="2" t="s">
        <v>48</v>
      </c>
      <c r="J1532" s="2" t="s">
        <v>102</v>
      </c>
      <c r="K1532" s="2" t="s">
        <v>35</v>
      </c>
    </row>
    <row r="1533" ht="15.75" customHeight="1">
      <c r="A1533" s="2">
        <v>560722.0</v>
      </c>
      <c r="B1533" s="2" t="s">
        <v>3823</v>
      </c>
      <c r="C1533" s="2" t="s">
        <v>3824</v>
      </c>
      <c r="D1533" s="2" t="s">
        <v>3825</v>
      </c>
      <c r="E1533" s="2" t="s">
        <v>3826</v>
      </c>
      <c r="F1533" s="2">
        <v>20.0</v>
      </c>
      <c r="G1533" s="2">
        <v>500.0</v>
      </c>
      <c r="H1533" s="3" t="str">
        <f>HYPERLINK("http://bd.linkedin.com/pub/naila-chowdhury/1/947/34A","http://bd.linkedin.com/pub/naila-chowdhury/1/947/34A")</f>
        <v>http://bd.linkedin.com/pub/naila-chowdhury/1/947/34A</v>
      </c>
      <c r="I1533" s="2" t="s">
        <v>57</v>
      </c>
      <c r="J1533" s="2" t="s">
        <v>102</v>
      </c>
      <c r="K1533" s="2" t="s">
        <v>35</v>
      </c>
    </row>
    <row r="1534" ht="15.75" customHeight="1">
      <c r="A1534" s="2">
        <v>560778.0</v>
      </c>
      <c r="B1534" s="2" t="s">
        <v>3827</v>
      </c>
      <c r="C1534" s="2" t="s">
        <v>3828</v>
      </c>
      <c r="D1534" s="2" t="s">
        <v>42</v>
      </c>
      <c r="E1534" s="2" t="s">
        <v>301</v>
      </c>
      <c r="F1534" s="2" t="s">
        <v>13</v>
      </c>
      <c r="G1534" s="2">
        <v>500.0</v>
      </c>
      <c r="H1534" s="3" t="str">
        <f>HYPERLINK("http://www.linkedin.com/pub/prof-solival-menezes-ph-d/0/117/8A7","http://www.linkedin.com/pub/prof-solival-menezes-ph-d/0/117/8A7")</f>
        <v>http://www.linkedin.com/pub/prof-solival-menezes-ph-d/0/117/8A7</v>
      </c>
      <c r="I1534" s="2" t="s">
        <v>57</v>
      </c>
      <c r="J1534" s="2" t="s">
        <v>102</v>
      </c>
      <c r="K1534" s="2" t="s">
        <v>58</v>
      </c>
    </row>
    <row r="1535" ht="15.75" customHeight="1">
      <c r="A1535" s="2">
        <v>561259.0</v>
      </c>
      <c r="B1535" s="2" t="s">
        <v>1173</v>
      </c>
      <c r="C1535" s="2" t="s">
        <v>292</v>
      </c>
      <c r="D1535" s="2" t="s">
        <v>2705</v>
      </c>
      <c r="E1535" s="2" t="s">
        <v>3829</v>
      </c>
      <c r="F1535" s="2" t="s">
        <v>13</v>
      </c>
      <c r="G1535" s="2">
        <v>349.0</v>
      </c>
      <c r="H1535" s="3" t="str">
        <f>HYPERLINK("http://www.linkedin.com/pub/steve-smith/7/288/630","http://www.linkedin.com/pub/steve-smith/7/288/630")</f>
        <v>http://www.linkedin.com/pub/steve-smith/7/288/630</v>
      </c>
      <c r="I1535" s="2" t="s">
        <v>195</v>
      </c>
      <c r="J1535" s="2" t="s">
        <v>102</v>
      </c>
      <c r="K1535" s="2" t="s">
        <v>196</v>
      </c>
    </row>
    <row r="1536" ht="15.75" customHeight="1">
      <c r="A1536" s="2">
        <v>561481.0</v>
      </c>
      <c r="B1536" s="2" t="s">
        <v>3830</v>
      </c>
      <c r="C1536" s="2" t="s">
        <v>3831</v>
      </c>
      <c r="D1536" s="2" t="s">
        <v>13</v>
      </c>
      <c r="E1536" s="2" t="s">
        <v>136</v>
      </c>
      <c r="F1536" s="2">
        <v>0.0</v>
      </c>
      <c r="G1536" s="2">
        <v>293.0</v>
      </c>
      <c r="H1536" s="3" t="str">
        <f>HYPERLINK("http://www.linkedin.com/in/bpatnaik","http://www.linkedin.com/in/bpatnaik")</f>
        <v>http://www.linkedin.com/in/bpatnaik</v>
      </c>
      <c r="I1536" s="2" t="s">
        <v>15</v>
      </c>
      <c r="J1536" s="2" t="s">
        <v>102</v>
      </c>
      <c r="K1536" s="2" t="s">
        <v>35</v>
      </c>
    </row>
    <row r="1537" ht="15.75" customHeight="1">
      <c r="A1537" s="2">
        <v>561768.0</v>
      </c>
      <c r="B1537" s="2" t="s">
        <v>3832</v>
      </c>
      <c r="C1537" s="2" t="s">
        <v>3833</v>
      </c>
      <c r="D1537" s="2" t="s">
        <v>3834</v>
      </c>
      <c r="E1537" s="2" t="s">
        <v>713</v>
      </c>
      <c r="F1537" s="2">
        <v>18.0</v>
      </c>
      <c r="G1537" s="2">
        <v>500.0</v>
      </c>
      <c r="H1537" s="3" t="str">
        <f>HYPERLINK("http://www.linkedin.com/pub/alain-stricker-krongrad/A/582/549","http://www.linkedin.com/pub/alain-stricker-krongrad/A/582/549")</f>
        <v>http://www.linkedin.com/pub/alain-stricker-krongrad/A/582/549</v>
      </c>
      <c r="I1537" s="2" t="s">
        <v>240</v>
      </c>
      <c r="J1537" s="2" t="s">
        <v>102</v>
      </c>
      <c r="K1537" s="2" t="s">
        <v>183</v>
      </c>
    </row>
    <row r="1538" ht="15.75" customHeight="1">
      <c r="A1538" s="2">
        <v>561865.0</v>
      </c>
      <c r="B1538" s="2" t="s">
        <v>3835</v>
      </c>
      <c r="C1538" s="2" t="s">
        <v>3212</v>
      </c>
      <c r="D1538" s="2" t="s">
        <v>13</v>
      </c>
      <c r="E1538" s="2" t="s">
        <v>783</v>
      </c>
      <c r="F1538" s="2">
        <v>0.0</v>
      </c>
      <c r="G1538" s="2">
        <v>500.0</v>
      </c>
      <c r="H1538" s="3" t="str">
        <f>HYPERLINK("http://in.linkedin.com/pub/padmini-giri/1/101/927","http://in.linkedin.com/pub/padmini-giri/1/101/927")</f>
        <v>http://in.linkedin.com/pub/padmini-giri/1/101/927</v>
      </c>
      <c r="I1538" s="2" t="s">
        <v>15</v>
      </c>
      <c r="J1538" s="2" t="s">
        <v>575</v>
      </c>
      <c r="K1538" s="2" t="s">
        <v>2390</v>
      </c>
    </row>
    <row r="1539" ht="15.75" customHeight="1">
      <c r="A1539" s="2">
        <v>562161.0</v>
      </c>
      <c r="B1539" s="2" t="s">
        <v>414</v>
      </c>
      <c r="C1539" s="2" t="s">
        <v>559</v>
      </c>
      <c r="D1539" s="2" t="s">
        <v>1674</v>
      </c>
      <c r="E1539" s="2" t="s">
        <v>235</v>
      </c>
      <c r="F1539" s="2" t="s">
        <v>13</v>
      </c>
      <c r="G1539" s="2">
        <v>500.0</v>
      </c>
      <c r="H1539" s="3" t="str">
        <f>HYPERLINK("http://www.linkedin.com/pub/tom-adams/0/24/B7","http://www.linkedin.com/pub/tom-adams/0/24/B7")</f>
        <v>http://www.linkedin.com/pub/tom-adams/0/24/B7</v>
      </c>
      <c r="I1539" s="2" t="s">
        <v>326</v>
      </c>
      <c r="J1539" s="2" t="s">
        <v>102</v>
      </c>
      <c r="K1539" s="2" t="s">
        <v>58</v>
      </c>
    </row>
    <row r="1540" ht="15.75" customHeight="1">
      <c r="A1540" s="2">
        <v>562319.0</v>
      </c>
      <c r="B1540" s="2" t="s">
        <v>3836</v>
      </c>
      <c r="C1540" s="2" t="s">
        <v>3382</v>
      </c>
      <c r="D1540" s="2" t="s">
        <v>3837</v>
      </c>
      <c r="E1540" s="2" t="s">
        <v>574</v>
      </c>
      <c r="F1540" s="2">
        <v>2.0</v>
      </c>
      <c r="G1540" s="2">
        <v>465.0</v>
      </c>
      <c r="H1540" s="3" t="str">
        <f>HYPERLINK("http://in.linkedin.com/in/bhaskardey","http://in.linkedin.com/in/bhaskardey")</f>
        <v>http://in.linkedin.com/in/bhaskardey</v>
      </c>
      <c r="I1540" s="2" t="s">
        <v>252</v>
      </c>
      <c r="J1540" s="2" t="s">
        <v>575</v>
      </c>
      <c r="K1540" s="2" t="s">
        <v>522</v>
      </c>
    </row>
    <row r="1541" ht="15.75" customHeight="1">
      <c r="A1541" s="2">
        <v>562377.0</v>
      </c>
      <c r="B1541" s="2" t="s">
        <v>1275</v>
      </c>
      <c r="C1541" s="2" t="s">
        <v>3838</v>
      </c>
      <c r="D1541" s="2" t="s">
        <v>114</v>
      </c>
      <c r="E1541" s="2" t="s">
        <v>214</v>
      </c>
      <c r="F1541" s="2">
        <v>8.0</v>
      </c>
      <c r="G1541" s="2">
        <v>500.0</v>
      </c>
      <c r="H1541" s="3" t="str">
        <f>HYPERLINK("http://www.linkedin.com/in/bradloetzremedi","http://www.linkedin.com/in/bradloetzremedi")</f>
        <v>http://www.linkedin.com/in/bradloetzremedi</v>
      </c>
      <c r="I1541" s="2" t="s">
        <v>15</v>
      </c>
      <c r="J1541" s="2" t="s">
        <v>102</v>
      </c>
      <c r="K1541" s="2" t="s">
        <v>35</v>
      </c>
    </row>
    <row r="1542" ht="15.75" customHeight="1">
      <c r="A1542" s="2">
        <v>562806.0</v>
      </c>
      <c r="B1542" s="2" t="s">
        <v>710</v>
      </c>
      <c r="C1542" s="2" t="s">
        <v>3839</v>
      </c>
      <c r="D1542" s="2" t="s">
        <v>3840</v>
      </c>
      <c r="E1542" s="2" t="s">
        <v>136</v>
      </c>
      <c r="F1542" s="2" t="s">
        <v>13</v>
      </c>
      <c r="G1542" s="2">
        <v>239.0</v>
      </c>
      <c r="H1542" s="3" t="str">
        <f>HYPERLINK("http://www.linkedin.com/in/jasonwdunham","http://www.linkedin.com/in/jasonwdunham")</f>
        <v>http://www.linkedin.com/in/jasonwdunham</v>
      </c>
      <c r="I1542" s="2" t="s">
        <v>15</v>
      </c>
      <c r="J1542" s="2" t="s">
        <v>102</v>
      </c>
      <c r="K1542" s="2" t="s">
        <v>35</v>
      </c>
    </row>
    <row r="1543" ht="15.75" customHeight="1">
      <c r="A1543" s="2">
        <v>562901.0</v>
      </c>
      <c r="B1543" s="2" t="s">
        <v>3841</v>
      </c>
      <c r="C1543" s="2" t="s">
        <v>3842</v>
      </c>
      <c r="D1543" s="2"/>
      <c r="E1543" s="2" t="s">
        <v>3843</v>
      </c>
      <c r="F1543" s="2">
        <v>0.0</v>
      </c>
      <c r="G1543" s="2">
        <v>25.0</v>
      </c>
      <c r="H1543" s="3" t="str">
        <f>HYPERLINK("http://www.linkedin.com/pub/trey-hoffman/1/B93/7BA","http://www.linkedin.com/pub/trey-hoffman/1/B93/7BA")</f>
        <v>http://www.linkedin.com/pub/trey-hoffman/1/B93/7BA</v>
      </c>
      <c r="I1543" s="2" t="s">
        <v>1452</v>
      </c>
      <c r="J1543" s="2" t="s">
        <v>273</v>
      </c>
      <c r="K1543" s="2" t="s">
        <v>97</v>
      </c>
    </row>
    <row r="1544" ht="15.75" customHeight="1">
      <c r="A1544" s="2">
        <v>563074.0</v>
      </c>
      <c r="B1544" s="2" t="s">
        <v>1289</v>
      </c>
      <c r="C1544" s="2" t="s">
        <v>3844</v>
      </c>
      <c r="D1544" s="2" t="s">
        <v>13</v>
      </c>
      <c r="E1544" s="2" t="s">
        <v>3516</v>
      </c>
      <c r="F1544" s="2">
        <v>0.0</v>
      </c>
      <c r="G1544" s="2">
        <v>500.0</v>
      </c>
      <c r="H1544" s="3" t="str">
        <f>HYPERLINK("http://www.linkedin.com/pub/cliff-greenbaum/0/424/AAB","http://www.linkedin.com/pub/cliff-greenbaum/0/424/AAB")</f>
        <v>http://www.linkedin.com/pub/cliff-greenbaum/0/424/AAB</v>
      </c>
      <c r="I1544" s="2" t="s">
        <v>57</v>
      </c>
      <c r="J1544" s="2" t="s">
        <v>102</v>
      </c>
      <c r="K1544" s="2" t="s">
        <v>97</v>
      </c>
    </row>
    <row r="1545" ht="15.75" customHeight="1">
      <c r="A1545" s="2">
        <v>563308.0</v>
      </c>
      <c r="B1545" s="2" t="s">
        <v>433</v>
      </c>
      <c r="C1545" s="2" t="s">
        <v>3274</v>
      </c>
      <c r="D1545" s="2" t="s">
        <v>536</v>
      </c>
      <c r="E1545" s="2" t="s">
        <v>3845</v>
      </c>
      <c r="F1545" s="2">
        <v>16.0</v>
      </c>
      <c r="G1545" s="2">
        <v>500.0</v>
      </c>
      <c r="H1545" s="3" t="str">
        <f>HYPERLINK("http://pl.linkedin.com/in/andybrandt","http://pl.linkedin.com/in/andybrandt")</f>
        <v>http://pl.linkedin.com/in/andybrandt</v>
      </c>
      <c r="I1545" s="2" t="s">
        <v>15</v>
      </c>
      <c r="J1545" s="2" t="s">
        <v>3846</v>
      </c>
      <c r="K1545" s="2" t="s">
        <v>35</v>
      </c>
    </row>
    <row r="1546" ht="15.75" customHeight="1">
      <c r="A1546" s="2">
        <v>563587.0</v>
      </c>
      <c r="B1546" s="2" t="s">
        <v>3847</v>
      </c>
      <c r="C1546" s="2" t="s">
        <v>3848</v>
      </c>
      <c r="D1546" s="2" t="s">
        <v>517</v>
      </c>
      <c r="E1546" s="2" t="s">
        <v>836</v>
      </c>
      <c r="F1546" s="2">
        <v>3.0</v>
      </c>
      <c r="G1546" s="2">
        <v>500.0</v>
      </c>
      <c r="H1546" s="3" t="str">
        <f>HYPERLINK("http://nl.linkedin.com/pub/victor-schmedding/0/215/14A","http://nl.linkedin.com/pub/victor-schmedding/0/215/14A")</f>
        <v>http://nl.linkedin.com/pub/victor-schmedding/0/215/14A</v>
      </c>
      <c r="I1546" s="2" t="s">
        <v>48</v>
      </c>
      <c r="J1546" s="2" t="s">
        <v>837</v>
      </c>
      <c r="K1546" s="2" t="s">
        <v>35</v>
      </c>
    </row>
    <row r="1547" ht="15.75" customHeight="1">
      <c r="A1547" s="2">
        <v>563675.0</v>
      </c>
      <c r="B1547" s="2" t="s">
        <v>506</v>
      </c>
      <c r="C1547" s="2" t="s">
        <v>3849</v>
      </c>
      <c r="D1547" s="2" t="s">
        <v>3850</v>
      </c>
      <c r="E1547" s="2" t="s">
        <v>1041</v>
      </c>
      <c r="F1547" s="2">
        <v>28.0</v>
      </c>
      <c r="G1547" s="2">
        <v>500.0</v>
      </c>
      <c r="H1547" s="3" t="str">
        <f>HYPERLINK("http://www.linkedin.com/in/josesolera","http://www.linkedin.com/in/josesolera")</f>
        <v>http://www.linkedin.com/in/josesolera</v>
      </c>
      <c r="I1547" s="2" t="s">
        <v>15</v>
      </c>
      <c r="J1547" s="2" t="s">
        <v>102</v>
      </c>
      <c r="K1547" s="2" t="s">
        <v>35</v>
      </c>
    </row>
    <row r="1548" ht="15.75" customHeight="1">
      <c r="A1548" s="2">
        <v>564669.0</v>
      </c>
      <c r="B1548" s="2" t="s">
        <v>3851</v>
      </c>
      <c r="C1548" s="2" t="s">
        <v>3852</v>
      </c>
      <c r="D1548" s="2" t="s">
        <v>3853</v>
      </c>
      <c r="E1548" s="2" t="s">
        <v>604</v>
      </c>
      <c r="F1548" s="2">
        <v>11.0</v>
      </c>
      <c r="G1548" s="2">
        <v>500.0</v>
      </c>
      <c r="H1548" s="3" t="str">
        <f>HYPERLINK("http://www.linkedin.com/in/waynebiernacki","http://www.linkedin.com/in/waynebiernacki")</f>
        <v>http://www.linkedin.com/in/waynebiernacki</v>
      </c>
      <c r="I1548" s="2" t="s">
        <v>696</v>
      </c>
      <c r="J1548" s="2" t="s">
        <v>16</v>
      </c>
      <c r="K1548" s="2" t="s">
        <v>3854</v>
      </c>
    </row>
    <row r="1549" ht="15.75" customHeight="1">
      <c r="A1549" s="2">
        <v>565093.0</v>
      </c>
      <c r="B1549" s="2" t="s">
        <v>1015</v>
      </c>
      <c r="C1549" s="2" t="s">
        <v>869</v>
      </c>
      <c r="D1549" s="2" t="s">
        <v>3855</v>
      </c>
      <c r="E1549" s="2" t="s">
        <v>3856</v>
      </c>
      <c r="F1549" s="2" t="s">
        <v>13</v>
      </c>
      <c r="G1549" s="2">
        <v>500.0</v>
      </c>
      <c r="H1549" s="3" t="str">
        <f>HYPERLINK("http://www.linkedin.com/pub/brian-schwartz/3/B9/11A","http://www.linkedin.com/pub/brian-schwartz/3/B9/11A")</f>
        <v>http://www.linkedin.com/pub/brian-schwartz/3/B9/11A</v>
      </c>
      <c r="I1549" s="2" t="s">
        <v>3857</v>
      </c>
      <c r="J1549" s="2" t="s">
        <v>273</v>
      </c>
      <c r="K1549" s="2" t="s">
        <v>97</v>
      </c>
    </row>
    <row r="1550" ht="15.75" customHeight="1">
      <c r="A1550" s="2">
        <v>566103.0</v>
      </c>
      <c r="B1550" s="2" t="s">
        <v>845</v>
      </c>
      <c r="C1550" s="2" t="s">
        <v>3858</v>
      </c>
      <c r="D1550" s="2" t="s">
        <v>3859</v>
      </c>
      <c r="E1550" s="2" t="s">
        <v>628</v>
      </c>
      <c r="F1550" s="2">
        <v>1.0</v>
      </c>
      <c r="G1550" s="2">
        <v>127.0</v>
      </c>
      <c r="H1550" s="3" t="str">
        <f>HYPERLINK("http://www.linkedin.com/in/rothbard","http://www.linkedin.com/in/rothbard")</f>
        <v>http://www.linkedin.com/in/rothbard</v>
      </c>
      <c r="I1550" s="2" t="s">
        <v>612</v>
      </c>
      <c r="J1550" s="2" t="s">
        <v>102</v>
      </c>
      <c r="K1550" s="2" t="s">
        <v>3860</v>
      </c>
    </row>
    <row r="1551" ht="15.75" customHeight="1">
      <c r="A1551" s="2">
        <v>566169.0</v>
      </c>
      <c r="B1551" s="2" t="s">
        <v>133</v>
      </c>
      <c r="C1551" s="2" t="s">
        <v>189</v>
      </c>
      <c r="D1551" s="2"/>
      <c r="E1551" s="2" t="s">
        <v>321</v>
      </c>
      <c r="F1551" s="2">
        <v>0.0</v>
      </c>
      <c r="G1551" s="2">
        <v>358.0</v>
      </c>
      <c r="H1551" s="3" t="str">
        <f>HYPERLINK("http://www.linkedin.com/pub/michael-dean/0/145/37A","http://www.linkedin.com/pub/michael-dean/0/145/37A")</f>
        <v>http://www.linkedin.com/pub/michael-dean/0/145/37A</v>
      </c>
      <c r="I1551" s="2" t="s">
        <v>48</v>
      </c>
      <c r="J1551" s="2" t="s">
        <v>102</v>
      </c>
      <c r="K1551" s="2" t="s">
        <v>22</v>
      </c>
    </row>
    <row r="1552" ht="15.75" customHeight="1">
      <c r="A1552" s="2">
        <v>566217.0</v>
      </c>
      <c r="B1552" s="2" t="s">
        <v>3432</v>
      </c>
      <c r="C1552" s="2" t="s">
        <v>3861</v>
      </c>
      <c r="D1552" s="2" t="s">
        <v>3862</v>
      </c>
      <c r="E1552" s="2" t="s">
        <v>301</v>
      </c>
      <c r="F1552" s="2">
        <v>119.0</v>
      </c>
      <c r="G1552" s="2">
        <v>500.0</v>
      </c>
      <c r="H1552" s="3" t="str">
        <f>HYPERLINK("http://www.linkedin.com/in/jkucic","http://www.linkedin.com/in/jkucic")</f>
        <v>http://www.linkedin.com/in/jkucic</v>
      </c>
      <c r="I1552" s="2" t="s">
        <v>279</v>
      </c>
      <c r="J1552" s="2" t="s">
        <v>102</v>
      </c>
      <c r="K1552" s="2" t="s">
        <v>58</v>
      </c>
    </row>
    <row r="1553" ht="15.75" customHeight="1">
      <c r="A1553" s="2">
        <v>566284.0</v>
      </c>
      <c r="B1553" s="2" t="s">
        <v>3863</v>
      </c>
      <c r="C1553" s="2" t="s">
        <v>3864</v>
      </c>
      <c r="D1553" s="2" t="s">
        <v>347</v>
      </c>
      <c r="E1553" s="2" t="s">
        <v>3865</v>
      </c>
      <c r="F1553" s="2">
        <v>7.0</v>
      </c>
      <c r="G1553" s="2">
        <v>500.0</v>
      </c>
      <c r="H1553" s="3" t="str">
        <f>HYPERLINK("http://www.linkedin.com/in/mandibishop","http://www.linkedin.com/in/mandibishop")</f>
        <v>http://www.linkedin.com/in/mandibishop</v>
      </c>
      <c r="I1553" s="2" t="s">
        <v>15</v>
      </c>
      <c r="J1553" s="2" t="s">
        <v>102</v>
      </c>
      <c r="K1553" s="2" t="s">
        <v>35</v>
      </c>
    </row>
    <row r="1554" ht="15.75" customHeight="1">
      <c r="A1554" s="2">
        <v>566706.0</v>
      </c>
      <c r="B1554" s="2" t="s">
        <v>1362</v>
      </c>
      <c r="C1554" s="2" t="s">
        <v>852</v>
      </c>
      <c r="D1554" s="2" t="s">
        <v>47</v>
      </c>
      <c r="E1554" s="2" t="s">
        <v>142</v>
      </c>
      <c r="F1554" s="2">
        <v>5.0</v>
      </c>
      <c r="G1554" s="2">
        <v>500.0</v>
      </c>
      <c r="H1554" s="3" t="str">
        <f>HYPERLINK("http://www.linkedin.com/in/printsteals","http://www.linkedin.com/in/printsteals")</f>
        <v>http://www.linkedin.com/in/printsteals</v>
      </c>
      <c r="I1554" s="2" t="s">
        <v>105</v>
      </c>
      <c r="J1554" s="2" t="s">
        <v>144</v>
      </c>
      <c r="K1554" s="2" t="s">
        <v>35</v>
      </c>
    </row>
    <row r="1555" ht="15.75" customHeight="1">
      <c r="A1555" s="2">
        <v>566756.0</v>
      </c>
      <c r="B1555" s="2" t="s">
        <v>1173</v>
      </c>
      <c r="C1555" s="2" t="s">
        <v>3866</v>
      </c>
      <c r="D1555" s="2" t="s">
        <v>47</v>
      </c>
      <c r="E1555" s="2" t="s">
        <v>136</v>
      </c>
      <c r="F1555" s="2" t="s">
        <v>13</v>
      </c>
      <c r="G1555" s="2">
        <v>223.0</v>
      </c>
      <c r="H1555" s="3" t="str">
        <f>HYPERLINK("http://www.linkedin.com/pub/steve-roskowski/0/150/49A","http://www.linkedin.com/pub/steve-roskowski/0/150/49A")</f>
        <v>http://www.linkedin.com/pub/steve-roskowski/0/150/49A</v>
      </c>
      <c r="I1555" s="2" t="s">
        <v>77</v>
      </c>
      <c r="J1555" s="2" t="s">
        <v>102</v>
      </c>
      <c r="K1555" s="2" t="s">
        <v>97</v>
      </c>
    </row>
    <row r="1556" ht="15.75" customHeight="1">
      <c r="A1556" s="2">
        <v>566763.0</v>
      </c>
      <c r="B1556" s="2" t="s">
        <v>1173</v>
      </c>
      <c r="C1556" s="2" t="s">
        <v>3867</v>
      </c>
      <c r="D1556" s="2" t="s">
        <v>42</v>
      </c>
      <c r="E1556" s="2" t="s">
        <v>3868</v>
      </c>
      <c r="F1556" s="2" t="s">
        <v>13</v>
      </c>
      <c r="G1556" s="2">
        <v>500.0</v>
      </c>
      <c r="H1556" s="3" t="str">
        <f>HYPERLINK("http://www.linkedin.com/in/stevemiddleton74","http://www.linkedin.com/in/stevemiddleton74")</f>
        <v>http://www.linkedin.com/in/stevemiddleton74</v>
      </c>
      <c r="I1556" s="2" t="s">
        <v>27</v>
      </c>
      <c r="J1556" s="2" t="s">
        <v>102</v>
      </c>
      <c r="K1556" s="2" t="s">
        <v>58</v>
      </c>
    </row>
    <row r="1557" ht="15.75" customHeight="1">
      <c r="A1557" s="2">
        <v>566902.0</v>
      </c>
      <c r="B1557" s="2" t="s">
        <v>1015</v>
      </c>
      <c r="C1557" s="2" t="s">
        <v>3869</v>
      </c>
      <c r="D1557" s="2"/>
      <c r="E1557" s="2" t="s">
        <v>1351</v>
      </c>
      <c r="F1557" s="2">
        <v>0.0</v>
      </c>
      <c r="G1557" s="2">
        <v>500.0</v>
      </c>
      <c r="H1557" s="3" t="str">
        <f>HYPERLINK("http://www.linkedin.com/pub/brian-williams/1/483/A46","http://www.linkedin.com/pub/brian-williams/1/483/A46")</f>
        <v>http://www.linkedin.com/pub/brian-williams/1/483/A46</v>
      </c>
      <c r="I1557" s="2" t="s">
        <v>696</v>
      </c>
      <c r="J1557" s="2" t="s">
        <v>1353</v>
      </c>
      <c r="K1557" s="2" t="s">
        <v>196</v>
      </c>
    </row>
    <row r="1558" ht="15.75" customHeight="1">
      <c r="A1558" s="2">
        <v>566994.0</v>
      </c>
      <c r="B1558" s="2" t="s">
        <v>3870</v>
      </c>
      <c r="C1558" s="2" t="s">
        <v>3871</v>
      </c>
      <c r="D1558" s="2" t="s">
        <v>3872</v>
      </c>
      <c r="E1558" s="2" t="s">
        <v>3873</v>
      </c>
      <c r="F1558" s="2">
        <v>12.0</v>
      </c>
      <c r="G1558" s="2">
        <v>500.0</v>
      </c>
      <c r="H1558" s="3" t="str">
        <f>HYPERLINK("http://www.linkedin.com/in/jefferygoddard","http://www.linkedin.com/in/jefferygoddard")</f>
        <v>http://www.linkedin.com/in/jefferygoddard</v>
      </c>
      <c r="I1558" s="2" t="s">
        <v>105</v>
      </c>
      <c r="J1558" s="2" t="s">
        <v>102</v>
      </c>
      <c r="K1558" s="2" t="s">
        <v>58</v>
      </c>
    </row>
    <row r="1559" ht="15.75" customHeight="1">
      <c r="A1559" s="2">
        <v>567293.0</v>
      </c>
      <c r="B1559" s="2" t="s">
        <v>3874</v>
      </c>
      <c r="C1559" s="2" t="s">
        <v>3875</v>
      </c>
      <c r="D1559" s="2" t="s">
        <v>3876</v>
      </c>
      <c r="E1559" s="2" t="s">
        <v>3877</v>
      </c>
      <c r="F1559" s="2" t="s">
        <v>13</v>
      </c>
      <c r="G1559" s="2">
        <v>500.0</v>
      </c>
      <c r="H1559" s="3" t="str">
        <f>HYPERLINK("http://tr.linkedin.com/pub/zekeriya-arslan/0/A7B/10","http://tr.linkedin.com/pub/zekeriya-arslan/0/A7B/10")</f>
        <v>http://tr.linkedin.com/pub/zekeriya-arslan/0/A7B/10</v>
      </c>
      <c r="I1559" s="2" t="s">
        <v>1948</v>
      </c>
      <c r="J1559" s="2" t="s">
        <v>3878</v>
      </c>
      <c r="K1559" s="2" t="s">
        <v>58</v>
      </c>
    </row>
    <row r="1560" ht="15.75" customHeight="1">
      <c r="A1560" s="2">
        <v>567680.0</v>
      </c>
      <c r="B1560" s="2" t="s">
        <v>3879</v>
      </c>
      <c r="C1560" s="2" t="s">
        <v>3880</v>
      </c>
      <c r="D1560" s="2" t="s">
        <v>13</v>
      </c>
      <c r="E1560" s="2" t="s">
        <v>3881</v>
      </c>
      <c r="F1560" s="2">
        <v>0.0</v>
      </c>
      <c r="G1560" s="2">
        <v>500.0</v>
      </c>
      <c r="H1560" s="3" t="str">
        <f>HYPERLINK("http://www.linkedin.com/pub/dirk-r-smet-miod/1/76b/275","http://www.linkedin.com/pub/dirk-r-smet-miod/1/76b/275")</f>
        <v>http://www.linkedin.com/pub/dirk-r-smet-miod/1/76b/275</v>
      </c>
      <c r="I1560" s="2" t="s">
        <v>77</v>
      </c>
      <c r="J1560" s="2" t="s">
        <v>53</v>
      </c>
      <c r="K1560" s="2" t="s">
        <v>97</v>
      </c>
    </row>
    <row r="1561" ht="15.75" customHeight="1">
      <c r="A1561" s="2">
        <v>567748.0</v>
      </c>
      <c r="B1561" s="2" t="s">
        <v>169</v>
      </c>
      <c r="C1561" s="2" t="s">
        <v>3882</v>
      </c>
      <c r="D1561" s="2" t="s">
        <v>13</v>
      </c>
      <c r="E1561" s="2" t="s">
        <v>101</v>
      </c>
      <c r="F1561" s="2">
        <v>0.0</v>
      </c>
      <c r="G1561" s="2">
        <v>500.0</v>
      </c>
      <c r="H1561" s="3" t="str">
        <f>HYPERLINK("http://www.linkedin.com/in/teresalussier","http://www.linkedin.com/in/teresalussier")</f>
        <v>http://www.linkedin.com/in/teresalussier</v>
      </c>
      <c r="I1561" s="2" t="s">
        <v>15</v>
      </c>
      <c r="J1561" s="2" t="s">
        <v>102</v>
      </c>
      <c r="K1561" s="2" t="s">
        <v>35</v>
      </c>
    </row>
    <row r="1562" ht="15.75" customHeight="1">
      <c r="A1562" s="2">
        <v>568081.0</v>
      </c>
      <c r="B1562" s="2" t="s">
        <v>1004</v>
      </c>
      <c r="C1562" s="2" t="s">
        <v>3515</v>
      </c>
      <c r="D1562" s="2" t="s">
        <v>3883</v>
      </c>
      <c r="E1562" s="2" t="s">
        <v>136</v>
      </c>
      <c r="F1562" s="2">
        <v>7.0</v>
      </c>
      <c r="G1562" s="2">
        <v>500.0</v>
      </c>
      <c r="H1562" s="3" t="str">
        <f>HYPERLINK("http://www.linkedin.com/in/internetadvertisingsales","http://www.linkedin.com/in/internetadvertisingsales")</f>
        <v>http://www.linkedin.com/in/internetadvertisingsales</v>
      </c>
      <c r="I1562" s="2" t="s">
        <v>326</v>
      </c>
      <c r="J1562" s="2" t="s">
        <v>102</v>
      </c>
      <c r="K1562" s="2" t="s">
        <v>58</v>
      </c>
    </row>
    <row r="1563" ht="15.75" customHeight="1">
      <c r="A1563" s="2">
        <v>568397.0</v>
      </c>
      <c r="B1563" s="2" t="s">
        <v>1362</v>
      </c>
      <c r="C1563" s="2" t="s">
        <v>3884</v>
      </c>
      <c r="D1563" s="2" t="s">
        <v>3885</v>
      </c>
      <c r="E1563" s="2" t="s">
        <v>2961</v>
      </c>
      <c r="F1563" s="2">
        <v>0.0</v>
      </c>
      <c r="G1563" s="2">
        <v>437.0</v>
      </c>
      <c r="H1563" s="3" t="str">
        <f>HYPERLINK("http://www.linkedin.com/pub/william-blue/5/57/769","http://www.linkedin.com/pub/william-blue/5/57/769")</f>
        <v>http://www.linkedin.com/pub/william-blue/5/57/769</v>
      </c>
      <c r="I1563" s="2" t="s">
        <v>579</v>
      </c>
      <c r="J1563" s="2" t="s">
        <v>1703</v>
      </c>
      <c r="K1563" s="2" t="s">
        <v>97</v>
      </c>
    </row>
    <row r="1564" ht="15.75" customHeight="1">
      <c r="A1564" s="2">
        <v>568578.0</v>
      </c>
      <c r="B1564" s="2" t="s">
        <v>3886</v>
      </c>
      <c r="C1564" s="2" t="s">
        <v>3887</v>
      </c>
      <c r="D1564" s="2" t="s">
        <v>3888</v>
      </c>
      <c r="E1564" s="2" t="s">
        <v>214</v>
      </c>
      <c r="F1564" s="2">
        <v>1.0</v>
      </c>
      <c r="G1564" s="2">
        <v>500.0</v>
      </c>
      <c r="H1564" s="3" t="str">
        <f>HYPERLINK("http://www.linkedin.com/pub/c-michael-croston/9/613/2A6","http://www.linkedin.com/pub/c-michael-croston/9/613/2A6")</f>
        <v>http://www.linkedin.com/pub/c-michael-croston/9/613/2A6</v>
      </c>
      <c r="I1564" s="2" t="s">
        <v>681</v>
      </c>
      <c r="J1564" s="2" t="s">
        <v>102</v>
      </c>
      <c r="K1564" s="2" t="s">
        <v>58</v>
      </c>
    </row>
    <row r="1565" ht="15.75" customHeight="1">
      <c r="A1565" s="2">
        <v>569383.0</v>
      </c>
      <c r="B1565" s="2" t="s">
        <v>1087</v>
      </c>
      <c r="C1565" s="2" t="s">
        <v>3889</v>
      </c>
      <c r="D1565" s="2" t="s">
        <v>42</v>
      </c>
      <c r="E1565" s="2" t="s">
        <v>804</v>
      </c>
      <c r="F1565" s="2" t="s">
        <v>13</v>
      </c>
      <c r="G1565" s="2">
        <v>3.0</v>
      </c>
      <c r="H1565" s="3" t="str">
        <f>HYPERLINK("http://www.linkedin.com/pub/james-schofield/5/261/190","http://www.linkedin.com/pub/james-schofield/5/261/190")</f>
        <v>http://www.linkedin.com/pub/james-schofield/5/261/190</v>
      </c>
      <c r="I1565" s="2" t="s">
        <v>3890</v>
      </c>
      <c r="J1565" s="2" t="s">
        <v>102</v>
      </c>
      <c r="K1565" s="2" t="s">
        <v>58</v>
      </c>
    </row>
    <row r="1566" ht="15.75" customHeight="1">
      <c r="A1566" s="2">
        <v>570776.0</v>
      </c>
      <c r="B1566" s="2" t="s">
        <v>3891</v>
      </c>
      <c r="C1566" s="2" t="s">
        <v>3892</v>
      </c>
      <c r="D1566" s="2" t="s">
        <v>3893</v>
      </c>
      <c r="E1566" s="2" t="s">
        <v>3894</v>
      </c>
      <c r="F1566" s="2">
        <v>0.0</v>
      </c>
      <c r="G1566" s="2">
        <v>151.0</v>
      </c>
      <c r="H1566" s="3" t="str">
        <f>HYPERLINK("http://www.linkedin.com/pub/veronica-lovesy/5/33B/2A2","http://www.linkedin.com/pub/veronica-lovesy/5/33B/2A2")</f>
        <v>http://www.linkedin.com/pub/veronica-lovesy/5/33B/2A2</v>
      </c>
      <c r="I1566" s="2" t="s">
        <v>475</v>
      </c>
      <c r="J1566" s="2" t="s">
        <v>16</v>
      </c>
      <c r="K1566" s="2" t="s">
        <v>357</v>
      </c>
    </row>
    <row r="1567" ht="15.75" customHeight="1">
      <c r="A1567" s="2">
        <v>571540.0</v>
      </c>
      <c r="B1567" s="2" t="s">
        <v>3895</v>
      </c>
      <c r="C1567" s="2" t="s">
        <v>1027</v>
      </c>
      <c r="D1567" s="2" t="s">
        <v>2385</v>
      </c>
      <c r="E1567" s="2" t="s">
        <v>136</v>
      </c>
      <c r="F1567" s="2" t="s">
        <v>13</v>
      </c>
      <c r="G1567" s="2">
        <v>269.0</v>
      </c>
      <c r="H1567" s="3" t="str">
        <f>HYPERLINK("http://www.linkedin.com/pub/janet-george/0/36/A31","http://www.linkedin.com/pub/janet-george/0/36/A31")</f>
        <v>http://www.linkedin.com/pub/janet-george/0/36/A31</v>
      </c>
      <c r="I1567" s="2" t="s">
        <v>69</v>
      </c>
      <c r="J1567" s="2" t="s">
        <v>102</v>
      </c>
      <c r="K1567" s="2" t="s">
        <v>35</v>
      </c>
    </row>
    <row r="1568" ht="15.75" customHeight="1">
      <c r="A1568" s="2">
        <v>572156.0</v>
      </c>
      <c r="B1568" s="2" t="s">
        <v>287</v>
      </c>
      <c r="C1568" s="2" t="s">
        <v>3896</v>
      </c>
      <c r="D1568" s="2" t="s">
        <v>3897</v>
      </c>
      <c r="E1568" s="2" t="s">
        <v>1956</v>
      </c>
      <c r="F1568" s="2">
        <v>10.0</v>
      </c>
      <c r="G1568" s="2">
        <v>431.0</v>
      </c>
      <c r="H1568" s="3" t="str">
        <f>HYPERLINK("http://www.linkedin.com/pub/paul-labay/0/157/1A3","http://www.linkedin.com/pub/paul-labay/0/157/1A3")</f>
        <v>http://www.linkedin.com/pub/paul-labay/0/157/1A3</v>
      </c>
      <c r="I1568" s="2" t="s">
        <v>240</v>
      </c>
      <c r="J1568" s="2" t="s">
        <v>273</v>
      </c>
      <c r="K1568" s="2" t="s">
        <v>58</v>
      </c>
    </row>
    <row r="1569" ht="15.75" customHeight="1">
      <c r="A1569" s="2">
        <v>572284.0</v>
      </c>
      <c r="B1569" s="2" t="s">
        <v>287</v>
      </c>
      <c r="C1569" s="2" t="s">
        <v>3249</v>
      </c>
      <c r="D1569" s="2" t="s">
        <v>289</v>
      </c>
      <c r="E1569" s="2" t="s">
        <v>122</v>
      </c>
      <c r="F1569" s="2">
        <v>12.0</v>
      </c>
      <c r="G1569" s="2">
        <v>500.0</v>
      </c>
      <c r="H1569" s="3" t="str">
        <f>HYPERLINK("http://uk.linkedin.com/in/walkerpaul","http://uk.linkedin.com/in/walkerpaul")</f>
        <v>http://uk.linkedin.com/in/walkerpaul</v>
      </c>
      <c r="I1569" s="2" t="s">
        <v>15</v>
      </c>
      <c r="J1569" s="2" t="s">
        <v>53</v>
      </c>
      <c r="K1569" s="2" t="s">
        <v>35</v>
      </c>
    </row>
    <row r="1570" ht="15.75" customHeight="1">
      <c r="A1570" s="2">
        <v>572856.0</v>
      </c>
      <c r="B1570" s="2" t="s">
        <v>3898</v>
      </c>
      <c r="C1570" s="2" t="s">
        <v>3899</v>
      </c>
      <c r="D1570" s="2" t="s">
        <v>3900</v>
      </c>
      <c r="E1570" s="2" t="s">
        <v>3901</v>
      </c>
      <c r="F1570" s="2">
        <v>1.0</v>
      </c>
      <c r="G1570" s="2">
        <v>500.0</v>
      </c>
      <c r="H1570" s="3" t="str">
        <f>HYPERLINK("http://www.linkedin.com/in/chandrabodapati","http://www.linkedin.com/in/chandrabodapati")</f>
        <v>http://www.linkedin.com/in/chandrabodapati</v>
      </c>
      <c r="I1570" s="2" t="s">
        <v>48</v>
      </c>
      <c r="J1570" s="2" t="s">
        <v>102</v>
      </c>
      <c r="K1570" s="2" t="s">
        <v>35</v>
      </c>
    </row>
    <row r="1571" ht="15.75" customHeight="1">
      <c r="A1571" s="2">
        <v>573019.0</v>
      </c>
      <c r="B1571" s="2" t="s">
        <v>1284</v>
      </c>
      <c r="C1571" s="2" t="s">
        <v>3727</v>
      </c>
      <c r="D1571" s="2" t="s">
        <v>340</v>
      </c>
      <c r="E1571" s="2" t="s">
        <v>3902</v>
      </c>
      <c r="F1571" s="2">
        <v>4.0</v>
      </c>
      <c r="G1571" s="2">
        <v>500.0</v>
      </c>
      <c r="H1571" s="3" t="str">
        <f>HYPERLINK("http://www.linkedin.com/in/avatarengineeringcorporation","http://www.linkedin.com/in/avatarengineeringcorporation")</f>
        <v>http://www.linkedin.com/in/avatarengineeringcorporation</v>
      </c>
      <c r="I1571" s="2" t="s">
        <v>669</v>
      </c>
      <c r="J1571" s="2" t="s">
        <v>102</v>
      </c>
      <c r="K1571" s="2" t="s">
        <v>58</v>
      </c>
    </row>
    <row r="1572" ht="15.75" customHeight="1">
      <c r="A1572" s="2">
        <v>573192.0</v>
      </c>
      <c r="B1572" s="2" t="s">
        <v>3891</v>
      </c>
      <c r="C1572" s="2" t="s">
        <v>3903</v>
      </c>
      <c r="D1572" s="2" t="s">
        <v>42</v>
      </c>
      <c r="E1572" s="2" t="s">
        <v>765</v>
      </c>
      <c r="F1572" s="2" t="s">
        <v>13</v>
      </c>
      <c r="G1572" s="2">
        <v>500.0</v>
      </c>
      <c r="H1572" s="3" t="str">
        <f>HYPERLINK("http://www.linkedin.com/in/veronicavaughn","http://www.linkedin.com/in/veronicavaughn")</f>
        <v>http://www.linkedin.com/in/veronicavaughn</v>
      </c>
      <c r="I1572" s="2" t="s">
        <v>910</v>
      </c>
      <c r="J1572" s="2" t="s">
        <v>144</v>
      </c>
      <c r="K1572" s="2" t="s">
        <v>58</v>
      </c>
    </row>
    <row r="1573" ht="15.75" customHeight="1">
      <c r="A1573" s="2">
        <v>573598.0</v>
      </c>
      <c r="B1573" s="2" t="s">
        <v>133</v>
      </c>
      <c r="C1573" s="2" t="s">
        <v>3904</v>
      </c>
      <c r="D1573" s="2" t="s">
        <v>3905</v>
      </c>
      <c r="E1573" s="2" t="s">
        <v>101</v>
      </c>
      <c r="F1573" s="2">
        <v>8.0</v>
      </c>
      <c r="G1573" s="2">
        <v>439.0</v>
      </c>
      <c r="H1573" s="3" t="str">
        <f>HYPERLINK("http://www.linkedin.com/in/datatel360","http://www.linkedin.com/in/datatel360")</f>
        <v>http://www.linkedin.com/in/datatel360</v>
      </c>
      <c r="I1573" s="2" t="s">
        <v>77</v>
      </c>
      <c r="J1573" s="2" t="s">
        <v>102</v>
      </c>
      <c r="K1573" s="2" t="s">
        <v>97</v>
      </c>
    </row>
    <row r="1574" ht="15.75" customHeight="1">
      <c r="A1574" s="2">
        <v>573735.0</v>
      </c>
      <c r="B1574" s="2" t="s">
        <v>3906</v>
      </c>
      <c r="C1574" s="2" t="s">
        <v>3907</v>
      </c>
      <c r="D1574" s="2" t="s">
        <v>1297</v>
      </c>
      <c r="E1574" s="2" t="s">
        <v>101</v>
      </c>
      <c r="F1574" s="2">
        <v>7.0</v>
      </c>
      <c r="G1574" s="2">
        <v>500.0</v>
      </c>
      <c r="H1574" s="3" t="str">
        <f>HYPERLINK("http://www.linkedin.com/in/shellyfrancis","http://www.linkedin.com/in/shellyfrancis")</f>
        <v>http://www.linkedin.com/in/shellyfrancis</v>
      </c>
      <c r="I1574" s="2" t="s">
        <v>1698</v>
      </c>
      <c r="J1574" s="2" t="s">
        <v>102</v>
      </c>
      <c r="K1574" s="2" t="s">
        <v>58</v>
      </c>
    </row>
    <row r="1575" ht="15.75" customHeight="1">
      <c r="A1575" s="2">
        <v>574423.0</v>
      </c>
      <c r="B1575" s="2" t="s">
        <v>275</v>
      </c>
      <c r="C1575" s="2" t="s">
        <v>3908</v>
      </c>
      <c r="D1575" s="2" t="s">
        <v>3909</v>
      </c>
      <c r="E1575" s="2" t="s">
        <v>1818</v>
      </c>
      <c r="F1575" s="2">
        <v>10.0</v>
      </c>
      <c r="G1575" s="2">
        <v>500.0</v>
      </c>
      <c r="H1575" s="3" t="str">
        <f>HYPERLINK("http://www.linkedin.com/in/markduffey","http://www.linkedin.com/in/markduffey")</f>
        <v>http://www.linkedin.com/in/markduffey</v>
      </c>
      <c r="I1575" s="2" t="s">
        <v>15</v>
      </c>
      <c r="J1575" s="2" t="s">
        <v>102</v>
      </c>
      <c r="K1575" s="2" t="s">
        <v>22</v>
      </c>
    </row>
    <row r="1576" ht="15.75" customHeight="1">
      <c r="A1576" s="2">
        <v>574751.0</v>
      </c>
      <c r="B1576" s="2" t="s">
        <v>275</v>
      </c>
      <c r="C1576" s="2" t="s">
        <v>3910</v>
      </c>
      <c r="D1576" s="2" t="s">
        <v>3911</v>
      </c>
      <c r="E1576" s="2" t="s">
        <v>2058</v>
      </c>
      <c r="F1576" s="2">
        <v>9.0</v>
      </c>
      <c r="G1576" s="2">
        <v>500.0</v>
      </c>
      <c r="H1576" s="3" t="str">
        <f>HYPERLINK("http://www.linkedin.com/pub/mark-tindle/5/521/32B","http://www.linkedin.com/pub/mark-tindle/5/521/32B")</f>
        <v>http://www.linkedin.com/pub/mark-tindle/5/521/32B</v>
      </c>
      <c r="I1576" s="2" t="s">
        <v>318</v>
      </c>
      <c r="J1576" s="2" t="s">
        <v>102</v>
      </c>
      <c r="K1576" s="2" t="s">
        <v>35</v>
      </c>
    </row>
    <row r="1577" ht="15.75" customHeight="1">
      <c r="A1577" s="2">
        <v>574916.0</v>
      </c>
      <c r="B1577" s="2" t="s">
        <v>1380</v>
      </c>
      <c r="C1577" s="2" t="s">
        <v>3912</v>
      </c>
      <c r="D1577" s="2" t="s">
        <v>400</v>
      </c>
      <c r="E1577" s="2" t="s">
        <v>765</v>
      </c>
      <c r="F1577" s="2">
        <v>12.0</v>
      </c>
      <c r="G1577" s="2">
        <v>500.0</v>
      </c>
      <c r="H1577" s="3" t="str">
        <f>HYPERLINK("http://www.linkedin.com/in/randykobat","http://www.linkedin.com/in/randykobat")</f>
        <v>http://www.linkedin.com/in/randykobat</v>
      </c>
      <c r="I1577" s="2" t="s">
        <v>318</v>
      </c>
      <c r="J1577" s="2" t="s">
        <v>144</v>
      </c>
      <c r="K1577" s="2" t="s">
        <v>196</v>
      </c>
    </row>
    <row r="1578" ht="15.75" customHeight="1">
      <c r="A1578" s="2">
        <v>575055.0</v>
      </c>
      <c r="B1578" s="2" t="s">
        <v>664</v>
      </c>
      <c r="C1578" s="2" t="s">
        <v>3913</v>
      </c>
      <c r="D1578" s="2" t="s">
        <v>114</v>
      </c>
      <c r="E1578" s="2" t="s">
        <v>301</v>
      </c>
      <c r="F1578" s="2" t="s">
        <v>13</v>
      </c>
      <c r="G1578" s="2">
        <v>500.0</v>
      </c>
      <c r="H1578" s="3" t="str">
        <f>HYPERLINK("http://www.linkedin.com/pub/gordon-platt/0/50B/40","http://www.linkedin.com/pub/gordon-platt/0/50B/40")</f>
        <v>http://www.linkedin.com/pub/gordon-platt/0/50B/40</v>
      </c>
      <c r="I1578" s="2" t="s">
        <v>1237</v>
      </c>
      <c r="J1578" s="2" t="s">
        <v>102</v>
      </c>
      <c r="K1578" s="2" t="s">
        <v>29</v>
      </c>
    </row>
    <row r="1579" ht="15.75" customHeight="1">
      <c r="A1579" s="2">
        <v>575812.0</v>
      </c>
      <c r="B1579" s="2" t="s">
        <v>3914</v>
      </c>
      <c r="C1579" s="2" t="s">
        <v>3915</v>
      </c>
      <c r="D1579" s="2" t="s">
        <v>3916</v>
      </c>
      <c r="E1579" s="2" t="s">
        <v>713</v>
      </c>
      <c r="F1579" s="2" t="s">
        <v>13</v>
      </c>
      <c r="G1579" s="2">
        <v>117.0</v>
      </c>
      <c r="H1579" s="3" t="str">
        <f>HYPERLINK("http://www.linkedin.com/pub/tara-beardsley/1B/4A8/848","http://www.linkedin.com/pub/tara-beardsley/1B/4A8/848")</f>
        <v>http://www.linkedin.com/pub/tara-beardsley/1B/4A8/848</v>
      </c>
      <c r="I1579" s="2" t="s">
        <v>240</v>
      </c>
      <c r="J1579" s="2" t="s">
        <v>102</v>
      </c>
      <c r="K1579" s="2" t="s">
        <v>729</v>
      </c>
    </row>
    <row r="1580" ht="15.75" customHeight="1">
      <c r="A1580" s="2">
        <v>576130.0</v>
      </c>
      <c r="B1580" s="2" t="s">
        <v>3432</v>
      </c>
      <c r="C1580" s="2" t="s">
        <v>3917</v>
      </c>
      <c r="D1580" s="2" t="s">
        <v>3918</v>
      </c>
      <c r="E1580" s="2" t="s">
        <v>301</v>
      </c>
      <c r="F1580" s="2" t="s">
        <v>13</v>
      </c>
      <c r="G1580" s="2">
        <v>500.0</v>
      </c>
      <c r="H1580" s="3" t="str">
        <f>HYPERLINK("http://www.linkedin.com/pub/joseph-sela/5/590/B00","http://www.linkedin.com/pub/joseph-sela/5/590/B00")</f>
        <v>http://www.linkedin.com/pub/joseph-sela/5/590/B00</v>
      </c>
      <c r="I1580" s="2" t="s">
        <v>440</v>
      </c>
      <c r="J1580" s="2" t="s">
        <v>102</v>
      </c>
      <c r="K1580" s="2" t="s">
        <v>97</v>
      </c>
    </row>
    <row r="1581" ht="15.75" customHeight="1">
      <c r="A1581" s="2">
        <v>576263.0</v>
      </c>
      <c r="B1581" s="2" t="s">
        <v>3919</v>
      </c>
      <c r="C1581" s="2" t="s">
        <v>3920</v>
      </c>
      <c r="D1581" s="2" t="s">
        <v>3921</v>
      </c>
      <c r="E1581" s="2" t="s">
        <v>3922</v>
      </c>
      <c r="F1581" s="2">
        <v>12.0</v>
      </c>
      <c r="G1581" s="2">
        <v>382.0</v>
      </c>
      <c r="H1581" s="3" t="str">
        <f>HYPERLINK("http://www.linkedin.com/in/fsakhan","http://www.linkedin.com/in/fsakhan")</f>
        <v>http://www.linkedin.com/in/fsakhan</v>
      </c>
      <c r="I1581" s="2" t="s">
        <v>77</v>
      </c>
      <c r="J1581" s="2" t="s">
        <v>273</v>
      </c>
      <c r="K1581" s="2" t="s">
        <v>3923</v>
      </c>
    </row>
    <row r="1582" ht="15.75" customHeight="1">
      <c r="A1582" s="2">
        <v>577057.0</v>
      </c>
      <c r="B1582" s="2" t="s">
        <v>1834</v>
      </c>
      <c r="C1582" s="2" t="s">
        <v>3924</v>
      </c>
      <c r="D1582" s="2" t="s">
        <v>3925</v>
      </c>
      <c r="E1582" s="2" t="s">
        <v>3464</v>
      </c>
      <c r="F1582" s="2">
        <v>2.0</v>
      </c>
      <c r="G1582" s="2">
        <v>209.0</v>
      </c>
      <c r="H1582" s="3" t="str">
        <f>HYPERLINK("http://www.linkedin.com/in/cwmercier","http://www.linkedin.com/in/cwmercier")</f>
        <v>http://www.linkedin.com/in/cwmercier</v>
      </c>
      <c r="I1582" s="2" t="s">
        <v>560</v>
      </c>
      <c r="J1582" s="2" t="s">
        <v>16</v>
      </c>
      <c r="K1582" s="2" t="s">
        <v>58</v>
      </c>
    </row>
    <row r="1583" ht="15.75" customHeight="1">
      <c r="A1583" s="2">
        <v>577504.0</v>
      </c>
      <c r="B1583" s="2" t="s">
        <v>460</v>
      </c>
      <c r="C1583" s="2" t="s">
        <v>3926</v>
      </c>
      <c r="D1583" s="2" t="s">
        <v>47</v>
      </c>
      <c r="E1583" s="2" t="s">
        <v>882</v>
      </c>
      <c r="F1583" s="2">
        <v>13.0</v>
      </c>
      <c r="G1583" s="2">
        <v>500.0</v>
      </c>
      <c r="H1583" s="3" t="str">
        <f>HYPERLINK("http://www.linkedin.com/in/johnswords","http://www.linkedin.com/in/johnswords")</f>
        <v>http://www.linkedin.com/in/johnswords</v>
      </c>
      <c r="I1583" s="2" t="s">
        <v>69</v>
      </c>
      <c r="J1583" s="2" t="s">
        <v>102</v>
      </c>
      <c r="K1583" s="2" t="s">
        <v>35</v>
      </c>
    </row>
    <row r="1584" ht="15.75" customHeight="1">
      <c r="A1584" s="2">
        <v>577547.0</v>
      </c>
      <c r="B1584" s="2" t="s">
        <v>3927</v>
      </c>
      <c r="C1584" s="2" t="s">
        <v>3928</v>
      </c>
      <c r="D1584" s="2" t="s">
        <v>3929</v>
      </c>
      <c r="E1584" s="2" t="s">
        <v>604</v>
      </c>
      <c r="F1584" s="2">
        <v>31.0</v>
      </c>
      <c r="G1584" s="2">
        <v>500.0</v>
      </c>
      <c r="H1584" s="3" t="str">
        <f>HYPERLINK("http://www.linkedin.com/in/tinasprague","http://www.linkedin.com/in/tinasprague")</f>
        <v>http://www.linkedin.com/in/tinasprague</v>
      </c>
      <c r="I1584" s="2" t="s">
        <v>365</v>
      </c>
      <c r="J1584" s="2" t="s">
        <v>16</v>
      </c>
      <c r="K1584" s="2" t="s">
        <v>29</v>
      </c>
    </row>
    <row r="1585" ht="15.75" customHeight="1">
      <c r="A1585" s="2">
        <v>578042.0</v>
      </c>
      <c r="B1585" s="2" t="s">
        <v>1104</v>
      </c>
      <c r="C1585" s="2" t="s">
        <v>3930</v>
      </c>
      <c r="D1585" s="2" t="s">
        <v>410</v>
      </c>
      <c r="E1585" s="2" t="s">
        <v>136</v>
      </c>
      <c r="F1585" s="2">
        <v>1.0</v>
      </c>
      <c r="G1585" s="2">
        <v>500.0</v>
      </c>
      <c r="H1585" s="3" t="str">
        <f>HYPERLINK("http://www.linkedin.com/pub/jay-prince/2/725/361","http://www.linkedin.com/pub/jay-prince/2/725/361")</f>
        <v>http://www.linkedin.com/pub/jay-prince/2/725/361</v>
      </c>
      <c r="I1585" s="2" t="s">
        <v>15</v>
      </c>
      <c r="J1585" s="2" t="s">
        <v>102</v>
      </c>
      <c r="K1585" s="2" t="s">
        <v>35</v>
      </c>
    </row>
    <row r="1586" ht="15.75" customHeight="1">
      <c r="A1586" s="2">
        <v>578554.0</v>
      </c>
      <c r="B1586" s="2" t="s">
        <v>3931</v>
      </c>
      <c r="C1586" s="2" t="s">
        <v>3932</v>
      </c>
      <c r="D1586" s="2" t="s">
        <v>3933</v>
      </c>
      <c r="E1586" s="2" t="s">
        <v>230</v>
      </c>
      <c r="F1586" s="2" t="s">
        <v>13</v>
      </c>
      <c r="G1586" s="2">
        <v>154.0</v>
      </c>
      <c r="H1586" s="3" t="str">
        <f>HYPERLINK("http://mx.linkedin.com/pub/paulina-del-r%C3%ADo/23/A57/B38","http://mx.linkedin.com/pub/paulina-del-r%C3%ADo/23/A57/B38")</f>
        <v>http://mx.linkedin.com/pub/paulina-del-r%C3%ADo/23/A57/B38</v>
      </c>
      <c r="I1586" s="2" t="s">
        <v>172</v>
      </c>
      <c r="J1586" s="2" t="s">
        <v>28</v>
      </c>
      <c r="K1586" s="2" t="s">
        <v>58</v>
      </c>
    </row>
    <row r="1587" ht="15.75" customHeight="1">
      <c r="A1587" s="2">
        <v>579235.0</v>
      </c>
      <c r="B1587" s="2" t="s">
        <v>784</v>
      </c>
      <c r="C1587" s="2" t="s">
        <v>3934</v>
      </c>
      <c r="D1587" s="2" t="s">
        <v>3935</v>
      </c>
      <c r="E1587" s="2" t="s">
        <v>301</v>
      </c>
      <c r="F1587" s="2" t="s">
        <v>13</v>
      </c>
      <c r="G1587" s="2">
        <v>500.0</v>
      </c>
      <c r="H1587" s="3" t="str">
        <f>HYPERLINK("http://www.linkedin.com/in/jeffmungo","http://www.linkedin.com/in/jeffmungo")</f>
        <v>http://www.linkedin.com/in/jeffmungo</v>
      </c>
      <c r="I1587" s="2" t="s">
        <v>105</v>
      </c>
      <c r="J1587" s="2" t="s">
        <v>102</v>
      </c>
      <c r="K1587" s="2" t="s">
        <v>58</v>
      </c>
    </row>
    <row r="1588" ht="15.75" customHeight="1">
      <c r="A1588" s="2">
        <v>579510.0</v>
      </c>
      <c r="B1588" s="2" t="s">
        <v>3078</v>
      </c>
      <c r="C1588" s="2" t="s">
        <v>3936</v>
      </c>
      <c r="D1588" s="2" t="s">
        <v>3937</v>
      </c>
      <c r="E1588" s="2" t="s">
        <v>3372</v>
      </c>
      <c r="F1588" s="2">
        <v>19.0</v>
      </c>
      <c r="G1588" s="2">
        <v>500.0</v>
      </c>
      <c r="H1588" s="3" t="str">
        <f>HYPERLINK("http://www.linkedin.com/in/kentschnepp","http://www.linkedin.com/in/kentschnepp")</f>
        <v>http://www.linkedin.com/in/kentschnepp</v>
      </c>
      <c r="I1588" s="2" t="s">
        <v>105</v>
      </c>
      <c r="J1588" s="2" t="s">
        <v>144</v>
      </c>
      <c r="K1588" s="2" t="s">
        <v>766</v>
      </c>
    </row>
    <row r="1589" ht="15.75" customHeight="1">
      <c r="A1589" s="2">
        <v>579802.0</v>
      </c>
      <c r="B1589" s="2" t="s">
        <v>3938</v>
      </c>
      <c r="C1589" s="2" t="s">
        <v>3939</v>
      </c>
      <c r="D1589" s="2" t="s">
        <v>13</v>
      </c>
      <c r="E1589" s="2" t="s">
        <v>52</v>
      </c>
      <c r="F1589" s="2">
        <v>3.0</v>
      </c>
      <c r="G1589" s="2">
        <v>500.0</v>
      </c>
      <c r="H1589" s="3" t="str">
        <f>HYPERLINK("http://www.linkedin.com/in/asadaftab","http://www.linkedin.com/in/asadaftab")</f>
        <v>http://www.linkedin.com/in/asadaftab</v>
      </c>
      <c r="I1589" s="2" t="s">
        <v>69</v>
      </c>
      <c r="J1589" s="2" t="s">
        <v>53</v>
      </c>
      <c r="K1589" s="2" t="s">
        <v>35</v>
      </c>
    </row>
    <row r="1590" ht="15.75" customHeight="1">
      <c r="A1590" s="2">
        <v>580125.0</v>
      </c>
      <c r="B1590" s="2" t="s">
        <v>3940</v>
      </c>
      <c r="C1590" s="2" t="s">
        <v>93</v>
      </c>
      <c r="D1590" s="2"/>
      <c r="E1590" s="2" t="s">
        <v>791</v>
      </c>
      <c r="F1590" s="2">
        <v>2.0</v>
      </c>
      <c r="G1590" s="2">
        <v>500.0</v>
      </c>
      <c r="H1590" s="3" t="str">
        <f>HYPERLINK("http://www.linkedin.com/pub/cludia-oliveira/0/530/880","http://www.linkedin.com/pub/cludia-oliveira/0/530/880")</f>
        <v>http://www.linkedin.com/pub/cludia-oliveira/0/530/880</v>
      </c>
      <c r="I1590" s="2" t="s">
        <v>48</v>
      </c>
      <c r="J1590" s="2" t="s">
        <v>575</v>
      </c>
      <c r="K1590" s="2" t="s">
        <v>22</v>
      </c>
    </row>
    <row r="1591" ht="15.75" customHeight="1">
      <c r="A1591" s="2">
        <v>580598.0</v>
      </c>
      <c r="B1591" s="2" t="s">
        <v>1405</v>
      </c>
      <c r="C1591" s="2" t="s">
        <v>3941</v>
      </c>
      <c r="D1591" s="2" t="s">
        <v>42</v>
      </c>
      <c r="E1591" s="2" t="s">
        <v>762</v>
      </c>
      <c r="F1591" s="2">
        <v>3.0</v>
      </c>
      <c r="G1591" s="2">
        <v>500.0</v>
      </c>
      <c r="H1591" s="3" t="str">
        <f>HYPERLINK("http://www.linkedin.com/pub/ron-beilinson/0/328/165","http://www.linkedin.com/pub/ron-beilinson/0/328/165")</f>
        <v>http://www.linkedin.com/pub/ron-beilinson/0/328/165</v>
      </c>
      <c r="I1591" s="2" t="s">
        <v>57</v>
      </c>
      <c r="J1591" s="2" t="s">
        <v>102</v>
      </c>
      <c r="K1591" s="2" t="s">
        <v>58</v>
      </c>
    </row>
    <row r="1592" ht="15.75" customHeight="1">
      <c r="A1592" s="2">
        <v>580692.0</v>
      </c>
      <c r="B1592" s="2" t="s">
        <v>3942</v>
      </c>
      <c r="C1592" s="2" t="s">
        <v>3943</v>
      </c>
      <c r="D1592" s="2" t="s">
        <v>47</v>
      </c>
      <c r="E1592" s="2" t="s">
        <v>1213</v>
      </c>
      <c r="F1592" s="2" t="s">
        <v>13</v>
      </c>
      <c r="G1592" s="2">
        <v>500.0</v>
      </c>
      <c r="H1592" s="3" t="str">
        <f>HYPERLINK("http://www.linkedin.com/in/vocalink","http://www.linkedin.com/in/vocalink")</f>
        <v>http://www.linkedin.com/in/vocalink</v>
      </c>
      <c r="I1592" s="2" t="s">
        <v>2561</v>
      </c>
      <c r="J1592" s="2" t="s">
        <v>102</v>
      </c>
      <c r="K1592" s="2" t="s">
        <v>58</v>
      </c>
    </row>
    <row r="1593" ht="15.75" customHeight="1">
      <c r="A1593" s="2">
        <v>581218.0</v>
      </c>
      <c r="B1593" s="2" t="s">
        <v>3944</v>
      </c>
      <c r="C1593" s="2" t="s">
        <v>3945</v>
      </c>
      <c r="D1593" s="2" t="s">
        <v>13</v>
      </c>
      <c r="E1593" s="2" t="s">
        <v>3946</v>
      </c>
      <c r="F1593" s="2">
        <v>0.0</v>
      </c>
      <c r="G1593" s="2">
        <v>300.0</v>
      </c>
      <c r="H1593" s="3" t="str">
        <f>HYPERLINK("http://www.linkedin.com/pub/f-trendler/1b/6ab/48b","http://www.linkedin.com/pub/f-trendler/1b/6ab/48b")</f>
        <v>http://www.linkedin.com/pub/f-trendler/1b/6ab/48b</v>
      </c>
      <c r="I1593" s="2" t="s">
        <v>560</v>
      </c>
      <c r="J1593" s="2" t="s">
        <v>102</v>
      </c>
      <c r="K1593" s="2" t="s">
        <v>58</v>
      </c>
    </row>
    <row r="1594" ht="15.75" customHeight="1">
      <c r="A1594" s="2">
        <v>581523.0</v>
      </c>
      <c r="B1594" s="2" t="s">
        <v>245</v>
      </c>
      <c r="C1594" s="2" t="s">
        <v>3947</v>
      </c>
      <c r="D1594" s="2" t="s">
        <v>13</v>
      </c>
      <c r="E1594" s="2" t="s">
        <v>992</v>
      </c>
      <c r="F1594" s="2">
        <v>0.0</v>
      </c>
      <c r="G1594" s="2">
        <v>500.0</v>
      </c>
      <c r="H1594" s="3" t="str">
        <f>HYPERLINK("http://www.linkedin.com/pub/steven-stravitz/0/471/569","http://www.linkedin.com/pub/steven-stravitz/0/471/569")</f>
        <v>http://www.linkedin.com/pub/steven-stravitz/0/471/569</v>
      </c>
      <c r="I1594" s="2" t="s">
        <v>1496</v>
      </c>
      <c r="J1594" s="2" t="s">
        <v>102</v>
      </c>
      <c r="K1594" s="2" t="s">
        <v>97</v>
      </c>
    </row>
    <row r="1595" ht="15.75" customHeight="1">
      <c r="A1595" s="2">
        <v>581553.0</v>
      </c>
      <c r="B1595" s="2" t="s">
        <v>3948</v>
      </c>
      <c r="C1595" s="2" t="s">
        <v>3949</v>
      </c>
      <c r="D1595" s="2" t="s">
        <v>13</v>
      </c>
      <c r="E1595" s="2" t="s">
        <v>325</v>
      </c>
      <c r="F1595" s="2">
        <v>14.0</v>
      </c>
      <c r="G1595" s="2">
        <v>500.0</v>
      </c>
      <c r="H1595" s="3" t="str">
        <f>HYPERLINK("http://www.linkedin.com/in/lesdossey1","http://www.linkedin.com/in/lesdossey1")</f>
        <v>http://www.linkedin.com/in/lesdossey1</v>
      </c>
      <c r="I1595" s="2" t="s">
        <v>1390</v>
      </c>
      <c r="J1595" s="2" t="s">
        <v>102</v>
      </c>
      <c r="K1595" s="2" t="s">
        <v>58</v>
      </c>
    </row>
    <row r="1596" ht="15.75" customHeight="1">
      <c r="A1596" s="2">
        <v>581838.0</v>
      </c>
      <c r="B1596" s="2" t="s">
        <v>3950</v>
      </c>
      <c r="C1596" s="2" t="s">
        <v>3951</v>
      </c>
      <c r="D1596" s="2" t="s">
        <v>3952</v>
      </c>
      <c r="E1596" s="2" t="s">
        <v>3953</v>
      </c>
      <c r="F1596" s="2">
        <v>7.0</v>
      </c>
      <c r="G1596" s="2">
        <v>500.0</v>
      </c>
      <c r="H1596" s="3" t="str">
        <f>HYPERLINK("http://www.linkedin.com/in/tanyahampton","http://www.linkedin.com/in/tanyahampton")</f>
        <v>http://www.linkedin.com/in/tanyahampton</v>
      </c>
      <c r="I1596" s="2" t="s">
        <v>27</v>
      </c>
      <c r="J1596" s="2" t="s">
        <v>102</v>
      </c>
      <c r="K1596" s="2" t="s">
        <v>97</v>
      </c>
    </row>
    <row r="1597" ht="15.75" customHeight="1">
      <c r="A1597" s="2">
        <v>582343.0</v>
      </c>
      <c r="B1597" s="2" t="s">
        <v>3954</v>
      </c>
      <c r="C1597" s="2" t="s">
        <v>3955</v>
      </c>
      <c r="D1597" s="2" t="s">
        <v>42</v>
      </c>
      <c r="E1597" s="2" t="s">
        <v>403</v>
      </c>
      <c r="F1597" s="2">
        <v>13.0</v>
      </c>
      <c r="G1597" s="2">
        <v>500.0</v>
      </c>
      <c r="H1597" s="3" t="str">
        <f>HYPERLINK("http://www.linkedin.com/in/danashaw","http://www.linkedin.com/in/danashaw")</f>
        <v>http://www.linkedin.com/in/danashaw</v>
      </c>
      <c r="I1597" s="2" t="s">
        <v>458</v>
      </c>
      <c r="J1597" s="2" t="s">
        <v>44</v>
      </c>
      <c r="K1597" s="2" t="s">
        <v>58</v>
      </c>
    </row>
    <row r="1598" ht="15.75" customHeight="1">
      <c r="A1598" s="2">
        <v>582360.0</v>
      </c>
      <c r="B1598" s="2" t="s">
        <v>3956</v>
      </c>
      <c r="C1598" s="2" t="s">
        <v>3957</v>
      </c>
      <c r="D1598" s="2" t="s">
        <v>400</v>
      </c>
      <c r="E1598" s="2" t="s">
        <v>181</v>
      </c>
      <c r="F1598" s="2">
        <v>4.0</v>
      </c>
      <c r="G1598" s="2">
        <v>500.0</v>
      </c>
      <c r="H1598" s="3" t="str">
        <f>HYPERLINK("https://www.linkedin.com/in/lonnybardash","https://www.linkedin.com/in/lonnybardash")</f>
        <v>https://www.linkedin.com/in/lonnybardash</v>
      </c>
      <c r="I1598" s="2" t="s">
        <v>105</v>
      </c>
      <c r="J1598" s="2" t="s">
        <v>102</v>
      </c>
      <c r="K1598" s="2" t="s">
        <v>58</v>
      </c>
    </row>
    <row r="1599" ht="15.75" customHeight="1">
      <c r="A1599" s="2">
        <v>582558.0</v>
      </c>
      <c r="B1599" s="2" t="s">
        <v>511</v>
      </c>
      <c r="C1599" s="2" t="s">
        <v>3958</v>
      </c>
      <c r="D1599" s="2" t="s">
        <v>3959</v>
      </c>
      <c r="E1599" s="2" t="s">
        <v>136</v>
      </c>
      <c r="F1599" s="2">
        <v>3.0</v>
      </c>
      <c r="G1599" s="2">
        <v>500.0</v>
      </c>
      <c r="H1599" s="3" t="str">
        <f>HYPERLINK("http://www.linkedin.com/pub/mike-aquilina/0/113/697","http://www.linkedin.com/pub/mike-aquilina/0/113/697")</f>
        <v>http://www.linkedin.com/pub/mike-aquilina/0/113/697</v>
      </c>
      <c r="I1599" s="2" t="s">
        <v>69</v>
      </c>
      <c r="J1599" s="2" t="s">
        <v>102</v>
      </c>
      <c r="K1599" s="2" t="s">
        <v>35</v>
      </c>
    </row>
    <row r="1600" ht="15.75" customHeight="1">
      <c r="A1600" s="2">
        <v>582588.0</v>
      </c>
      <c r="B1600" s="2" t="s">
        <v>3455</v>
      </c>
      <c r="C1600" s="2" t="s">
        <v>3960</v>
      </c>
      <c r="D1600" s="2" t="s">
        <v>3136</v>
      </c>
      <c r="E1600" s="2" t="s">
        <v>101</v>
      </c>
      <c r="F1600" s="2">
        <v>14.0</v>
      </c>
      <c r="G1600" s="2">
        <v>500.0</v>
      </c>
      <c r="H1600" s="3" t="str">
        <f>HYPERLINK("http://www.linkedin.com/in/coachharry","http://www.linkedin.com/in/coachharry")</f>
        <v>http://www.linkedin.com/in/coachharry</v>
      </c>
      <c r="I1600" s="2" t="s">
        <v>57</v>
      </c>
      <c r="J1600" s="2" t="s">
        <v>102</v>
      </c>
      <c r="K1600" s="2" t="s">
        <v>1516</v>
      </c>
    </row>
    <row r="1601" ht="15.75" customHeight="1">
      <c r="A1601" s="2">
        <v>582700.0</v>
      </c>
      <c r="B1601" s="2" t="s">
        <v>3961</v>
      </c>
      <c r="C1601" s="2" t="s">
        <v>3962</v>
      </c>
      <c r="D1601" s="2" t="s">
        <v>13</v>
      </c>
      <c r="E1601" s="2" t="s">
        <v>3963</v>
      </c>
      <c r="F1601" s="2">
        <v>0.0</v>
      </c>
      <c r="G1601" s="2">
        <v>500.0</v>
      </c>
      <c r="H1601" s="3" t="str">
        <f>HYPERLINK("http://www.linkedin.com/in/asacox","http://www.linkedin.com/in/asacox")</f>
        <v>http://www.linkedin.com/in/asacox</v>
      </c>
      <c r="I1601" s="2" t="s">
        <v>374</v>
      </c>
      <c r="J1601" s="2" t="s">
        <v>3964</v>
      </c>
      <c r="K1601" s="2" t="s">
        <v>58</v>
      </c>
    </row>
    <row r="1602" ht="15.75" customHeight="1">
      <c r="A1602" s="2">
        <v>582838.0</v>
      </c>
      <c r="B1602" s="2" t="s">
        <v>721</v>
      </c>
      <c r="C1602" s="2" t="s">
        <v>3965</v>
      </c>
      <c r="D1602" s="2" t="s">
        <v>3966</v>
      </c>
      <c r="E1602" s="2" t="s">
        <v>1766</v>
      </c>
      <c r="F1602" s="2">
        <v>14.0</v>
      </c>
      <c r="G1602" s="2">
        <v>500.0</v>
      </c>
      <c r="H1602" s="3" t="str">
        <f>HYPERLINK("http://www.linkedin.com/in/andrewive","http://www.linkedin.com/in/andrewive")</f>
        <v>http://www.linkedin.com/in/andrewive</v>
      </c>
      <c r="I1602" s="2" t="s">
        <v>1237</v>
      </c>
      <c r="J1602" s="2" t="s">
        <v>102</v>
      </c>
      <c r="K1602" s="2" t="s">
        <v>35</v>
      </c>
    </row>
    <row r="1603" ht="15.75" customHeight="1">
      <c r="A1603" s="2">
        <v>582876.0</v>
      </c>
      <c r="B1603" s="2" t="s">
        <v>1173</v>
      </c>
      <c r="C1603" s="2" t="s">
        <v>3967</v>
      </c>
      <c r="D1603" s="2" t="s">
        <v>1145</v>
      </c>
      <c r="E1603" s="2" t="s">
        <v>3829</v>
      </c>
      <c r="F1603" s="2">
        <v>1.0</v>
      </c>
      <c r="G1603" s="2">
        <v>500.0</v>
      </c>
      <c r="H1603" s="3" t="str">
        <f>HYPERLINK("http://www.linkedin.com/in/stevetownes","http://www.linkedin.com/in/stevetownes")</f>
        <v>http://www.linkedin.com/in/stevetownes</v>
      </c>
      <c r="I1603" s="2" t="s">
        <v>709</v>
      </c>
      <c r="J1603" s="2" t="s">
        <v>102</v>
      </c>
      <c r="K1603" s="2" t="s">
        <v>58</v>
      </c>
    </row>
    <row r="1604" ht="15.75" customHeight="1">
      <c r="A1604" s="2">
        <v>583358.0</v>
      </c>
      <c r="B1604" s="2" t="s">
        <v>3968</v>
      </c>
      <c r="C1604" s="2" t="s">
        <v>3969</v>
      </c>
      <c r="D1604" s="2" t="s">
        <v>517</v>
      </c>
      <c r="E1604" s="2" t="s">
        <v>1321</v>
      </c>
      <c r="F1604" s="2" t="s">
        <v>13</v>
      </c>
      <c r="G1604" s="2">
        <v>500.0</v>
      </c>
      <c r="H1604" s="3" t="str">
        <f>HYPERLINK("http://uk.linkedin.com/in/davoring","http://uk.linkedin.com/in/davoring")</f>
        <v>http://uk.linkedin.com/in/davoring</v>
      </c>
      <c r="I1604" s="2" t="s">
        <v>69</v>
      </c>
      <c r="J1604" s="2" t="s">
        <v>102</v>
      </c>
      <c r="K1604" s="2" t="s">
        <v>35</v>
      </c>
    </row>
    <row r="1605" ht="15.75" customHeight="1">
      <c r="A1605" s="2">
        <v>584153.0</v>
      </c>
      <c r="B1605" s="2" t="s">
        <v>3970</v>
      </c>
      <c r="C1605" s="2" t="s">
        <v>3971</v>
      </c>
      <c r="D1605" s="2" t="s">
        <v>13</v>
      </c>
      <c r="E1605" s="2" t="s">
        <v>3972</v>
      </c>
      <c r="F1605" s="2">
        <v>0.0</v>
      </c>
      <c r="G1605" s="2">
        <v>500.0</v>
      </c>
      <c r="H1605" s="3" t="str">
        <f>HYPERLINK("http://www.linkedin.com/pub/steen-e-rahbek/0/130/447","http://www.linkedin.com/pub/steen-e-rahbek/0/130/447")</f>
        <v>http://www.linkedin.com/pub/steen-e-rahbek/0/130/447</v>
      </c>
      <c r="I1605" s="2" t="s">
        <v>15</v>
      </c>
      <c r="J1605" s="2" t="s">
        <v>352</v>
      </c>
      <c r="K1605" s="2" t="s">
        <v>35</v>
      </c>
    </row>
    <row r="1606" ht="15.75" customHeight="1">
      <c r="A1606" s="2">
        <v>584464.0</v>
      </c>
      <c r="B1606" s="2" t="s">
        <v>3973</v>
      </c>
      <c r="C1606" s="2" t="s">
        <v>3974</v>
      </c>
      <c r="D1606" s="2" t="s">
        <v>3975</v>
      </c>
      <c r="E1606" s="2" t="s">
        <v>301</v>
      </c>
      <c r="F1606" s="2" t="s">
        <v>13</v>
      </c>
      <c r="G1606" s="2">
        <v>500.0</v>
      </c>
      <c r="H1606" s="3" t="str">
        <f>HYPERLINK("http://in.linkedin.com/in/devramnane","http://in.linkedin.com/in/devramnane")</f>
        <v>http://in.linkedin.com/in/devramnane</v>
      </c>
      <c r="I1606" s="2" t="s">
        <v>440</v>
      </c>
      <c r="J1606" s="2" t="s">
        <v>102</v>
      </c>
      <c r="K1606" s="2" t="s">
        <v>97</v>
      </c>
    </row>
    <row r="1607" ht="15.75" customHeight="1">
      <c r="A1607" s="2">
        <v>584638.0</v>
      </c>
      <c r="B1607" s="2" t="s">
        <v>3976</v>
      </c>
      <c r="C1607" s="2" t="s">
        <v>3977</v>
      </c>
      <c r="D1607" s="2" t="s">
        <v>42</v>
      </c>
      <c r="E1607" s="2" t="s">
        <v>3978</v>
      </c>
      <c r="F1607" s="2">
        <v>6.0</v>
      </c>
      <c r="G1607" s="2">
        <v>500.0</v>
      </c>
      <c r="H1607" s="3" t="str">
        <f>HYPERLINK("http://www.linkedin.com/pub/michael-a-bonventre/0/705/B5","http://www.linkedin.com/pub/michael-a-bonventre/0/705/B5")</f>
        <v>http://www.linkedin.com/pub/michael-a-bonventre/0/705/B5</v>
      </c>
      <c r="I1607" s="2" t="s">
        <v>57</v>
      </c>
      <c r="J1607" s="2" t="s">
        <v>144</v>
      </c>
      <c r="K1607" s="2" t="s">
        <v>196</v>
      </c>
    </row>
    <row r="1608" ht="15.75" customHeight="1">
      <c r="A1608" s="2">
        <v>584980.0</v>
      </c>
      <c r="B1608" s="2" t="s">
        <v>3979</v>
      </c>
      <c r="C1608" s="2" t="s">
        <v>3369</v>
      </c>
      <c r="D1608" s="2" t="s">
        <v>100</v>
      </c>
      <c r="E1608" s="2" t="s">
        <v>136</v>
      </c>
      <c r="F1608" s="2">
        <v>25.0</v>
      </c>
      <c r="G1608" s="2">
        <v>500.0</v>
      </c>
      <c r="H1608" s="3" t="str">
        <f>HYPERLINK("http://www.linkedin.com/in/samandias","http://www.linkedin.com/in/samandias")</f>
        <v>http://www.linkedin.com/in/samandias</v>
      </c>
      <c r="I1608" s="2" t="s">
        <v>69</v>
      </c>
      <c r="J1608" s="2" t="s">
        <v>102</v>
      </c>
      <c r="K1608" s="2" t="s">
        <v>35</v>
      </c>
    </row>
    <row r="1609" ht="15.75" customHeight="1">
      <c r="A1609" s="2">
        <v>585236.0</v>
      </c>
      <c r="B1609" s="2" t="s">
        <v>133</v>
      </c>
      <c r="C1609" s="2" t="s">
        <v>3980</v>
      </c>
      <c r="D1609" s="2" t="s">
        <v>3981</v>
      </c>
      <c r="E1609" s="2" t="s">
        <v>136</v>
      </c>
      <c r="F1609" s="2" t="s">
        <v>13</v>
      </c>
      <c r="G1609" s="2">
        <v>500.0</v>
      </c>
      <c r="H1609" s="3" t="str">
        <f>HYPERLINK("http://www.linkedin.com/in/mnathan","http://www.linkedin.com/in/mnathan")</f>
        <v>http://www.linkedin.com/in/mnathan</v>
      </c>
      <c r="I1609" s="2" t="s">
        <v>48</v>
      </c>
      <c r="J1609" s="2" t="s">
        <v>102</v>
      </c>
      <c r="K1609" s="2" t="s">
        <v>35</v>
      </c>
    </row>
    <row r="1610" ht="15.75" customHeight="1">
      <c r="A1610" s="2">
        <v>586006.0</v>
      </c>
      <c r="B1610" s="2" t="s">
        <v>3982</v>
      </c>
      <c r="C1610" s="2" t="s">
        <v>3092</v>
      </c>
      <c r="D1610" s="2" t="s">
        <v>2791</v>
      </c>
      <c r="E1610" s="2" t="s">
        <v>3983</v>
      </c>
      <c r="F1610" s="2">
        <v>3.0</v>
      </c>
      <c r="G1610" s="2">
        <v>500.0</v>
      </c>
      <c r="H1610" s="3" t="str">
        <f>HYPERLINK("http://www.linkedin.com/in/kalpeshcollabera","http://www.linkedin.com/in/kalpeshcollabera")</f>
        <v>http://www.linkedin.com/in/kalpeshcollabera</v>
      </c>
      <c r="I1610" s="2" t="s">
        <v>15</v>
      </c>
      <c r="J1610" s="2" t="s">
        <v>273</v>
      </c>
      <c r="K1610" s="2" t="s">
        <v>697</v>
      </c>
    </row>
    <row r="1611" ht="15.75" customHeight="1">
      <c r="A1611" s="2">
        <v>586426.0</v>
      </c>
      <c r="B1611" s="2" t="s">
        <v>1767</v>
      </c>
      <c r="C1611" s="2" t="s">
        <v>3984</v>
      </c>
      <c r="D1611" s="2" t="s">
        <v>47</v>
      </c>
      <c r="E1611" s="2" t="s">
        <v>101</v>
      </c>
      <c r="F1611" s="2">
        <v>1.0</v>
      </c>
      <c r="G1611" s="2">
        <v>500.0</v>
      </c>
      <c r="H1611" s="3" t="str">
        <f>HYPERLINK("http://www.linkedin.com/in/erikseifert","http://www.linkedin.com/in/erikseifert")</f>
        <v>http://www.linkedin.com/in/erikseifert</v>
      </c>
      <c r="I1611" s="2" t="s">
        <v>48</v>
      </c>
      <c r="J1611" s="2" t="s">
        <v>102</v>
      </c>
      <c r="K1611" s="2" t="s">
        <v>35</v>
      </c>
    </row>
    <row r="1612" ht="15.75" customHeight="1">
      <c r="A1612" s="2">
        <v>586567.0</v>
      </c>
      <c r="B1612" s="2" t="s">
        <v>2543</v>
      </c>
      <c r="C1612" s="2" t="s">
        <v>3985</v>
      </c>
      <c r="D1612" s="2" t="s">
        <v>3986</v>
      </c>
      <c r="E1612" s="2" t="s">
        <v>3987</v>
      </c>
      <c r="F1612" s="2">
        <v>21.0</v>
      </c>
      <c r="G1612" s="2">
        <v>500.0</v>
      </c>
      <c r="H1612" s="3" t="str">
        <f>HYPERLINK("http://www.linkedin.com/in/donbrumfield","http://www.linkedin.com/in/donbrumfield")</f>
        <v>http://www.linkedin.com/in/donbrumfield</v>
      </c>
      <c r="I1612" s="2" t="s">
        <v>15</v>
      </c>
      <c r="J1612" s="2" t="s">
        <v>102</v>
      </c>
      <c r="K1612" s="2" t="s">
        <v>35</v>
      </c>
    </row>
    <row r="1613" ht="15.75" customHeight="1">
      <c r="A1613" s="2">
        <v>586795.0</v>
      </c>
      <c r="B1613" s="2" t="s">
        <v>2156</v>
      </c>
      <c r="C1613" s="2" t="s">
        <v>3988</v>
      </c>
      <c r="D1613" s="2" t="s">
        <v>3989</v>
      </c>
      <c r="E1613" s="2" t="s">
        <v>142</v>
      </c>
      <c r="F1613" s="2">
        <v>3.0</v>
      </c>
      <c r="G1613" s="2">
        <v>145.0</v>
      </c>
      <c r="H1613" s="3" t="str">
        <f>HYPERLINK("http://www.linkedin.com/pub/sanjay-nimar/1/19/bab","http://www.linkedin.com/pub/sanjay-nimar/1/19/bab")</f>
        <v>http://www.linkedin.com/pub/sanjay-nimar/1/19/bab</v>
      </c>
      <c r="I1613" s="2" t="s">
        <v>27</v>
      </c>
      <c r="J1613" s="2" t="s">
        <v>144</v>
      </c>
      <c r="K1613" s="2" t="s">
        <v>97</v>
      </c>
    </row>
    <row r="1614" ht="15.75" customHeight="1">
      <c r="A1614" s="2">
        <v>586938.0</v>
      </c>
      <c r="B1614" s="2" t="s">
        <v>3990</v>
      </c>
      <c r="C1614" s="2" t="s">
        <v>369</v>
      </c>
      <c r="D1614" s="2" t="s">
        <v>3991</v>
      </c>
      <c r="E1614" s="2" t="s">
        <v>716</v>
      </c>
      <c r="F1614" s="2">
        <v>24.0</v>
      </c>
      <c r="G1614" s="2">
        <v>500.0</v>
      </c>
      <c r="H1614" s="3" t="str">
        <f>HYPERLINK("http://in.linkedin.com/pub/brig-arun-sharma/7/B09/152","http://in.linkedin.com/pub/brig-arun-sharma/7/B09/152")</f>
        <v>http://in.linkedin.com/pub/brig-arun-sharma/7/B09/152</v>
      </c>
      <c r="I1614" s="2" t="s">
        <v>77</v>
      </c>
      <c r="J1614" s="2" t="s">
        <v>575</v>
      </c>
      <c r="K1614" s="2" t="s">
        <v>3992</v>
      </c>
    </row>
    <row r="1615" ht="15.75" customHeight="1">
      <c r="A1615" s="2">
        <v>587338.0</v>
      </c>
      <c r="B1615" s="2" t="s">
        <v>3993</v>
      </c>
      <c r="C1615" s="2" t="s">
        <v>3994</v>
      </c>
      <c r="D1615" s="2" t="s">
        <v>3995</v>
      </c>
      <c r="E1615" s="2" t="s">
        <v>3996</v>
      </c>
      <c r="F1615" s="2">
        <v>1.0</v>
      </c>
      <c r="G1615" s="2">
        <v>159.0</v>
      </c>
      <c r="H1615" s="3" t="str">
        <f>HYPERLINK("http://www.linkedin.com/pub/sivaprashanth-danturthy/8/208/118","http://www.linkedin.com/pub/sivaprashanth-danturthy/8/208/118")</f>
        <v>http://www.linkedin.com/pub/sivaprashanth-danturthy/8/208/118</v>
      </c>
      <c r="I1615" s="2" t="s">
        <v>15</v>
      </c>
      <c r="J1615" s="2" t="s">
        <v>273</v>
      </c>
      <c r="K1615" s="2" t="s">
        <v>3997</v>
      </c>
    </row>
    <row r="1616" ht="15.75" customHeight="1">
      <c r="A1616" s="2">
        <v>587892.0</v>
      </c>
      <c r="B1616" s="2" t="s">
        <v>3998</v>
      </c>
      <c r="C1616" s="2" t="s">
        <v>3999</v>
      </c>
      <c r="D1616" s="2" t="s">
        <v>47</v>
      </c>
      <c r="E1616" s="2" t="s">
        <v>4000</v>
      </c>
      <c r="F1616" s="2">
        <v>6.0</v>
      </c>
      <c r="G1616" s="2">
        <v>500.0</v>
      </c>
      <c r="H1616" s="3" t="str">
        <f>HYPERLINK("http://www.linkedin.com/in/larendee","http://www.linkedin.com/in/larendee")</f>
        <v>http://www.linkedin.com/in/larendee</v>
      </c>
      <c r="I1616" s="2" t="s">
        <v>57</v>
      </c>
      <c r="J1616" s="2" t="s">
        <v>102</v>
      </c>
      <c r="K1616" s="2" t="s">
        <v>58</v>
      </c>
    </row>
    <row r="1617" ht="15.75" customHeight="1">
      <c r="A1617" s="2">
        <v>588452.0</v>
      </c>
      <c r="B1617" s="2" t="s">
        <v>133</v>
      </c>
      <c r="C1617" s="2" t="s">
        <v>4001</v>
      </c>
      <c r="D1617" s="2" t="s">
        <v>4002</v>
      </c>
      <c r="E1617" s="2" t="s">
        <v>1495</v>
      </c>
      <c r="F1617" s="2">
        <v>32.0</v>
      </c>
      <c r="G1617" s="2">
        <v>500.0</v>
      </c>
      <c r="H1617" s="3" t="str">
        <f>HYPERLINK("http://www.linkedin.com/in/swiszcz","http://www.linkedin.com/in/swiszcz")</f>
        <v>http://www.linkedin.com/in/swiszcz</v>
      </c>
      <c r="I1617" s="2" t="s">
        <v>599</v>
      </c>
      <c r="J1617" s="2" t="s">
        <v>102</v>
      </c>
      <c r="K1617" s="2" t="s">
        <v>58</v>
      </c>
    </row>
    <row r="1618" ht="15.75" customHeight="1">
      <c r="A1618" s="2">
        <v>588506.0</v>
      </c>
      <c r="B1618" s="2" t="s">
        <v>940</v>
      </c>
      <c r="C1618" s="2" t="s">
        <v>4003</v>
      </c>
      <c r="D1618" s="2" t="s">
        <v>42</v>
      </c>
      <c r="E1618" s="2" t="s">
        <v>166</v>
      </c>
      <c r="F1618" s="2" t="s">
        <v>13</v>
      </c>
      <c r="G1618" s="2">
        <v>500.0</v>
      </c>
      <c r="H1618" s="3" t="str">
        <f>HYPERLINK("http://www.linkedin.com/pub/bob-worsley/24/AB5/8B1","http://www.linkedin.com/pub/bob-worsley/24/AB5/8B1")</f>
        <v>http://www.linkedin.com/pub/bob-worsley/24/AB5/8B1</v>
      </c>
      <c r="I1618" s="2" t="s">
        <v>475</v>
      </c>
      <c r="J1618" s="2" t="s">
        <v>102</v>
      </c>
      <c r="K1618" s="2" t="s">
        <v>58</v>
      </c>
    </row>
    <row r="1619" ht="15.75" customHeight="1">
      <c r="A1619" s="2">
        <v>588633.0</v>
      </c>
      <c r="B1619" s="2" t="s">
        <v>4004</v>
      </c>
      <c r="C1619" s="2" t="s">
        <v>4005</v>
      </c>
      <c r="D1619" s="2" t="s">
        <v>4006</v>
      </c>
      <c r="E1619" s="2" t="s">
        <v>4007</v>
      </c>
      <c r="F1619" s="2">
        <v>0.0</v>
      </c>
      <c r="G1619" s="2">
        <v>500.0</v>
      </c>
      <c r="H1619" s="3" t="str">
        <f>HYPERLINK("http://www.linkedin.com/in/lindasimms","http://www.linkedin.com/in/lindasimms")</f>
        <v>http://www.linkedin.com/in/lindasimms</v>
      </c>
      <c r="I1619" s="2" t="s">
        <v>1390</v>
      </c>
      <c r="J1619" s="2" t="s">
        <v>273</v>
      </c>
      <c r="K1619" s="2" t="s">
        <v>35</v>
      </c>
    </row>
    <row r="1620" ht="15.75" customHeight="1">
      <c r="A1620" s="2">
        <v>588834.0</v>
      </c>
      <c r="B1620" s="2" t="s">
        <v>940</v>
      </c>
      <c r="C1620" s="2" t="s">
        <v>4008</v>
      </c>
      <c r="D1620" s="2" t="s">
        <v>4009</v>
      </c>
      <c r="E1620" s="2" t="s">
        <v>4010</v>
      </c>
      <c r="F1620" s="2">
        <v>6.0</v>
      </c>
      <c r="G1620" s="2">
        <v>500.0</v>
      </c>
      <c r="H1620" s="3" t="str">
        <f>HYPERLINK("http://www.linkedin.com/in/bobalberson","http://www.linkedin.com/in/bobalberson")</f>
        <v>http://www.linkedin.com/in/bobalberson</v>
      </c>
      <c r="I1620" s="2" t="s">
        <v>446</v>
      </c>
      <c r="J1620" s="2" t="s">
        <v>102</v>
      </c>
      <c r="K1620" s="2" t="s">
        <v>97</v>
      </c>
    </row>
    <row r="1621" ht="15.75" customHeight="1">
      <c r="A1621" s="2">
        <v>589293.0</v>
      </c>
      <c r="B1621" s="2" t="s">
        <v>116</v>
      </c>
      <c r="C1621" s="2" t="s">
        <v>4011</v>
      </c>
      <c r="D1621" s="2" t="s">
        <v>13</v>
      </c>
      <c r="E1621" s="2" t="s">
        <v>136</v>
      </c>
      <c r="F1621" s="2">
        <v>0.0</v>
      </c>
      <c r="G1621" s="2">
        <v>500.0</v>
      </c>
      <c r="H1621" s="3" t="str">
        <f>HYPERLINK("http://www.linkedin.com/in/vonchurch","http://www.linkedin.com/in/vonchurch")</f>
        <v>http://www.linkedin.com/in/vonchurch</v>
      </c>
      <c r="I1621" s="2" t="s">
        <v>248</v>
      </c>
      <c r="J1621" s="2" t="s">
        <v>102</v>
      </c>
      <c r="K1621" s="2" t="s">
        <v>196</v>
      </c>
    </row>
    <row r="1622" ht="15.75" customHeight="1">
      <c r="A1622" s="2">
        <v>589327.0</v>
      </c>
      <c r="B1622" s="2" t="s">
        <v>1217</v>
      </c>
      <c r="C1622" s="2" t="s">
        <v>4012</v>
      </c>
      <c r="D1622" s="2" t="s">
        <v>2714</v>
      </c>
      <c r="E1622" s="2" t="s">
        <v>2581</v>
      </c>
      <c r="F1622" s="2" t="s">
        <v>13</v>
      </c>
      <c r="G1622" s="2">
        <v>500.0</v>
      </c>
      <c r="H1622" s="3" t="str">
        <f>HYPERLINK("http://uk.linkedin.com/pub/ian-evans/0/324/B00","http://uk.linkedin.com/pub/ian-evans/0/324/B00")</f>
        <v>http://uk.linkedin.com/pub/ian-evans/0/324/B00</v>
      </c>
      <c r="I1622" s="2" t="s">
        <v>48</v>
      </c>
      <c r="J1622" s="2" t="s">
        <v>53</v>
      </c>
      <c r="K1622" s="2" t="s">
        <v>35</v>
      </c>
    </row>
    <row r="1623" ht="15.75" customHeight="1">
      <c r="A1623" s="2">
        <v>589373.0</v>
      </c>
      <c r="B1623" s="2" t="s">
        <v>4013</v>
      </c>
      <c r="C1623" s="2" t="s">
        <v>4014</v>
      </c>
      <c r="D1623" s="2" t="s">
        <v>13</v>
      </c>
      <c r="E1623" s="2" t="s">
        <v>2257</v>
      </c>
      <c r="F1623" s="2">
        <v>4.0</v>
      </c>
      <c r="G1623" s="2">
        <v>500.0</v>
      </c>
      <c r="H1623" s="3" t="str">
        <f>HYPERLINK("http://www.linkedin.com/pub/lorella-pedinotti/0/803/933?trk=pub-pbmap","http://www.linkedin.com/pub/lorella-pedinotti/0/803/933?trk=pub-pbmap")</f>
        <v>http://www.linkedin.com/pub/lorella-pedinotti/0/803/933?trk=pub-pbmap</v>
      </c>
      <c r="I1623" s="2" t="s">
        <v>15</v>
      </c>
      <c r="J1623" s="2" t="s">
        <v>2258</v>
      </c>
      <c r="K1623" s="2" t="s">
        <v>35</v>
      </c>
    </row>
    <row r="1624" ht="15.75" customHeight="1">
      <c r="A1624" s="2">
        <v>590021.0</v>
      </c>
      <c r="B1624" s="2" t="s">
        <v>460</v>
      </c>
      <c r="C1624" s="2" t="s">
        <v>4015</v>
      </c>
      <c r="D1624" s="2" t="s">
        <v>47</v>
      </c>
      <c r="E1624" s="2" t="s">
        <v>3130</v>
      </c>
      <c r="F1624" s="2">
        <v>4.0</v>
      </c>
      <c r="G1624" s="2">
        <v>500.0</v>
      </c>
      <c r="H1624" s="3" t="str">
        <f>HYPERLINK("http://www.linkedin.com/in/johnraffetto","http://www.linkedin.com/in/johnraffetto")</f>
        <v>http://www.linkedin.com/in/johnraffetto</v>
      </c>
      <c r="I1624" s="2" t="s">
        <v>844</v>
      </c>
      <c r="J1624" s="2" t="s">
        <v>102</v>
      </c>
      <c r="K1624" s="2" t="s">
        <v>58</v>
      </c>
    </row>
    <row r="1625" ht="15.75" customHeight="1">
      <c r="A1625" s="2">
        <v>590279.0</v>
      </c>
      <c r="B1625" s="2" t="s">
        <v>4016</v>
      </c>
      <c r="C1625" s="2" t="s">
        <v>4017</v>
      </c>
      <c r="D1625" s="2" t="s">
        <v>13</v>
      </c>
      <c r="E1625" s="2" t="s">
        <v>122</v>
      </c>
      <c r="F1625" s="2">
        <v>1.0</v>
      </c>
      <c r="G1625" s="2">
        <v>500.0</v>
      </c>
      <c r="H1625" s="3" t="str">
        <f>HYPERLINK("http://www.linkedin.com/in/massimilianosquillace","http://www.linkedin.com/in/massimilianosquillace")</f>
        <v>http://www.linkedin.com/in/massimilianosquillace</v>
      </c>
      <c r="I1625" s="2" t="s">
        <v>69</v>
      </c>
      <c r="J1625" s="2" t="s">
        <v>53</v>
      </c>
      <c r="K1625" s="2" t="s">
        <v>35</v>
      </c>
    </row>
    <row r="1626" ht="15.75" customHeight="1">
      <c r="A1626" s="2">
        <v>590445.0</v>
      </c>
      <c r="B1626" s="2" t="s">
        <v>245</v>
      </c>
      <c r="C1626" s="2" t="s">
        <v>4018</v>
      </c>
      <c r="D1626" s="2" t="s">
        <v>13</v>
      </c>
      <c r="E1626" s="2" t="s">
        <v>2429</v>
      </c>
      <c r="F1626" s="2">
        <v>0.0</v>
      </c>
      <c r="G1626" s="2">
        <v>500.0</v>
      </c>
      <c r="H1626" s="3" t="str">
        <f>HYPERLINK("http://www.linkedin.com/pub/steven/27/33/605","http://www.linkedin.com/pub/steven/27/33/605")</f>
        <v>http://www.linkedin.com/pub/steven/27/33/605</v>
      </c>
      <c r="I1626" s="2" t="s">
        <v>663</v>
      </c>
      <c r="J1626" s="2" t="s">
        <v>102</v>
      </c>
      <c r="K1626" s="2" t="s">
        <v>58</v>
      </c>
    </row>
    <row r="1627" ht="15.75" customHeight="1">
      <c r="A1627" s="2">
        <v>590572.0</v>
      </c>
      <c r="B1627" s="2" t="s">
        <v>341</v>
      </c>
      <c r="C1627" s="2" t="s">
        <v>4019</v>
      </c>
      <c r="D1627" s="2" t="s">
        <v>42</v>
      </c>
      <c r="E1627" s="2" t="s">
        <v>301</v>
      </c>
      <c r="F1627" s="2" t="s">
        <v>13</v>
      </c>
      <c r="G1627" s="2">
        <v>260.0</v>
      </c>
      <c r="H1627" s="3" t="str">
        <f>HYPERLINK("http://www.linkedin.com/pub/kevin-hunter/0/95A/B8","http://www.linkedin.com/pub/kevin-hunter/0/95A/B8")</f>
        <v>http://www.linkedin.com/pub/kevin-hunter/0/95A/B8</v>
      </c>
      <c r="I1627" s="2" t="s">
        <v>910</v>
      </c>
      <c r="J1627" s="2" t="s">
        <v>102</v>
      </c>
      <c r="K1627" s="2" t="s">
        <v>58</v>
      </c>
    </row>
    <row r="1628" ht="15.75" customHeight="1">
      <c r="A1628" s="2">
        <v>591006.0</v>
      </c>
      <c r="B1628" s="2" t="s">
        <v>4020</v>
      </c>
      <c r="C1628" s="2" t="s">
        <v>4021</v>
      </c>
      <c r="D1628" s="2" t="s">
        <v>4022</v>
      </c>
      <c r="E1628" s="2" t="s">
        <v>744</v>
      </c>
      <c r="F1628" s="2" t="s">
        <v>13</v>
      </c>
      <c r="G1628" s="2">
        <v>203.0</v>
      </c>
      <c r="H1628" s="3" t="str">
        <f>HYPERLINK("http://www.linkedin.com/pub/zak-krusemark/25/1B4/892","http://www.linkedin.com/pub/zak-krusemark/25/1B4/892")</f>
        <v>http://www.linkedin.com/pub/zak-krusemark/25/1B4/892</v>
      </c>
      <c r="I1628" s="2" t="s">
        <v>681</v>
      </c>
      <c r="J1628" s="2" t="s">
        <v>102</v>
      </c>
      <c r="K1628" s="2" t="s">
        <v>58</v>
      </c>
    </row>
    <row r="1629" ht="15.75" customHeight="1">
      <c r="A1629" s="2">
        <v>591049.0</v>
      </c>
      <c r="B1629" s="2" t="s">
        <v>1232</v>
      </c>
      <c r="C1629" s="2" t="s">
        <v>4023</v>
      </c>
      <c r="D1629" s="2" t="s">
        <v>114</v>
      </c>
      <c r="E1629" s="2" t="s">
        <v>278</v>
      </c>
      <c r="F1629" s="2" t="s">
        <v>13</v>
      </c>
      <c r="G1629" s="2">
        <v>500.0</v>
      </c>
      <c r="H1629" s="3" t="str">
        <f>HYPERLINK("http://www.linkedin.com/pub/roger-fragua/28/62/4B8","http://www.linkedin.com/pub/roger-fragua/28/62/4B8")</f>
        <v>http://www.linkedin.com/pub/roger-fragua/28/62/4B8</v>
      </c>
      <c r="I1629" s="2" t="s">
        <v>2574</v>
      </c>
      <c r="J1629" s="2" t="s">
        <v>28</v>
      </c>
      <c r="K1629" s="2" t="s">
        <v>357</v>
      </c>
    </row>
    <row r="1630" ht="15.75" customHeight="1">
      <c r="A1630" s="2">
        <v>591474.0</v>
      </c>
      <c r="B1630" s="2" t="s">
        <v>4024</v>
      </c>
      <c r="C1630" s="2" t="s">
        <v>13</v>
      </c>
      <c r="D1630" s="2" t="s">
        <v>13</v>
      </c>
      <c r="E1630" s="2" t="s">
        <v>136</v>
      </c>
      <c r="F1630" s="2">
        <v>0.0</v>
      </c>
      <c r="G1630" s="2">
        <v>500.0</v>
      </c>
      <c r="H1630" s="3" t="str">
        <f>HYPERLINK("http://se.linkedin.com/in/bartondenny","http://se.linkedin.com/in/bartondenny")</f>
        <v>http://se.linkedin.com/in/bartondenny</v>
      </c>
      <c r="I1630" s="2" t="s">
        <v>69</v>
      </c>
      <c r="J1630" s="2" t="s">
        <v>102</v>
      </c>
      <c r="K1630" s="2" t="s">
        <v>35</v>
      </c>
    </row>
    <row r="1631" ht="15.75" customHeight="1">
      <c r="A1631" s="2">
        <v>591542.0</v>
      </c>
      <c r="B1631" s="2" t="s">
        <v>3550</v>
      </c>
      <c r="C1631" s="2" t="s">
        <v>4025</v>
      </c>
      <c r="D1631" s="2" t="s">
        <v>4026</v>
      </c>
      <c r="E1631" s="2" t="s">
        <v>301</v>
      </c>
      <c r="F1631" s="2">
        <v>7.0</v>
      </c>
      <c r="G1631" s="2">
        <v>492.0</v>
      </c>
      <c r="H1631" s="3" t="str">
        <f>HYPERLINK("http://www.linkedin.com/in/narauz","http://www.linkedin.com/in/narauz")</f>
        <v>http://www.linkedin.com/in/narauz</v>
      </c>
      <c r="I1631" s="2" t="s">
        <v>105</v>
      </c>
      <c r="J1631" s="2" t="s">
        <v>102</v>
      </c>
      <c r="K1631" s="2" t="s">
        <v>58</v>
      </c>
    </row>
    <row r="1632" ht="15.75" customHeight="1">
      <c r="A1632" s="2">
        <v>591794.0</v>
      </c>
      <c r="B1632" s="2" t="s">
        <v>4027</v>
      </c>
      <c r="C1632" s="2" t="s">
        <v>4028</v>
      </c>
      <c r="D1632" s="2" t="s">
        <v>13</v>
      </c>
      <c r="E1632" s="2" t="s">
        <v>4029</v>
      </c>
      <c r="F1632" s="2">
        <v>0.0</v>
      </c>
      <c r="G1632" s="2">
        <v>500.0</v>
      </c>
      <c r="H1632" s="3" t="str">
        <f>HYPERLINK("http://www.linkedin.com/in/aydas","http://www.linkedin.com/in/aydas")</f>
        <v>http://www.linkedin.com/in/aydas</v>
      </c>
      <c r="I1632" s="2" t="s">
        <v>422</v>
      </c>
      <c r="J1632" s="2" t="s">
        <v>102</v>
      </c>
      <c r="K1632" s="2" t="s">
        <v>974</v>
      </c>
    </row>
    <row r="1633" ht="15.75" customHeight="1">
      <c r="A1633" s="2">
        <v>591864.0</v>
      </c>
      <c r="B1633" s="2" t="s">
        <v>1096</v>
      </c>
      <c r="C1633" s="2" t="s">
        <v>3392</v>
      </c>
      <c r="D1633" s="2" t="s">
        <v>114</v>
      </c>
      <c r="E1633" s="2" t="s">
        <v>4030</v>
      </c>
      <c r="F1633" s="2">
        <v>6.0</v>
      </c>
      <c r="G1633" s="2">
        <v>500.0</v>
      </c>
      <c r="H1633" s="3" t="str">
        <f>HYPERLINK("http://www.linkedin.com/pub/tony-lopez/3/740/7B2","http://www.linkedin.com/pub/tony-lopez/3/740/7B2")</f>
        <v>http://www.linkedin.com/pub/tony-lopez/3/740/7B2</v>
      </c>
      <c r="I1633" s="2" t="s">
        <v>865</v>
      </c>
      <c r="J1633" s="2" t="s">
        <v>273</v>
      </c>
      <c r="K1633" s="2" t="s">
        <v>22</v>
      </c>
    </row>
    <row r="1634" ht="15.75" customHeight="1">
      <c r="A1634" s="2">
        <v>591983.0</v>
      </c>
      <c r="B1634" s="2" t="s">
        <v>3244</v>
      </c>
      <c r="C1634" s="2" t="s">
        <v>4031</v>
      </c>
      <c r="D1634" s="2" t="s">
        <v>13</v>
      </c>
      <c r="E1634" s="2" t="s">
        <v>4032</v>
      </c>
      <c r="F1634" s="2">
        <v>0.0</v>
      </c>
      <c r="G1634" s="2">
        <v>318.0</v>
      </c>
      <c r="H1634" s="3" t="str">
        <f>HYPERLINK("http://www.linkedin.com/pub/wendy-kokkonis/0/b47/15","http://www.linkedin.com/pub/wendy-kokkonis/0/b47/15")</f>
        <v>http://www.linkedin.com/pub/wendy-kokkonis/0/b47/15</v>
      </c>
      <c r="I1634" s="2" t="s">
        <v>137</v>
      </c>
      <c r="J1634" s="2" t="s">
        <v>4032</v>
      </c>
      <c r="K1634" s="2" t="s">
        <v>357</v>
      </c>
    </row>
    <row r="1635" ht="15.75" customHeight="1">
      <c r="A1635" s="2">
        <v>592455.0</v>
      </c>
      <c r="B1635" s="2" t="s">
        <v>4033</v>
      </c>
      <c r="C1635" s="2" t="s">
        <v>4034</v>
      </c>
      <c r="D1635" s="2" t="s">
        <v>4035</v>
      </c>
      <c r="E1635" s="2" t="s">
        <v>136</v>
      </c>
      <c r="F1635" s="2">
        <v>7.0</v>
      </c>
      <c r="G1635" s="2">
        <v>500.0</v>
      </c>
      <c r="H1635" s="3" t="str">
        <f>HYPERLINK("http://www.linkedin.com/in/yanchow","http://www.linkedin.com/in/yanchow")</f>
        <v>http://www.linkedin.com/in/yanchow</v>
      </c>
      <c r="I1635" s="2" t="s">
        <v>172</v>
      </c>
      <c r="J1635" s="2" t="s">
        <v>102</v>
      </c>
      <c r="K1635" s="2" t="s">
        <v>29</v>
      </c>
    </row>
    <row r="1636" ht="15.75" customHeight="1">
      <c r="A1636" s="2">
        <v>592552.0</v>
      </c>
      <c r="B1636" s="2" t="s">
        <v>4036</v>
      </c>
      <c r="C1636" s="2" t="s">
        <v>4037</v>
      </c>
      <c r="D1636" s="2" t="s">
        <v>4038</v>
      </c>
      <c r="E1636" s="2" t="s">
        <v>706</v>
      </c>
      <c r="F1636" s="2">
        <v>1.0</v>
      </c>
      <c r="G1636" s="2">
        <v>197.0</v>
      </c>
      <c r="H1636" s="3" t="str">
        <f>HYPERLINK("http://www.linkedin.com/pub/yara-matsuyama/27/1A8/939","http://www.linkedin.com/pub/yara-matsuyama/27/1A8/939")</f>
        <v>http://www.linkedin.com/pub/yara-matsuyama/27/1A8/939</v>
      </c>
      <c r="I1636" s="2" t="s">
        <v>2700</v>
      </c>
      <c r="J1636" s="2" t="s">
        <v>34</v>
      </c>
      <c r="K1636" s="2" t="s">
        <v>168</v>
      </c>
    </row>
    <row r="1637" ht="15.75" customHeight="1">
      <c r="A1637" s="2">
        <v>592692.0</v>
      </c>
      <c r="B1637" s="2" t="s">
        <v>784</v>
      </c>
      <c r="C1637" s="2" t="s">
        <v>4039</v>
      </c>
      <c r="D1637" s="2" t="s">
        <v>2302</v>
      </c>
      <c r="E1637" s="2" t="s">
        <v>4040</v>
      </c>
      <c r="F1637" s="2" t="s">
        <v>13</v>
      </c>
      <c r="G1637" s="2">
        <v>168.0</v>
      </c>
      <c r="H1637" s="3" t="str">
        <f>HYPERLINK("http://www.linkedin.com/pub/jeff-rorick/1/96/10A","http://www.linkedin.com/pub/jeff-rorick/1/96/10A")</f>
        <v>http://www.linkedin.com/pub/jeff-rorick/1/96/10A</v>
      </c>
      <c r="I1637" s="2" t="s">
        <v>15</v>
      </c>
      <c r="J1637" s="2" t="s">
        <v>102</v>
      </c>
      <c r="K1637" s="2" t="s">
        <v>35</v>
      </c>
    </row>
    <row r="1638" ht="15.75" customHeight="1">
      <c r="A1638" s="2">
        <v>592706.0</v>
      </c>
      <c r="B1638" s="2" t="s">
        <v>4041</v>
      </c>
      <c r="C1638" s="2" t="s">
        <v>4042</v>
      </c>
      <c r="D1638" s="2" t="s">
        <v>13</v>
      </c>
      <c r="E1638" s="2" t="s">
        <v>1547</v>
      </c>
      <c r="F1638" s="2">
        <v>0.0</v>
      </c>
      <c r="G1638" s="2">
        <v>500.0</v>
      </c>
      <c r="H1638" s="3" t="str">
        <f>HYPERLINK("http://www.linkedin.com/pub/chuck-copin-%22leadership-driving-sustainable-growth%22/0/774/40?trk=pub-pbmap","http://www.linkedin.com/pub/chuck-copin-%22leadership-driving-sustainable-growth%22/0/774/40?trk=pub-pbmap")</f>
        <v>http://www.linkedin.com/pub/chuck-copin-%22leadership-driving-sustainable-growth%22/0/774/40?trk=pub-pbmap</v>
      </c>
      <c r="I1638" s="2" t="s">
        <v>15</v>
      </c>
      <c r="J1638" s="2" t="s">
        <v>102</v>
      </c>
      <c r="K1638" s="2" t="s">
        <v>58</v>
      </c>
    </row>
    <row r="1639" ht="15.75" customHeight="1">
      <c r="A1639" s="2">
        <v>593861.0</v>
      </c>
      <c r="B1639" s="2" t="s">
        <v>839</v>
      </c>
      <c r="C1639" s="2" t="s">
        <v>4043</v>
      </c>
      <c r="D1639" s="2" t="s">
        <v>984</v>
      </c>
      <c r="E1639" s="2" t="s">
        <v>971</v>
      </c>
      <c r="F1639" s="2">
        <v>38.0</v>
      </c>
      <c r="G1639" s="2">
        <v>500.0</v>
      </c>
      <c r="H1639" s="3" t="str">
        <f>HYPERLINK("http://www.linkedin.com/in/daveguerra","http://www.linkedin.com/in/daveguerra")</f>
        <v>http://www.linkedin.com/in/daveguerra</v>
      </c>
      <c r="I1639" s="2" t="s">
        <v>57</v>
      </c>
      <c r="J1639" s="2" t="s">
        <v>102</v>
      </c>
      <c r="K1639" s="2" t="s">
        <v>58</v>
      </c>
    </row>
    <row r="1640" ht="15.75" customHeight="1">
      <c r="A1640" s="2">
        <v>593959.0</v>
      </c>
      <c r="B1640" s="2" t="s">
        <v>4044</v>
      </c>
      <c r="C1640" s="2" t="s">
        <v>4045</v>
      </c>
      <c r="D1640" s="2" t="s">
        <v>4046</v>
      </c>
      <c r="E1640" s="2" t="s">
        <v>706</v>
      </c>
      <c r="F1640" s="2">
        <v>5.0</v>
      </c>
      <c r="G1640" s="2">
        <v>87.0</v>
      </c>
      <c r="H1640" s="3" t="str">
        <f>HYPERLINK("http://br.linkedin.com/pub/marcia-gamba/29/1BA/B73","http://br.linkedin.com/pub/marcia-gamba/29/1BA/B73")</f>
        <v>http://br.linkedin.com/pub/marcia-gamba/29/1BA/B73</v>
      </c>
      <c r="I1640" s="2" t="s">
        <v>612</v>
      </c>
      <c r="J1640" s="2" t="s">
        <v>34</v>
      </c>
      <c r="K1640" s="2" t="s">
        <v>35</v>
      </c>
    </row>
    <row r="1641" ht="15.75" customHeight="1">
      <c r="A1641" s="2">
        <v>594129.0</v>
      </c>
      <c r="B1641" s="2" t="s">
        <v>302</v>
      </c>
      <c r="C1641" s="2" t="s">
        <v>4047</v>
      </c>
      <c r="D1641" s="2" t="s">
        <v>2302</v>
      </c>
      <c r="E1641" s="2" t="s">
        <v>101</v>
      </c>
      <c r="F1641" s="2">
        <v>2.0</v>
      </c>
      <c r="G1641" s="2">
        <v>500.0</v>
      </c>
      <c r="H1641" s="3" t="str">
        <f>HYPERLINK("http://www.linkedin.com/pub/bill-vancuren/1/6B6/3A7","http://www.linkedin.com/pub/bill-vancuren/1/6B6/3A7")</f>
        <v>http://www.linkedin.com/pub/bill-vancuren/1/6B6/3A7</v>
      </c>
      <c r="I1641" s="2" t="s">
        <v>15</v>
      </c>
      <c r="J1641" s="2" t="s">
        <v>102</v>
      </c>
      <c r="K1641" s="2" t="s">
        <v>35</v>
      </c>
    </row>
    <row r="1642" ht="15.75" customHeight="1">
      <c r="A1642" s="2">
        <v>594670.0</v>
      </c>
      <c r="B1642" s="2" t="s">
        <v>1405</v>
      </c>
      <c r="C1642" s="2" t="s">
        <v>556</v>
      </c>
      <c r="D1642" s="2" t="s">
        <v>114</v>
      </c>
      <c r="E1642" s="2" t="s">
        <v>3334</v>
      </c>
      <c r="F1642" s="2" t="s">
        <v>13</v>
      </c>
      <c r="G1642" s="2">
        <v>250.0</v>
      </c>
      <c r="H1642" s="3" t="str">
        <f>HYPERLINK("http://www.linkedin.com/pub/ron-kinney/1/337/407","http://www.linkedin.com/pub/ron-kinney/1/337/407")</f>
        <v>http://www.linkedin.com/pub/ron-kinney/1/337/407</v>
      </c>
      <c r="I1642" s="2" t="s">
        <v>446</v>
      </c>
      <c r="J1642" s="2" t="s">
        <v>102</v>
      </c>
      <c r="K1642" s="2" t="s">
        <v>97</v>
      </c>
    </row>
    <row r="1643" ht="15.75" customHeight="1">
      <c r="A1643" s="2">
        <v>594745.0</v>
      </c>
      <c r="B1643" s="2" t="s">
        <v>1104</v>
      </c>
      <c r="C1643" s="2" t="s">
        <v>59</v>
      </c>
      <c r="D1643" s="2" t="s">
        <v>4048</v>
      </c>
      <c r="E1643" s="2" t="s">
        <v>136</v>
      </c>
      <c r="F1643" s="2">
        <v>16.0</v>
      </c>
      <c r="G1643" s="2">
        <v>500.0</v>
      </c>
      <c r="H1643" s="3" t="str">
        <f>HYPERLINK("http://www.linkedin.com/pub/jay-martin/1/366/62","http://www.linkedin.com/pub/jay-martin/1/366/62")</f>
        <v>http://www.linkedin.com/pub/jay-martin/1/366/62</v>
      </c>
      <c r="I1643" s="2" t="s">
        <v>248</v>
      </c>
      <c r="J1643" s="2" t="s">
        <v>102</v>
      </c>
      <c r="K1643" s="2" t="s">
        <v>196</v>
      </c>
    </row>
    <row r="1644" ht="15.75" customHeight="1">
      <c r="A1644" s="2">
        <v>595336.0</v>
      </c>
      <c r="B1644" s="2" t="s">
        <v>1798</v>
      </c>
      <c r="C1644" s="2" t="s">
        <v>4049</v>
      </c>
      <c r="D1644" s="2"/>
      <c r="E1644" s="2" t="s">
        <v>1075</v>
      </c>
      <c r="F1644" s="2">
        <v>0.0</v>
      </c>
      <c r="G1644" s="2">
        <v>500.0</v>
      </c>
      <c r="H1644" s="3" t="str">
        <f>HYPERLINK("http://www.linkedin.com/pub/seth-rupp/1/518/A74","http://www.linkedin.com/pub/seth-rupp/1/518/A74")</f>
        <v>http://www.linkedin.com/pub/seth-rupp/1/518/A74</v>
      </c>
      <c r="I1644" s="2" t="s">
        <v>172</v>
      </c>
      <c r="J1644" s="2" t="s">
        <v>16</v>
      </c>
      <c r="K1644" s="2" t="s">
        <v>357</v>
      </c>
    </row>
    <row r="1645" ht="15.75" customHeight="1">
      <c r="A1645" s="2">
        <v>595937.0</v>
      </c>
      <c r="B1645" s="2" t="s">
        <v>4044</v>
      </c>
      <c r="C1645" s="2" t="s">
        <v>4050</v>
      </c>
      <c r="D1645" s="2" t="s">
        <v>4051</v>
      </c>
      <c r="E1645" s="2" t="s">
        <v>39</v>
      </c>
      <c r="F1645" s="2">
        <v>6.0</v>
      </c>
      <c r="G1645" s="2">
        <v>500.0</v>
      </c>
      <c r="H1645" s="3" t="str">
        <f>HYPERLINK("http://br.linkedin.com/pub/marcia-cubas/17/219/B95","http://br.linkedin.com/pub/marcia-cubas/17/219/B95")</f>
        <v>http://br.linkedin.com/pub/marcia-cubas/17/219/B95</v>
      </c>
      <c r="I1645" s="2" t="s">
        <v>714</v>
      </c>
      <c r="J1645" s="2" t="s">
        <v>34</v>
      </c>
      <c r="K1645" s="2" t="s">
        <v>97</v>
      </c>
    </row>
    <row r="1646" ht="15.75" customHeight="1">
      <c r="A1646" s="2">
        <v>595948.0</v>
      </c>
      <c r="B1646" s="2" t="s">
        <v>133</v>
      </c>
      <c r="C1646" s="2" t="s">
        <v>4052</v>
      </c>
      <c r="D1646" s="2" t="s">
        <v>47</v>
      </c>
      <c r="E1646" s="2" t="s">
        <v>4053</v>
      </c>
      <c r="F1646" s="2">
        <v>11.0</v>
      </c>
      <c r="G1646" s="2">
        <v>500.0</v>
      </c>
      <c r="H1646" s="3" t="str">
        <f>HYPERLINK("http://www.linkedin.com/in/mikeb360","http://www.linkedin.com/in/mikeb360")</f>
        <v>http://www.linkedin.com/in/mikeb360</v>
      </c>
      <c r="I1646" s="2" t="s">
        <v>105</v>
      </c>
      <c r="J1646" s="2" t="s">
        <v>102</v>
      </c>
      <c r="K1646" s="2" t="s">
        <v>58</v>
      </c>
    </row>
    <row r="1647" ht="15.75" customHeight="1">
      <c r="A1647" s="2">
        <v>596188.0</v>
      </c>
      <c r="B1647" s="2" t="s">
        <v>1143</v>
      </c>
      <c r="C1647" s="2" t="s">
        <v>4054</v>
      </c>
      <c r="D1647" s="2" t="s">
        <v>114</v>
      </c>
      <c r="E1647" s="2" t="s">
        <v>3865</v>
      </c>
      <c r="F1647" s="2">
        <v>3.0</v>
      </c>
      <c r="G1647" s="2">
        <v>500.0</v>
      </c>
      <c r="H1647" s="3" t="str">
        <f>HYPERLINK("http://www.linkedin.com/in/waderobertson","http://www.linkedin.com/in/waderobertson")</f>
        <v>http://www.linkedin.com/in/waderobertson</v>
      </c>
      <c r="I1647" s="2" t="s">
        <v>77</v>
      </c>
      <c r="J1647" s="2" t="s">
        <v>102</v>
      </c>
      <c r="K1647" s="2" t="s">
        <v>97</v>
      </c>
    </row>
    <row r="1648" ht="15.75" customHeight="1">
      <c r="A1648" s="2">
        <v>596226.0</v>
      </c>
      <c r="B1648" s="2" t="s">
        <v>4055</v>
      </c>
      <c r="C1648" s="2" t="s">
        <v>4056</v>
      </c>
      <c r="D1648" s="2" t="s">
        <v>4057</v>
      </c>
      <c r="E1648" s="2" t="s">
        <v>604</v>
      </c>
      <c r="F1648" s="2">
        <v>2.0</v>
      </c>
      <c r="G1648" s="2">
        <v>223.0</v>
      </c>
      <c r="H1648" s="3" t="str">
        <f>HYPERLINK("http://www.linkedin.com/in/atoshdutt","http://www.linkedin.com/in/atoshdutt")</f>
        <v>http://www.linkedin.com/in/atoshdutt</v>
      </c>
      <c r="I1648" s="2" t="s">
        <v>669</v>
      </c>
      <c r="J1648" s="2" t="s">
        <v>16</v>
      </c>
      <c r="K1648" s="2" t="s">
        <v>35</v>
      </c>
    </row>
    <row r="1649" ht="15.75" customHeight="1">
      <c r="A1649" s="2">
        <v>596415.0</v>
      </c>
      <c r="B1649" s="2" t="s">
        <v>133</v>
      </c>
      <c r="C1649" s="2" t="s">
        <v>4058</v>
      </c>
      <c r="D1649" s="2" t="s">
        <v>4059</v>
      </c>
      <c r="E1649" s="2" t="s">
        <v>4060</v>
      </c>
      <c r="F1649" s="2">
        <v>94.0</v>
      </c>
      <c r="G1649" s="2">
        <v>500.0</v>
      </c>
      <c r="H1649" s="3" t="str">
        <f>HYPERLINK("http://www.linkedin.com/pub/michael-kassuhn/3/74B/188","http://www.linkedin.com/pub/michael-kassuhn/3/74B/188")</f>
        <v>http://www.linkedin.com/pub/michael-kassuhn/3/74B/188</v>
      </c>
      <c r="I1649" s="2" t="s">
        <v>172</v>
      </c>
      <c r="J1649" s="2" t="s">
        <v>102</v>
      </c>
      <c r="K1649" s="2" t="s">
        <v>1176</v>
      </c>
    </row>
    <row r="1650" ht="15.75" customHeight="1">
      <c r="A1650" s="2">
        <v>597395.0</v>
      </c>
      <c r="B1650" s="2" t="s">
        <v>1027</v>
      </c>
      <c r="C1650" s="2" t="s">
        <v>1751</v>
      </c>
      <c r="D1650" s="2" t="s">
        <v>4061</v>
      </c>
      <c r="E1650" s="2" t="s">
        <v>101</v>
      </c>
      <c r="F1650" s="2" t="s">
        <v>13</v>
      </c>
      <c r="G1650" s="2">
        <v>500.0</v>
      </c>
      <c r="H1650" s="3" t="str">
        <f>HYPERLINK("http://www.linkedin.com/in/georgeelliott","http://www.linkedin.com/in/georgeelliott")</f>
        <v>http://www.linkedin.com/in/georgeelliott</v>
      </c>
      <c r="I1650" s="2" t="s">
        <v>599</v>
      </c>
      <c r="J1650" s="2" t="s">
        <v>102</v>
      </c>
      <c r="K1650" s="2" t="s">
        <v>58</v>
      </c>
    </row>
    <row r="1651" ht="15.75" customHeight="1">
      <c r="A1651" s="2">
        <v>598130.0</v>
      </c>
      <c r="B1651" s="2" t="s">
        <v>1458</v>
      </c>
      <c r="C1651" s="2" t="s">
        <v>4062</v>
      </c>
      <c r="D1651" s="2" t="s">
        <v>2345</v>
      </c>
      <c r="E1651" s="2" t="s">
        <v>166</v>
      </c>
      <c r="F1651" s="2">
        <v>4.0</v>
      </c>
      <c r="G1651" s="2">
        <v>500.0</v>
      </c>
      <c r="H1651" s="3" t="str">
        <f>HYPERLINK("http://www.linkedin.com/in/toddzierten","http://www.linkedin.com/in/toddzierten")</f>
        <v>http://www.linkedin.com/in/toddzierten</v>
      </c>
      <c r="I1651" s="2" t="s">
        <v>48</v>
      </c>
      <c r="J1651" s="2" t="s">
        <v>102</v>
      </c>
      <c r="K1651" s="2" t="s">
        <v>35</v>
      </c>
    </row>
    <row r="1652" ht="15.75" customHeight="1">
      <c r="A1652" s="2">
        <v>598263.0</v>
      </c>
      <c r="B1652" s="2" t="s">
        <v>4063</v>
      </c>
      <c r="C1652" s="2" t="s">
        <v>4064</v>
      </c>
      <c r="D1652" s="2" t="s">
        <v>4065</v>
      </c>
      <c r="E1652" s="2" t="s">
        <v>1531</v>
      </c>
      <c r="F1652" s="2">
        <v>6.0</v>
      </c>
      <c r="G1652" s="2">
        <v>500.0</v>
      </c>
      <c r="H1652" s="3" t="str">
        <f>HYPERLINK("http://uk.linkedin.com/in/nilayparikh","http://uk.linkedin.com/in/nilayparikh")</f>
        <v>http://uk.linkedin.com/in/nilayparikh</v>
      </c>
      <c r="I1652" s="2" t="s">
        <v>15</v>
      </c>
      <c r="J1652" s="2" t="s">
        <v>53</v>
      </c>
      <c r="K1652" s="2" t="s">
        <v>35</v>
      </c>
    </row>
    <row r="1653" ht="15.75" customHeight="1">
      <c r="A1653" s="2">
        <v>598308.0</v>
      </c>
      <c r="B1653" s="2" t="s">
        <v>2457</v>
      </c>
      <c r="C1653" s="2" t="s">
        <v>4066</v>
      </c>
      <c r="D1653" s="2" t="s">
        <v>13</v>
      </c>
      <c r="E1653" s="2" t="s">
        <v>542</v>
      </c>
      <c r="F1653" s="2">
        <v>0.0</v>
      </c>
      <c r="G1653" s="2">
        <v>500.0</v>
      </c>
      <c r="H1653" s="3" t="str">
        <f>HYPERLINK("http://www.linkedin.com/in/svajian","http://www.linkedin.com/in/svajian")</f>
        <v>http://www.linkedin.com/in/svajian</v>
      </c>
      <c r="I1653" s="2" t="s">
        <v>69</v>
      </c>
      <c r="J1653" s="2" t="s">
        <v>102</v>
      </c>
      <c r="K1653" s="2" t="s">
        <v>35</v>
      </c>
    </row>
    <row r="1654" ht="15.75" customHeight="1">
      <c r="A1654" s="2">
        <v>598638.0</v>
      </c>
      <c r="B1654" s="2" t="s">
        <v>4067</v>
      </c>
      <c r="C1654" s="2" t="s">
        <v>4068</v>
      </c>
      <c r="D1654" s="2" t="s">
        <v>4069</v>
      </c>
      <c r="E1654" s="2" t="s">
        <v>4070</v>
      </c>
      <c r="F1654" s="2">
        <v>3.0</v>
      </c>
      <c r="G1654" s="2">
        <v>200.0</v>
      </c>
      <c r="H1654" s="3" t="str">
        <f>HYPERLINK("http://www.linkedin.com/pub/jeremy-moncur/7/2B2/425","http://www.linkedin.com/pub/jeremy-moncur/7/2B2/425")</f>
        <v>http://www.linkedin.com/pub/jeremy-moncur/7/2B2/425</v>
      </c>
      <c r="I1654" s="2" t="s">
        <v>326</v>
      </c>
      <c r="J1654" s="2" t="s">
        <v>16</v>
      </c>
      <c r="K1654" s="2" t="s">
        <v>22</v>
      </c>
    </row>
    <row r="1655" ht="15.75" customHeight="1">
      <c r="A1655" s="2">
        <v>598906.0</v>
      </c>
      <c r="B1655" s="2" t="s">
        <v>238</v>
      </c>
      <c r="C1655" s="2" t="s">
        <v>4071</v>
      </c>
      <c r="D1655" s="2" t="s">
        <v>4072</v>
      </c>
      <c r="E1655" s="2" t="s">
        <v>4073</v>
      </c>
      <c r="F1655" s="2">
        <v>5.0</v>
      </c>
      <c r="G1655" s="2">
        <v>329.0</v>
      </c>
      <c r="H1655" s="3" t="str">
        <f>HYPERLINK("http://www.linkedin.com/in/hedianj","http://www.linkedin.com/in/hedianj")</f>
        <v>http://www.linkedin.com/in/hedianj</v>
      </c>
      <c r="I1655" s="2" t="s">
        <v>96</v>
      </c>
      <c r="J1655" s="2" t="s">
        <v>273</v>
      </c>
      <c r="K1655" s="2" t="s">
        <v>58</v>
      </c>
    </row>
    <row r="1656" ht="15.75" customHeight="1">
      <c r="A1656" s="2">
        <v>599734.0</v>
      </c>
      <c r="B1656" s="2" t="s">
        <v>4074</v>
      </c>
      <c r="C1656" s="2" t="s">
        <v>4075</v>
      </c>
      <c r="D1656" s="2" t="s">
        <v>13</v>
      </c>
      <c r="E1656" s="2" t="s">
        <v>136</v>
      </c>
      <c r="F1656" s="2">
        <v>13.0</v>
      </c>
      <c r="G1656" s="2">
        <v>500.0</v>
      </c>
      <c r="H1656" s="3" t="str">
        <f>HYPERLINK("http://www.linkedin.com/pub/jaya-gali/2/45/575","http://www.linkedin.com/pub/jaya-gali/2/45/575")</f>
        <v>http://www.linkedin.com/pub/jaya-gali/2/45/575</v>
      </c>
      <c r="I1656" s="2" t="s">
        <v>15</v>
      </c>
      <c r="J1656" s="2" t="s">
        <v>102</v>
      </c>
      <c r="K1656" s="2" t="s">
        <v>58</v>
      </c>
    </row>
    <row r="1657" ht="15.75" customHeight="1">
      <c r="A1657" s="2">
        <v>600273.0</v>
      </c>
      <c r="B1657" s="2" t="s">
        <v>1173</v>
      </c>
      <c r="C1657" s="2" t="s">
        <v>4076</v>
      </c>
      <c r="D1657" s="2" t="s">
        <v>4077</v>
      </c>
      <c r="E1657" s="2" t="s">
        <v>4078</v>
      </c>
      <c r="F1657" s="2">
        <v>2.0</v>
      </c>
      <c r="G1657" s="2">
        <v>500.0</v>
      </c>
      <c r="H1657" s="3" t="str">
        <f>HYPERLINK("http://uk.linkedin.com/pub/steve-wainwright/0/5AB/22","http://uk.linkedin.com/pub/steve-wainwright/0/5AB/22")</f>
        <v>http://uk.linkedin.com/pub/steve-wainwright/0/5AB/22</v>
      </c>
      <c r="I1657" s="2" t="s">
        <v>48</v>
      </c>
      <c r="J1657" s="2" t="s">
        <v>53</v>
      </c>
      <c r="K1657" s="2" t="s">
        <v>35</v>
      </c>
    </row>
    <row r="1658" ht="15.75" customHeight="1">
      <c r="A1658" s="2">
        <v>600651.0</v>
      </c>
      <c r="B1658" s="2" t="s">
        <v>1173</v>
      </c>
      <c r="C1658" s="2" t="s">
        <v>4079</v>
      </c>
      <c r="D1658" s="2" t="s">
        <v>4080</v>
      </c>
      <c r="E1658" s="2" t="s">
        <v>301</v>
      </c>
      <c r="F1658" s="2" t="s">
        <v>13</v>
      </c>
      <c r="G1658" s="2">
        <v>285.0</v>
      </c>
      <c r="H1658" s="3" t="str">
        <f>HYPERLINK("http://www.linkedin.com/pub/steve-elson/2/330/B7","http://www.linkedin.com/pub/steve-elson/2/330/B7")</f>
        <v>http://www.linkedin.com/pub/steve-elson/2/330/B7</v>
      </c>
      <c r="I1658" s="2" t="s">
        <v>105</v>
      </c>
      <c r="J1658" s="2" t="s">
        <v>102</v>
      </c>
      <c r="K1658" s="2" t="s">
        <v>58</v>
      </c>
    </row>
    <row r="1659" ht="15.75" customHeight="1">
      <c r="A1659" s="2">
        <v>601572.0</v>
      </c>
      <c r="B1659" s="2" t="s">
        <v>3243</v>
      </c>
      <c r="C1659" s="2" t="s">
        <v>4081</v>
      </c>
      <c r="D1659" s="2" t="s">
        <v>4082</v>
      </c>
      <c r="E1659" s="2" t="s">
        <v>272</v>
      </c>
      <c r="F1659" s="2">
        <v>0.0</v>
      </c>
      <c r="G1659" s="2">
        <v>392.0</v>
      </c>
      <c r="H1659" s="3" t="str">
        <f>HYPERLINK("http://www.linkedin.com/pub/travis-butler/B/191/34","http://www.linkedin.com/pub/travis-butler/B/191/34")</f>
        <v>http://www.linkedin.com/pub/travis-butler/B/191/34</v>
      </c>
      <c r="I1659" s="2" t="s">
        <v>374</v>
      </c>
      <c r="J1659" s="2" t="s">
        <v>273</v>
      </c>
      <c r="K1659" s="2" t="s">
        <v>35</v>
      </c>
    </row>
    <row r="1660" ht="15.75" customHeight="1">
      <c r="A1660" s="2">
        <v>601610.0</v>
      </c>
      <c r="B1660" s="2" t="s">
        <v>4067</v>
      </c>
      <c r="C1660" s="2" t="s">
        <v>4083</v>
      </c>
      <c r="D1660" s="2" t="s">
        <v>1145</v>
      </c>
      <c r="E1660" s="2" t="s">
        <v>1009</v>
      </c>
      <c r="F1660" s="2">
        <v>8.0</v>
      </c>
      <c r="G1660" s="2">
        <v>500.0</v>
      </c>
      <c r="H1660" s="3" t="str">
        <f>HYPERLINK("http://www.linkedin.com/in/jeremyreymer","http://www.linkedin.com/in/jeremyreymer")</f>
        <v>http://www.linkedin.com/in/jeremyreymer</v>
      </c>
      <c r="I1660" s="2" t="s">
        <v>446</v>
      </c>
      <c r="J1660" s="2" t="s">
        <v>87</v>
      </c>
      <c r="K1660" s="2" t="s">
        <v>1308</v>
      </c>
    </row>
    <row r="1661" ht="15.75" customHeight="1">
      <c r="A1661" s="2">
        <v>602185.0</v>
      </c>
      <c r="B1661" s="2" t="s">
        <v>3432</v>
      </c>
      <c r="C1661" s="2" t="s">
        <v>265</v>
      </c>
      <c r="D1661" s="2" t="s">
        <v>42</v>
      </c>
      <c r="E1661" s="2" t="s">
        <v>4084</v>
      </c>
      <c r="F1661" s="2">
        <v>6.0</v>
      </c>
      <c r="G1661" s="2">
        <v>500.0</v>
      </c>
      <c r="H1661" s="3" t="str">
        <f>HYPERLINK("http://www.linkedin.com/in/josephruizjr","http://www.linkedin.com/in/josephruizjr")</f>
        <v>http://www.linkedin.com/in/josephruizjr</v>
      </c>
      <c r="I1661" s="2" t="s">
        <v>105</v>
      </c>
      <c r="J1661" s="2" t="s">
        <v>102</v>
      </c>
      <c r="K1661" s="2" t="s">
        <v>58</v>
      </c>
    </row>
    <row r="1662" ht="15.75" customHeight="1">
      <c r="A1662" s="2">
        <v>602403.0</v>
      </c>
      <c r="B1662" s="2" t="s">
        <v>4085</v>
      </c>
      <c r="C1662" s="2" t="s">
        <v>4086</v>
      </c>
      <c r="D1662" s="2" t="s">
        <v>42</v>
      </c>
      <c r="E1662" s="2" t="s">
        <v>4087</v>
      </c>
      <c r="F1662" s="2" t="s">
        <v>13</v>
      </c>
      <c r="G1662" s="2">
        <v>105.0</v>
      </c>
      <c r="H1662" s="3" t="str">
        <f>HYPERLINK("http://www.linkedin.com/pub/agnes-galecka/1/6A2/3A1","http://www.linkedin.com/pub/agnes-galecka/1/6A2/3A1")</f>
        <v>http://www.linkedin.com/pub/agnes-galecka/1/6A2/3A1</v>
      </c>
      <c r="I1662" s="2" t="s">
        <v>910</v>
      </c>
      <c r="J1662" s="2" t="s">
        <v>102</v>
      </c>
      <c r="K1662" s="2" t="s">
        <v>58</v>
      </c>
    </row>
    <row r="1663" ht="15.75" customHeight="1">
      <c r="A1663" s="2">
        <v>603519.0</v>
      </c>
      <c r="B1663" s="2" t="s">
        <v>993</v>
      </c>
      <c r="C1663" s="2" t="s">
        <v>4088</v>
      </c>
      <c r="D1663" s="2" t="s">
        <v>13</v>
      </c>
      <c r="E1663" s="2" t="s">
        <v>136</v>
      </c>
      <c r="F1663" s="2">
        <v>0.0</v>
      </c>
      <c r="G1663" s="2">
        <v>500.0</v>
      </c>
      <c r="H1663" s="3" t="str">
        <f>HYPERLINK("https://www.linkedin.com/in/jonguidi","https://www.linkedin.com/in/jonguidi")</f>
        <v>https://www.linkedin.com/in/jonguidi</v>
      </c>
      <c r="I1663" s="2" t="s">
        <v>248</v>
      </c>
      <c r="J1663" s="2" t="s">
        <v>102</v>
      </c>
      <c r="K1663" s="2" t="s">
        <v>196</v>
      </c>
    </row>
    <row r="1664" ht="15.75" customHeight="1">
      <c r="A1664" s="2">
        <v>603521.0</v>
      </c>
      <c r="B1664" s="2" t="s">
        <v>1479</v>
      </c>
      <c r="C1664" s="2" t="s">
        <v>664</v>
      </c>
      <c r="D1664" s="2" t="s">
        <v>4089</v>
      </c>
      <c r="E1664" s="2" t="s">
        <v>1918</v>
      </c>
      <c r="F1664" s="2" t="s">
        <v>13</v>
      </c>
      <c r="G1664" s="2">
        <v>3.0</v>
      </c>
      <c r="H1664" s="3" t="str">
        <f>HYPERLINK("http://www.linkedin.com/pub/frank-gordon/6/29B/50","http://www.linkedin.com/pub/frank-gordon/6/29B/50")</f>
        <v>http://www.linkedin.com/pub/frank-gordon/6/29B/50</v>
      </c>
      <c r="I1664" s="2" t="s">
        <v>306</v>
      </c>
      <c r="J1664" s="2" t="s">
        <v>102</v>
      </c>
      <c r="K1664" s="2" t="s">
        <v>22</v>
      </c>
    </row>
    <row r="1665" ht="15.75" customHeight="1">
      <c r="A1665" s="2">
        <v>603785.0</v>
      </c>
      <c r="B1665" s="2" t="s">
        <v>752</v>
      </c>
      <c r="C1665" s="2" t="s">
        <v>4090</v>
      </c>
      <c r="D1665" s="2"/>
      <c r="E1665" s="2" t="s">
        <v>278</v>
      </c>
      <c r="F1665" s="2">
        <v>0.0</v>
      </c>
      <c r="G1665" s="2">
        <v>180.0</v>
      </c>
      <c r="H1665" s="3" t="str">
        <f>HYPERLINK("http://www.linkedin.com/pub/jim-weddell/2/891/722","http://www.linkedin.com/pub/jim-weddell/2/891/722")</f>
        <v>http://www.linkedin.com/pub/jim-weddell/2/891/722</v>
      </c>
      <c r="I1665" s="2" t="s">
        <v>105</v>
      </c>
      <c r="J1665" s="2" t="s">
        <v>28</v>
      </c>
      <c r="K1665" s="2" t="s">
        <v>168</v>
      </c>
    </row>
    <row r="1666" ht="15.75" customHeight="1">
      <c r="A1666" s="2">
        <v>604547.0</v>
      </c>
      <c r="B1666" s="2" t="s">
        <v>953</v>
      </c>
      <c r="C1666" s="2" t="s">
        <v>4091</v>
      </c>
      <c r="D1666" s="2" t="s">
        <v>4092</v>
      </c>
      <c r="E1666" s="2" t="s">
        <v>1832</v>
      </c>
      <c r="F1666" s="2">
        <v>5.0</v>
      </c>
      <c r="G1666" s="2">
        <v>500.0</v>
      </c>
      <c r="H1666" s="3" t="str">
        <f>HYPERLINK("http://www.linkedin.com/in/heidisehrt","http://www.linkedin.com/in/heidisehrt")</f>
        <v>http://www.linkedin.com/in/heidisehrt</v>
      </c>
      <c r="I1666" s="2" t="s">
        <v>1237</v>
      </c>
      <c r="J1666" s="2" t="s">
        <v>102</v>
      </c>
      <c r="K1666" s="2" t="s">
        <v>168</v>
      </c>
    </row>
    <row r="1667" ht="15.75" customHeight="1">
      <c r="A1667" s="2">
        <v>604929.0</v>
      </c>
      <c r="B1667" s="2" t="s">
        <v>414</v>
      </c>
      <c r="C1667" s="2" t="s">
        <v>4093</v>
      </c>
      <c r="D1667" s="2" t="s">
        <v>4094</v>
      </c>
      <c r="E1667" s="2" t="s">
        <v>457</v>
      </c>
      <c r="F1667" s="2">
        <v>0.0</v>
      </c>
      <c r="G1667" s="2">
        <v>1.0</v>
      </c>
      <c r="H1667" s="3" t="str">
        <f>HYPERLINK("http://www.linkedin.com/pub/tom-whittle/6/2A5/3A1","http://www.linkedin.com/pub/tom-whittle/6/2A5/3A1")</f>
        <v>http://www.linkedin.com/pub/tom-whittle/6/2A5/3A1</v>
      </c>
      <c r="I1667" s="2" t="s">
        <v>306</v>
      </c>
      <c r="J1667" s="2" t="s">
        <v>102</v>
      </c>
      <c r="K1667" s="2" t="s">
        <v>22</v>
      </c>
    </row>
    <row r="1668" ht="15.75" customHeight="1">
      <c r="A1668" s="2">
        <v>605171.0</v>
      </c>
      <c r="B1668" s="2" t="s">
        <v>2877</v>
      </c>
      <c r="C1668" s="2" t="s">
        <v>4095</v>
      </c>
      <c r="D1668" s="2"/>
      <c r="E1668" s="2" t="s">
        <v>3560</v>
      </c>
      <c r="F1668" s="2">
        <v>0.0</v>
      </c>
      <c r="G1668" s="2">
        <v>500.0</v>
      </c>
      <c r="H1668" s="3" t="str">
        <f>HYPERLINK("http://www.linkedin.com/pub/chuck-call/0/33/769","http://www.linkedin.com/pub/chuck-call/0/33/769")</f>
        <v>http://www.linkedin.com/pub/chuck-call/0/33/769</v>
      </c>
      <c r="I1668" s="2" t="s">
        <v>2023</v>
      </c>
      <c r="J1668" s="2" t="s">
        <v>28</v>
      </c>
      <c r="K1668" s="2" t="s">
        <v>35</v>
      </c>
    </row>
    <row r="1669" ht="15.75" customHeight="1">
      <c r="A1669" s="2">
        <v>605340.0</v>
      </c>
      <c r="B1669" s="2" t="s">
        <v>4096</v>
      </c>
      <c r="C1669" s="2" t="s">
        <v>4097</v>
      </c>
      <c r="D1669" s="2" t="s">
        <v>4098</v>
      </c>
      <c r="E1669" s="2" t="s">
        <v>4099</v>
      </c>
      <c r="F1669" s="2">
        <v>8.0</v>
      </c>
      <c r="G1669" s="2">
        <v>500.0</v>
      </c>
      <c r="H1669" s="3" t="str">
        <f>HYPERLINK("http://www.linkedin.com/in/kelleybrock","http://www.linkedin.com/in/kelleybrock")</f>
        <v>http://www.linkedin.com/in/kelleybrock</v>
      </c>
      <c r="I1669" s="2" t="s">
        <v>240</v>
      </c>
      <c r="J1669" s="2" t="s">
        <v>102</v>
      </c>
      <c r="K1669" s="2" t="s">
        <v>183</v>
      </c>
    </row>
    <row r="1670" ht="15.75" customHeight="1">
      <c r="A1670" s="2">
        <v>605733.0</v>
      </c>
      <c r="B1670" s="2" t="s">
        <v>4100</v>
      </c>
      <c r="C1670" s="2" t="s">
        <v>4101</v>
      </c>
      <c r="D1670" s="2" t="s">
        <v>400</v>
      </c>
      <c r="E1670" s="2" t="s">
        <v>4102</v>
      </c>
      <c r="F1670" s="2">
        <v>1.0</v>
      </c>
      <c r="G1670" s="2">
        <v>139.0</v>
      </c>
      <c r="H1670" s="3" t="str">
        <f>HYPERLINK("http://www.linkedin.com/pub/bigang-min/6/541/8B8","http://www.linkedin.com/pub/bigang-min/6/541/8B8")</f>
        <v>http://www.linkedin.com/pub/bigang-min/6/541/8B8</v>
      </c>
      <c r="I1670" s="2" t="s">
        <v>119</v>
      </c>
      <c r="J1670" s="2" t="s">
        <v>102</v>
      </c>
      <c r="K1670" s="2" t="s">
        <v>97</v>
      </c>
    </row>
    <row r="1671" ht="15.75" customHeight="1">
      <c r="A1671" s="2">
        <v>606916.0</v>
      </c>
      <c r="B1671" s="2" t="s">
        <v>3227</v>
      </c>
      <c r="C1671" s="2" t="s">
        <v>4103</v>
      </c>
      <c r="D1671" s="2" t="s">
        <v>13</v>
      </c>
      <c r="E1671" s="2" t="s">
        <v>136</v>
      </c>
      <c r="F1671" s="2">
        <v>0.0</v>
      </c>
      <c r="G1671" s="2">
        <v>500.0</v>
      </c>
      <c r="H1671" s="3" t="str">
        <f>HYPERLINK("http://www.linkedin.com/in/chadschneller","http://www.linkedin.com/in/chadschneller")</f>
        <v>http://www.linkedin.com/in/chadschneller</v>
      </c>
      <c r="I1671" s="2" t="s">
        <v>422</v>
      </c>
      <c r="J1671" s="2" t="s">
        <v>102</v>
      </c>
      <c r="K1671" s="2" t="s">
        <v>29</v>
      </c>
    </row>
    <row r="1672" ht="15.75" customHeight="1">
      <c r="A1672" s="2">
        <v>607447.0</v>
      </c>
      <c r="B1672" s="2" t="s">
        <v>275</v>
      </c>
      <c r="C1672" s="2" t="s">
        <v>4104</v>
      </c>
      <c r="D1672" s="2" t="s">
        <v>2705</v>
      </c>
      <c r="E1672" s="2" t="s">
        <v>301</v>
      </c>
      <c r="F1672" s="2">
        <v>3.0</v>
      </c>
      <c r="G1672" s="2">
        <v>242.0</v>
      </c>
      <c r="H1672" s="3" t="str">
        <f>HYPERLINK("http://www.linkedin.com/in/bernsmark","http://www.linkedin.com/in/bernsmark")</f>
        <v>http://www.linkedin.com/in/bernsmark</v>
      </c>
      <c r="I1672" s="2" t="s">
        <v>248</v>
      </c>
      <c r="J1672" s="2" t="s">
        <v>102</v>
      </c>
      <c r="K1672" s="2" t="s">
        <v>196</v>
      </c>
    </row>
    <row r="1673" ht="15.75" customHeight="1">
      <c r="A1673" s="2">
        <v>607453.0</v>
      </c>
      <c r="B1673" s="2" t="s">
        <v>275</v>
      </c>
      <c r="C1673" s="2" t="s">
        <v>4105</v>
      </c>
      <c r="D1673" s="2" t="s">
        <v>2331</v>
      </c>
      <c r="E1673" s="2" t="s">
        <v>1434</v>
      </c>
      <c r="F1673" s="2">
        <v>0.0</v>
      </c>
      <c r="G1673" s="2">
        <v>1.0</v>
      </c>
      <c r="H1673" s="3" t="str">
        <f>HYPERLINK("http://www.linkedin.com/pub/mark-brunette/6/374/B21","http://www.linkedin.com/pub/mark-brunette/6/374/B21")</f>
        <v>http://www.linkedin.com/pub/mark-brunette/6/374/B21</v>
      </c>
      <c r="I1673" s="2" t="s">
        <v>248</v>
      </c>
      <c r="J1673" s="2" t="s">
        <v>28</v>
      </c>
      <c r="K1673" s="2" t="s">
        <v>4106</v>
      </c>
    </row>
    <row r="1674" ht="15.75" customHeight="1">
      <c r="A1674" s="2">
        <v>607499.0</v>
      </c>
      <c r="B1674" s="2" t="s">
        <v>721</v>
      </c>
      <c r="C1674" s="2" t="s">
        <v>4107</v>
      </c>
      <c r="D1674" s="2" t="s">
        <v>4108</v>
      </c>
      <c r="E1674" s="2" t="s">
        <v>808</v>
      </c>
      <c r="F1674" s="2">
        <v>47.0</v>
      </c>
      <c r="G1674" s="2">
        <v>500.0</v>
      </c>
      <c r="H1674" s="3" t="str">
        <f>HYPERLINK("http://www.linkedin.com/in/andrewhalbeck","http://www.linkedin.com/in/andrewhalbeck")</f>
        <v>http://www.linkedin.com/in/andrewhalbeck</v>
      </c>
      <c r="I1674" s="2" t="s">
        <v>15</v>
      </c>
      <c r="J1674" s="2" t="s">
        <v>102</v>
      </c>
      <c r="K1674" s="2" t="s">
        <v>35</v>
      </c>
    </row>
    <row r="1675" ht="15.75" customHeight="1">
      <c r="A1675" s="2">
        <v>607511.0</v>
      </c>
      <c r="B1675" s="2" t="s">
        <v>4109</v>
      </c>
      <c r="C1675" s="2" t="s">
        <v>369</v>
      </c>
      <c r="D1675" s="2" t="s">
        <v>13</v>
      </c>
      <c r="E1675" s="2" t="s">
        <v>783</v>
      </c>
      <c r="F1675" s="2">
        <v>0.0</v>
      </c>
      <c r="G1675" s="2">
        <v>500.0</v>
      </c>
      <c r="H1675" s="3" t="str">
        <f>HYPERLINK("http://www.linkedin.com/pub/ravi-kant-sharma/6/635/975?trk=pub-pbmap","http://www.linkedin.com/pub/ravi-kant-sharma/6/635/975?trk=pub-pbmap")</f>
        <v>http://www.linkedin.com/pub/ravi-kant-sharma/6/635/975?trk=pub-pbmap</v>
      </c>
      <c r="I1675" s="2" t="s">
        <v>458</v>
      </c>
      <c r="J1675" s="2" t="s">
        <v>575</v>
      </c>
      <c r="K1675" s="2" t="s">
        <v>4110</v>
      </c>
    </row>
    <row r="1676" ht="15.75" customHeight="1">
      <c r="A1676" s="2">
        <v>607759.0</v>
      </c>
      <c r="B1676" s="2" t="s">
        <v>4111</v>
      </c>
      <c r="C1676" s="2" t="s">
        <v>3390</v>
      </c>
      <c r="D1676" s="2" t="s">
        <v>4112</v>
      </c>
      <c r="E1676" s="2" t="s">
        <v>235</v>
      </c>
      <c r="F1676" s="2">
        <v>5.0</v>
      </c>
      <c r="G1676" s="2">
        <v>500.0</v>
      </c>
      <c r="H1676" s="3" t="str">
        <f>HYPERLINK("http://www.linkedin.com/pub/asoka-ranaweera/2/945/266","http://www.linkedin.com/pub/asoka-ranaweera/2/945/266")</f>
        <v>http://www.linkedin.com/pub/asoka-ranaweera/2/945/266</v>
      </c>
      <c r="I1676" s="2" t="s">
        <v>115</v>
      </c>
      <c r="J1676" s="2" t="s">
        <v>102</v>
      </c>
      <c r="K1676" s="2" t="s">
        <v>58</v>
      </c>
    </row>
    <row r="1677" ht="15.75" customHeight="1">
      <c r="A1677" s="2">
        <v>608621.0</v>
      </c>
      <c r="B1677" s="2" t="s">
        <v>1684</v>
      </c>
      <c r="C1677" s="2" t="s">
        <v>4113</v>
      </c>
      <c r="D1677" s="2" t="s">
        <v>42</v>
      </c>
      <c r="E1677" s="2" t="s">
        <v>155</v>
      </c>
      <c r="F1677" s="2" t="s">
        <v>13</v>
      </c>
      <c r="G1677" s="2">
        <v>90.0</v>
      </c>
      <c r="H1677" s="3" t="str">
        <f>HYPERLINK("http://www.linkedin.com/pub/eddie-milla/6/700/2AB","http://www.linkedin.com/pub/eddie-milla/6/700/2AB")</f>
        <v>http://www.linkedin.com/pub/eddie-milla/6/700/2AB</v>
      </c>
      <c r="I1677" s="2" t="s">
        <v>1361</v>
      </c>
      <c r="J1677" s="2" t="s">
        <v>102</v>
      </c>
      <c r="K1677" s="2" t="s">
        <v>58</v>
      </c>
    </row>
    <row r="1678" ht="15.75" customHeight="1">
      <c r="A1678" s="2">
        <v>608991.0</v>
      </c>
      <c r="B1678" s="2" t="s">
        <v>2383</v>
      </c>
      <c r="C1678" s="2" t="s">
        <v>1153</v>
      </c>
      <c r="D1678" s="2" t="s">
        <v>4114</v>
      </c>
      <c r="E1678" s="2" t="s">
        <v>808</v>
      </c>
      <c r="F1678" s="2">
        <v>11.0</v>
      </c>
      <c r="G1678" s="2">
        <v>500.0</v>
      </c>
      <c r="H1678" s="3" t="str">
        <f>HYPERLINK("http://www.linkedin.com/in/tishawnb","http://www.linkedin.com/in/tishawnb")</f>
        <v>http://www.linkedin.com/in/tishawnb</v>
      </c>
      <c r="I1678" s="2" t="s">
        <v>119</v>
      </c>
      <c r="J1678" s="2" t="s">
        <v>102</v>
      </c>
      <c r="K1678" s="2" t="s">
        <v>97</v>
      </c>
    </row>
    <row r="1679" ht="15.75" customHeight="1">
      <c r="A1679" s="2">
        <v>609062.0</v>
      </c>
      <c r="B1679" s="2" t="s">
        <v>4115</v>
      </c>
      <c r="C1679" s="2" t="s">
        <v>4116</v>
      </c>
      <c r="D1679" s="2" t="s">
        <v>4117</v>
      </c>
      <c r="E1679" s="2" t="s">
        <v>2366</v>
      </c>
      <c r="F1679" s="2">
        <v>6.0</v>
      </c>
      <c r="G1679" s="2">
        <v>233.0</v>
      </c>
      <c r="H1679" s="3" t="str">
        <f>HYPERLINK("http://www.linkedin.com/pub/toschin-aquino/3/842/A38","http://www.linkedin.com/pub/toschin-aquino/3/842/A38")</f>
        <v>http://www.linkedin.com/pub/toschin-aquino/3/842/A38</v>
      </c>
      <c r="I1679" s="2" t="s">
        <v>1237</v>
      </c>
      <c r="J1679" s="2" t="s">
        <v>273</v>
      </c>
      <c r="K1679" s="2" t="s">
        <v>22</v>
      </c>
    </row>
    <row r="1680" ht="15.75" customHeight="1">
      <c r="A1680" s="2">
        <v>609915.0</v>
      </c>
      <c r="B1680" s="2" t="s">
        <v>4118</v>
      </c>
      <c r="C1680" s="2" t="s">
        <v>2021</v>
      </c>
      <c r="D1680" s="2" t="s">
        <v>13</v>
      </c>
      <c r="E1680" s="2" t="s">
        <v>136</v>
      </c>
      <c r="F1680" s="2">
        <v>7.0</v>
      </c>
      <c r="G1680" s="2">
        <v>500.0</v>
      </c>
      <c r="H1680" s="3" t="str">
        <f>HYPERLINK("http://www.linkedin.com/pub/wes-bailey/8/1b8/111","http://www.linkedin.com/pub/wes-bailey/8/1b8/111")</f>
        <v>http://www.linkedin.com/pub/wes-bailey/8/1b8/111</v>
      </c>
      <c r="I1680" s="2" t="s">
        <v>48</v>
      </c>
      <c r="J1680" s="2" t="s">
        <v>102</v>
      </c>
      <c r="K1680" s="2" t="s">
        <v>35</v>
      </c>
    </row>
    <row r="1681" ht="15.75" customHeight="1">
      <c r="A1681" s="2">
        <v>610272.0</v>
      </c>
      <c r="B1681" s="2" t="s">
        <v>3202</v>
      </c>
      <c r="C1681" s="2" t="s">
        <v>1077</v>
      </c>
      <c r="D1681" s="2"/>
      <c r="E1681" s="2" t="s">
        <v>1866</v>
      </c>
      <c r="F1681" s="2">
        <v>0.0</v>
      </c>
      <c r="G1681" s="2">
        <v>8.0</v>
      </c>
      <c r="H1681" s="3" t="str">
        <f>HYPERLINK("http://www.linkedin.com/pub/mitch-manning/1/BB2/362","http://www.linkedin.com/pub/mitch-manning/1/BB2/362")</f>
        <v>http://www.linkedin.com/pub/mitch-manning/1/BB2/362</v>
      </c>
      <c r="I1681" s="2" t="s">
        <v>69</v>
      </c>
      <c r="J1681" s="2" t="s">
        <v>1867</v>
      </c>
      <c r="K1681" s="2" t="s">
        <v>357</v>
      </c>
    </row>
    <row r="1682" ht="15.75" customHeight="1">
      <c r="A1682" s="2">
        <v>610675.0</v>
      </c>
      <c r="B1682" s="2" t="s">
        <v>3302</v>
      </c>
      <c r="C1682" s="2" t="s">
        <v>4119</v>
      </c>
      <c r="D1682" s="2" t="s">
        <v>4120</v>
      </c>
      <c r="E1682" s="2" t="s">
        <v>4121</v>
      </c>
      <c r="F1682" s="2">
        <v>0.0</v>
      </c>
      <c r="G1682" s="2">
        <v>1.0</v>
      </c>
      <c r="H1682" s="3" t="str">
        <f>HYPERLINK("http://www.linkedin.com/pub/cindy-gately-hall/6/4AB/904","http://www.linkedin.com/pub/cindy-gately-hall/6/4AB/904")</f>
        <v>http://www.linkedin.com/pub/cindy-gately-hall/6/4AB/904</v>
      </c>
      <c r="I1682" s="2" t="s">
        <v>306</v>
      </c>
      <c r="J1682" s="2" t="s">
        <v>102</v>
      </c>
      <c r="K1682" s="2" t="s">
        <v>22</v>
      </c>
    </row>
    <row r="1683" ht="15.75" customHeight="1">
      <c r="A1683" s="2">
        <v>611028.0</v>
      </c>
      <c r="B1683" s="2" t="s">
        <v>2567</v>
      </c>
      <c r="C1683" s="2" t="s">
        <v>1445</v>
      </c>
      <c r="D1683" s="2" t="s">
        <v>4122</v>
      </c>
      <c r="E1683" s="2" t="s">
        <v>4123</v>
      </c>
      <c r="F1683" s="2">
        <v>12.0</v>
      </c>
      <c r="G1683" s="2">
        <v>500.0</v>
      </c>
      <c r="H1683" s="3" t="str">
        <f>HYPERLINK("http://ca.linkedin.com/in/christophermarko","http://ca.linkedin.com/in/christophermarko")</f>
        <v>http://ca.linkedin.com/in/christophermarko</v>
      </c>
      <c r="I1683" s="2" t="s">
        <v>252</v>
      </c>
      <c r="J1683" s="2" t="s">
        <v>44</v>
      </c>
      <c r="K1683" s="2" t="s">
        <v>35</v>
      </c>
    </row>
    <row r="1684" ht="15.75" customHeight="1">
      <c r="A1684" s="2">
        <v>611476.0</v>
      </c>
      <c r="B1684" s="2" t="s">
        <v>3776</v>
      </c>
      <c r="C1684" s="2" t="s">
        <v>4124</v>
      </c>
      <c r="D1684" s="2" t="s">
        <v>4125</v>
      </c>
      <c r="E1684" s="2" t="s">
        <v>4126</v>
      </c>
      <c r="F1684" s="2" t="s">
        <v>13</v>
      </c>
      <c r="G1684" s="2">
        <v>238.0</v>
      </c>
      <c r="H1684" s="3" t="str">
        <f>HYPERLINK("http://mx.linkedin.com/pub/pedro-machado-solorzano/23/913/968","http://mx.linkedin.com/pub/pedro-machado-solorzano/23/913/968")</f>
        <v>http://mx.linkedin.com/pub/pedro-machado-solorzano/23/913/968</v>
      </c>
      <c r="I1684" s="2" t="s">
        <v>579</v>
      </c>
      <c r="J1684" s="2" t="s">
        <v>28</v>
      </c>
      <c r="K1684" s="2" t="s">
        <v>580</v>
      </c>
    </row>
    <row r="1685" ht="15.75" customHeight="1">
      <c r="A1685" s="2">
        <v>612128.0</v>
      </c>
      <c r="B1685" s="2" t="s">
        <v>752</v>
      </c>
      <c r="C1685" s="2" t="s">
        <v>4127</v>
      </c>
      <c r="D1685" s="2" t="s">
        <v>4128</v>
      </c>
      <c r="E1685" s="2" t="s">
        <v>166</v>
      </c>
      <c r="F1685" s="2">
        <v>1.0</v>
      </c>
      <c r="G1685" s="2">
        <v>122.0</v>
      </c>
      <c r="H1685" s="3" t="str">
        <f>HYPERLINK("http://www.linkedin.com/pub/jim-vales/2/234/990","http://www.linkedin.com/pub/jim-vales/2/234/990")</f>
        <v>http://www.linkedin.com/pub/jim-vales/2/234/990</v>
      </c>
      <c r="I1685" s="2" t="s">
        <v>15</v>
      </c>
      <c r="J1685" s="2" t="s">
        <v>102</v>
      </c>
      <c r="K1685" s="2" t="s">
        <v>35</v>
      </c>
    </row>
    <row r="1686" ht="15.75" customHeight="1">
      <c r="A1686" s="2">
        <v>612192.0</v>
      </c>
      <c r="B1686" s="2" t="s">
        <v>511</v>
      </c>
      <c r="C1686" s="2" t="s">
        <v>4129</v>
      </c>
      <c r="D1686" s="2" t="s">
        <v>410</v>
      </c>
      <c r="E1686" s="2" t="s">
        <v>301</v>
      </c>
      <c r="F1686" s="2">
        <v>2.0</v>
      </c>
      <c r="G1686" s="2">
        <v>500.0</v>
      </c>
      <c r="H1686" s="3" t="str">
        <f>HYPERLINK("http://www.linkedin.com/in/mikemabunay","http://www.linkedin.com/in/mikemabunay")</f>
        <v>http://www.linkedin.com/in/mikemabunay</v>
      </c>
      <c r="I1686" s="2" t="s">
        <v>77</v>
      </c>
      <c r="J1686" s="2" t="s">
        <v>102</v>
      </c>
      <c r="K1686" s="2" t="s">
        <v>97</v>
      </c>
    </row>
    <row r="1687" ht="15.75" customHeight="1">
      <c r="A1687" s="2">
        <v>612307.0</v>
      </c>
      <c r="B1687" s="2" t="s">
        <v>511</v>
      </c>
      <c r="C1687" s="2" t="s">
        <v>1646</v>
      </c>
      <c r="D1687" s="2" t="s">
        <v>4130</v>
      </c>
      <c r="E1687" s="2" t="s">
        <v>278</v>
      </c>
      <c r="F1687" s="2">
        <v>1.0</v>
      </c>
      <c r="G1687" s="2">
        <v>155.0</v>
      </c>
      <c r="H1687" s="3" t="str">
        <f>HYPERLINK("http://www.linkedin.com/pub/mike-snyder/1/6BB/923","http://www.linkedin.com/pub/mike-snyder/1/6BB/923")</f>
        <v>http://www.linkedin.com/pub/mike-snyder/1/6BB/923</v>
      </c>
      <c r="I1687" s="2" t="s">
        <v>195</v>
      </c>
      <c r="J1687" s="2" t="s">
        <v>28</v>
      </c>
      <c r="K1687" s="2" t="s">
        <v>168</v>
      </c>
    </row>
    <row r="1688" ht="15.75" customHeight="1">
      <c r="A1688" s="2">
        <v>612557.0</v>
      </c>
      <c r="B1688" s="2" t="s">
        <v>414</v>
      </c>
      <c r="C1688" s="2" t="s">
        <v>4131</v>
      </c>
      <c r="D1688" s="2" t="s">
        <v>347</v>
      </c>
      <c r="E1688" s="2" t="s">
        <v>278</v>
      </c>
      <c r="F1688" s="2">
        <v>0.0</v>
      </c>
      <c r="G1688" s="2">
        <v>91.0</v>
      </c>
      <c r="H1688" s="3" t="str">
        <f>HYPERLINK("http://www.linkedin.com/pub/tom-bauhan/6/5BB/28","http://www.linkedin.com/pub/tom-bauhan/6/5BB/28")</f>
        <v>http://www.linkedin.com/pub/tom-bauhan/6/5BB/28</v>
      </c>
      <c r="I1688" s="2" t="s">
        <v>4132</v>
      </c>
      <c r="J1688" s="2" t="s">
        <v>28</v>
      </c>
      <c r="K1688" s="2" t="s">
        <v>58</v>
      </c>
    </row>
    <row r="1689" ht="15.75" customHeight="1">
      <c r="A1689" s="2">
        <v>613306.0</v>
      </c>
      <c r="B1689" s="2" t="s">
        <v>4133</v>
      </c>
      <c r="C1689" s="2" t="s">
        <v>4134</v>
      </c>
      <c r="D1689" s="2" t="s">
        <v>400</v>
      </c>
      <c r="E1689" s="2" t="s">
        <v>136</v>
      </c>
      <c r="F1689" s="2">
        <v>3.0</v>
      </c>
      <c r="G1689" s="2">
        <v>391.0</v>
      </c>
      <c r="H1689" s="3" t="str">
        <f>HYPERLINK("http://www.linkedin.com/in/labibaboyd","http://www.linkedin.com/in/labibaboyd")</f>
        <v>http://www.linkedin.com/in/labibaboyd</v>
      </c>
      <c r="I1689" s="2" t="s">
        <v>326</v>
      </c>
      <c r="J1689" s="2" t="s">
        <v>102</v>
      </c>
      <c r="K1689" s="2" t="s">
        <v>58</v>
      </c>
    </row>
    <row r="1690" ht="15.75" customHeight="1">
      <c r="A1690" s="2">
        <v>613730.0</v>
      </c>
      <c r="B1690" s="2" t="s">
        <v>1004</v>
      </c>
      <c r="C1690" s="2" t="s">
        <v>2740</v>
      </c>
      <c r="D1690" s="2" t="s">
        <v>4135</v>
      </c>
      <c r="E1690" s="2" t="s">
        <v>1357</v>
      </c>
      <c r="F1690" s="2">
        <v>14.0</v>
      </c>
      <c r="G1690" s="2">
        <v>500.0</v>
      </c>
      <c r="H1690" s="3" t="str">
        <f>HYPERLINK("http://au.linkedin.com/in/scottstewartcio","http://au.linkedin.com/in/scottstewartcio")</f>
        <v>http://au.linkedin.com/in/scottstewartcio</v>
      </c>
      <c r="I1690" s="2" t="s">
        <v>15</v>
      </c>
      <c r="J1690" s="2" t="s">
        <v>337</v>
      </c>
      <c r="K1690" s="2" t="s">
        <v>35</v>
      </c>
    </row>
    <row r="1691" ht="15.75" customHeight="1">
      <c r="A1691" s="2">
        <v>614326.0</v>
      </c>
      <c r="B1691" s="2" t="s">
        <v>759</v>
      </c>
      <c r="C1691" s="2" t="s">
        <v>4136</v>
      </c>
      <c r="D1691" s="2" t="s">
        <v>42</v>
      </c>
      <c r="E1691" s="2" t="s">
        <v>3865</v>
      </c>
      <c r="F1691" s="2" t="s">
        <v>13</v>
      </c>
      <c r="G1691" s="2">
        <v>123.0</v>
      </c>
      <c r="H1691" s="3" t="str">
        <f>HYPERLINK("http://www.linkedin.com/pub/barbara-farnsworth/0/147/3BA","http://www.linkedin.com/pub/barbara-farnsworth/0/147/3BA")</f>
        <v>http://www.linkedin.com/pub/barbara-farnsworth/0/147/3BA</v>
      </c>
      <c r="I1691" s="2" t="s">
        <v>2285</v>
      </c>
      <c r="J1691" s="2" t="s">
        <v>102</v>
      </c>
      <c r="K1691" s="2" t="s">
        <v>58</v>
      </c>
    </row>
    <row r="1692" ht="15.75" customHeight="1">
      <c r="A1692" s="2">
        <v>615134.0</v>
      </c>
      <c r="B1692" s="2" t="s">
        <v>1617</v>
      </c>
      <c r="C1692" s="2" t="s">
        <v>4137</v>
      </c>
      <c r="D1692" s="2" t="s">
        <v>309</v>
      </c>
      <c r="E1692" s="2" t="s">
        <v>259</v>
      </c>
      <c r="F1692" s="2">
        <v>19.0</v>
      </c>
      <c r="G1692" s="2">
        <v>500.0</v>
      </c>
      <c r="H1692" s="3" t="str">
        <f>HYPERLINK("http://www.linkedin.com/in/ryanbuchanan","http://www.linkedin.com/in/ryanbuchanan")</f>
        <v>http://www.linkedin.com/in/ryanbuchanan</v>
      </c>
      <c r="I1692" s="2" t="s">
        <v>105</v>
      </c>
      <c r="J1692" s="2" t="s">
        <v>144</v>
      </c>
      <c r="K1692" s="2" t="s">
        <v>35</v>
      </c>
    </row>
    <row r="1693" ht="15.75" customHeight="1">
      <c r="A1693" s="2">
        <v>615210.0</v>
      </c>
      <c r="B1693" s="2" t="s">
        <v>991</v>
      </c>
      <c r="C1693" s="2" t="s">
        <v>4138</v>
      </c>
      <c r="D1693" s="2" t="s">
        <v>4139</v>
      </c>
      <c r="E1693" s="2" t="s">
        <v>39</v>
      </c>
      <c r="F1693" s="2">
        <v>1.0</v>
      </c>
      <c r="G1693" s="2">
        <v>500.0</v>
      </c>
      <c r="H1693" s="3" t="str">
        <f>HYPERLINK("http://br.linkedin.com/pub/graham-wallis/0/235/79A","http://br.linkedin.com/pub/graham-wallis/0/235/79A")</f>
        <v>http://br.linkedin.com/pub/graham-wallis/0/235/79A</v>
      </c>
      <c r="I1693" s="2" t="s">
        <v>15</v>
      </c>
      <c r="J1693" s="2" t="s">
        <v>34</v>
      </c>
      <c r="K1693" s="2" t="s">
        <v>35</v>
      </c>
    </row>
    <row r="1694" ht="15.75" customHeight="1">
      <c r="A1694" s="2">
        <v>615607.0</v>
      </c>
      <c r="B1694" s="2" t="s">
        <v>4140</v>
      </c>
      <c r="C1694" s="2" t="s">
        <v>4141</v>
      </c>
      <c r="D1694" s="2" t="s">
        <v>13</v>
      </c>
      <c r="E1694" s="2" t="s">
        <v>4142</v>
      </c>
      <c r="F1694" s="2">
        <v>0.0</v>
      </c>
      <c r="G1694" s="2">
        <v>500.0</v>
      </c>
      <c r="H1694" s="3" t="str">
        <f>HYPERLINK("http://www.linkedin.com/in/piotrkozlowski","http://www.linkedin.com/in/piotrkozlowski")</f>
        <v>http://www.linkedin.com/in/piotrkozlowski</v>
      </c>
      <c r="I1694" s="2" t="s">
        <v>69</v>
      </c>
      <c r="J1694" s="2" t="s">
        <v>3846</v>
      </c>
      <c r="K1694" s="2" t="s">
        <v>35</v>
      </c>
    </row>
    <row r="1695" ht="15.75" customHeight="1">
      <c r="A1695" s="2">
        <v>615914.0</v>
      </c>
      <c r="B1695" s="2" t="s">
        <v>4143</v>
      </c>
      <c r="C1695" s="2" t="s">
        <v>4144</v>
      </c>
      <c r="D1695" s="2"/>
      <c r="E1695" s="2" t="s">
        <v>136</v>
      </c>
      <c r="F1695" s="2" t="s">
        <v>13</v>
      </c>
      <c r="G1695" s="2">
        <v>500.0</v>
      </c>
      <c r="H1695" s="3" t="str">
        <f>HYPERLINK("http://www.linkedin.com/in/davidmchaney","http://www.linkedin.com/in/davidmchaney")</f>
        <v>http://www.linkedin.com/in/davidmchaney</v>
      </c>
      <c r="I1695" s="2" t="s">
        <v>57</v>
      </c>
      <c r="J1695" s="2" t="s">
        <v>102</v>
      </c>
      <c r="K1695" s="2" t="s">
        <v>58</v>
      </c>
    </row>
    <row r="1696" ht="15.75" customHeight="1">
      <c r="A1696" s="2">
        <v>616034.0</v>
      </c>
      <c r="B1696" s="2" t="s">
        <v>1019</v>
      </c>
      <c r="C1696" s="2" t="s">
        <v>4145</v>
      </c>
      <c r="D1696" s="2" t="s">
        <v>13</v>
      </c>
      <c r="E1696" s="2" t="s">
        <v>4146</v>
      </c>
      <c r="F1696" s="2">
        <v>0.0</v>
      </c>
      <c r="G1696" s="2">
        <v>500.0</v>
      </c>
      <c r="H1696" s="3" t="str">
        <f>HYPERLINK("http://www.linkedin.com/in/mstorms","http://www.linkedin.com/in/mstorms")</f>
        <v>http://www.linkedin.com/in/mstorms</v>
      </c>
      <c r="I1696" s="2" t="s">
        <v>182</v>
      </c>
      <c r="J1696" s="2" t="s">
        <v>102</v>
      </c>
      <c r="K1696" s="2" t="s">
        <v>138</v>
      </c>
    </row>
    <row r="1697" ht="15.75" customHeight="1">
      <c r="A1697" s="2">
        <v>616045.0</v>
      </c>
      <c r="B1697" s="2" t="s">
        <v>4147</v>
      </c>
      <c r="C1697" s="2" t="s">
        <v>4148</v>
      </c>
      <c r="D1697" s="2" t="s">
        <v>13</v>
      </c>
      <c r="E1697" s="2" t="s">
        <v>136</v>
      </c>
      <c r="F1697" s="2">
        <v>0.0</v>
      </c>
      <c r="G1697" s="2">
        <v>500.0</v>
      </c>
      <c r="H1697" s="3" t="str">
        <f>HYPERLINK("http://www.linkedin.com/pub/venkat-konda/0/77/1AA","http://www.linkedin.com/pub/venkat-konda/0/77/1AA")</f>
        <v>http://www.linkedin.com/pub/venkat-konda/0/77/1AA</v>
      </c>
      <c r="I1697" s="2" t="s">
        <v>119</v>
      </c>
      <c r="J1697" s="2" t="s">
        <v>102</v>
      </c>
      <c r="K1697" s="2" t="s">
        <v>97</v>
      </c>
    </row>
    <row r="1698" ht="15.75" customHeight="1">
      <c r="A1698" s="2">
        <v>616358.0</v>
      </c>
      <c r="B1698" s="2" t="s">
        <v>1757</v>
      </c>
      <c r="C1698" s="2" t="s">
        <v>4149</v>
      </c>
      <c r="D1698" s="2" t="s">
        <v>4150</v>
      </c>
      <c r="E1698" s="2" t="s">
        <v>166</v>
      </c>
      <c r="F1698" s="2" t="s">
        <v>13</v>
      </c>
      <c r="G1698" s="2">
        <v>500.0</v>
      </c>
      <c r="H1698" s="3" t="str">
        <f>HYPERLINK("http://www.linkedin.com/in/halknowlton","http://www.linkedin.com/in/halknowlton")</f>
        <v>http://www.linkedin.com/in/halknowlton</v>
      </c>
      <c r="I1698" s="2" t="s">
        <v>15</v>
      </c>
      <c r="J1698" s="2" t="s">
        <v>102</v>
      </c>
      <c r="K1698" s="2" t="s">
        <v>35</v>
      </c>
    </row>
    <row r="1699" ht="15.75" customHeight="1">
      <c r="A1699" s="2">
        <v>616544.0</v>
      </c>
      <c r="B1699" s="2" t="s">
        <v>2014</v>
      </c>
      <c r="C1699" s="2" t="s">
        <v>4151</v>
      </c>
      <c r="D1699" s="2" t="s">
        <v>4152</v>
      </c>
      <c r="E1699" s="2" t="s">
        <v>1041</v>
      </c>
      <c r="F1699" s="2" t="s">
        <v>13</v>
      </c>
      <c r="G1699" s="2">
        <v>500.0</v>
      </c>
      <c r="H1699" s="3" t="str">
        <f>HYPERLINK("http://www.linkedin.com/in/kenoberry","http://www.linkedin.com/in/kenoberry")</f>
        <v>http://www.linkedin.com/in/kenoberry</v>
      </c>
      <c r="I1699" s="2" t="s">
        <v>48</v>
      </c>
      <c r="J1699" s="2" t="s">
        <v>102</v>
      </c>
      <c r="K1699" s="2" t="s">
        <v>35</v>
      </c>
    </row>
    <row r="1700" ht="15.75" customHeight="1">
      <c r="A1700" s="2">
        <v>616587.0</v>
      </c>
      <c r="B1700" s="2" t="s">
        <v>460</v>
      </c>
      <c r="C1700" s="2" t="s">
        <v>313</v>
      </c>
      <c r="D1700" s="2" t="s">
        <v>4153</v>
      </c>
      <c r="E1700" s="2" t="s">
        <v>136</v>
      </c>
      <c r="F1700" s="2">
        <v>10.0</v>
      </c>
      <c r="G1700" s="2">
        <v>500.0</v>
      </c>
      <c r="H1700" s="3" t="str">
        <f>HYPERLINK("http://www.linkedin.com/pub/john-lee/0/484/997","http://www.linkedin.com/pub/john-lee/0/484/997")</f>
        <v>http://www.linkedin.com/pub/john-lee/0/484/997</v>
      </c>
      <c r="I1700" s="2" t="s">
        <v>119</v>
      </c>
      <c r="J1700" s="2" t="s">
        <v>102</v>
      </c>
      <c r="K1700" s="2" t="s">
        <v>97</v>
      </c>
    </row>
    <row r="1701" ht="15.75" customHeight="1">
      <c r="A1701" s="2">
        <v>616638.0</v>
      </c>
      <c r="B1701" s="2" t="s">
        <v>4154</v>
      </c>
      <c r="C1701" s="2" t="s">
        <v>4155</v>
      </c>
      <c r="D1701" s="2" t="s">
        <v>4156</v>
      </c>
      <c r="E1701" s="2" t="s">
        <v>39</v>
      </c>
      <c r="F1701" s="2" t="s">
        <v>13</v>
      </c>
      <c r="G1701" s="2">
        <v>500.0</v>
      </c>
      <c r="H1701" s="3" t="str">
        <f>HYPERLINK("http://br.linkedin.com/in/ericorabanea","http://br.linkedin.com/in/ericorabanea")</f>
        <v>http://br.linkedin.com/in/ericorabanea</v>
      </c>
      <c r="I1701" s="2" t="s">
        <v>374</v>
      </c>
      <c r="J1701" s="2" t="s">
        <v>34</v>
      </c>
      <c r="K1701" s="2" t="s">
        <v>58</v>
      </c>
    </row>
    <row r="1702" ht="15.75" customHeight="1">
      <c r="A1702" s="2">
        <v>616660.0</v>
      </c>
      <c r="B1702" s="2" t="s">
        <v>4157</v>
      </c>
      <c r="C1702" s="2" t="s">
        <v>4158</v>
      </c>
      <c r="D1702" s="2" t="s">
        <v>4159</v>
      </c>
      <c r="E1702" s="2" t="s">
        <v>744</v>
      </c>
      <c r="F1702" s="2">
        <v>14.0</v>
      </c>
      <c r="G1702" s="2">
        <v>500.0</v>
      </c>
      <c r="H1702" s="3" t="str">
        <f>HYPERLINK("http://www.linkedin.com/in/marysieck","http://www.linkedin.com/in/marysieck")</f>
        <v>http://www.linkedin.com/in/marysieck</v>
      </c>
      <c r="I1702" s="2" t="s">
        <v>279</v>
      </c>
      <c r="J1702" s="2" t="s">
        <v>102</v>
      </c>
      <c r="K1702" s="2" t="s">
        <v>58</v>
      </c>
    </row>
    <row r="1703" ht="15.75" customHeight="1">
      <c r="A1703" s="2">
        <v>617058.0</v>
      </c>
      <c r="B1703" s="2" t="s">
        <v>2156</v>
      </c>
      <c r="C1703" s="2" t="s">
        <v>4160</v>
      </c>
      <c r="D1703" s="2"/>
      <c r="E1703" s="2" t="s">
        <v>574</v>
      </c>
      <c r="F1703" s="2">
        <v>0.0</v>
      </c>
      <c r="G1703" s="2">
        <v>500.0</v>
      </c>
      <c r="H1703" s="3" t="str">
        <f>HYPERLINK("http://www.linkedin.com/pub/sanjay-jalona/0/545/1A9","http://www.linkedin.com/pub/sanjay-jalona/0/545/1A9")</f>
        <v>http://www.linkedin.com/pub/sanjay-jalona/0/545/1A9</v>
      </c>
      <c r="I1703" s="2" t="s">
        <v>15</v>
      </c>
      <c r="J1703" s="2" t="s">
        <v>575</v>
      </c>
      <c r="K1703" s="2" t="s">
        <v>22</v>
      </c>
    </row>
    <row r="1704" ht="15.75" customHeight="1">
      <c r="A1704" s="2">
        <v>617436.0</v>
      </c>
      <c r="B1704" s="2" t="s">
        <v>275</v>
      </c>
      <c r="C1704" s="2" t="s">
        <v>4161</v>
      </c>
      <c r="D1704" s="2" t="s">
        <v>4026</v>
      </c>
      <c r="E1704" s="2" t="s">
        <v>4162</v>
      </c>
      <c r="F1704" s="2">
        <v>0.0</v>
      </c>
      <c r="G1704" s="2">
        <v>500.0</v>
      </c>
      <c r="H1704" s="3" t="str">
        <f>HYPERLINK("http://www.linkedin.com/in/markeisner","http://www.linkedin.com/in/markeisner")</f>
        <v>http://www.linkedin.com/in/markeisner</v>
      </c>
      <c r="I1704" s="2" t="s">
        <v>188</v>
      </c>
      <c r="J1704" s="2" t="s">
        <v>102</v>
      </c>
      <c r="K1704" s="2" t="s">
        <v>357</v>
      </c>
    </row>
    <row r="1705" ht="15.75" customHeight="1">
      <c r="A1705" s="2">
        <v>617573.0</v>
      </c>
      <c r="B1705" s="2" t="s">
        <v>2457</v>
      </c>
      <c r="C1705" s="2" t="s">
        <v>4163</v>
      </c>
      <c r="D1705" s="2" t="s">
        <v>4164</v>
      </c>
      <c r="E1705" s="2" t="s">
        <v>4165</v>
      </c>
      <c r="F1705" s="2">
        <v>2.0</v>
      </c>
      <c r="G1705" s="2">
        <v>307.0</v>
      </c>
      <c r="H1705" s="3" t="str">
        <f>HYPERLINK("http://www.linkedin.com/pub/stephen-rogers/0/2/246","http://www.linkedin.com/pub/stephen-rogers/0/2/246")</f>
        <v>http://www.linkedin.com/pub/stephen-rogers/0/2/246</v>
      </c>
      <c r="I1705" s="2" t="s">
        <v>48</v>
      </c>
      <c r="J1705" s="2" t="s">
        <v>144</v>
      </c>
      <c r="K1705" s="2" t="s">
        <v>4166</v>
      </c>
    </row>
    <row r="1706" ht="15.75" customHeight="1">
      <c r="A1706" s="2">
        <v>617592.0</v>
      </c>
      <c r="B1706" s="2" t="s">
        <v>4167</v>
      </c>
      <c r="C1706" s="2" t="s">
        <v>4168</v>
      </c>
      <c r="D1706" s="2" t="s">
        <v>42</v>
      </c>
      <c r="E1706" s="2" t="s">
        <v>748</v>
      </c>
      <c r="F1706" s="2" t="s">
        <v>13</v>
      </c>
      <c r="G1706" s="2">
        <v>163.0</v>
      </c>
      <c r="H1706" s="3" t="str">
        <f>HYPERLINK("http://www.linkedin.com/pub/mindy-littman-holland/0/313/846","http://www.linkedin.com/pub/mindy-littman-holland/0/313/846")</f>
        <v>http://www.linkedin.com/pub/mindy-littman-holland/0/313/846</v>
      </c>
      <c r="I1706" s="2" t="s">
        <v>844</v>
      </c>
      <c r="J1706" s="2" t="s">
        <v>28</v>
      </c>
      <c r="K1706" s="2" t="s">
        <v>522</v>
      </c>
    </row>
    <row r="1707" ht="15.75" customHeight="1">
      <c r="A1707" s="2">
        <v>617773.0</v>
      </c>
      <c r="B1707" s="2" t="s">
        <v>249</v>
      </c>
      <c r="C1707" s="2" t="s">
        <v>2892</v>
      </c>
      <c r="D1707" s="2" t="s">
        <v>4169</v>
      </c>
      <c r="E1707" s="2" t="s">
        <v>1956</v>
      </c>
      <c r="F1707" s="2">
        <v>9.0</v>
      </c>
      <c r="G1707" s="2">
        <v>500.0</v>
      </c>
      <c r="H1707" s="3" t="str">
        <f>HYPERLINK("http://www.linkedin.com/pub/melinda-sousa/0/409/90","http://www.linkedin.com/pub/melinda-sousa/0/409/90")</f>
        <v>http://www.linkedin.com/pub/melinda-sousa/0/409/90</v>
      </c>
      <c r="I1707" s="2" t="s">
        <v>560</v>
      </c>
      <c r="J1707" s="2" t="s">
        <v>273</v>
      </c>
      <c r="K1707" s="2" t="s">
        <v>3174</v>
      </c>
    </row>
    <row r="1708" ht="15.75" customHeight="1">
      <c r="A1708" s="2">
        <v>617865.0</v>
      </c>
      <c r="B1708" s="2" t="s">
        <v>4170</v>
      </c>
      <c r="C1708" s="2" t="s">
        <v>4171</v>
      </c>
      <c r="D1708" s="2" t="s">
        <v>4172</v>
      </c>
      <c r="E1708" s="2" t="s">
        <v>136</v>
      </c>
      <c r="F1708" s="2">
        <v>28.0</v>
      </c>
      <c r="G1708" s="2">
        <v>500.0</v>
      </c>
      <c r="H1708" s="3" t="str">
        <f>HYPERLINK("http://www.linkedin.com/in/coreysommers","http://www.linkedin.com/in/coreysommers")</f>
        <v>http://www.linkedin.com/in/coreysommers</v>
      </c>
      <c r="I1708" s="2" t="s">
        <v>1390</v>
      </c>
      <c r="J1708" s="2" t="s">
        <v>102</v>
      </c>
      <c r="K1708" s="2" t="s">
        <v>35</v>
      </c>
    </row>
    <row r="1709" ht="15.75" customHeight="1">
      <c r="A1709" s="2">
        <v>617949.0</v>
      </c>
      <c r="B1709" s="2" t="s">
        <v>275</v>
      </c>
      <c r="C1709" s="2" t="s">
        <v>4173</v>
      </c>
      <c r="D1709" s="2" t="s">
        <v>13</v>
      </c>
      <c r="E1709" s="2" t="s">
        <v>4174</v>
      </c>
      <c r="F1709" s="2">
        <v>3.0</v>
      </c>
      <c r="G1709" s="2">
        <v>500.0</v>
      </c>
      <c r="H1709" s="3" t="str">
        <f>HYPERLINK("http://www.linkedin.com/in/markkofman","http://www.linkedin.com/in/markkofman")</f>
        <v>http://www.linkedin.com/in/markkofman</v>
      </c>
      <c r="I1709" s="2" t="s">
        <v>48</v>
      </c>
      <c r="J1709" s="2" t="s">
        <v>102</v>
      </c>
      <c r="K1709" s="2" t="s">
        <v>35</v>
      </c>
    </row>
    <row r="1710" ht="15.75" customHeight="1">
      <c r="A1710" s="2">
        <v>618106.0</v>
      </c>
      <c r="B1710" s="2" t="s">
        <v>4175</v>
      </c>
      <c r="C1710" s="2" t="s">
        <v>820</v>
      </c>
      <c r="D1710" s="2" t="s">
        <v>42</v>
      </c>
      <c r="E1710" s="2" t="s">
        <v>808</v>
      </c>
      <c r="F1710" s="2">
        <v>4.0</v>
      </c>
      <c r="G1710" s="2">
        <v>437.0</v>
      </c>
      <c r="H1710" s="3" t="str">
        <f>HYPERLINK("http://www.linkedin.com/pub/win-moore/1/452/555","http://www.linkedin.com/pub/win-moore/1/452/555")</f>
        <v>http://www.linkedin.com/pub/win-moore/1/452/555</v>
      </c>
      <c r="I1710" s="2" t="s">
        <v>1931</v>
      </c>
      <c r="J1710" s="2" t="s">
        <v>102</v>
      </c>
      <c r="K1710" s="2" t="s">
        <v>29</v>
      </c>
    </row>
    <row r="1711" ht="15.75" customHeight="1">
      <c r="A1711" s="2">
        <v>618427.0</v>
      </c>
      <c r="B1711" s="2" t="s">
        <v>710</v>
      </c>
      <c r="C1711" s="2" t="s">
        <v>4176</v>
      </c>
      <c r="D1711" s="2" t="s">
        <v>100</v>
      </c>
      <c r="E1711" s="2" t="s">
        <v>136</v>
      </c>
      <c r="F1711" s="2">
        <v>15.0</v>
      </c>
      <c r="G1711" s="2">
        <v>500.0</v>
      </c>
      <c r="H1711" s="3" t="str">
        <f>HYPERLINK("http://www.linkedin.com/in/jasonlammers","http://www.linkedin.com/in/jasonlammers")</f>
        <v>http://www.linkedin.com/in/jasonlammers</v>
      </c>
      <c r="I1711" s="2" t="s">
        <v>248</v>
      </c>
      <c r="J1711" s="2" t="s">
        <v>102</v>
      </c>
      <c r="K1711" s="2" t="s">
        <v>196</v>
      </c>
    </row>
    <row r="1712" ht="15.75" customHeight="1">
      <c r="A1712" s="2">
        <v>618439.0</v>
      </c>
      <c r="B1712" s="2" t="s">
        <v>1173</v>
      </c>
      <c r="C1712" s="2" t="s">
        <v>4177</v>
      </c>
      <c r="D1712" s="2" t="s">
        <v>4178</v>
      </c>
      <c r="E1712" s="2" t="s">
        <v>1615</v>
      </c>
      <c r="F1712" s="2">
        <v>14.0</v>
      </c>
      <c r="G1712" s="2">
        <v>500.0</v>
      </c>
      <c r="H1712" s="3" t="str">
        <f>HYPERLINK("http://www.linkedin.com/in/stevegersten","http://www.linkedin.com/in/stevegersten")</f>
        <v>http://www.linkedin.com/in/stevegersten</v>
      </c>
      <c r="I1712" s="2" t="s">
        <v>48</v>
      </c>
      <c r="J1712" s="2" t="s">
        <v>102</v>
      </c>
      <c r="K1712" s="2" t="s">
        <v>35</v>
      </c>
    </row>
    <row r="1713" ht="15.75" customHeight="1">
      <c r="A1713" s="2">
        <v>618864.0</v>
      </c>
      <c r="B1713" s="2" t="s">
        <v>793</v>
      </c>
      <c r="C1713" s="2" t="s">
        <v>4179</v>
      </c>
      <c r="D1713" s="2" t="s">
        <v>4180</v>
      </c>
      <c r="E1713" s="2" t="s">
        <v>142</v>
      </c>
      <c r="F1713" s="2">
        <v>1.0</v>
      </c>
      <c r="G1713" s="2">
        <v>500.0</v>
      </c>
      <c r="H1713" s="3" t="str">
        <f>HYPERLINK("http://www.linkedin.com/pub/ray-weber/7/600/18B","http://www.linkedin.com/pub/ray-weber/7/600/18B")</f>
        <v>http://www.linkedin.com/pub/ray-weber/7/600/18B</v>
      </c>
      <c r="I1713" s="2" t="s">
        <v>279</v>
      </c>
      <c r="J1713" s="2" t="s">
        <v>144</v>
      </c>
      <c r="K1713" s="2" t="s">
        <v>22</v>
      </c>
    </row>
    <row r="1714" ht="15.75" customHeight="1">
      <c r="A1714" s="2">
        <v>618966.0</v>
      </c>
      <c r="B1714" s="2" t="s">
        <v>4181</v>
      </c>
      <c r="C1714" s="2" t="s">
        <v>4182</v>
      </c>
      <c r="D1714" s="2" t="s">
        <v>108</v>
      </c>
      <c r="E1714" s="2" t="s">
        <v>301</v>
      </c>
      <c r="F1714" s="2">
        <v>4.0</v>
      </c>
      <c r="G1714" s="2">
        <v>500.0</v>
      </c>
      <c r="H1714" s="3" t="str">
        <f>HYPERLINK("http://www.linkedin.com/in/beaufour","http://www.linkedin.com/in/beaufour")</f>
        <v>http://www.linkedin.com/in/beaufour</v>
      </c>
      <c r="I1714" s="2" t="s">
        <v>48</v>
      </c>
      <c r="J1714" s="2" t="s">
        <v>102</v>
      </c>
      <c r="K1714" s="2" t="s">
        <v>35</v>
      </c>
    </row>
    <row r="1715" ht="15.75" customHeight="1">
      <c r="A1715" s="2">
        <v>619108.0</v>
      </c>
      <c r="B1715" s="2" t="s">
        <v>4183</v>
      </c>
      <c r="C1715" s="2" t="s">
        <v>4184</v>
      </c>
      <c r="D1715" s="2" t="s">
        <v>100</v>
      </c>
      <c r="E1715" s="2" t="s">
        <v>181</v>
      </c>
      <c r="F1715" s="2">
        <v>0.0</v>
      </c>
      <c r="G1715" s="2">
        <v>423.0</v>
      </c>
      <c r="H1715" s="3" t="str">
        <f>HYPERLINK("http://www.linkedin.com/in/kennethlutz","http://www.linkedin.com/in/kennethlutz")</f>
        <v>http://www.linkedin.com/in/kennethlutz</v>
      </c>
      <c r="I1715" s="2" t="s">
        <v>240</v>
      </c>
      <c r="J1715" s="2" t="s">
        <v>102</v>
      </c>
      <c r="K1715" s="2" t="s">
        <v>183</v>
      </c>
    </row>
    <row r="1716" ht="15.75" customHeight="1">
      <c r="A1716" s="2">
        <v>619120.0</v>
      </c>
      <c r="B1716" s="2" t="s">
        <v>4185</v>
      </c>
      <c r="C1716" s="2" t="s">
        <v>4186</v>
      </c>
      <c r="D1716" s="2" t="s">
        <v>4187</v>
      </c>
      <c r="E1716" s="2" t="s">
        <v>301</v>
      </c>
      <c r="F1716" s="2" t="s">
        <v>13</v>
      </c>
      <c r="G1716" s="2">
        <v>500.0</v>
      </c>
      <c r="H1716" s="3" t="str">
        <f>HYPERLINK("http://www.linkedin.com/in/corirosoff","http://www.linkedin.com/in/corirosoff")</f>
        <v>http://www.linkedin.com/in/corirosoff</v>
      </c>
      <c r="I1716" s="2" t="s">
        <v>69</v>
      </c>
      <c r="J1716" s="2" t="s">
        <v>102</v>
      </c>
      <c r="K1716" s="2" t="s">
        <v>35</v>
      </c>
    </row>
    <row r="1717" ht="15.75" customHeight="1">
      <c r="A1717" s="2">
        <v>619468.0</v>
      </c>
      <c r="B1717" s="2" t="s">
        <v>4188</v>
      </c>
      <c r="C1717" s="2" t="s">
        <v>2544</v>
      </c>
      <c r="D1717" s="2"/>
      <c r="E1717" s="2" t="s">
        <v>2835</v>
      </c>
      <c r="F1717" s="2">
        <v>0.0</v>
      </c>
      <c r="G1717" s="2">
        <v>96.0</v>
      </c>
      <c r="H1717" s="3" t="str">
        <f>HYPERLINK("http://www.linkedin.com/pub/sonny-barber/0/287/B9","http://www.linkedin.com/pub/sonny-barber/0/287/B9")</f>
        <v>http://www.linkedin.com/pub/sonny-barber/0/287/B9</v>
      </c>
      <c r="I1717" s="2" t="s">
        <v>422</v>
      </c>
      <c r="J1717" s="2" t="s">
        <v>273</v>
      </c>
      <c r="K1717" s="2" t="s">
        <v>58</v>
      </c>
    </row>
    <row r="1718" ht="15.75" customHeight="1">
      <c r="A1718" s="2">
        <v>620530.0</v>
      </c>
      <c r="B1718" s="2" t="s">
        <v>3441</v>
      </c>
      <c r="C1718" s="2" t="s">
        <v>4189</v>
      </c>
      <c r="D1718" s="2"/>
      <c r="E1718" s="2" t="s">
        <v>748</v>
      </c>
      <c r="F1718" s="2">
        <v>0.0</v>
      </c>
      <c r="G1718" s="2">
        <v>500.0</v>
      </c>
      <c r="H1718" s="3" t="str">
        <f>HYPERLINK("http://www.linkedin.com/pub/elizabeth-cesarano/1/A85/1A","http://www.linkedin.com/pub/elizabeth-cesarano/1/A85/1A")</f>
        <v>http://www.linkedin.com/pub/elizabeth-cesarano/1/A85/1A</v>
      </c>
      <c r="I1718" s="2" t="s">
        <v>1094</v>
      </c>
      <c r="J1718" s="2" t="s">
        <v>28</v>
      </c>
      <c r="K1718" s="2" t="s">
        <v>196</v>
      </c>
    </row>
    <row r="1719" ht="15.75" customHeight="1">
      <c r="A1719" s="2">
        <v>621147.0</v>
      </c>
      <c r="B1719" s="2" t="s">
        <v>4190</v>
      </c>
      <c r="C1719" s="2" t="s">
        <v>4191</v>
      </c>
      <c r="D1719" s="2" t="s">
        <v>13</v>
      </c>
      <c r="E1719" s="2" t="s">
        <v>64</v>
      </c>
      <c r="F1719" s="2">
        <v>22.0</v>
      </c>
      <c r="G1719" s="2">
        <v>500.0</v>
      </c>
      <c r="H1719" s="3" t="str">
        <f>HYPERLINK("http://www.linkedin.com/in/gregherbe","http://www.linkedin.com/in/gregherbe")</f>
        <v>http://www.linkedin.com/in/gregherbe</v>
      </c>
      <c r="I1719" s="2" t="s">
        <v>69</v>
      </c>
      <c r="J1719" s="2" t="s">
        <v>65</v>
      </c>
      <c r="K1719" s="2" t="s">
        <v>196</v>
      </c>
    </row>
    <row r="1720" ht="15.75" customHeight="1">
      <c r="A1720" s="2">
        <v>621439.0</v>
      </c>
      <c r="B1720" s="2" t="s">
        <v>784</v>
      </c>
      <c r="C1720" s="2" t="s">
        <v>4192</v>
      </c>
      <c r="D1720" s="2" t="s">
        <v>42</v>
      </c>
      <c r="E1720" s="2" t="s">
        <v>407</v>
      </c>
      <c r="F1720" s="2" t="s">
        <v>13</v>
      </c>
      <c r="G1720" s="2">
        <v>500.0</v>
      </c>
      <c r="H1720" s="3" t="str">
        <f>HYPERLINK("http://www.linkedin.com/pub/jeff-perlman/2/3B3/36","http://www.linkedin.com/pub/jeff-perlman/2/3B3/36")</f>
        <v>http://www.linkedin.com/pub/jeff-perlman/2/3B3/36</v>
      </c>
      <c r="I1720" s="2" t="s">
        <v>612</v>
      </c>
      <c r="J1720" s="2" t="s">
        <v>102</v>
      </c>
      <c r="K1720" s="2" t="s">
        <v>58</v>
      </c>
    </row>
    <row r="1721" ht="15.75" customHeight="1">
      <c r="A1721" s="2">
        <v>621579.0</v>
      </c>
      <c r="B1721" s="2" t="s">
        <v>275</v>
      </c>
      <c r="C1721" s="2" t="s">
        <v>4193</v>
      </c>
      <c r="D1721" s="2" t="s">
        <v>13</v>
      </c>
      <c r="E1721" s="2" t="s">
        <v>4146</v>
      </c>
      <c r="F1721" s="2">
        <v>0.0</v>
      </c>
      <c r="G1721" s="2">
        <v>500.0</v>
      </c>
      <c r="H1721" s="3" t="str">
        <f>HYPERLINK("http://www.linkedin.com/in/gehringmark","http://www.linkedin.com/in/gehringmark")</f>
        <v>http://www.linkedin.com/in/gehringmark</v>
      </c>
      <c r="I1721" s="2" t="s">
        <v>15</v>
      </c>
      <c r="J1721" s="2" t="s">
        <v>102</v>
      </c>
      <c r="K1721" s="2" t="s">
        <v>35</v>
      </c>
    </row>
    <row r="1722" ht="15.75" customHeight="1">
      <c r="A1722" s="2">
        <v>622166.0</v>
      </c>
      <c r="B1722" s="2" t="s">
        <v>4194</v>
      </c>
      <c r="C1722" s="2" t="s">
        <v>4195</v>
      </c>
      <c r="D1722" s="2" t="s">
        <v>498</v>
      </c>
      <c r="E1722" s="2" t="s">
        <v>1351</v>
      </c>
      <c r="F1722" s="2">
        <v>2.0</v>
      </c>
      <c r="G1722" s="2">
        <v>298.0</v>
      </c>
      <c r="H1722" s="3" t="str">
        <f>HYPERLINK("http://www.linkedin.com/pub/hunaid-baliwala/7/308/5B7","http://www.linkedin.com/pub/hunaid-baliwala/7/308/5B7")</f>
        <v>http://www.linkedin.com/pub/hunaid-baliwala/7/308/5B7</v>
      </c>
      <c r="I1722" s="2" t="s">
        <v>2725</v>
      </c>
      <c r="J1722" s="2" t="s">
        <v>1353</v>
      </c>
      <c r="K1722" s="2" t="s">
        <v>35</v>
      </c>
    </row>
    <row r="1723" ht="15.75" customHeight="1">
      <c r="A1723" s="2">
        <v>622296.0</v>
      </c>
      <c r="B1723" s="2" t="s">
        <v>4196</v>
      </c>
      <c r="C1723" s="2" t="s">
        <v>4197</v>
      </c>
      <c r="D1723" s="2" t="s">
        <v>13</v>
      </c>
      <c r="E1723" s="2" t="s">
        <v>3329</v>
      </c>
      <c r="F1723" s="2">
        <v>0.0</v>
      </c>
      <c r="G1723" s="2">
        <v>500.0</v>
      </c>
      <c r="H1723" s="3" t="str">
        <f>HYPERLINK("http://www.linkedin.com/pub/lodovico-marenco/0/338/5b4","http://www.linkedin.com/pub/lodovico-marenco/0/338/5b4")</f>
        <v>http://www.linkedin.com/pub/lodovico-marenco/0/338/5b4</v>
      </c>
      <c r="I1723" s="2" t="s">
        <v>69</v>
      </c>
      <c r="J1723" s="2" t="s">
        <v>2258</v>
      </c>
      <c r="K1723" s="2" t="s">
        <v>35</v>
      </c>
    </row>
    <row r="1724" ht="15.75" customHeight="1">
      <c r="A1724" s="2">
        <v>623204.0</v>
      </c>
      <c r="B1724" s="2" t="s">
        <v>677</v>
      </c>
      <c r="C1724" s="2" t="s">
        <v>4198</v>
      </c>
      <c r="D1724" s="2" t="s">
        <v>4199</v>
      </c>
      <c r="E1724" s="2" t="s">
        <v>3005</v>
      </c>
      <c r="F1724" s="2" t="s">
        <v>13</v>
      </c>
      <c r="G1724" s="2">
        <v>500.0</v>
      </c>
      <c r="H1724" s="3" t="str">
        <f>HYPERLINK("http://www.linkedin.com/in/danieldesha","http://www.linkedin.com/in/danieldesha")</f>
        <v>http://www.linkedin.com/in/danieldesha</v>
      </c>
      <c r="I1724" s="2" t="s">
        <v>27</v>
      </c>
      <c r="J1724" s="2" t="s">
        <v>102</v>
      </c>
      <c r="K1724" s="2" t="s">
        <v>58</v>
      </c>
    </row>
    <row r="1725" ht="15.75" customHeight="1">
      <c r="A1725" s="2">
        <v>623376.0</v>
      </c>
      <c r="B1725" s="2" t="s">
        <v>1362</v>
      </c>
      <c r="C1725" s="2" t="s">
        <v>4200</v>
      </c>
      <c r="D1725" s="2" t="s">
        <v>42</v>
      </c>
      <c r="E1725" s="2" t="s">
        <v>301</v>
      </c>
      <c r="F1725" s="2" t="s">
        <v>13</v>
      </c>
      <c r="G1725" s="2">
        <v>152.0</v>
      </c>
      <c r="H1725" s="3" t="str">
        <f>HYPERLINK("http://www.linkedin.com/pub/william-collier/3/1B7/168","http://www.linkedin.com/pub/william-collier/3/1B7/168")</f>
        <v>http://www.linkedin.com/pub/william-collier/3/1B7/168</v>
      </c>
      <c r="I1725" s="2" t="s">
        <v>48</v>
      </c>
      <c r="J1725" s="2" t="s">
        <v>102</v>
      </c>
      <c r="K1725" s="2" t="s">
        <v>35</v>
      </c>
    </row>
    <row r="1726" ht="15.75" customHeight="1">
      <c r="A1726" s="2">
        <v>623551.0</v>
      </c>
      <c r="B1726" s="2" t="s">
        <v>862</v>
      </c>
      <c r="C1726" s="2" t="s">
        <v>4201</v>
      </c>
      <c r="D1726" s="2" t="s">
        <v>4202</v>
      </c>
      <c r="E1726" s="2" t="s">
        <v>4203</v>
      </c>
      <c r="F1726" s="2" t="s">
        <v>13</v>
      </c>
      <c r="G1726" s="2">
        <v>464.0</v>
      </c>
      <c r="H1726" s="3" t="str">
        <f>HYPERLINK("http://www.linkedin.com/pub/gabriel-reggio/15/999/359","http://www.linkedin.com/pub/gabriel-reggio/15/999/359")</f>
        <v>http://www.linkedin.com/pub/gabriel-reggio/15/999/359</v>
      </c>
      <c r="I1726" s="2" t="s">
        <v>612</v>
      </c>
      <c r="J1726" s="2" t="s">
        <v>1803</v>
      </c>
      <c r="K1726" s="2" t="s">
        <v>168</v>
      </c>
    </row>
    <row r="1727" ht="15.75" customHeight="1">
      <c r="A1727" s="2">
        <v>623846.0</v>
      </c>
      <c r="B1727" s="2" t="s">
        <v>460</v>
      </c>
      <c r="C1727" s="2" t="s">
        <v>4204</v>
      </c>
      <c r="D1727" s="2" t="s">
        <v>841</v>
      </c>
      <c r="E1727" s="2" t="s">
        <v>142</v>
      </c>
      <c r="F1727" s="2">
        <v>0.0</v>
      </c>
      <c r="G1727" s="2">
        <v>500.0</v>
      </c>
      <c r="H1727" s="3" t="str">
        <f>HYPERLINK("http://www.linkedin.com/in/jbarragan","http://www.linkedin.com/in/jbarragan")</f>
        <v>http://www.linkedin.com/in/jbarragan</v>
      </c>
      <c r="I1727" s="2" t="s">
        <v>279</v>
      </c>
      <c r="J1727" s="2" t="s">
        <v>144</v>
      </c>
      <c r="K1727" s="2" t="s">
        <v>58</v>
      </c>
    </row>
    <row r="1728" ht="15.75" customHeight="1">
      <c r="A1728" s="2">
        <v>623934.0</v>
      </c>
      <c r="B1728" s="2" t="s">
        <v>3217</v>
      </c>
      <c r="C1728" s="2" t="s">
        <v>2027</v>
      </c>
      <c r="D1728" s="2" t="s">
        <v>4205</v>
      </c>
      <c r="E1728" s="2" t="s">
        <v>278</v>
      </c>
      <c r="F1728" s="2">
        <v>1.0</v>
      </c>
      <c r="G1728" s="2">
        <v>20.0</v>
      </c>
      <c r="H1728" s="3" t="str">
        <f>HYPERLINK("http://www.linkedin.com/pub/gregory-dillon/3/396/B6A","http://www.linkedin.com/pub/gregory-dillon/3/396/B6A")</f>
        <v>http://www.linkedin.com/pub/gregory-dillon/3/396/B6A</v>
      </c>
      <c r="I1728" s="2" t="s">
        <v>48</v>
      </c>
      <c r="J1728" s="2" t="s">
        <v>28</v>
      </c>
      <c r="K1728" s="2" t="s">
        <v>35</v>
      </c>
    </row>
    <row r="1729" ht="15.75" customHeight="1">
      <c r="A1729" s="2">
        <v>624495.0</v>
      </c>
      <c r="B1729" s="2" t="s">
        <v>824</v>
      </c>
      <c r="C1729" s="2" t="s">
        <v>4206</v>
      </c>
      <c r="D1729" s="2" t="s">
        <v>304</v>
      </c>
      <c r="E1729" s="2" t="s">
        <v>301</v>
      </c>
      <c r="F1729" s="2">
        <v>31.0</v>
      </c>
      <c r="G1729" s="2">
        <v>500.0</v>
      </c>
      <c r="H1729" s="3" t="str">
        <f>HYPERLINK("http://www.linkedin.com/in/nancymolloy","http://www.linkedin.com/in/nancymolloy")</f>
        <v>http://www.linkedin.com/in/nancymolloy</v>
      </c>
      <c r="I1729" s="2" t="s">
        <v>248</v>
      </c>
      <c r="J1729" s="2" t="s">
        <v>102</v>
      </c>
      <c r="K1729" s="2" t="s">
        <v>196</v>
      </c>
    </row>
    <row r="1730" ht="15.75" customHeight="1">
      <c r="A1730" s="2">
        <v>624527.0</v>
      </c>
      <c r="B1730" s="2" t="s">
        <v>3432</v>
      </c>
      <c r="C1730" s="2" t="s">
        <v>4207</v>
      </c>
      <c r="D1730" s="2" t="s">
        <v>4208</v>
      </c>
      <c r="E1730" s="2" t="s">
        <v>336</v>
      </c>
      <c r="F1730" s="2">
        <v>43.0</v>
      </c>
      <c r="G1730" s="2">
        <v>500.0</v>
      </c>
      <c r="H1730" s="3" t="str">
        <f>HYPERLINK("http://au.linkedin.com/in/johabib","http://au.linkedin.com/in/johabib")</f>
        <v>http://au.linkedin.com/in/johabib</v>
      </c>
      <c r="I1730" s="2" t="s">
        <v>77</v>
      </c>
      <c r="J1730" s="2" t="s">
        <v>337</v>
      </c>
      <c r="K1730" s="2" t="s">
        <v>97</v>
      </c>
    </row>
    <row r="1731" ht="15.75" customHeight="1">
      <c r="A1731" s="2">
        <v>625281.0</v>
      </c>
      <c r="B1731" s="2" t="s">
        <v>4209</v>
      </c>
      <c r="C1731" s="2" t="s">
        <v>4210</v>
      </c>
      <c r="D1731" s="2" t="s">
        <v>3395</v>
      </c>
      <c r="E1731" s="2" t="s">
        <v>2551</v>
      </c>
      <c r="F1731" s="2" t="s">
        <v>13</v>
      </c>
      <c r="G1731" s="2">
        <v>500.0</v>
      </c>
      <c r="H1731" s="3" t="str">
        <f>HYPERLINK("http://www.linkedin.com/in/vijayanakkala","http://www.linkedin.com/in/vijayanakkala")</f>
        <v>http://www.linkedin.com/in/vijayanakkala</v>
      </c>
      <c r="I1731" s="2" t="s">
        <v>15</v>
      </c>
      <c r="J1731" s="2" t="s">
        <v>273</v>
      </c>
      <c r="K1731" s="2" t="s">
        <v>1053</v>
      </c>
    </row>
    <row r="1732" ht="15.75" customHeight="1">
      <c r="A1732" s="2">
        <v>625804.0</v>
      </c>
      <c r="B1732" s="2" t="s">
        <v>1173</v>
      </c>
      <c r="C1732" s="2" t="s">
        <v>4211</v>
      </c>
      <c r="D1732" s="2"/>
      <c r="E1732" s="2" t="s">
        <v>3560</v>
      </c>
      <c r="F1732" s="2">
        <v>0.0</v>
      </c>
      <c r="G1732" s="2">
        <v>500.0</v>
      </c>
      <c r="H1732" s="3" t="str">
        <f>HYPERLINK("http://www.linkedin.com/pub/steve-bower/1/844/B14","http://www.linkedin.com/pub/steve-bower/1/844/B14")</f>
        <v>http://www.linkedin.com/pub/steve-bower/1/844/B14</v>
      </c>
      <c r="I1732" s="2" t="s">
        <v>306</v>
      </c>
      <c r="J1732" s="2" t="s">
        <v>28</v>
      </c>
      <c r="K1732" s="2" t="s">
        <v>357</v>
      </c>
    </row>
    <row r="1733" ht="15.75" customHeight="1">
      <c r="A1733" s="2">
        <v>625887.0</v>
      </c>
      <c r="B1733" s="2" t="s">
        <v>471</v>
      </c>
      <c r="C1733" s="2" t="s">
        <v>4212</v>
      </c>
      <c r="D1733" s="2" t="s">
        <v>4213</v>
      </c>
      <c r="E1733" s="2" t="s">
        <v>4214</v>
      </c>
      <c r="F1733" s="2">
        <v>4.0</v>
      </c>
      <c r="G1733" s="2">
        <v>456.0</v>
      </c>
      <c r="H1733" s="3" t="str">
        <f>HYPERLINK("http://www.linkedin.com/in/daniellucarini","http://www.linkedin.com/in/daniellucarini")</f>
        <v>http://www.linkedin.com/in/daniellucarini</v>
      </c>
      <c r="I1733" s="2" t="s">
        <v>15</v>
      </c>
      <c r="J1733" s="2" t="s">
        <v>16</v>
      </c>
      <c r="K1733" s="2" t="s">
        <v>22</v>
      </c>
    </row>
    <row r="1734" ht="15.75" customHeight="1">
      <c r="A1734" s="2">
        <v>626438.0</v>
      </c>
      <c r="B1734" s="2" t="s">
        <v>982</v>
      </c>
      <c r="C1734" s="2" t="s">
        <v>4215</v>
      </c>
      <c r="D1734" s="2"/>
      <c r="E1734" s="2" t="s">
        <v>1866</v>
      </c>
      <c r="F1734" s="2">
        <v>6.0</v>
      </c>
      <c r="G1734" s="2">
        <v>500.0</v>
      </c>
      <c r="H1734" s="3" t="str">
        <f>HYPERLINK("http://www.linkedin.com/pub/terry-cantrell/0/830/362","http://www.linkedin.com/pub/terry-cantrell/0/830/362")</f>
        <v>http://www.linkedin.com/pub/terry-cantrell/0/830/362</v>
      </c>
      <c r="I1734" s="2" t="s">
        <v>248</v>
      </c>
      <c r="J1734" s="2" t="s">
        <v>1867</v>
      </c>
      <c r="K1734" s="2" t="s">
        <v>138</v>
      </c>
    </row>
    <row r="1735" ht="15.75" customHeight="1">
      <c r="A1735" s="2">
        <v>626633.0</v>
      </c>
      <c r="B1735" s="2" t="s">
        <v>506</v>
      </c>
      <c r="C1735" s="2" t="s">
        <v>2135</v>
      </c>
      <c r="D1735" s="2" t="s">
        <v>4216</v>
      </c>
      <c r="E1735" s="2" t="s">
        <v>4217</v>
      </c>
      <c r="F1735" s="2">
        <v>0.0</v>
      </c>
      <c r="G1735" s="2">
        <v>500.0</v>
      </c>
      <c r="H1735" s="3" t="str">
        <f>HYPERLINK("http://www.linkedin.com/pub/jose-de-jesus-gutierrez/26/530/244","http://www.linkedin.com/pub/jose-de-jesus-gutierrez/26/530/244")</f>
        <v>http://www.linkedin.com/pub/jose-de-jesus-gutierrez/26/530/244</v>
      </c>
      <c r="I1735" s="2" t="s">
        <v>579</v>
      </c>
      <c r="J1735" s="2" t="s">
        <v>28</v>
      </c>
      <c r="K1735" s="2" t="s">
        <v>35</v>
      </c>
    </row>
    <row r="1736" ht="15.75" customHeight="1">
      <c r="A1736" s="2">
        <v>626823.0</v>
      </c>
      <c r="B1736" s="2" t="s">
        <v>534</v>
      </c>
      <c r="C1736" s="2" t="s">
        <v>4218</v>
      </c>
      <c r="D1736" s="2" t="s">
        <v>4219</v>
      </c>
      <c r="E1736" s="2" t="s">
        <v>192</v>
      </c>
      <c r="F1736" s="2" t="s">
        <v>13</v>
      </c>
      <c r="G1736" s="2">
        <v>500.0</v>
      </c>
      <c r="H1736" s="3" t="str">
        <f>HYPERLINK("http://www.linkedin.com/pub/matthew-younkle/1/24B/2B7","http://www.linkedin.com/pub/matthew-younkle/1/24B/2B7")</f>
        <v>http://www.linkedin.com/pub/matthew-younkle/1/24B/2B7</v>
      </c>
      <c r="I1736" s="2" t="s">
        <v>69</v>
      </c>
      <c r="J1736" s="2" t="s">
        <v>102</v>
      </c>
      <c r="K1736" s="2" t="s">
        <v>35</v>
      </c>
    </row>
    <row r="1737" ht="15.75" customHeight="1">
      <c r="A1737" s="2">
        <v>626992.0</v>
      </c>
      <c r="B1737" s="2" t="s">
        <v>2567</v>
      </c>
      <c r="C1737" s="2" t="s">
        <v>4220</v>
      </c>
      <c r="D1737" s="2" t="s">
        <v>4221</v>
      </c>
      <c r="E1737" s="2" t="s">
        <v>2022</v>
      </c>
      <c r="F1737" s="2">
        <v>0.0</v>
      </c>
      <c r="G1737" s="2">
        <v>471.0</v>
      </c>
      <c r="H1737" s="3" t="str">
        <f>HYPERLINK("http://www.linkedin.com/pub/christopher-caniff/1/277/2A","http://www.linkedin.com/pub/christopher-caniff/1/277/2A")</f>
        <v>http://www.linkedin.com/pub/christopher-caniff/1/277/2A</v>
      </c>
      <c r="I1737" s="2" t="s">
        <v>1183</v>
      </c>
      <c r="J1737" s="2" t="s">
        <v>87</v>
      </c>
      <c r="K1737" s="2" t="s">
        <v>357</v>
      </c>
    </row>
    <row r="1738" ht="15.75" customHeight="1">
      <c r="A1738" s="2">
        <v>627477.0</v>
      </c>
      <c r="B1738" s="2" t="s">
        <v>4222</v>
      </c>
      <c r="C1738" s="2" t="s">
        <v>4223</v>
      </c>
      <c r="D1738" s="2" t="s">
        <v>4224</v>
      </c>
      <c r="E1738" s="2" t="s">
        <v>272</v>
      </c>
      <c r="F1738" s="2">
        <v>9.0</v>
      </c>
      <c r="G1738" s="2">
        <v>302.0</v>
      </c>
      <c r="H1738" s="3" t="str">
        <f>HYPERLINK("http://www.linkedin.com/in/muhammadansari","http://www.linkedin.com/in/muhammadansari")</f>
        <v>http://www.linkedin.com/in/muhammadansari</v>
      </c>
      <c r="I1738" s="2" t="s">
        <v>4225</v>
      </c>
      <c r="J1738" s="2" t="s">
        <v>273</v>
      </c>
      <c r="K1738" s="2" t="s">
        <v>2116</v>
      </c>
    </row>
    <row r="1739" ht="15.75" customHeight="1">
      <c r="A1739" s="2">
        <v>627486.0</v>
      </c>
      <c r="B1739" s="2" t="s">
        <v>4226</v>
      </c>
      <c r="C1739" s="2" t="s">
        <v>4227</v>
      </c>
      <c r="D1739" s="2" t="s">
        <v>42</v>
      </c>
      <c r="E1739" s="2" t="s">
        <v>744</v>
      </c>
      <c r="F1739" s="2">
        <v>8.0</v>
      </c>
      <c r="G1739" s="2">
        <v>500.0</v>
      </c>
      <c r="H1739" s="3" t="str">
        <f>HYPERLINK("http://www.linkedin.com/pub/hilary-coman/0/916/912","http://www.linkedin.com/pub/hilary-coman/0/916/912")</f>
        <v>http://www.linkedin.com/pub/hilary-coman/0/916/912</v>
      </c>
      <c r="I1739" s="2" t="s">
        <v>57</v>
      </c>
      <c r="J1739" s="2" t="s">
        <v>102</v>
      </c>
      <c r="K1739" s="2" t="s">
        <v>58</v>
      </c>
    </row>
    <row r="1740" ht="15.75" customHeight="1">
      <c r="A1740" s="2">
        <v>627534.0</v>
      </c>
      <c r="B1740" s="2" t="s">
        <v>4228</v>
      </c>
      <c r="C1740" s="2" t="s">
        <v>4229</v>
      </c>
      <c r="D1740" s="2" t="s">
        <v>4230</v>
      </c>
      <c r="E1740" s="2" t="s">
        <v>101</v>
      </c>
      <c r="F1740" s="2">
        <v>6.0</v>
      </c>
      <c r="G1740" s="2">
        <v>500.0</v>
      </c>
      <c r="H1740" s="3" t="str">
        <f>HYPERLINK("http://www.linkedin.com/in/obrawls","http://www.linkedin.com/in/obrawls")</f>
        <v>http://www.linkedin.com/in/obrawls</v>
      </c>
      <c r="I1740" s="2" t="s">
        <v>279</v>
      </c>
      <c r="J1740" s="2" t="s">
        <v>102</v>
      </c>
      <c r="K1740" s="2" t="s">
        <v>58</v>
      </c>
    </row>
    <row r="1741" ht="15.75" customHeight="1">
      <c r="A1741" s="2">
        <v>627761.0</v>
      </c>
      <c r="B1741" s="2" t="s">
        <v>4231</v>
      </c>
      <c r="C1741" s="2" t="s">
        <v>4232</v>
      </c>
      <c r="D1741" s="2" t="s">
        <v>498</v>
      </c>
      <c r="E1741" s="2" t="s">
        <v>407</v>
      </c>
      <c r="F1741" s="2">
        <v>7.0</v>
      </c>
      <c r="G1741" s="2">
        <v>500.0</v>
      </c>
      <c r="H1741" s="3" t="str">
        <f>HYPERLINK("http://www.linkedin.com/in/cathybalestriere","http://www.linkedin.com/in/cathybalestriere")</f>
        <v>http://www.linkedin.com/in/cathybalestriere</v>
      </c>
      <c r="I1741" s="2" t="s">
        <v>1931</v>
      </c>
      <c r="J1741" s="2" t="s">
        <v>102</v>
      </c>
      <c r="K1741" s="2" t="s">
        <v>58</v>
      </c>
    </row>
    <row r="1742" ht="15.75" customHeight="1">
      <c r="A1742" s="2">
        <v>627766.0</v>
      </c>
      <c r="B1742" s="2" t="s">
        <v>253</v>
      </c>
      <c r="C1742" s="2" t="s">
        <v>4233</v>
      </c>
      <c r="D1742" s="2" t="s">
        <v>2302</v>
      </c>
      <c r="E1742" s="2" t="s">
        <v>3500</v>
      </c>
      <c r="F1742" s="2" t="s">
        <v>13</v>
      </c>
      <c r="G1742" s="2">
        <v>163.0</v>
      </c>
      <c r="H1742" s="3" t="str">
        <f>HYPERLINK("http://www.linkedin.com/pub/fernando-gonzalez/2/3B4/68","http://www.linkedin.com/pub/fernando-gonzalez/2/3B4/68")</f>
        <v>http://www.linkedin.com/pub/fernando-gonzalez/2/3B4/68</v>
      </c>
      <c r="I1742" s="2" t="s">
        <v>15</v>
      </c>
      <c r="J1742" s="2" t="s">
        <v>102</v>
      </c>
      <c r="K1742" s="2" t="s">
        <v>35</v>
      </c>
    </row>
    <row r="1743" ht="15.75" customHeight="1">
      <c r="A1743" s="2">
        <v>628108.0</v>
      </c>
      <c r="B1743" s="2" t="s">
        <v>1173</v>
      </c>
      <c r="C1743" s="2" t="s">
        <v>1986</v>
      </c>
      <c r="D1743" s="2" t="s">
        <v>42</v>
      </c>
      <c r="E1743" s="2" t="s">
        <v>1213</v>
      </c>
      <c r="F1743" s="2" t="s">
        <v>13</v>
      </c>
      <c r="G1743" s="2">
        <v>500.0</v>
      </c>
      <c r="H1743" s="3" t="str">
        <f>HYPERLINK("http://www.linkedin.com/pub/steve-parker/2/23B/757","http://www.linkedin.com/pub/steve-parker/2/23B/757")</f>
        <v>http://www.linkedin.com/pub/steve-parker/2/23B/757</v>
      </c>
      <c r="I1743" s="2" t="s">
        <v>1125</v>
      </c>
      <c r="J1743" s="2" t="s">
        <v>102</v>
      </c>
      <c r="K1743" s="2" t="s">
        <v>58</v>
      </c>
    </row>
    <row r="1744" ht="15.75" customHeight="1">
      <c r="A1744" s="2">
        <v>628347.0</v>
      </c>
      <c r="B1744" s="2" t="s">
        <v>2148</v>
      </c>
      <c r="C1744" s="2" t="s">
        <v>4234</v>
      </c>
      <c r="D1744" s="2" t="s">
        <v>4235</v>
      </c>
      <c r="E1744" s="2" t="s">
        <v>1407</v>
      </c>
      <c r="F1744" s="2">
        <v>10.0</v>
      </c>
      <c r="G1744" s="2">
        <v>500.0</v>
      </c>
      <c r="H1744" s="3" t="str">
        <f>HYPERLINK("http://www.linkedin.com/pub/nelson-hsu/2/436/B2","http://www.linkedin.com/pub/nelson-hsu/2/436/B2")</f>
        <v>http://www.linkedin.com/pub/nelson-hsu/2/436/B2</v>
      </c>
      <c r="I1744" s="2" t="s">
        <v>240</v>
      </c>
      <c r="J1744" s="2" t="s">
        <v>102</v>
      </c>
      <c r="K1744" s="2" t="s">
        <v>29</v>
      </c>
    </row>
    <row r="1745" ht="15.75" customHeight="1">
      <c r="A1745" s="2">
        <v>628885.0</v>
      </c>
      <c r="B1745" s="2" t="s">
        <v>4236</v>
      </c>
      <c r="C1745" s="2" t="s">
        <v>4237</v>
      </c>
      <c r="D1745" s="2" t="s">
        <v>13</v>
      </c>
      <c r="E1745" s="2" t="s">
        <v>1918</v>
      </c>
      <c r="F1745" s="2">
        <v>1.0</v>
      </c>
      <c r="G1745" s="2">
        <v>500.0</v>
      </c>
      <c r="H1745" s="3" t="str">
        <f>HYPERLINK("http://www.linkedin.com/pub/josiah-o-neil/6/673/617","http://www.linkedin.com/pub/josiah-o-neil/6/673/617")</f>
        <v>http://www.linkedin.com/pub/josiah-o-neil/6/673/617</v>
      </c>
      <c r="I1745" s="2" t="s">
        <v>4238</v>
      </c>
      <c r="J1745" s="2" t="s">
        <v>102</v>
      </c>
      <c r="K1745" s="2" t="s">
        <v>1176</v>
      </c>
    </row>
    <row r="1746" ht="15.75" customHeight="1">
      <c r="A1746" s="2">
        <v>628898.0</v>
      </c>
      <c r="B1746" s="2" t="s">
        <v>752</v>
      </c>
      <c r="C1746" s="2" t="s">
        <v>4239</v>
      </c>
      <c r="D1746" s="2" t="s">
        <v>42</v>
      </c>
      <c r="E1746" s="2" t="s">
        <v>1213</v>
      </c>
      <c r="F1746" s="2">
        <v>18.0</v>
      </c>
      <c r="G1746" s="2">
        <v>500.0</v>
      </c>
      <c r="H1746" s="3" t="str">
        <f>HYPERLINK("http://www.linkedin.com/in/jimberner","http://www.linkedin.com/in/jimberner")</f>
        <v>http://www.linkedin.com/in/jimberner</v>
      </c>
      <c r="I1746" s="2" t="s">
        <v>470</v>
      </c>
      <c r="J1746" s="2" t="s">
        <v>102</v>
      </c>
      <c r="K1746" s="2" t="s">
        <v>97</v>
      </c>
    </row>
    <row r="1747" ht="15.75" customHeight="1">
      <c r="A1747" s="2">
        <v>629177.0</v>
      </c>
      <c r="B1747" s="2" t="s">
        <v>3506</v>
      </c>
      <c r="C1747" s="2" t="s">
        <v>3078</v>
      </c>
      <c r="D1747" s="2" t="s">
        <v>4240</v>
      </c>
      <c r="E1747" s="2" t="s">
        <v>136</v>
      </c>
      <c r="F1747" s="2">
        <v>7.0</v>
      </c>
      <c r="G1747" s="2">
        <v>500.0</v>
      </c>
      <c r="H1747" s="3" t="str">
        <f>HYPERLINK("http://www.linkedin.com/pub/curtis-kent/0/B55/459","http://www.linkedin.com/pub/curtis-kent/0/B55/459")</f>
        <v>http://www.linkedin.com/pub/curtis-kent/0/B55/459</v>
      </c>
      <c r="I1747" s="2" t="s">
        <v>167</v>
      </c>
      <c r="J1747" s="2" t="s">
        <v>102</v>
      </c>
      <c r="K1747" s="2" t="s">
        <v>58</v>
      </c>
    </row>
    <row r="1748" ht="15.75" customHeight="1">
      <c r="A1748" s="2">
        <v>629468.0</v>
      </c>
      <c r="B1748" s="2" t="s">
        <v>4241</v>
      </c>
      <c r="C1748" s="2" t="s">
        <v>59</v>
      </c>
      <c r="D1748" s="2" t="s">
        <v>42</v>
      </c>
      <c r="E1748" s="2" t="s">
        <v>4242</v>
      </c>
      <c r="F1748" s="2">
        <v>1.0</v>
      </c>
      <c r="G1748" s="2">
        <v>194.0</v>
      </c>
      <c r="H1748" s="3" t="str">
        <f>HYPERLINK("http://ca.linkedin.com/in/thierrylucmartin","http://ca.linkedin.com/in/thierrylucmartin")</f>
        <v>http://ca.linkedin.com/in/thierrylucmartin</v>
      </c>
      <c r="I1748" s="2" t="s">
        <v>69</v>
      </c>
      <c r="J1748" s="2" t="s">
        <v>44</v>
      </c>
      <c r="K1748" s="2" t="s">
        <v>35</v>
      </c>
    </row>
    <row r="1749" ht="15.75" customHeight="1">
      <c r="A1749" s="2">
        <v>629849.0</v>
      </c>
      <c r="B1749" s="2" t="s">
        <v>398</v>
      </c>
      <c r="C1749" s="2" t="s">
        <v>867</v>
      </c>
      <c r="D1749" s="2"/>
      <c r="E1749" s="2" t="s">
        <v>821</v>
      </c>
      <c r="F1749" s="2">
        <v>0.0</v>
      </c>
      <c r="G1749" s="2">
        <v>456.0</v>
      </c>
      <c r="H1749" s="3" t="str">
        <f>HYPERLINK("http://uk.linkedin.com/pub/colin-donnelly/3/40A/403","http://uk.linkedin.com/pub/colin-donnelly/3/40A/403")</f>
        <v>http://uk.linkedin.com/pub/colin-donnelly/3/40A/403</v>
      </c>
      <c r="I1749" s="2" t="s">
        <v>48</v>
      </c>
      <c r="J1749" s="2" t="s">
        <v>575</v>
      </c>
      <c r="K1749" s="2" t="s">
        <v>22</v>
      </c>
    </row>
    <row r="1750" ht="15.75" customHeight="1">
      <c r="A1750" s="2">
        <v>630972.0</v>
      </c>
      <c r="B1750" s="2" t="s">
        <v>4243</v>
      </c>
      <c r="C1750" s="2" t="s">
        <v>4244</v>
      </c>
      <c r="D1750" s="2" t="s">
        <v>4245</v>
      </c>
      <c r="E1750" s="2" t="s">
        <v>2058</v>
      </c>
      <c r="F1750" s="2">
        <v>0.0</v>
      </c>
      <c r="G1750" s="2">
        <v>108.0</v>
      </c>
      <c r="H1750" s="3" t="str">
        <f>HYPERLINK("http://www.linkedin.com/pub/dany-doueiri/A/B76/B13","http://www.linkedin.com/pub/dany-doueiri/A/B76/B13")</f>
        <v>http://www.linkedin.com/pub/dany-doueiri/A/B76/B13</v>
      </c>
      <c r="I1750" s="2" t="s">
        <v>3645</v>
      </c>
      <c r="J1750" s="2" t="s">
        <v>102</v>
      </c>
      <c r="K1750" s="2" t="s">
        <v>3997</v>
      </c>
    </row>
    <row r="1751" ht="15.75" customHeight="1">
      <c r="A1751" s="2">
        <v>631369.0</v>
      </c>
      <c r="B1751" s="2" t="s">
        <v>157</v>
      </c>
      <c r="C1751" s="2" t="s">
        <v>4246</v>
      </c>
      <c r="D1751" s="2" t="s">
        <v>4247</v>
      </c>
      <c r="E1751" s="2" t="s">
        <v>278</v>
      </c>
      <c r="F1751" s="2">
        <v>4.0</v>
      </c>
      <c r="G1751" s="2">
        <v>500.0</v>
      </c>
      <c r="H1751" s="3" t="str">
        <f>HYPERLINK("http://www.linkedin.com/in/jmatheny4","http://www.linkedin.com/in/jmatheny4")</f>
        <v>http://www.linkedin.com/in/jmatheny4</v>
      </c>
      <c r="I1751" s="2" t="s">
        <v>57</v>
      </c>
      <c r="J1751" s="2" t="s">
        <v>28</v>
      </c>
      <c r="K1751" s="2" t="s">
        <v>2552</v>
      </c>
    </row>
    <row r="1752" ht="15.75" customHeight="1">
      <c r="A1752" s="2">
        <v>631857.0</v>
      </c>
      <c r="B1752" s="2" t="s">
        <v>4248</v>
      </c>
      <c r="C1752" s="2" t="s">
        <v>4249</v>
      </c>
      <c r="D1752" s="2" t="s">
        <v>114</v>
      </c>
      <c r="E1752" s="2" t="s">
        <v>4250</v>
      </c>
      <c r="F1752" s="2">
        <v>12.0</v>
      </c>
      <c r="G1752" s="2">
        <v>500.0</v>
      </c>
      <c r="H1752" s="3" t="str">
        <f>HYPERLINK("http://www.linkedin.com/in/charlyneschaub","http://www.linkedin.com/in/charlyneschaub")</f>
        <v>http://www.linkedin.com/in/charlyneschaub</v>
      </c>
      <c r="I1752" s="2" t="s">
        <v>105</v>
      </c>
      <c r="J1752" s="2" t="s">
        <v>102</v>
      </c>
      <c r="K1752" s="2" t="s">
        <v>35</v>
      </c>
    </row>
    <row r="1753" ht="15.75" customHeight="1">
      <c r="A1753" s="2">
        <v>632270.0</v>
      </c>
      <c r="B1753" s="2" t="s">
        <v>845</v>
      </c>
      <c r="C1753" s="2" t="s">
        <v>4251</v>
      </c>
      <c r="D1753" s="2" t="s">
        <v>4252</v>
      </c>
      <c r="E1753" s="2" t="s">
        <v>1046</v>
      </c>
      <c r="F1753" s="2">
        <v>6.0</v>
      </c>
      <c r="G1753" s="2">
        <v>500.0</v>
      </c>
      <c r="H1753" s="3" t="str">
        <f>HYPERLINK("http://www.linkedin.com/pub/david-parker-praneeth-kumar-/8/465/B19","http://www.linkedin.com/pub/david-parker-praneeth-kumar-/8/465/B19")</f>
        <v>http://www.linkedin.com/pub/david-parker-praneeth-kumar-/8/465/B19</v>
      </c>
      <c r="I1753" s="2" t="s">
        <v>48</v>
      </c>
      <c r="J1753" s="2" t="s">
        <v>1047</v>
      </c>
      <c r="K1753" s="2" t="s">
        <v>4253</v>
      </c>
    </row>
    <row r="1754" ht="15.75" customHeight="1">
      <c r="A1754" s="2">
        <v>632294.0</v>
      </c>
      <c r="B1754" s="2" t="s">
        <v>398</v>
      </c>
      <c r="C1754" s="2" t="s">
        <v>4254</v>
      </c>
      <c r="D1754" s="2" t="s">
        <v>4255</v>
      </c>
      <c r="E1754" s="2" t="s">
        <v>4256</v>
      </c>
      <c r="F1754" s="2" t="s">
        <v>13</v>
      </c>
      <c r="G1754" s="2">
        <v>500.0</v>
      </c>
      <c r="H1754" s="3" t="str">
        <f>HYPERLINK("http://uk.linkedin.com/in/cpnunn","http://uk.linkedin.com/in/cpnunn")</f>
        <v>http://uk.linkedin.com/in/cpnunn</v>
      </c>
      <c r="I1754" s="2" t="s">
        <v>15</v>
      </c>
      <c r="J1754" s="2" t="s">
        <v>53</v>
      </c>
      <c r="K1754" s="2" t="s">
        <v>35</v>
      </c>
    </row>
    <row r="1755" ht="15.75" customHeight="1">
      <c r="A1755" s="2">
        <v>632581.0</v>
      </c>
      <c r="B1755" s="2" t="s">
        <v>752</v>
      </c>
      <c r="C1755" s="2" t="s">
        <v>4257</v>
      </c>
      <c r="D1755" s="2" t="s">
        <v>13</v>
      </c>
      <c r="E1755" s="2" t="s">
        <v>4258</v>
      </c>
      <c r="F1755" s="2">
        <v>8.0</v>
      </c>
      <c r="G1755" s="2">
        <v>500.0</v>
      </c>
      <c r="H1755" s="3" t="str">
        <f>HYPERLINK("http://www.linkedin.com/in/jimbartek","http://www.linkedin.com/in/jimbartek")</f>
        <v>http://www.linkedin.com/in/jimbartek</v>
      </c>
      <c r="I1755" s="2" t="s">
        <v>57</v>
      </c>
      <c r="J1755" s="2" t="s">
        <v>102</v>
      </c>
      <c r="K1755" s="2" t="s">
        <v>58</v>
      </c>
    </row>
    <row r="1756" ht="15.75" customHeight="1">
      <c r="A1756" s="2">
        <v>632685.0</v>
      </c>
      <c r="B1756" s="2" t="s">
        <v>4259</v>
      </c>
      <c r="C1756" s="2" t="s">
        <v>4260</v>
      </c>
      <c r="D1756" s="2" t="s">
        <v>4261</v>
      </c>
      <c r="E1756" s="2" t="s">
        <v>3631</v>
      </c>
      <c r="F1756" s="2" t="s">
        <v>13</v>
      </c>
      <c r="G1756" s="2">
        <v>500.0</v>
      </c>
      <c r="H1756" s="3" t="str">
        <f>HYPERLINK("http://br.linkedin.com/pub/edimara-luciano/2A/911/AAB","http://br.linkedin.com/pub/edimara-luciano/2A/911/AAB")</f>
        <v>http://br.linkedin.com/pub/edimara-luciano/2A/911/AAB</v>
      </c>
      <c r="I1756" s="2" t="s">
        <v>240</v>
      </c>
      <c r="J1756" s="2" t="s">
        <v>34</v>
      </c>
      <c r="K1756" s="2" t="s">
        <v>1883</v>
      </c>
    </row>
    <row r="1757" ht="15.75" customHeight="1">
      <c r="A1757" s="2">
        <v>633624.0</v>
      </c>
      <c r="B1757" s="2" t="s">
        <v>1593</v>
      </c>
      <c r="C1757" s="2" t="s">
        <v>2586</v>
      </c>
      <c r="D1757" s="2" t="s">
        <v>4262</v>
      </c>
      <c r="E1757" s="2" t="s">
        <v>1886</v>
      </c>
      <c r="F1757" s="2" t="s">
        <v>13</v>
      </c>
      <c r="G1757" s="2">
        <v>500.0</v>
      </c>
      <c r="H1757" s="3" t="str">
        <f>HYPERLINK("http://www.linkedin.com/in/adamwlawrence","http://www.linkedin.com/in/adamwlawrence")</f>
        <v>http://www.linkedin.com/in/adamwlawrence</v>
      </c>
      <c r="I1757" s="2" t="s">
        <v>446</v>
      </c>
      <c r="J1757" s="2" t="s">
        <v>102</v>
      </c>
      <c r="K1757" s="2" t="s">
        <v>97</v>
      </c>
    </row>
    <row r="1758" ht="15.75" customHeight="1">
      <c r="A1758" s="2">
        <v>633860.0</v>
      </c>
      <c r="B1758" s="2" t="s">
        <v>4263</v>
      </c>
      <c r="C1758" s="2" t="s">
        <v>4264</v>
      </c>
      <c r="D1758" s="2" t="s">
        <v>4265</v>
      </c>
      <c r="E1758" s="2" t="s">
        <v>204</v>
      </c>
      <c r="F1758" s="2" t="s">
        <v>13</v>
      </c>
      <c r="G1758" s="2">
        <v>500.0</v>
      </c>
      <c r="H1758" s="3" t="str">
        <f>HYPERLINK("http://mx.linkedin.com/pub/melba-gonz%C3%A1lez/25/1A/1B3","http://mx.linkedin.com/pub/melba-gonz%C3%A1lez/25/1A/1B3")</f>
        <v>http://mx.linkedin.com/pub/melba-gonz%C3%A1lez/25/1A/1B3</v>
      </c>
      <c r="I1758" s="2" t="s">
        <v>458</v>
      </c>
      <c r="J1758" s="2" t="s">
        <v>28</v>
      </c>
      <c r="K1758" s="2" t="s">
        <v>35</v>
      </c>
    </row>
    <row r="1759" ht="15.75" customHeight="1">
      <c r="A1759" s="2">
        <v>634853.0</v>
      </c>
      <c r="B1759" s="2" t="s">
        <v>796</v>
      </c>
      <c r="C1759" s="2" t="s">
        <v>4266</v>
      </c>
      <c r="D1759" s="2" t="s">
        <v>42</v>
      </c>
      <c r="E1759" s="2" t="s">
        <v>2377</v>
      </c>
      <c r="F1759" s="2" t="s">
        <v>13</v>
      </c>
      <c r="G1759" s="2">
        <v>152.0</v>
      </c>
      <c r="H1759" s="3" t="str">
        <f>HYPERLINK("http://www.linkedin.com/pub/simon-bollin/1B/68B/8B5","http://www.linkedin.com/pub/simon-bollin/1B/68B/8B5")</f>
        <v>http://www.linkedin.com/pub/simon-bollin/1B/68B/8B5</v>
      </c>
      <c r="I1759" s="2" t="s">
        <v>365</v>
      </c>
      <c r="J1759" s="2" t="s">
        <v>87</v>
      </c>
      <c r="K1759" s="2" t="s">
        <v>196</v>
      </c>
    </row>
    <row r="1760" ht="15.75" customHeight="1">
      <c r="A1760" s="2">
        <v>635204.0</v>
      </c>
      <c r="B1760" s="2" t="s">
        <v>511</v>
      </c>
      <c r="C1760" s="2" t="s">
        <v>1789</v>
      </c>
      <c r="D1760" s="2" t="s">
        <v>3989</v>
      </c>
      <c r="E1760" s="2" t="s">
        <v>4267</v>
      </c>
      <c r="F1760" s="2">
        <v>3.0</v>
      </c>
      <c r="G1760" s="2">
        <v>500.0</v>
      </c>
      <c r="H1760" s="3" t="str">
        <f>HYPERLINK("http://www.linkedin.com/pub/mike-wilson/4/6B4/405","http://www.linkedin.com/pub/mike-wilson/4/6B4/405")</f>
        <v>http://www.linkedin.com/pub/mike-wilson/4/6B4/405</v>
      </c>
      <c r="I1760" s="2" t="s">
        <v>231</v>
      </c>
      <c r="J1760" s="2" t="s">
        <v>28</v>
      </c>
      <c r="K1760" s="2" t="s">
        <v>29</v>
      </c>
    </row>
    <row r="1761" ht="15.75" customHeight="1">
      <c r="A1761" s="2">
        <v>635371.0</v>
      </c>
      <c r="B1761" s="2" t="s">
        <v>677</v>
      </c>
      <c r="C1761" s="2" t="s">
        <v>4268</v>
      </c>
      <c r="D1761" s="2" t="s">
        <v>4269</v>
      </c>
      <c r="E1761" s="2" t="s">
        <v>457</v>
      </c>
      <c r="F1761" s="2" t="s">
        <v>13</v>
      </c>
      <c r="G1761" s="2">
        <v>122.0</v>
      </c>
      <c r="H1761" s="3" t="str">
        <f>HYPERLINK("http://www.linkedin.com/pub/daniel-ritter/12/323/B92","http://www.linkedin.com/pub/daniel-ritter/12/323/B92")</f>
        <v>http://www.linkedin.com/pub/daniel-ritter/12/323/B92</v>
      </c>
      <c r="I1761" s="2" t="s">
        <v>1679</v>
      </c>
      <c r="J1761" s="2" t="s">
        <v>102</v>
      </c>
      <c r="K1761" s="2" t="s">
        <v>22</v>
      </c>
    </row>
    <row r="1762" ht="15.75" customHeight="1">
      <c r="A1762" s="2">
        <v>635380.0</v>
      </c>
      <c r="B1762" s="2" t="s">
        <v>4270</v>
      </c>
      <c r="C1762" s="2" t="s">
        <v>4271</v>
      </c>
      <c r="D1762" s="2" t="s">
        <v>47</v>
      </c>
      <c r="E1762" s="2" t="s">
        <v>3107</v>
      </c>
      <c r="F1762" s="2">
        <v>6.0</v>
      </c>
      <c r="G1762" s="2">
        <v>500.0</v>
      </c>
      <c r="H1762" s="3" t="str">
        <f>HYPERLINK("http://www.linkedin.com/in/adelelmaghraby","http://www.linkedin.com/in/adelelmaghraby")</f>
        <v>http://www.linkedin.com/in/adelelmaghraby</v>
      </c>
      <c r="I1762" s="2" t="s">
        <v>4272</v>
      </c>
      <c r="J1762" s="2" t="s">
        <v>102</v>
      </c>
      <c r="K1762" s="2" t="s">
        <v>183</v>
      </c>
    </row>
    <row r="1763" ht="15.75" customHeight="1">
      <c r="A1763" s="2">
        <v>635663.0</v>
      </c>
      <c r="B1763" s="2" t="s">
        <v>287</v>
      </c>
      <c r="C1763" s="2" t="s">
        <v>4273</v>
      </c>
      <c r="D1763" s="2" t="s">
        <v>4274</v>
      </c>
      <c r="E1763" s="2" t="s">
        <v>4275</v>
      </c>
      <c r="F1763" s="2">
        <v>3.0</v>
      </c>
      <c r="G1763" s="2">
        <v>492.0</v>
      </c>
      <c r="H1763" s="3" t="str">
        <f>HYPERLINK("http://www.linkedin.com/pub/paul-brinkerhoff/4/8AA/6","http://www.linkedin.com/pub/paul-brinkerhoff/4/8AA/6")</f>
        <v>http://www.linkedin.com/pub/paul-brinkerhoff/4/8AA/6</v>
      </c>
      <c r="I1763" s="2" t="s">
        <v>2285</v>
      </c>
      <c r="J1763" s="2" t="s">
        <v>102</v>
      </c>
      <c r="K1763" s="2" t="s">
        <v>58</v>
      </c>
    </row>
    <row r="1764" ht="15.75" customHeight="1">
      <c r="A1764" s="2">
        <v>635677.0</v>
      </c>
      <c r="B1764" s="2" t="s">
        <v>4276</v>
      </c>
      <c r="C1764" s="2" t="s">
        <v>4277</v>
      </c>
      <c r="D1764" s="2"/>
      <c r="E1764" s="2" t="s">
        <v>4278</v>
      </c>
      <c r="F1764" s="2">
        <v>1.0</v>
      </c>
      <c r="G1764" s="2">
        <v>134.0</v>
      </c>
      <c r="H1764" s="3" t="str">
        <f>HYPERLINK("http://www.linkedin.com/pub/sohel-kazi/2/22B/A22","http://www.linkedin.com/pub/sohel-kazi/2/22B/A22")</f>
        <v>http://www.linkedin.com/pub/sohel-kazi/2/22B/A22</v>
      </c>
      <c r="I1764" s="2" t="s">
        <v>374</v>
      </c>
      <c r="J1764" s="2" t="s">
        <v>273</v>
      </c>
      <c r="K1764" s="2" t="s">
        <v>35</v>
      </c>
    </row>
    <row r="1765" ht="15.75" customHeight="1">
      <c r="A1765" s="2">
        <v>636001.0</v>
      </c>
      <c r="B1765" s="2" t="s">
        <v>3037</v>
      </c>
      <c r="C1765" s="2" t="s">
        <v>4279</v>
      </c>
      <c r="D1765" s="2" t="s">
        <v>2861</v>
      </c>
      <c r="E1765" s="2" t="s">
        <v>4280</v>
      </c>
      <c r="F1765" s="2" t="s">
        <v>13</v>
      </c>
      <c r="G1765" s="2">
        <v>88.0</v>
      </c>
      <c r="H1765" s="3" t="str">
        <f>HYPERLINK("http://www.linkedin.com/pub/douglas-eby/19/210/417","http://www.linkedin.com/pub/douglas-eby/19/210/417")</f>
        <v>http://www.linkedin.com/pub/douglas-eby/19/210/417</v>
      </c>
      <c r="I1765" s="2" t="s">
        <v>1135</v>
      </c>
      <c r="J1765" s="2" t="s">
        <v>952</v>
      </c>
      <c r="K1765" s="2" t="s">
        <v>58</v>
      </c>
    </row>
    <row r="1766" ht="15.75" customHeight="1">
      <c r="A1766" s="2">
        <v>636116.0</v>
      </c>
      <c r="B1766" s="2" t="s">
        <v>1362</v>
      </c>
      <c r="C1766" s="2" t="s">
        <v>4281</v>
      </c>
      <c r="D1766" s="2" t="s">
        <v>4282</v>
      </c>
      <c r="E1766" s="2" t="s">
        <v>4283</v>
      </c>
      <c r="F1766" s="2">
        <v>6.0</v>
      </c>
      <c r="G1766" s="2">
        <v>500.0</v>
      </c>
      <c r="H1766" s="3" t="str">
        <f>HYPERLINK("http://www.linkedin.com/in/williamindy","http://www.linkedin.com/in/williamindy")</f>
        <v>http://www.linkedin.com/in/williamindy</v>
      </c>
      <c r="I1766" s="2" t="s">
        <v>446</v>
      </c>
      <c r="J1766" s="2" t="s">
        <v>102</v>
      </c>
      <c r="K1766" s="2" t="s">
        <v>35</v>
      </c>
    </row>
    <row r="1767" ht="15.75" customHeight="1">
      <c r="A1767" s="2">
        <v>636375.0</v>
      </c>
      <c r="B1767" s="2" t="s">
        <v>4284</v>
      </c>
      <c r="C1767" s="2" t="s">
        <v>4285</v>
      </c>
      <c r="D1767" s="2" t="s">
        <v>4286</v>
      </c>
      <c r="E1767" s="2" t="s">
        <v>706</v>
      </c>
      <c r="F1767" s="2">
        <v>0.0</v>
      </c>
      <c r="G1767" s="2">
        <v>500.0</v>
      </c>
      <c r="H1767" s="3" t="str">
        <f>HYPERLINK("http://www.linkedin.com/pub/cristiane-pina/26/152/29A","http://www.linkedin.com/pub/cristiane-pina/26/152/29A")</f>
        <v>http://www.linkedin.com/pub/cristiane-pina/26/152/29A</v>
      </c>
      <c r="I1767" s="2" t="s">
        <v>629</v>
      </c>
      <c r="J1767" s="2" t="s">
        <v>34</v>
      </c>
      <c r="K1767" s="2" t="s">
        <v>1883</v>
      </c>
    </row>
    <row r="1768" ht="15.75" customHeight="1">
      <c r="A1768" s="2">
        <v>636411.0</v>
      </c>
      <c r="B1768" s="2" t="s">
        <v>4287</v>
      </c>
      <c r="C1768" s="2" t="s">
        <v>4288</v>
      </c>
      <c r="D1768" s="2" t="s">
        <v>2079</v>
      </c>
      <c r="E1768" s="2" t="s">
        <v>407</v>
      </c>
      <c r="F1768" s="2" t="s">
        <v>13</v>
      </c>
      <c r="G1768" s="2">
        <v>500.0</v>
      </c>
      <c r="H1768" s="3" t="str">
        <f>HYPERLINK("http://www.linkedin.com/in/sherrasewell","http://www.linkedin.com/in/sherrasewell")</f>
        <v>http://www.linkedin.com/in/sherrasewell</v>
      </c>
      <c r="I1768" s="2" t="s">
        <v>105</v>
      </c>
      <c r="J1768" s="2" t="s">
        <v>102</v>
      </c>
      <c r="K1768" s="2" t="s">
        <v>58</v>
      </c>
    </row>
    <row r="1769" ht="15.75" customHeight="1">
      <c r="A1769" s="2">
        <v>636743.0</v>
      </c>
      <c r="B1769" s="2" t="s">
        <v>4289</v>
      </c>
      <c r="C1769" s="2" t="s">
        <v>4290</v>
      </c>
      <c r="D1769" s="2" t="s">
        <v>42</v>
      </c>
      <c r="E1769" s="2" t="s">
        <v>1009</v>
      </c>
      <c r="F1769" s="2">
        <v>1.0</v>
      </c>
      <c r="G1769" s="2">
        <v>500.0</v>
      </c>
      <c r="H1769" s="3" t="str">
        <f>HYPERLINK("http://www.linkedin.com/in/heathermichelechapman","http://www.linkedin.com/in/heathermichelechapman")</f>
        <v>http://www.linkedin.com/in/heathermichelechapman</v>
      </c>
      <c r="I1769" s="2" t="s">
        <v>105</v>
      </c>
      <c r="J1769" s="2" t="s">
        <v>87</v>
      </c>
      <c r="K1769" s="2" t="s">
        <v>357</v>
      </c>
    </row>
    <row r="1770" ht="15.75" customHeight="1">
      <c r="A1770" s="2">
        <v>636974.0</v>
      </c>
      <c r="B1770" s="2" t="s">
        <v>1380</v>
      </c>
      <c r="C1770" s="2" t="s">
        <v>399</v>
      </c>
      <c r="D1770" s="2" t="s">
        <v>4291</v>
      </c>
      <c r="E1770" s="2" t="s">
        <v>3560</v>
      </c>
      <c r="F1770" s="2">
        <v>0.0</v>
      </c>
      <c r="G1770" s="2">
        <v>162.0</v>
      </c>
      <c r="H1770" s="3" t="str">
        <f>HYPERLINK("http://www.linkedin.com/pub/randy-johnson/7/922/587","http://www.linkedin.com/pub/randy-johnson/7/922/587")</f>
        <v>http://www.linkedin.com/pub/randy-johnson/7/922/587</v>
      </c>
      <c r="I1770" s="2" t="s">
        <v>2268</v>
      </c>
      <c r="J1770" s="2" t="s">
        <v>28</v>
      </c>
      <c r="K1770" s="2" t="s">
        <v>35</v>
      </c>
    </row>
    <row r="1771" ht="15.75" customHeight="1">
      <c r="A1771" s="2">
        <v>637808.0</v>
      </c>
      <c r="B1771" s="2" t="s">
        <v>1173</v>
      </c>
      <c r="C1771" s="2" t="s">
        <v>4292</v>
      </c>
      <c r="D1771" s="2" t="s">
        <v>47</v>
      </c>
      <c r="E1771" s="2" t="s">
        <v>762</v>
      </c>
      <c r="F1771" s="2">
        <v>4.0</v>
      </c>
      <c r="G1771" s="2">
        <v>212.0</v>
      </c>
      <c r="H1771" s="3" t="str">
        <f>HYPERLINK("http://www.linkedin.com/pub/steve-langerock/2/9AB/689","http://www.linkedin.com/pub/steve-langerock/2/9AB/689")</f>
        <v>http://www.linkedin.com/pub/steve-langerock/2/9AB/689</v>
      </c>
      <c r="I1771" s="2" t="s">
        <v>1012</v>
      </c>
      <c r="J1771" s="2" t="s">
        <v>102</v>
      </c>
      <c r="K1771" s="2" t="s">
        <v>58</v>
      </c>
    </row>
    <row r="1772" ht="15.75" customHeight="1">
      <c r="A1772" s="2">
        <v>638583.0</v>
      </c>
      <c r="B1772" s="2" t="s">
        <v>2218</v>
      </c>
      <c r="C1772" s="2" t="s">
        <v>4293</v>
      </c>
      <c r="D1772" s="2" t="s">
        <v>4294</v>
      </c>
      <c r="E1772" s="2" t="s">
        <v>3213</v>
      </c>
      <c r="F1772" s="2">
        <v>0.0</v>
      </c>
      <c r="G1772" s="2">
        <v>67.0</v>
      </c>
      <c r="H1772" s="3" t="str">
        <f>HYPERLINK("http://in.linkedin.com/in/vikramnerurkar","http://in.linkedin.com/in/vikramnerurkar")</f>
        <v>http://in.linkedin.com/in/vikramnerurkar</v>
      </c>
      <c r="I1772" s="2" t="s">
        <v>15</v>
      </c>
      <c r="J1772" s="2" t="s">
        <v>87</v>
      </c>
      <c r="K1772" s="2" t="s">
        <v>145</v>
      </c>
    </row>
    <row r="1773" ht="15.75" customHeight="1">
      <c r="A1773" s="2">
        <v>639029.0</v>
      </c>
      <c r="B1773" s="2" t="s">
        <v>784</v>
      </c>
      <c r="C1773" s="2" t="s">
        <v>4295</v>
      </c>
      <c r="D1773" s="2" t="s">
        <v>4296</v>
      </c>
      <c r="E1773" s="2" t="s">
        <v>2730</v>
      </c>
      <c r="F1773" s="2">
        <v>1.0</v>
      </c>
      <c r="G1773" s="2">
        <v>500.0</v>
      </c>
      <c r="H1773" s="3" t="str">
        <f>HYPERLINK("http://www.linkedin.com/in/jeffgeheb","http://www.linkedin.com/in/jeffgeheb")</f>
        <v>http://www.linkedin.com/in/jeffgeheb</v>
      </c>
      <c r="I1773" s="2" t="s">
        <v>15</v>
      </c>
      <c r="J1773" s="2" t="s">
        <v>102</v>
      </c>
      <c r="K1773" s="2" t="s">
        <v>35</v>
      </c>
    </row>
    <row r="1774" ht="15.75" customHeight="1">
      <c r="A1774" s="2">
        <v>639526.0</v>
      </c>
      <c r="B1774" s="2" t="s">
        <v>549</v>
      </c>
      <c r="C1774" s="2" t="s">
        <v>4297</v>
      </c>
      <c r="D1774" s="2" t="s">
        <v>4298</v>
      </c>
      <c r="E1774" s="2" t="s">
        <v>706</v>
      </c>
      <c r="F1774" s="2" t="s">
        <v>13</v>
      </c>
      <c r="G1774" s="2">
        <v>107.0</v>
      </c>
      <c r="H1774" s="3" t="str">
        <f>HYPERLINK("http://br.linkedin.com/pub/mario-mathias/29/60B/463","http://br.linkedin.com/pub/mario-mathias/29/60B/463")</f>
        <v>http://br.linkedin.com/pub/mario-mathias/29/60B/463</v>
      </c>
      <c r="I1774" s="2" t="s">
        <v>1841</v>
      </c>
      <c r="J1774" s="2" t="s">
        <v>34</v>
      </c>
      <c r="K1774" s="2" t="s">
        <v>22</v>
      </c>
    </row>
    <row r="1775" ht="15.75" customHeight="1">
      <c r="A1775" s="2">
        <v>639757.0</v>
      </c>
      <c r="B1775" s="2" t="s">
        <v>3754</v>
      </c>
      <c r="C1775" s="2" t="s">
        <v>4299</v>
      </c>
      <c r="D1775" s="2" t="s">
        <v>4300</v>
      </c>
      <c r="E1775" s="2" t="s">
        <v>142</v>
      </c>
      <c r="F1775" s="2">
        <v>5.0</v>
      </c>
      <c r="G1775" s="2">
        <v>500.0</v>
      </c>
      <c r="H1775" s="3" t="str">
        <f>HYPERLINK("http://www.linkedin.com/in/liznutting","http://www.linkedin.com/in/liznutting")</f>
        <v>http://www.linkedin.com/in/liznutting</v>
      </c>
      <c r="I1775" s="2" t="s">
        <v>1679</v>
      </c>
      <c r="J1775" s="2" t="s">
        <v>144</v>
      </c>
      <c r="K1775" s="2" t="s">
        <v>58</v>
      </c>
    </row>
    <row r="1776" ht="15.75" customHeight="1">
      <c r="A1776" s="2">
        <v>640199.0</v>
      </c>
      <c r="B1776" s="2" t="s">
        <v>1366</v>
      </c>
      <c r="C1776" s="2" t="s">
        <v>4301</v>
      </c>
      <c r="D1776" s="2" t="s">
        <v>4302</v>
      </c>
      <c r="E1776" s="2" t="s">
        <v>713</v>
      </c>
      <c r="F1776" s="2">
        <v>5.0</v>
      </c>
      <c r="G1776" s="2">
        <v>424.0</v>
      </c>
      <c r="H1776" s="3" t="str">
        <f>HYPERLINK("http://www.linkedin.com/pub/peter-mcnally/2/AB8/91B","http://www.linkedin.com/pub/peter-mcnally/2/AB8/91B")</f>
        <v>http://www.linkedin.com/pub/peter-mcnally/2/AB8/91B</v>
      </c>
      <c r="I1776" s="2" t="s">
        <v>240</v>
      </c>
      <c r="J1776" s="2" t="s">
        <v>102</v>
      </c>
      <c r="K1776" s="2" t="s">
        <v>183</v>
      </c>
    </row>
    <row r="1777" ht="15.75" customHeight="1">
      <c r="A1777" s="2">
        <v>640914.0</v>
      </c>
      <c r="B1777" s="2" t="s">
        <v>4303</v>
      </c>
      <c r="C1777" s="2" t="s">
        <v>4304</v>
      </c>
      <c r="D1777" s="2" t="s">
        <v>4305</v>
      </c>
      <c r="E1777" s="2" t="s">
        <v>4306</v>
      </c>
      <c r="F1777" s="2">
        <v>0.0</v>
      </c>
      <c r="G1777" s="2">
        <v>470.0</v>
      </c>
      <c r="H1777" s="3" t="str">
        <f>HYPERLINK("http://www.linkedin.com/pub/emerson-leandro/27/1A0/200","http://www.linkedin.com/pub/emerson-leandro/27/1A0/200")</f>
        <v>http://www.linkedin.com/pub/emerson-leandro/27/1A0/200</v>
      </c>
      <c r="I1777" s="2" t="s">
        <v>132</v>
      </c>
      <c r="J1777" s="2" t="s">
        <v>34</v>
      </c>
      <c r="K1777" s="2" t="s">
        <v>35</v>
      </c>
    </row>
    <row r="1778" ht="15.75" customHeight="1">
      <c r="A1778" s="2">
        <v>641246.0</v>
      </c>
      <c r="B1778" s="2" t="s">
        <v>4307</v>
      </c>
      <c r="C1778" s="2" t="s">
        <v>4308</v>
      </c>
      <c r="D1778" s="2" t="s">
        <v>4309</v>
      </c>
      <c r="E1778" s="2" t="s">
        <v>1305</v>
      </c>
      <c r="F1778" s="2">
        <v>15.0</v>
      </c>
      <c r="G1778" s="2">
        <v>500.0</v>
      </c>
      <c r="H1778" s="3" t="str">
        <f>HYPERLINK("http://www.linkedin.com/in/jedlevinson","http://www.linkedin.com/in/jedlevinson")</f>
        <v>http://www.linkedin.com/in/jedlevinson</v>
      </c>
      <c r="I1778" s="2" t="s">
        <v>1452</v>
      </c>
      <c r="J1778" s="2" t="s">
        <v>273</v>
      </c>
      <c r="K1778" s="2" t="s">
        <v>3304</v>
      </c>
    </row>
    <row r="1779" ht="15.75" customHeight="1">
      <c r="A1779" s="2">
        <v>641305.0</v>
      </c>
      <c r="B1779" s="2" t="s">
        <v>4310</v>
      </c>
      <c r="C1779" s="2" t="s">
        <v>4311</v>
      </c>
      <c r="D1779" s="2" t="s">
        <v>4312</v>
      </c>
      <c r="E1779" s="2" t="s">
        <v>1434</v>
      </c>
      <c r="F1779" s="2">
        <v>1.0</v>
      </c>
      <c r="G1779" s="2">
        <v>245.0</v>
      </c>
      <c r="H1779" s="3" t="str">
        <f>HYPERLINK("http://www.linkedin.com/pub/tiffany-johnson-pmp-cspo/2/924/B33","http://www.linkedin.com/pub/tiffany-johnson-pmp-cspo/2/924/B33")</f>
        <v>http://www.linkedin.com/pub/tiffany-johnson-pmp-cspo/2/924/B33</v>
      </c>
      <c r="I1779" s="2" t="s">
        <v>279</v>
      </c>
      <c r="J1779" s="2" t="s">
        <v>28</v>
      </c>
      <c r="K1779" s="2" t="s">
        <v>35</v>
      </c>
    </row>
    <row r="1780" ht="15.75" customHeight="1">
      <c r="A1780" s="2">
        <v>641884.0</v>
      </c>
      <c r="B1780" s="2" t="s">
        <v>752</v>
      </c>
      <c r="C1780" s="2" t="s">
        <v>4313</v>
      </c>
      <c r="D1780" s="2" t="s">
        <v>114</v>
      </c>
      <c r="E1780" s="2" t="s">
        <v>505</v>
      </c>
      <c r="F1780" s="2">
        <v>4.0</v>
      </c>
      <c r="G1780" s="2">
        <v>500.0</v>
      </c>
      <c r="H1780" s="3" t="str">
        <f>HYPERLINK("http://www.linkedin.com/in/jimfolger","http://www.linkedin.com/in/jimfolger")</f>
        <v>http://www.linkedin.com/in/jimfolger</v>
      </c>
      <c r="I1780" s="2" t="s">
        <v>248</v>
      </c>
      <c r="J1780" s="2" t="s">
        <v>102</v>
      </c>
      <c r="K1780" s="2" t="s">
        <v>196</v>
      </c>
    </row>
    <row r="1781" ht="15.75" customHeight="1">
      <c r="A1781" s="2">
        <v>642009.0</v>
      </c>
      <c r="B1781" s="2" t="s">
        <v>1071</v>
      </c>
      <c r="C1781" s="2" t="s">
        <v>4314</v>
      </c>
      <c r="D1781" s="2"/>
      <c r="E1781" s="2" t="s">
        <v>278</v>
      </c>
      <c r="F1781" s="2">
        <v>0.0</v>
      </c>
      <c r="G1781" s="2">
        <v>99.0</v>
      </c>
      <c r="H1781" s="3" t="str">
        <f>HYPERLINK("http://www.linkedin.com/pub/eric-holterman/3/552/35B","http://www.linkedin.com/pub/eric-holterman/3/552/35B")</f>
        <v>http://www.linkedin.com/pub/eric-holterman/3/552/35B</v>
      </c>
      <c r="I1781" s="2" t="s">
        <v>1496</v>
      </c>
      <c r="J1781" s="2" t="s">
        <v>28</v>
      </c>
      <c r="K1781" s="2" t="s">
        <v>35</v>
      </c>
    </row>
    <row r="1782" ht="15.75" customHeight="1">
      <c r="A1782" s="2">
        <v>642026.0</v>
      </c>
      <c r="B1782" s="2" t="s">
        <v>2457</v>
      </c>
      <c r="C1782" s="2" t="s">
        <v>4315</v>
      </c>
      <c r="D1782" s="2" t="s">
        <v>309</v>
      </c>
      <c r="E1782" s="2" t="s">
        <v>122</v>
      </c>
      <c r="F1782" s="2">
        <v>4.0</v>
      </c>
      <c r="G1782" s="2">
        <v>500.0</v>
      </c>
      <c r="H1782" s="3" t="str">
        <f>HYPERLINK("http://uk.linkedin.com/in/chemicalexecutivesearch","http://uk.linkedin.com/in/chemicalexecutivesearch")</f>
        <v>http://uk.linkedin.com/in/chemicalexecutivesearch</v>
      </c>
      <c r="I1782" s="2" t="s">
        <v>1841</v>
      </c>
      <c r="J1782" s="2" t="s">
        <v>53</v>
      </c>
      <c r="K1782" s="2" t="s">
        <v>58</v>
      </c>
    </row>
    <row r="1783" ht="15.75" customHeight="1">
      <c r="A1783" s="2">
        <v>642840.0</v>
      </c>
      <c r="B1783" s="2" t="s">
        <v>4316</v>
      </c>
      <c r="C1783" s="2" t="s">
        <v>4317</v>
      </c>
      <c r="D1783" s="2" t="s">
        <v>4318</v>
      </c>
      <c r="E1783" s="2" t="s">
        <v>762</v>
      </c>
      <c r="F1783" s="2" t="s">
        <v>13</v>
      </c>
      <c r="G1783" s="2">
        <v>281.0</v>
      </c>
      <c r="H1783" s="3" t="str">
        <f>HYPERLINK("http://www.linkedin.com/in/stanleywang","http://www.linkedin.com/in/stanleywang")</f>
        <v>http://www.linkedin.com/in/stanleywang</v>
      </c>
      <c r="I1783" s="2" t="s">
        <v>15</v>
      </c>
      <c r="J1783" s="2" t="s">
        <v>102</v>
      </c>
      <c r="K1783" s="2" t="s">
        <v>35</v>
      </c>
    </row>
    <row r="1784" ht="15.75" customHeight="1">
      <c r="A1784" s="2">
        <v>643065.0</v>
      </c>
      <c r="B1784" s="2" t="s">
        <v>4319</v>
      </c>
      <c r="C1784" s="2" t="s">
        <v>4320</v>
      </c>
      <c r="D1784" s="2" t="s">
        <v>4321</v>
      </c>
      <c r="E1784" s="2" t="s">
        <v>214</v>
      </c>
      <c r="F1784" s="2">
        <v>2.0</v>
      </c>
      <c r="G1784" s="2">
        <v>500.0</v>
      </c>
      <c r="H1784" s="3" t="str">
        <f>HYPERLINK("http://www.linkedin.com/in/pollyfriendrn","http://www.linkedin.com/in/pollyfriendrn")</f>
        <v>http://www.linkedin.com/in/pollyfriendrn</v>
      </c>
      <c r="I1784" s="2" t="s">
        <v>15</v>
      </c>
      <c r="J1784" s="2" t="s">
        <v>102</v>
      </c>
      <c r="K1784" s="2" t="s">
        <v>35</v>
      </c>
    </row>
    <row r="1785" ht="15.75" customHeight="1">
      <c r="A1785" s="2">
        <v>643276.0</v>
      </c>
      <c r="B1785" s="2" t="s">
        <v>4322</v>
      </c>
      <c r="C1785" s="2" t="s">
        <v>849</v>
      </c>
      <c r="D1785" s="2" t="s">
        <v>4323</v>
      </c>
      <c r="E1785" s="2" t="s">
        <v>39</v>
      </c>
      <c r="F1785" s="2">
        <v>0.0</v>
      </c>
      <c r="G1785" s="2">
        <v>500.0</v>
      </c>
      <c r="H1785" s="3" t="str">
        <f>HYPERLINK("http://www.linkedin.com/in/elainedesouza","http://www.linkedin.com/in/elainedesouza")</f>
        <v>http://www.linkedin.com/in/elainedesouza</v>
      </c>
      <c r="I1785" s="2" t="s">
        <v>15</v>
      </c>
      <c r="J1785" s="2" t="s">
        <v>34</v>
      </c>
      <c r="K1785" s="2" t="s">
        <v>35</v>
      </c>
    </row>
    <row r="1786" ht="15.75" customHeight="1">
      <c r="A1786" s="2">
        <v>643759.0</v>
      </c>
      <c r="B1786" s="2" t="s">
        <v>4016</v>
      </c>
      <c r="C1786" s="2" t="s">
        <v>4324</v>
      </c>
      <c r="D1786" s="2" t="s">
        <v>1865</v>
      </c>
      <c r="E1786" s="2" t="s">
        <v>4325</v>
      </c>
      <c r="F1786" s="2">
        <v>2.0</v>
      </c>
      <c r="G1786" s="2">
        <v>240.0</v>
      </c>
      <c r="H1786" s="3" t="str">
        <f>HYPERLINK("http://it.linkedin.com/in/masci","http://it.linkedin.com/in/masci")</f>
        <v>http://it.linkedin.com/in/masci</v>
      </c>
      <c r="I1786" s="2" t="s">
        <v>48</v>
      </c>
      <c r="J1786" s="2" t="s">
        <v>366</v>
      </c>
      <c r="K1786" s="2" t="s">
        <v>196</v>
      </c>
    </row>
    <row r="1787" ht="15.75" customHeight="1">
      <c r="A1787" s="2">
        <v>644108.0</v>
      </c>
      <c r="B1787" s="2" t="s">
        <v>558</v>
      </c>
      <c r="C1787" s="2" t="s">
        <v>4326</v>
      </c>
      <c r="D1787" s="2" t="s">
        <v>2723</v>
      </c>
      <c r="E1787" s="2" t="s">
        <v>1041</v>
      </c>
      <c r="F1787" s="2">
        <v>30.0</v>
      </c>
      <c r="G1787" s="2">
        <v>500.0</v>
      </c>
      <c r="H1787" s="3" t="str">
        <f>HYPERLINK("http://www.linkedin.com/pub/ted-abernathy/3/691/784","http://www.linkedin.com/pub/ted-abernathy/3/691/784")</f>
        <v>http://www.linkedin.com/pub/ted-abernathy/3/691/784</v>
      </c>
      <c r="I1787" s="2" t="s">
        <v>4327</v>
      </c>
      <c r="J1787" s="2" t="s">
        <v>102</v>
      </c>
      <c r="K1787" s="2" t="s">
        <v>58</v>
      </c>
    </row>
    <row r="1788" ht="15.75" customHeight="1">
      <c r="A1788" s="2">
        <v>644351.0</v>
      </c>
      <c r="B1788" s="2" t="s">
        <v>721</v>
      </c>
      <c r="C1788" s="2" t="s">
        <v>4328</v>
      </c>
      <c r="D1788" s="2" t="s">
        <v>4329</v>
      </c>
      <c r="E1788" s="2" t="s">
        <v>3429</v>
      </c>
      <c r="F1788" s="2">
        <v>6.0</v>
      </c>
      <c r="G1788" s="2">
        <v>474.0</v>
      </c>
      <c r="H1788" s="3" t="str">
        <f>HYPERLINK("http://uk.linkedin.com/pub/andrew-sleigh/0/4/7B8","http://uk.linkedin.com/pub/andrew-sleigh/0/4/7B8")</f>
        <v>http://uk.linkedin.com/pub/andrew-sleigh/0/4/7B8</v>
      </c>
      <c r="I1788" s="2" t="s">
        <v>4330</v>
      </c>
      <c r="J1788" s="2" t="s">
        <v>53</v>
      </c>
      <c r="K1788" s="2" t="s">
        <v>1945</v>
      </c>
    </row>
    <row r="1789" ht="15.75" customHeight="1">
      <c r="A1789" s="2">
        <v>645191.0</v>
      </c>
      <c r="B1789" s="2" t="s">
        <v>4331</v>
      </c>
      <c r="C1789" s="2" t="s">
        <v>1038</v>
      </c>
      <c r="D1789" s="2" t="s">
        <v>4245</v>
      </c>
      <c r="E1789" s="2" t="s">
        <v>2463</v>
      </c>
      <c r="F1789" s="2" t="s">
        <v>13</v>
      </c>
      <c r="G1789" s="2">
        <v>114.0</v>
      </c>
      <c r="H1789" s="3" t="str">
        <f>HYPERLINK("http://www.linkedin.com/pub/yaobin-chen/3/9A3/75","http://www.linkedin.com/pub/yaobin-chen/3/9A3/75")</f>
        <v>http://www.linkedin.com/pub/yaobin-chen/3/9A3/75</v>
      </c>
      <c r="I1789" s="2" t="s">
        <v>240</v>
      </c>
      <c r="J1789" s="2" t="s">
        <v>102</v>
      </c>
      <c r="K1789" s="2" t="s">
        <v>1191</v>
      </c>
    </row>
    <row r="1790" ht="15.75" customHeight="1">
      <c r="A1790" s="2">
        <v>645400.0</v>
      </c>
      <c r="B1790" s="2" t="s">
        <v>774</v>
      </c>
      <c r="C1790" s="2" t="s">
        <v>4332</v>
      </c>
      <c r="D1790" s="2" t="s">
        <v>304</v>
      </c>
      <c r="E1790" s="2" t="s">
        <v>1182</v>
      </c>
      <c r="F1790" s="2" t="s">
        <v>13</v>
      </c>
      <c r="G1790" s="2">
        <v>500.0</v>
      </c>
      <c r="H1790" s="3" t="str">
        <f>HYPERLINK("http://www.linkedin.com/pub/bruce-kuppersmith/2/BA9/248","http://www.linkedin.com/pub/bruce-kuppersmith/2/BA9/248")</f>
        <v>http://www.linkedin.com/pub/bruce-kuppersmith/2/BA9/248</v>
      </c>
      <c r="I1790" s="2" t="s">
        <v>279</v>
      </c>
      <c r="J1790" s="2" t="s">
        <v>1184</v>
      </c>
      <c r="K1790" s="2" t="s">
        <v>35</v>
      </c>
    </row>
    <row r="1791" ht="15.75" customHeight="1">
      <c r="A1791" s="2">
        <v>645683.0</v>
      </c>
      <c r="B1791" s="2" t="s">
        <v>4333</v>
      </c>
      <c r="C1791" s="2" t="s">
        <v>4334</v>
      </c>
      <c r="D1791" s="2" t="s">
        <v>13</v>
      </c>
      <c r="E1791" s="2" t="s">
        <v>628</v>
      </c>
      <c r="F1791" s="2">
        <v>1.0</v>
      </c>
      <c r="G1791" s="2">
        <v>500.0</v>
      </c>
      <c r="H1791" s="3" t="str">
        <f>HYPERLINK("http://www.linkedin.com/pub/keri-disch/2/bb2/745","http://www.linkedin.com/pub/keri-disch/2/bb2/745")</f>
        <v>http://www.linkedin.com/pub/keri-disch/2/bb2/745</v>
      </c>
      <c r="I1791" s="2" t="s">
        <v>240</v>
      </c>
      <c r="J1791" s="2" t="s">
        <v>102</v>
      </c>
      <c r="K1791" s="2" t="s">
        <v>729</v>
      </c>
    </row>
    <row r="1792" ht="15.75" customHeight="1">
      <c r="A1792" s="2">
        <v>646574.0</v>
      </c>
      <c r="B1792" s="2" t="s">
        <v>1366</v>
      </c>
      <c r="C1792" s="2" t="s">
        <v>4335</v>
      </c>
      <c r="D1792" s="2" t="s">
        <v>4336</v>
      </c>
      <c r="E1792" s="2" t="s">
        <v>4337</v>
      </c>
      <c r="F1792" s="2">
        <v>9.0</v>
      </c>
      <c r="G1792" s="2">
        <v>500.0</v>
      </c>
      <c r="H1792" s="3" t="str">
        <f>HYPERLINK("http://www.linkedin.com/in/peterschiller","http://www.linkedin.com/in/peterschiller")</f>
        <v>http://www.linkedin.com/in/peterschiller</v>
      </c>
      <c r="I1792" s="2" t="s">
        <v>865</v>
      </c>
      <c r="J1792" s="2" t="s">
        <v>16</v>
      </c>
      <c r="K1792" s="2" t="s">
        <v>522</v>
      </c>
    </row>
    <row r="1793" ht="15.75" customHeight="1">
      <c r="A1793" s="2">
        <v>646919.0</v>
      </c>
      <c r="B1793" s="2" t="s">
        <v>4338</v>
      </c>
      <c r="C1793" s="2" t="s">
        <v>4339</v>
      </c>
      <c r="D1793" s="2" t="s">
        <v>1297</v>
      </c>
      <c r="E1793" s="2" t="s">
        <v>142</v>
      </c>
      <c r="F1793" s="2">
        <v>1.0</v>
      </c>
      <c r="G1793" s="2">
        <v>484.0</v>
      </c>
      <c r="H1793" s="3" t="str">
        <f>HYPERLINK("http://www.linkedin.com/in/lisacclark","http://www.linkedin.com/in/lisacclark")</f>
        <v>http://www.linkedin.com/in/lisacclark</v>
      </c>
      <c r="I1793" s="2" t="s">
        <v>69</v>
      </c>
      <c r="J1793" s="2" t="s">
        <v>144</v>
      </c>
      <c r="K1793" s="2" t="s">
        <v>97</v>
      </c>
    </row>
    <row r="1794" ht="15.75" customHeight="1">
      <c r="A1794" s="2">
        <v>647325.0</v>
      </c>
      <c r="B1794" s="2" t="s">
        <v>133</v>
      </c>
      <c r="C1794" s="2" t="s">
        <v>1617</v>
      </c>
      <c r="D1794" s="2" t="s">
        <v>47</v>
      </c>
      <c r="E1794" s="2" t="s">
        <v>4340</v>
      </c>
      <c r="F1794" s="2">
        <v>1.0</v>
      </c>
      <c r="G1794" s="2">
        <v>276.0</v>
      </c>
      <c r="H1794" s="3" t="str">
        <f>HYPERLINK("http://www.linkedin.com/in/1venturecatalyst","http://www.linkedin.com/in/1venturecatalyst")</f>
        <v>http://www.linkedin.com/in/1venturecatalyst</v>
      </c>
      <c r="I1794" s="2" t="s">
        <v>15</v>
      </c>
      <c r="J1794" s="2" t="s">
        <v>102</v>
      </c>
      <c r="K1794" s="2" t="s">
        <v>35</v>
      </c>
    </row>
    <row r="1795" ht="15.75" customHeight="1">
      <c r="A1795" s="2">
        <v>647553.0</v>
      </c>
      <c r="B1795" s="2" t="s">
        <v>625</v>
      </c>
      <c r="C1795" s="2" t="s">
        <v>4341</v>
      </c>
      <c r="D1795" s="2" t="s">
        <v>835</v>
      </c>
      <c r="E1795" s="2" t="s">
        <v>4342</v>
      </c>
      <c r="F1795" s="2" t="s">
        <v>13</v>
      </c>
      <c r="G1795" s="2">
        <v>500.0</v>
      </c>
      <c r="H1795" s="3" t="str">
        <f>HYPERLINK("http://uk.linkedin.com/in/timbaxteruk","http://uk.linkedin.com/in/timbaxteruk")</f>
        <v>http://uk.linkedin.com/in/timbaxteruk</v>
      </c>
      <c r="I1795" s="2" t="s">
        <v>15</v>
      </c>
      <c r="J1795" s="2" t="s">
        <v>53</v>
      </c>
      <c r="K1795" s="2" t="s">
        <v>35</v>
      </c>
    </row>
    <row r="1796" ht="15.75" customHeight="1">
      <c r="A1796" s="2">
        <v>647578.0</v>
      </c>
      <c r="B1796" s="2" t="s">
        <v>784</v>
      </c>
      <c r="C1796" s="2" t="s">
        <v>4343</v>
      </c>
      <c r="D1796" s="2" t="s">
        <v>4344</v>
      </c>
      <c r="E1796" s="2" t="s">
        <v>301</v>
      </c>
      <c r="F1796" s="2" t="s">
        <v>13</v>
      </c>
      <c r="G1796" s="2">
        <v>500.0</v>
      </c>
      <c r="H1796" s="3" t="str">
        <f>HYPERLINK("http://www.linkedin.com/in/chinman","http://www.linkedin.com/in/chinman")</f>
        <v>http://www.linkedin.com/in/chinman</v>
      </c>
      <c r="I1796" s="2" t="s">
        <v>15</v>
      </c>
      <c r="J1796" s="2" t="s">
        <v>102</v>
      </c>
      <c r="K1796" s="2" t="s">
        <v>35</v>
      </c>
    </row>
    <row r="1797" ht="15.75" customHeight="1">
      <c r="A1797" s="2">
        <v>647656.0</v>
      </c>
      <c r="B1797" s="2" t="s">
        <v>4345</v>
      </c>
      <c r="C1797" s="2" t="s">
        <v>4346</v>
      </c>
      <c r="D1797" s="2" t="s">
        <v>1783</v>
      </c>
      <c r="E1797" s="2" t="s">
        <v>101</v>
      </c>
      <c r="F1797" s="2" t="s">
        <v>13</v>
      </c>
      <c r="G1797" s="2">
        <v>500.0</v>
      </c>
      <c r="H1797" s="3" t="str">
        <f>HYPERLINK("http://www.linkedin.com/pub/barry-j-falcon/4/3A9/898","http://www.linkedin.com/pub/barry-j-falcon/4/3A9/898")</f>
        <v>http://www.linkedin.com/pub/barry-j-falcon/4/3A9/898</v>
      </c>
      <c r="I1797" s="2" t="s">
        <v>1948</v>
      </c>
      <c r="J1797" s="2" t="s">
        <v>102</v>
      </c>
      <c r="K1797" s="2" t="s">
        <v>58</v>
      </c>
    </row>
    <row r="1798" ht="15.75" customHeight="1">
      <c r="A1798" s="2">
        <v>647681.0</v>
      </c>
      <c r="B1798" s="2" t="s">
        <v>677</v>
      </c>
      <c r="C1798" s="2" t="s">
        <v>4347</v>
      </c>
      <c r="D1798" s="2" t="s">
        <v>4348</v>
      </c>
      <c r="E1798" s="2" t="s">
        <v>706</v>
      </c>
      <c r="F1798" s="2" t="s">
        <v>13</v>
      </c>
      <c r="G1798" s="2">
        <v>90.0</v>
      </c>
      <c r="H1798" s="3" t="str">
        <f>HYPERLINK("http://br.linkedin.com/pub/daniel-malenga/29/726/A26","http://br.linkedin.com/pub/daniel-malenga/29/726/A26")</f>
        <v>http://br.linkedin.com/pub/daniel-malenga/29/726/A26</v>
      </c>
      <c r="I1798" s="2" t="s">
        <v>240</v>
      </c>
      <c r="J1798" s="2" t="s">
        <v>34</v>
      </c>
      <c r="K1798" s="2" t="s">
        <v>1883</v>
      </c>
    </row>
    <row r="1799" ht="15.75" customHeight="1">
      <c r="A1799" s="2">
        <v>648286.0</v>
      </c>
      <c r="B1799" s="2" t="s">
        <v>4349</v>
      </c>
      <c r="C1799" s="2" t="s">
        <v>4350</v>
      </c>
      <c r="D1799" s="2" t="s">
        <v>13</v>
      </c>
      <c r="E1799" s="2" t="s">
        <v>4351</v>
      </c>
      <c r="F1799" s="2">
        <v>0.0</v>
      </c>
      <c r="G1799" s="2">
        <v>500.0</v>
      </c>
      <c r="H1799" s="3" t="str">
        <f>HYPERLINK("http://www.linkedin.com/pub/erfan-ibrahim/4/537/99A","http://www.linkedin.com/pub/erfan-ibrahim/4/537/99A")</f>
        <v>http://www.linkedin.com/pub/erfan-ibrahim/4/537/99A</v>
      </c>
      <c r="I1799" s="2" t="s">
        <v>225</v>
      </c>
      <c r="J1799" s="2" t="s">
        <v>102</v>
      </c>
      <c r="K1799" s="2" t="s">
        <v>97</v>
      </c>
    </row>
    <row r="1800" ht="15.75" customHeight="1">
      <c r="A1800" s="2">
        <v>648749.0</v>
      </c>
      <c r="B1800" s="2" t="s">
        <v>1545</v>
      </c>
      <c r="C1800" s="2" t="s">
        <v>4352</v>
      </c>
      <c r="D1800" s="2" t="s">
        <v>2723</v>
      </c>
      <c r="E1800" s="2" t="s">
        <v>505</v>
      </c>
      <c r="F1800" s="2">
        <v>5.0</v>
      </c>
      <c r="G1800" s="2">
        <v>500.0</v>
      </c>
      <c r="H1800" s="3" t="str">
        <f>HYPERLINK("http://www.linkedin.com/in/prenier","http://www.linkedin.com/in/prenier")</f>
        <v>http://www.linkedin.com/in/prenier</v>
      </c>
      <c r="I1800" s="2" t="s">
        <v>15</v>
      </c>
      <c r="J1800" s="2" t="s">
        <v>102</v>
      </c>
      <c r="K1800" s="2" t="s">
        <v>35</v>
      </c>
    </row>
    <row r="1801" ht="15.75" customHeight="1">
      <c r="A1801" s="2">
        <v>649040.0</v>
      </c>
      <c r="B1801" s="2" t="s">
        <v>4353</v>
      </c>
      <c r="C1801" s="2" t="s">
        <v>2547</v>
      </c>
      <c r="D1801" s="2" t="s">
        <v>13</v>
      </c>
      <c r="E1801" s="2" t="s">
        <v>4354</v>
      </c>
      <c r="F1801" s="2">
        <v>0.0</v>
      </c>
      <c r="G1801" s="2">
        <v>500.0</v>
      </c>
      <c r="H1801" s="2" t="s">
        <v>4355</v>
      </c>
      <c r="I1801" s="2" t="s">
        <v>115</v>
      </c>
      <c r="J1801" s="2" t="s">
        <v>4356</v>
      </c>
      <c r="K1801" s="2" t="s">
        <v>35</v>
      </c>
    </row>
    <row r="1802" ht="15.75" customHeight="1">
      <c r="A1802" s="2">
        <v>649051.0</v>
      </c>
      <c r="B1802" s="2" t="s">
        <v>3025</v>
      </c>
      <c r="C1802" s="2" t="s">
        <v>4357</v>
      </c>
      <c r="D1802" s="2" t="s">
        <v>114</v>
      </c>
      <c r="E1802" s="2" t="s">
        <v>301</v>
      </c>
      <c r="F1802" s="2" t="s">
        <v>13</v>
      </c>
      <c r="G1802" s="2">
        <v>500.0</v>
      </c>
      <c r="H1802" s="3" t="str">
        <f>HYPERLINK("http://www.linkedin.com/pub/noel-lafayette/3/586/2A6","http://www.linkedin.com/pub/noel-lafayette/3/586/2A6")</f>
        <v>http://www.linkedin.com/pub/noel-lafayette/3/586/2A6</v>
      </c>
      <c r="I1802" s="2" t="s">
        <v>663</v>
      </c>
      <c r="J1802" s="2" t="s">
        <v>102</v>
      </c>
      <c r="K1802" s="2" t="s">
        <v>58</v>
      </c>
    </row>
    <row r="1803" ht="15.75" customHeight="1">
      <c r="A1803" s="2">
        <v>649475.0</v>
      </c>
      <c r="B1803" s="2" t="s">
        <v>4358</v>
      </c>
      <c r="C1803" s="2" t="s">
        <v>4359</v>
      </c>
      <c r="D1803" s="2" t="s">
        <v>47</v>
      </c>
      <c r="E1803" s="2" t="s">
        <v>4360</v>
      </c>
      <c r="F1803" s="2" t="s">
        <v>13</v>
      </c>
      <c r="G1803" s="2">
        <v>500.0</v>
      </c>
      <c r="H1803" s="3" t="str">
        <f>HYPERLINK("http://uk.linkedin.com/in/catherinem","http://uk.linkedin.com/in/catherinem")</f>
        <v>http://uk.linkedin.com/in/catherinem</v>
      </c>
      <c r="I1803" s="2" t="s">
        <v>27</v>
      </c>
      <c r="J1803" s="2" t="s">
        <v>53</v>
      </c>
      <c r="K1803" s="2" t="s">
        <v>58</v>
      </c>
    </row>
    <row r="1804" ht="15.75" customHeight="1">
      <c r="A1804" s="2">
        <v>649752.0</v>
      </c>
      <c r="B1804" s="2" t="s">
        <v>1275</v>
      </c>
      <c r="C1804" s="2" t="s">
        <v>4361</v>
      </c>
      <c r="D1804" s="2" t="s">
        <v>1805</v>
      </c>
      <c r="E1804" s="2" t="s">
        <v>136</v>
      </c>
      <c r="F1804" s="2">
        <v>2.0</v>
      </c>
      <c r="G1804" s="2">
        <v>500.0</v>
      </c>
      <c r="H1804" s="3" t="str">
        <f>HYPERLINK("http://www.linkedin.com/pub/brad-freitag/3/7BB/674","http://www.linkedin.com/pub/brad-freitag/3/7BB/674")</f>
        <v>http://www.linkedin.com/pub/brad-freitag/3/7BB/674</v>
      </c>
      <c r="I1804" s="2" t="s">
        <v>48</v>
      </c>
      <c r="J1804" s="2" t="s">
        <v>102</v>
      </c>
      <c r="K1804" s="2" t="s">
        <v>35</v>
      </c>
    </row>
    <row r="1805" ht="15.75" customHeight="1">
      <c r="A1805" s="2">
        <v>650131.0</v>
      </c>
      <c r="B1805" s="2" t="s">
        <v>4362</v>
      </c>
      <c r="C1805" s="2" t="s">
        <v>13</v>
      </c>
      <c r="D1805" s="2" t="s">
        <v>13</v>
      </c>
      <c r="E1805" s="2" t="s">
        <v>992</v>
      </c>
      <c r="F1805" s="2">
        <v>0.0</v>
      </c>
      <c r="G1805" s="2">
        <v>500.0</v>
      </c>
      <c r="H1805" s="3" t="str">
        <f>HYPERLINK("http://www.linkedin.com/in/claytonthomas/","http://www.linkedin.com/in/claytonthomas/")</f>
        <v>http://www.linkedin.com/in/claytonthomas/</v>
      </c>
      <c r="I1805" s="2" t="s">
        <v>48</v>
      </c>
      <c r="J1805" s="2" t="s">
        <v>102</v>
      </c>
      <c r="K1805" s="2" t="s">
        <v>35</v>
      </c>
    </row>
    <row r="1806" ht="15.75" customHeight="1">
      <c r="A1806" s="2">
        <v>650342.0</v>
      </c>
      <c r="B1806" s="2" t="s">
        <v>940</v>
      </c>
      <c r="C1806" s="2" t="s">
        <v>2805</v>
      </c>
      <c r="D1806" s="2" t="s">
        <v>47</v>
      </c>
      <c r="E1806" s="2" t="s">
        <v>4363</v>
      </c>
      <c r="F1806" s="2">
        <v>11.0</v>
      </c>
      <c r="G1806" s="2">
        <v>500.0</v>
      </c>
      <c r="H1806" s="3" t="str">
        <f>HYPERLINK("http://www.linkedin.com/in/bobbyaclay","http://www.linkedin.com/in/bobbyaclay")</f>
        <v>http://www.linkedin.com/in/bobbyaclay</v>
      </c>
      <c r="I1806" s="2" t="s">
        <v>48</v>
      </c>
      <c r="J1806" s="2" t="s">
        <v>102</v>
      </c>
      <c r="K1806" s="2" t="s">
        <v>35</v>
      </c>
    </row>
    <row r="1807" ht="15.75" customHeight="1">
      <c r="A1807" s="2">
        <v>650532.0</v>
      </c>
      <c r="B1807" s="2" t="s">
        <v>4364</v>
      </c>
      <c r="C1807" s="2" t="s">
        <v>4365</v>
      </c>
      <c r="D1807" s="2" t="s">
        <v>4366</v>
      </c>
      <c r="E1807" s="2" t="s">
        <v>301</v>
      </c>
      <c r="F1807" s="2">
        <v>2.0</v>
      </c>
      <c r="G1807" s="2">
        <v>500.0</v>
      </c>
      <c r="H1807" s="3" t="str">
        <f>HYPERLINK("http://www.linkedin.com/in/marthas","http://www.linkedin.com/in/marthas")</f>
        <v>http://www.linkedin.com/in/marthas</v>
      </c>
      <c r="I1807" s="2" t="s">
        <v>1679</v>
      </c>
      <c r="J1807" s="2" t="s">
        <v>102</v>
      </c>
      <c r="K1807" s="2" t="s">
        <v>58</v>
      </c>
    </row>
    <row r="1808" ht="15.75" customHeight="1">
      <c r="A1808" s="2">
        <v>650645.0</v>
      </c>
      <c r="B1808" s="2" t="s">
        <v>774</v>
      </c>
      <c r="C1808" s="2" t="s">
        <v>4367</v>
      </c>
      <c r="D1808" s="2" t="s">
        <v>42</v>
      </c>
      <c r="E1808" s="2" t="s">
        <v>136</v>
      </c>
      <c r="F1808" s="2" t="s">
        <v>13</v>
      </c>
      <c r="G1808" s="2">
        <v>224.0</v>
      </c>
      <c r="H1808" s="3" t="str">
        <f>HYPERLINK("http://www.linkedin.com/pub/bruce-mitchell/0/108/B69","http://www.linkedin.com/pub/bruce-mitchell/0/108/B69")</f>
        <v>http://www.linkedin.com/pub/bruce-mitchell/0/108/B69</v>
      </c>
      <c r="I1808" s="2" t="s">
        <v>57</v>
      </c>
      <c r="J1808" s="2" t="s">
        <v>102</v>
      </c>
      <c r="K1808" s="2" t="s">
        <v>58</v>
      </c>
    </row>
    <row r="1809" ht="15.75" customHeight="1">
      <c r="A1809" s="2">
        <v>650821.0</v>
      </c>
      <c r="B1809" s="2" t="s">
        <v>4364</v>
      </c>
      <c r="C1809" s="2" t="s">
        <v>4368</v>
      </c>
      <c r="D1809" s="2" t="s">
        <v>2274</v>
      </c>
      <c r="E1809" s="2" t="s">
        <v>1515</v>
      </c>
      <c r="F1809" s="2">
        <v>4.0</v>
      </c>
      <c r="G1809" s="2">
        <v>500.0</v>
      </c>
      <c r="H1809" s="3" t="str">
        <f>HYPERLINK("http://www.linkedin.com/in/marthaifinney","http://www.linkedin.com/in/marthaifinney")</f>
        <v>http://www.linkedin.com/in/marthaifinney</v>
      </c>
      <c r="I1809" s="2" t="s">
        <v>57</v>
      </c>
      <c r="J1809" s="2" t="s">
        <v>28</v>
      </c>
      <c r="K1809" s="2" t="s">
        <v>168</v>
      </c>
    </row>
    <row r="1810" ht="15.75" customHeight="1">
      <c r="A1810" s="2">
        <v>650900.0</v>
      </c>
      <c r="B1810" s="2" t="s">
        <v>2856</v>
      </c>
      <c r="C1810" s="2" t="s">
        <v>4369</v>
      </c>
      <c r="D1810" s="2" t="s">
        <v>13</v>
      </c>
      <c r="E1810" s="2" t="s">
        <v>3746</v>
      </c>
      <c r="F1810" s="2">
        <v>0.0</v>
      </c>
      <c r="G1810" s="2">
        <v>500.0</v>
      </c>
      <c r="H1810" s="3" t="str">
        <f>HYPERLINK("http://www.linkedin.com/pub/derek-wu-b-eng/2/b37/36","http://www.linkedin.com/pub/derek-wu-b-eng/2/b37/36")</f>
        <v>http://www.linkedin.com/pub/derek-wu-b-eng/2/b37/36</v>
      </c>
      <c r="I1810" s="2" t="s">
        <v>15</v>
      </c>
      <c r="J1810" s="2" t="s">
        <v>44</v>
      </c>
      <c r="K1810" s="2" t="s">
        <v>35</v>
      </c>
    </row>
    <row r="1811" ht="15.75" customHeight="1">
      <c r="A1811" s="2">
        <v>650981.0</v>
      </c>
      <c r="B1811" s="2" t="s">
        <v>1004</v>
      </c>
      <c r="C1811" s="2" t="s">
        <v>4370</v>
      </c>
      <c r="D1811" s="2" t="s">
        <v>42</v>
      </c>
      <c r="E1811" s="2" t="s">
        <v>136</v>
      </c>
      <c r="F1811" s="2" t="s">
        <v>13</v>
      </c>
      <c r="G1811" s="2">
        <v>187.0</v>
      </c>
      <c r="H1811" s="3" t="str">
        <f>HYPERLINK("http://www.linkedin.com/pub/scott-rockwell/0/95/700","http://www.linkedin.com/pub/scott-rockwell/0/95/700")</f>
        <v>http://www.linkedin.com/pub/scott-rockwell/0/95/700</v>
      </c>
      <c r="I1811" s="2" t="s">
        <v>77</v>
      </c>
      <c r="J1811" s="2" t="s">
        <v>102</v>
      </c>
      <c r="K1811" s="2" t="s">
        <v>97</v>
      </c>
    </row>
    <row r="1812" ht="15.75" customHeight="1">
      <c r="A1812" s="2">
        <v>650982.0</v>
      </c>
      <c r="B1812" s="2" t="s">
        <v>4371</v>
      </c>
      <c r="C1812" s="2" t="s">
        <v>4372</v>
      </c>
      <c r="D1812" s="2" t="s">
        <v>4373</v>
      </c>
      <c r="E1812" s="2" t="s">
        <v>762</v>
      </c>
      <c r="F1812" s="2">
        <v>7.0</v>
      </c>
      <c r="G1812" s="2">
        <v>500.0</v>
      </c>
      <c r="H1812" s="3" t="str">
        <f>HYPERLINK("http://www.linkedin.com/in/versity","http://www.linkedin.com/in/versity")</f>
        <v>http://www.linkedin.com/in/versity</v>
      </c>
      <c r="I1812" s="2" t="s">
        <v>1496</v>
      </c>
      <c r="J1812" s="2" t="s">
        <v>102</v>
      </c>
      <c r="K1812" s="2" t="s">
        <v>97</v>
      </c>
    </row>
    <row r="1813" ht="15.75" customHeight="1">
      <c r="A1813" s="2">
        <v>651160.0</v>
      </c>
      <c r="B1813" s="2" t="s">
        <v>4374</v>
      </c>
      <c r="C1813" s="2" t="s">
        <v>4375</v>
      </c>
      <c r="D1813" s="2" t="s">
        <v>1145</v>
      </c>
      <c r="E1813" s="2" t="s">
        <v>765</v>
      </c>
      <c r="F1813" s="2">
        <v>6.0</v>
      </c>
      <c r="G1813" s="2">
        <v>500.0</v>
      </c>
      <c r="H1813" s="3" t="str">
        <f>HYPERLINK("http://www.linkedin.com/in/barneysene","http://www.linkedin.com/in/barneysene")</f>
        <v>http://www.linkedin.com/in/barneysene</v>
      </c>
      <c r="I1813" s="2" t="s">
        <v>1107</v>
      </c>
      <c r="J1813" s="2" t="s">
        <v>144</v>
      </c>
      <c r="K1813" s="2" t="s">
        <v>357</v>
      </c>
    </row>
    <row r="1814" ht="15.75" customHeight="1">
      <c r="A1814" s="2">
        <v>651513.0</v>
      </c>
      <c r="B1814" s="2" t="s">
        <v>3907</v>
      </c>
      <c r="C1814" s="2" t="s">
        <v>4376</v>
      </c>
      <c r="D1814" s="2" t="s">
        <v>42</v>
      </c>
      <c r="E1814" s="2" t="s">
        <v>4377</v>
      </c>
      <c r="F1814" s="2">
        <v>11.0</v>
      </c>
      <c r="G1814" s="2">
        <v>500.0</v>
      </c>
      <c r="H1814" s="3" t="str">
        <f>HYPERLINK("http://ca.linkedin.com/in/quebecseo","http://ca.linkedin.com/in/quebecseo")</f>
        <v>http://ca.linkedin.com/in/quebecseo</v>
      </c>
      <c r="I1814" s="2" t="s">
        <v>69</v>
      </c>
      <c r="J1814" s="2" t="s">
        <v>44</v>
      </c>
      <c r="K1814" s="2" t="s">
        <v>35</v>
      </c>
    </row>
    <row r="1815" ht="15.75" customHeight="1">
      <c r="A1815" s="2">
        <v>651537.0</v>
      </c>
      <c r="B1815" s="2" t="s">
        <v>845</v>
      </c>
      <c r="C1815" s="2" t="s">
        <v>4378</v>
      </c>
      <c r="D1815" s="2" t="s">
        <v>4379</v>
      </c>
      <c r="E1815" s="2" t="s">
        <v>101</v>
      </c>
      <c r="F1815" s="2">
        <v>6.0</v>
      </c>
      <c r="G1815" s="2">
        <v>500.0</v>
      </c>
      <c r="H1815" s="3" t="str">
        <f>HYPERLINK("http://www.linkedin.com/in/davidgearhart","http://www.linkedin.com/in/davidgearhart")</f>
        <v>http://www.linkedin.com/in/davidgearhart</v>
      </c>
      <c r="I1815" s="2" t="s">
        <v>48</v>
      </c>
      <c r="J1815" s="2" t="s">
        <v>102</v>
      </c>
      <c r="K1815" s="2" t="s">
        <v>35</v>
      </c>
    </row>
    <row r="1816" ht="15.75" customHeight="1">
      <c r="A1816" s="2">
        <v>652092.0</v>
      </c>
      <c r="B1816" s="2" t="s">
        <v>1076</v>
      </c>
      <c r="C1816" s="2" t="s">
        <v>4380</v>
      </c>
      <c r="D1816" s="2" t="s">
        <v>4381</v>
      </c>
      <c r="E1816" s="2" t="s">
        <v>808</v>
      </c>
      <c r="F1816" s="2">
        <v>2.0</v>
      </c>
      <c r="G1816" s="2">
        <v>164.0</v>
      </c>
      <c r="H1816" s="3" t="str">
        <f>HYPERLINK("http://www.linkedin.com/pub/jennifer-relich-pmp/0/A84/B08","http://www.linkedin.com/pub/jennifer-relich-pmp/0/A84/B08")</f>
        <v>http://www.linkedin.com/pub/jennifer-relich-pmp/0/A84/B08</v>
      </c>
      <c r="I1816" s="2" t="s">
        <v>15</v>
      </c>
      <c r="J1816" s="2" t="s">
        <v>102</v>
      </c>
      <c r="K1816" s="2" t="s">
        <v>35</v>
      </c>
    </row>
    <row r="1817" ht="15.75" customHeight="1">
      <c r="A1817" s="2">
        <v>652311.0</v>
      </c>
      <c r="B1817" s="2" t="s">
        <v>4382</v>
      </c>
      <c r="C1817" s="2" t="s">
        <v>4383</v>
      </c>
      <c r="D1817" s="2" t="s">
        <v>4384</v>
      </c>
      <c r="E1817" s="2" t="s">
        <v>272</v>
      </c>
      <c r="F1817" s="2">
        <v>2.0</v>
      </c>
      <c r="G1817" s="2">
        <v>237.0</v>
      </c>
      <c r="H1817" s="3" t="str">
        <f>HYPERLINK("http://www.linkedin.com/in/guiomarvergara","http://www.linkedin.com/in/guiomarvergara")</f>
        <v>http://www.linkedin.com/in/guiomarvergara</v>
      </c>
      <c r="I1817" s="2" t="s">
        <v>231</v>
      </c>
      <c r="J1817" s="2" t="s">
        <v>273</v>
      </c>
      <c r="K1817" s="2" t="s">
        <v>35</v>
      </c>
    </row>
    <row r="1818" ht="15.75" customHeight="1">
      <c r="A1818" s="2">
        <v>652529.0</v>
      </c>
      <c r="B1818" s="2" t="s">
        <v>2311</v>
      </c>
      <c r="C1818" s="2" t="s">
        <v>4385</v>
      </c>
      <c r="D1818" s="2" t="s">
        <v>4386</v>
      </c>
      <c r="E1818" s="2" t="s">
        <v>136</v>
      </c>
      <c r="F1818" s="2">
        <v>3.0</v>
      </c>
      <c r="G1818" s="2">
        <v>500.0</v>
      </c>
      <c r="H1818" s="3" t="str">
        <f>HYPERLINK("http://in.linkedin.com/in/sameershelke","http://in.linkedin.com/in/sameershelke")</f>
        <v>http://in.linkedin.com/in/sameershelke</v>
      </c>
      <c r="I1818" s="2" t="s">
        <v>15</v>
      </c>
      <c r="J1818" s="2" t="s">
        <v>102</v>
      </c>
      <c r="K1818" s="2" t="s">
        <v>35</v>
      </c>
    </row>
    <row r="1819" ht="15.75" customHeight="1">
      <c r="A1819" s="2">
        <v>652844.0</v>
      </c>
      <c r="B1819" s="2" t="s">
        <v>4387</v>
      </c>
      <c r="C1819" s="2" t="s">
        <v>4388</v>
      </c>
      <c r="D1819" s="2" t="s">
        <v>13</v>
      </c>
      <c r="E1819" s="2" t="s">
        <v>64</v>
      </c>
      <c r="F1819" s="2">
        <v>0.0</v>
      </c>
      <c r="G1819" s="2">
        <v>500.0</v>
      </c>
      <c r="H1819" s="3" t="str">
        <f>HYPERLINK("http://www.linkedin.com/pub/jean-francois-jezequel/0/8b6/193","http://www.linkedin.com/pub/jean-francois-jezequel/0/8b6/193")</f>
        <v>http://www.linkedin.com/pub/jean-francois-jezequel/0/8b6/193</v>
      </c>
      <c r="I1819" s="2" t="s">
        <v>77</v>
      </c>
      <c r="J1819" s="2" t="s">
        <v>65</v>
      </c>
      <c r="K1819" s="2" t="s">
        <v>97</v>
      </c>
    </row>
    <row r="1820" ht="15.75" customHeight="1">
      <c r="A1820" s="2">
        <v>652922.0</v>
      </c>
      <c r="B1820" s="2" t="s">
        <v>1104</v>
      </c>
      <c r="C1820" s="2" t="s">
        <v>4389</v>
      </c>
      <c r="D1820" s="2" t="s">
        <v>304</v>
      </c>
      <c r="E1820" s="2" t="s">
        <v>301</v>
      </c>
      <c r="F1820" s="2" t="s">
        <v>13</v>
      </c>
      <c r="G1820" s="2">
        <v>132.0</v>
      </c>
      <c r="H1820" s="3" t="str">
        <f>HYPERLINK("http://www.linkedin.com/pub/jay-dorfman/0/262/633","http://www.linkedin.com/pub/jay-dorfman/0/262/633")</f>
        <v>http://www.linkedin.com/pub/jay-dorfman/0/262/633</v>
      </c>
      <c r="I1820" s="2" t="s">
        <v>195</v>
      </c>
      <c r="J1820" s="2" t="s">
        <v>102</v>
      </c>
      <c r="K1820" s="2" t="s">
        <v>196</v>
      </c>
    </row>
    <row r="1821" ht="15.75" customHeight="1">
      <c r="A1821" s="2">
        <v>653536.0</v>
      </c>
      <c r="B1821" s="2" t="s">
        <v>4390</v>
      </c>
      <c r="C1821" s="2" t="s">
        <v>4391</v>
      </c>
      <c r="D1821" s="2" t="s">
        <v>1910</v>
      </c>
      <c r="E1821" s="2" t="s">
        <v>808</v>
      </c>
      <c r="F1821" s="2">
        <v>9.0</v>
      </c>
      <c r="G1821" s="2">
        <v>500.0</v>
      </c>
      <c r="H1821" s="3" t="str">
        <f>HYPERLINK("http://www.linkedin.com/pub/jake-villarreal/0/359/B69","http://www.linkedin.com/pub/jake-villarreal/0/359/B69")</f>
        <v>http://www.linkedin.com/pub/jake-villarreal/0/359/B69</v>
      </c>
      <c r="I1821" s="2" t="s">
        <v>15</v>
      </c>
      <c r="J1821" s="2" t="s">
        <v>102</v>
      </c>
      <c r="K1821" s="2" t="s">
        <v>35</v>
      </c>
    </row>
    <row r="1822" ht="15.75" customHeight="1">
      <c r="A1822" s="2">
        <v>653942.0</v>
      </c>
      <c r="B1822" s="2" t="s">
        <v>133</v>
      </c>
      <c r="C1822" s="2" t="s">
        <v>4392</v>
      </c>
      <c r="D1822" s="2" t="s">
        <v>4393</v>
      </c>
      <c r="E1822" s="2" t="s">
        <v>142</v>
      </c>
      <c r="F1822" s="2">
        <v>0.0</v>
      </c>
      <c r="G1822" s="2">
        <v>500.0</v>
      </c>
      <c r="H1822" s="3" t="str">
        <f>HYPERLINK("http://uk.linkedin.com/pub/michael-gianni/0/729/815","http://uk.linkedin.com/pub/michael-gianni/0/729/815")</f>
        <v>http://uk.linkedin.com/pub/michael-gianni/0/729/815</v>
      </c>
      <c r="I1822" s="2" t="s">
        <v>77</v>
      </c>
      <c r="J1822" s="2" t="s">
        <v>144</v>
      </c>
      <c r="K1822" s="2" t="s">
        <v>111</v>
      </c>
    </row>
    <row r="1823" ht="15.75" customHeight="1">
      <c r="A1823" s="2">
        <v>654057.0</v>
      </c>
      <c r="B1823" s="2" t="s">
        <v>625</v>
      </c>
      <c r="C1823" s="2" t="s">
        <v>2019</v>
      </c>
      <c r="D1823" s="2"/>
      <c r="E1823" s="2" t="s">
        <v>278</v>
      </c>
      <c r="F1823" s="2">
        <v>0.0</v>
      </c>
      <c r="G1823" s="2">
        <v>158.0</v>
      </c>
      <c r="H1823" s="3" t="str">
        <f>HYPERLINK("http://www.linkedin.com/pub/tim-turner/2/56/6B","http://www.linkedin.com/pub/tim-turner/2/56/6B")</f>
        <v>http://www.linkedin.com/pub/tim-turner/2/56/6B</v>
      </c>
      <c r="I1823" s="2" t="s">
        <v>4394</v>
      </c>
      <c r="J1823" s="2" t="s">
        <v>28</v>
      </c>
      <c r="K1823" s="2" t="s">
        <v>196</v>
      </c>
    </row>
    <row r="1824" ht="15.75" customHeight="1">
      <c r="A1824" s="2">
        <v>654090.0</v>
      </c>
      <c r="B1824" s="2" t="s">
        <v>4395</v>
      </c>
      <c r="C1824" s="2" t="s">
        <v>4396</v>
      </c>
      <c r="D1824" s="2" t="s">
        <v>47</v>
      </c>
      <c r="E1824" s="2" t="s">
        <v>2643</v>
      </c>
      <c r="F1824" s="2">
        <v>5.0</v>
      </c>
      <c r="G1824" s="2">
        <v>500.0</v>
      </c>
      <c r="H1824" s="3" t="str">
        <f>HYPERLINK("http://www.linkedin.com/pub/yariv-lerner/2/A04/409","http://www.linkedin.com/pub/yariv-lerner/2/A04/409")</f>
        <v>http://www.linkedin.com/pub/yariv-lerner/2/A04/409</v>
      </c>
      <c r="I1824" s="2" t="s">
        <v>1740</v>
      </c>
      <c r="J1824" s="2" t="s">
        <v>102</v>
      </c>
      <c r="K1824" s="2" t="s">
        <v>58</v>
      </c>
    </row>
    <row r="1825" ht="15.75" customHeight="1">
      <c r="A1825" s="2">
        <v>654216.0</v>
      </c>
      <c r="B1825" s="2" t="s">
        <v>4397</v>
      </c>
      <c r="C1825" s="2" t="s">
        <v>4398</v>
      </c>
      <c r="D1825" s="2" t="s">
        <v>1059</v>
      </c>
      <c r="E1825" s="2" t="s">
        <v>301</v>
      </c>
      <c r="F1825" s="2">
        <v>30.0</v>
      </c>
      <c r="G1825" s="2">
        <v>500.0</v>
      </c>
      <c r="H1825" s="3" t="str">
        <f>HYPERLINK("http://www.linkedin.com/in/avikwitel","http://www.linkedin.com/in/avikwitel")</f>
        <v>http://www.linkedin.com/in/avikwitel</v>
      </c>
      <c r="I1825" s="2" t="s">
        <v>248</v>
      </c>
      <c r="J1825" s="2" t="s">
        <v>102</v>
      </c>
      <c r="K1825" s="2" t="s">
        <v>196</v>
      </c>
    </row>
    <row r="1826" ht="15.75" customHeight="1">
      <c r="A1826" s="2">
        <v>654572.0</v>
      </c>
      <c r="B1826" s="2" t="s">
        <v>1585</v>
      </c>
      <c r="C1826" s="2" t="s">
        <v>4399</v>
      </c>
      <c r="D1826" s="2" t="s">
        <v>4400</v>
      </c>
      <c r="E1826" s="2" t="s">
        <v>4401</v>
      </c>
      <c r="F1826" s="2">
        <v>4.0</v>
      </c>
      <c r="G1826" s="2">
        <v>500.0</v>
      </c>
      <c r="H1826" s="3" t="str">
        <f>HYPERLINK("http://www.linkedin.com/in/thomasjungsap","http://www.linkedin.com/in/thomasjungsap")</f>
        <v>http://www.linkedin.com/in/thomasjungsap</v>
      </c>
      <c r="I1826" s="2" t="s">
        <v>48</v>
      </c>
      <c r="J1826" s="2" t="s">
        <v>87</v>
      </c>
      <c r="K1826" s="2" t="s">
        <v>357</v>
      </c>
    </row>
    <row r="1827" ht="15.75" customHeight="1">
      <c r="A1827" s="2">
        <v>654660.0</v>
      </c>
      <c r="B1827" s="2" t="s">
        <v>4402</v>
      </c>
      <c r="C1827" s="2" t="s">
        <v>4403</v>
      </c>
      <c r="D1827" s="2" t="s">
        <v>4404</v>
      </c>
      <c r="E1827" s="2" t="s">
        <v>4405</v>
      </c>
      <c r="F1827" s="2">
        <v>17.0</v>
      </c>
      <c r="G1827" s="2">
        <v>500.0</v>
      </c>
      <c r="H1827" s="3" t="str">
        <f>HYPERLINK("http://it.linkedin.com/in/giorgionatili","http://it.linkedin.com/in/giorgionatili")</f>
        <v>http://it.linkedin.com/in/giorgionatili</v>
      </c>
      <c r="I1827" s="2" t="s">
        <v>69</v>
      </c>
      <c r="J1827" s="2" t="s">
        <v>2258</v>
      </c>
      <c r="K1827" s="2" t="s">
        <v>35</v>
      </c>
    </row>
    <row r="1828" ht="15.75" customHeight="1">
      <c r="A1828" s="2">
        <v>654684.0</v>
      </c>
      <c r="B1828" s="2" t="s">
        <v>275</v>
      </c>
      <c r="C1828" s="2" t="s">
        <v>4406</v>
      </c>
      <c r="D1828" s="2" t="s">
        <v>13</v>
      </c>
      <c r="E1828" s="2" t="s">
        <v>4407</v>
      </c>
      <c r="F1828" s="2">
        <v>0.0</v>
      </c>
      <c r="G1828" s="2">
        <v>407.0</v>
      </c>
      <c r="H1828" s="3" t="str">
        <f>HYPERLINK("http://www.linkedin.com/in/brockmann","http://www.linkedin.com/in/brockmann")</f>
        <v>http://www.linkedin.com/in/brockmann</v>
      </c>
      <c r="I1828" s="2" t="s">
        <v>248</v>
      </c>
      <c r="J1828" s="2" t="s">
        <v>102</v>
      </c>
      <c r="K1828" s="2" t="s">
        <v>196</v>
      </c>
    </row>
    <row r="1829" ht="15.75" customHeight="1">
      <c r="A1829" s="2">
        <v>654696.0</v>
      </c>
      <c r="B1829" s="2" t="s">
        <v>412</v>
      </c>
      <c r="C1829" s="2" t="s">
        <v>4408</v>
      </c>
      <c r="D1829" s="2" t="s">
        <v>1320</v>
      </c>
      <c r="E1829" s="2" t="s">
        <v>301</v>
      </c>
      <c r="F1829" s="2" t="s">
        <v>13</v>
      </c>
      <c r="G1829" s="2">
        <v>500.0</v>
      </c>
      <c r="H1829" s="3" t="str">
        <f>HYPERLINK("http://www.linkedin.com/pub/robert-fenstermacher/1/363/A","http://www.linkedin.com/pub/robert-fenstermacher/1/363/A")</f>
        <v>http://www.linkedin.com/pub/robert-fenstermacher/1/363/A</v>
      </c>
      <c r="I1829" s="2" t="s">
        <v>4132</v>
      </c>
      <c r="J1829" s="2" t="s">
        <v>102</v>
      </c>
      <c r="K1829" s="2" t="s">
        <v>58</v>
      </c>
    </row>
    <row r="1830" ht="15.75" customHeight="1">
      <c r="A1830" s="2">
        <v>654802.0</v>
      </c>
      <c r="B1830" s="2" t="s">
        <v>4409</v>
      </c>
      <c r="C1830" s="2" t="s">
        <v>3506</v>
      </c>
      <c r="D1830" s="2" t="s">
        <v>4410</v>
      </c>
      <c r="E1830" s="2" t="s">
        <v>301</v>
      </c>
      <c r="F1830" s="2">
        <v>3.0</v>
      </c>
      <c r="G1830" s="2">
        <v>500.0</v>
      </c>
      <c r="H1830" s="3" t="str">
        <f>HYPERLINK("http://www.linkedin.com/in/chatterboxenterprises","http://www.linkedin.com/in/chatterboxenterprises")</f>
        <v>http://www.linkedin.com/in/chatterboxenterprises</v>
      </c>
      <c r="I1830" s="2" t="s">
        <v>1361</v>
      </c>
      <c r="J1830" s="2" t="s">
        <v>102</v>
      </c>
      <c r="K1830" s="2" t="s">
        <v>58</v>
      </c>
    </row>
    <row r="1831" ht="15.75" customHeight="1">
      <c r="A1831" s="2">
        <v>655313.0</v>
      </c>
      <c r="B1831" s="2" t="s">
        <v>1015</v>
      </c>
      <c r="C1831" s="2" t="s">
        <v>4411</v>
      </c>
      <c r="D1831" s="2" t="s">
        <v>4412</v>
      </c>
      <c r="E1831" s="2" t="s">
        <v>720</v>
      </c>
      <c r="F1831" s="2" t="s">
        <v>13</v>
      </c>
      <c r="G1831" s="2">
        <v>421.0</v>
      </c>
      <c r="H1831" s="3" t="str">
        <f>HYPERLINK("http://www.linkedin.com/pub/brian-fink/0/110/3A4","http://www.linkedin.com/pub/brian-fink/0/110/3A4")</f>
        <v>http://www.linkedin.com/pub/brian-fink/0/110/3A4</v>
      </c>
      <c r="I1831" s="2" t="s">
        <v>15</v>
      </c>
      <c r="J1831" s="2" t="s">
        <v>102</v>
      </c>
      <c r="K1831" s="2" t="s">
        <v>35</v>
      </c>
    </row>
    <row r="1832" ht="15.75" customHeight="1">
      <c r="A1832" s="2">
        <v>655608.0</v>
      </c>
      <c r="B1832" s="2" t="s">
        <v>4413</v>
      </c>
      <c r="C1832" s="2" t="s">
        <v>4414</v>
      </c>
      <c r="D1832" s="2" t="s">
        <v>4415</v>
      </c>
      <c r="E1832" s="2" t="s">
        <v>301</v>
      </c>
      <c r="F1832" s="2">
        <v>1.0</v>
      </c>
      <c r="G1832" s="2">
        <v>500.0</v>
      </c>
      <c r="H1832" s="3" t="str">
        <f>HYPERLINK("http://www.linkedin.com/pub/kari-honkaniemi/0/A57/B70","http://www.linkedin.com/pub/kari-honkaniemi/0/A57/B70")</f>
        <v>http://www.linkedin.com/pub/kari-honkaniemi/0/A57/B70</v>
      </c>
      <c r="I1832" s="2" t="s">
        <v>2994</v>
      </c>
      <c r="J1832" s="2" t="s">
        <v>102</v>
      </c>
      <c r="K1832" s="2" t="s">
        <v>58</v>
      </c>
    </row>
    <row r="1833" ht="15.75" customHeight="1">
      <c r="A1833" s="2">
        <v>655618.0</v>
      </c>
      <c r="B1833" s="2" t="s">
        <v>4416</v>
      </c>
      <c r="C1833" s="2" t="s">
        <v>635</v>
      </c>
      <c r="D1833" s="2" t="s">
        <v>4417</v>
      </c>
      <c r="E1833" s="2" t="s">
        <v>762</v>
      </c>
      <c r="F1833" s="2">
        <v>4.0</v>
      </c>
      <c r="G1833" s="2">
        <v>324.0</v>
      </c>
      <c r="H1833" s="3" t="str">
        <f>HYPERLINK("http://www.linkedin.com/in/dalmera","http://www.linkedin.com/in/dalmera")</f>
        <v>http://www.linkedin.com/in/dalmera</v>
      </c>
      <c r="I1833" s="2" t="s">
        <v>48</v>
      </c>
      <c r="J1833" s="2" t="s">
        <v>102</v>
      </c>
      <c r="K1833" s="2" t="s">
        <v>35</v>
      </c>
    </row>
    <row r="1834" ht="15.75" customHeight="1">
      <c r="A1834" s="2">
        <v>656780.0</v>
      </c>
      <c r="B1834" s="2" t="s">
        <v>4418</v>
      </c>
      <c r="C1834" s="2" t="s">
        <v>1814</v>
      </c>
      <c r="D1834" s="2" t="s">
        <v>656</v>
      </c>
      <c r="E1834" s="2" t="s">
        <v>4419</v>
      </c>
      <c r="F1834" s="2">
        <v>0.0</v>
      </c>
      <c r="G1834" s="2">
        <v>3.0</v>
      </c>
      <c r="H1834" s="3" t="str">
        <f>HYPERLINK("http://www.linkedin.com/in/jagsingh","http://www.linkedin.com/in/jagsingh")</f>
        <v>http://www.linkedin.com/in/jagsingh</v>
      </c>
      <c r="I1834" s="2" t="s">
        <v>1679</v>
      </c>
      <c r="J1834" s="2" t="s">
        <v>3964</v>
      </c>
      <c r="K1834" s="2" t="s">
        <v>357</v>
      </c>
    </row>
    <row r="1835" ht="15.75" customHeight="1">
      <c r="A1835" s="2">
        <v>657186.0</v>
      </c>
      <c r="B1835" s="2" t="s">
        <v>4420</v>
      </c>
      <c r="C1835" s="2" t="s">
        <v>4421</v>
      </c>
      <c r="D1835" s="2" t="s">
        <v>4422</v>
      </c>
      <c r="E1835" s="2" t="s">
        <v>450</v>
      </c>
      <c r="F1835" s="2">
        <v>0.0</v>
      </c>
      <c r="G1835" s="2">
        <v>414.0</v>
      </c>
      <c r="H1835" s="3" t="str">
        <f>HYPERLINK("http://www.linkedin.com/in/jagsvazirani","http://www.linkedin.com/in/jagsvazirani")</f>
        <v>http://www.linkedin.com/in/jagsvazirani</v>
      </c>
      <c r="I1835" s="2" t="s">
        <v>374</v>
      </c>
      <c r="J1835" s="2" t="s">
        <v>273</v>
      </c>
      <c r="K1835" s="2" t="s">
        <v>35</v>
      </c>
    </row>
    <row r="1836" ht="15.75" customHeight="1">
      <c r="A1836" s="2">
        <v>657523.0</v>
      </c>
      <c r="B1836" s="2" t="s">
        <v>1366</v>
      </c>
      <c r="C1836" s="2" t="s">
        <v>1502</v>
      </c>
      <c r="D1836" s="2" t="s">
        <v>4423</v>
      </c>
      <c r="E1836" s="2" t="s">
        <v>804</v>
      </c>
      <c r="F1836" s="2" t="s">
        <v>13</v>
      </c>
      <c r="G1836" s="2">
        <v>500.0</v>
      </c>
      <c r="H1836" s="3" t="str">
        <f>HYPERLINK("http://www.linkedin.com/pub/peter-cohen/1/34/6BA","http://www.linkedin.com/pub/peter-cohen/1/34/6BA")</f>
        <v>http://www.linkedin.com/pub/peter-cohen/1/34/6BA</v>
      </c>
      <c r="I1836" s="2" t="s">
        <v>2275</v>
      </c>
      <c r="J1836" s="2" t="s">
        <v>102</v>
      </c>
      <c r="K1836" s="2" t="s">
        <v>974</v>
      </c>
    </row>
    <row r="1837" ht="15.75" customHeight="1">
      <c r="A1837" s="2">
        <v>658038.0</v>
      </c>
      <c r="B1837" s="2" t="s">
        <v>1767</v>
      </c>
      <c r="C1837" s="2" t="s">
        <v>4424</v>
      </c>
      <c r="D1837" s="2" t="s">
        <v>13</v>
      </c>
      <c r="E1837" s="2" t="s">
        <v>4425</v>
      </c>
      <c r="F1837" s="2">
        <v>20.0</v>
      </c>
      <c r="G1837" s="2">
        <v>500.0</v>
      </c>
      <c r="H1837" s="3" t="str">
        <f>HYPERLINK("http://www.linkedin.com/in/erikvennestrom","http://www.linkedin.com/in/erikvennestrom")</f>
        <v>http://www.linkedin.com/in/erikvennestrom</v>
      </c>
      <c r="I1837" s="2" t="s">
        <v>57</v>
      </c>
      <c r="J1837" s="2" t="s">
        <v>4426</v>
      </c>
      <c r="K1837" s="2" t="s">
        <v>58</v>
      </c>
    </row>
    <row r="1838" ht="15.75" customHeight="1">
      <c r="A1838" s="2">
        <v>658103.0</v>
      </c>
      <c r="B1838" s="2" t="s">
        <v>1405</v>
      </c>
      <c r="C1838" s="2" t="s">
        <v>4427</v>
      </c>
      <c r="D1838" s="2" t="s">
        <v>4428</v>
      </c>
      <c r="E1838" s="2" t="s">
        <v>4429</v>
      </c>
      <c r="F1838" s="2" t="s">
        <v>13</v>
      </c>
      <c r="G1838" s="2">
        <v>272.0</v>
      </c>
      <c r="H1838" s="3" t="str">
        <f>HYPERLINK("http://www.linkedin.com/pub/ron-schick/0/A37/94A","http://www.linkedin.com/pub/ron-schick/0/A37/94A")</f>
        <v>http://www.linkedin.com/pub/ron-schick/0/A37/94A</v>
      </c>
      <c r="I1838" s="2" t="s">
        <v>231</v>
      </c>
      <c r="J1838" s="2" t="s">
        <v>273</v>
      </c>
      <c r="K1838" s="2" t="s">
        <v>35</v>
      </c>
    </row>
    <row r="1839" ht="15.75" customHeight="1">
      <c r="A1839" s="2">
        <v>658437.0</v>
      </c>
      <c r="B1839" s="2" t="s">
        <v>677</v>
      </c>
      <c r="C1839" s="2" t="s">
        <v>4430</v>
      </c>
      <c r="D1839" s="2" t="s">
        <v>13</v>
      </c>
      <c r="E1839" s="2" t="s">
        <v>397</v>
      </c>
      <c r="F1839" s="2">
        <v>0.0</v>
      </c>
      <c r="G1839" s="2">
        <v>281.0</v>
      </c>
      <c r="H1839" s="3" t="str">
        <f>HYPERLINK("http://www.linkedin.com/pub/daniel-ittmann/3/1a8/850","http://www.linkedin.com/pub/daniel-ittmann/3/1a8/850")</f>
        <v>http://www.linkedin.com/pub/daniel-ittmann/3/1a8/850</v>
      </c>
      <c r="I1839" s="2" t="s">
        <v>344</v>
      </c>
      <c r="J1839" s="2" t="s">
        <v>102</v>
      </c>
      <c r="K1839" s="2" t="s">
        <v>58</v>
      </c>
    </row>
    <row r="1840" ht="15.75" customHeight="1">
      <c r="A1840" s="2">
        <v>658552.0</v>
      </c>
      <c r="B1840" s="2" t="s">
        <v>4431</v>
      </c>
      <c r="C1840" s="2" t="s">
        <v>4432</v>
      </c>
      <c r="D1840" s="2" t="s">
        <v>4433</v>
      </c>
      <c r="E1840" s="2" t="s">
        <v>301</v>
      </c>
      <c r="F1840" s="2">
        <v>4.0</v>
      </c>
      <c r="G1840" s="2">
        <v>500.0</v>
      </c>
      <c r="H1840" s="3" t="str">
        <f>HYPERLINK("http://www.linkedin.com/pub/aubri-balk/4/929/314","http://www.linkedin.com/pub/aubri-balk/4/929/314")</f>
        <v>http://www.linkedin.com/pub/aubri-balk/4/929/314</v>
      </c>
      <c r="I1840" s="2" t="s">
        <v>1361</v>
      </c>
      <c r="J1840" s="2" t="s">
        <v>102</v>
      </c>
      <c r="K1840" s="2" t="s">
        <v>58</v>
      </c>
    </row>
    <row r="1841" ht="15.75" customHeight="1">
      <c r="A1841" s="2">
        <v>658674.0</v>
      </c>
      <c r="B1841" s="2" t="s">
        <v>414</v>
      </c>
      <c r="C1841" s="2" t="s">
        <v>4434</v>
      </c>
      <c r="D1841" s="2" t="s">
        <v>4435</v>
      </c>
      <c r="E1841" s="2" t="s">
        <v>1357</v>
      </c>
      <c r="F1841" s="2">
        <v>11.0</v>
      </c>
      <c r="G1841" s="2">
        <v>500.0</v>
      </c>
      <c r="H1841" s="3" t="str">
        <f>HYPERLINK("http://au.linkedin.com/in/tommcgruther","http://au.linkedin.com/in/tommcgruther")</f>
        <v>http://au.linkedin.com/in/tommcgruther</v>
      </c>
      <c r="I1841" s="2" t="s">
        <v>15</v>
      </c>
      <c r="J1841" s="2" t="s">
        <v>337</v>
      </c>
      <c r="K1841" s="2" t="s">
        <v>35</v>
      </c>
    </row>
    <row r="1842" ht="15.75" customHeight="1">
      <c r="A1842" s="2">
        <v>658950.0</v>
      </c>
      <c r="B1842" s="2" t="s">
        <v>1004</v>
      </c>
      <c r="C1842" s="2" t="s">
        <v>4436</v>
      </c>
      <c r="D1842" s="2" t="s">
        <v>4437</v>
      </c>
      <c r="E1842" s="2" t="s">
        <v>259</v>
      </c>
      <c r="F1842" s="2">
        <v>3.0</v>
      </c>
      <c r="G1842" s="2">
        <v>173.0</v>
      </c>
      <c r="H1842" s="3" t="str">
        <f>HYPERLINK("http://www.linkedin.com/in/scottquick","http://www.linkedin.com/in/scottquick")</f>
        <v>http://www.linkedin.com/in/scottquick</v>
      </c>
      <c r="I1842" s="2" t="s">
        <v>48</v>
      </c>
      <c r="J1842" s="2" t="s">
        <v>144</v>
      </c>
      <c r="K1842" s="2" t="s">
        <v>766</v>
      </c>
    </row>
    <row r="1843" ht="15.75" customHeight="1">
      <c r="A1843" s="2">
        <v>659319.0</v>
      </c>
      <c r="B1843" s="2" t="s">
        <v>4438</v>
      </c>
      <c r="C1843" s="2" t="s">
        <v>4439</v>
      </c>
      <c r="D1843" s="2" t="s">
        <v>4440</v>
      </c>
      <c r="E1843" s="2" t="s">
        <v>301</v>
      </c>
      <c r="F1843" s="2">
        <v>9.0</v>
      </c>
      <c r="G1843" s="2">
        <v>309.0</v>
      </c>
      <c r="H1843" s="3" t="str">
        <f>HYPERLINK("http://www.linkedin.com/in/sharasokol","http://www.linkedin.com/in/sharasokol")</f>
        <v>http://www.linkedin.com/in/sharasokol</v>
      </c>
      <c r="I1843" s="2" t="s">
        <v>2285</v>
      </c>
      <c r="J1843" s="2" t="s">
        <v>102</v>
      </c>
      <c r="K1843" s="2" t="s">
        <v>58</v>
      </c>
    </row>
    <row r="1844" ht="15.75" customHeight="1">
      <c r="A1844" s="2">
        <v>659576.0</v>
      </c>
      <c r="B1844" s="2" t="s">
        <v>4441</v>
      </c>
      <c r="C1844" s="2" t="s">
        <v>399</v>
      </c>
      <c r="D1844" s="2" t="s">
        <v>400</v>
      </c>
      <c r="E1844" s="2" t="s">
        <v>4442</v>
      </c>
      <c r="F1844" s="2" t="s">
        <v>13</v>
      </c>
      <c r="G1844" s="2">
        <v>500.0</v>
      </c>
      <c r="H1844" s="3" t="str">
        <f>HYPERLINK("http://www.linkedin.com/pub/dayton-johnson/1/521/378","http://www.linkedin.com/pub/dayton-johnson/1/521/378")</f>
        <v>http://www.linkedin.com/pub/dayton-johnson/1/521/378</v>
      </c>
      <c r="I1844" s="2" t="s">
        <v>248</v>
      </c>
      <c r="J1844" s="2" t="s">
        <v>28</v>
      </c>
      <c r="K1844" s="2" t="s">
        <v>35</v>
      </c>
    </row>
    <row r="1845" ht="15.75" customHeight="1">
      <c r="A1845" s="2">
        <v>660004.0</v>
      </c>
      <c r="B1845" s="2" t="s">
        <v>4443</v>
      </c>
      <c r="C1845" s="2" t="s">
        <v>3406</v>
      </c>
      <c r="D1845" s="2" t="s">
        <v>4444</v>
      </c>
      <c r="E1845" s="2" t="s">
        <v>4032</v>
      </c>
      <c r="F1845" s="2">
        <v>0.0</v>
      </c>
      <c r="G1845" s="2">
        <v>73.0</v>
      </c>
      <c r="H1845" s="3" t="str">
        <f>HYPERLINK("http://www.linkedin.com/pub/ayten-jamal/A/B01/363","http://www.linkedin.com/pub/ayten-jamal/A/B01/363")</f>
        <v>http://www.linkedin.com/pub/ayten-jamal/A/B01/363</v>
      </c>
      <c r="I1845" s="2" t="s">
        <v>119</v>
      </c>
      <c r="J1845" s="2" t="s">
        <v>4032</v>
      </c>
      <c r="K1845" s="2" t="s">
        <v>580</v>
      </c>
    </row>
    <row r="1846" ht="15.75" customHeight="1">
      <c r="A1846" s="2">
        <v>660298.0</v>
      </c>
      <c r="B1846" s="2" t="s">
        <v>4445</v>
      </c>
      <c r="C1846" s="2" t="s">
        <v>4446</v>
      </c>
      <c r="D1846" s="2" t="s">
        <v>4447</v>
      </c>
      <c r="E1846" s="2" t="s">
        <v>136</v>
      </c>
      <c r="F1846" s="2" t="s">
        <v>13</v>
      </c>
      <c r="G1846" s="2">
        <v>259.0</v>
      </c>
      <c r="H1846" s="3" t="str">
        <f>HYPERLINK("http://www.linkedin.com/pub/ashok-kapoor/0/1A4/995","http://www.linkedin.com/pub/ashok-kapoor/0/1A4/995")</f>
        <v>http://www.linkedin.com/pub/ashok-kapoor/0/1A4/995</v>
      </c>
      <c r="I1846" s="2" t="s">
        <v>167</v>
      </c>
      <c r="J1846" s="2" t="s">
        <v>102</v>
      </c>
      <c r="K1846" s="2" t="s">
        <v>58</v>
      </c>
    </row>
    <row r="1847" ht="15.75" customHeight="1">
      <c r="A1847" s="2">
        <v>661082.0</v>
      </c>
      <c r="B1847" s="2" t="s">
        <v>3432</v>
      </c>
      <c r="C1847" s="2" t="s">
        <v>4448</v>
      </c>
      <c r="D1847" s="2"/>
      <c r="E1847" s="2" t="s">
        <v>4449</v>
      </c>
      <c r="F1847" s="2">
        <v>0.0</v>
      </c>
      <c r="G1847" s="2">
        <v>500.0</v>
      </c>
      <c r="H1847" s="3" t="str">
        <f>HYPERLINK("http://www.linkedin.com/pub/joseph-trevisani/2/904/8A9","http://www.linkedin.com/pub/joseph-trevisani/2/904/8A9")</f>
        <v>http://www.linkedin.com/pub/joseph-trevisani/2/904/8A9</v>
      </c>
      <c r="I1847" s="2" t="s">
        <v>3562</v>
      </c>
      <c r="J1847" s="2" t="s">
        <v>273</v>
      </c>
      <c r="K1847" s="2" t="s">
        <v>196</v>
      </c>
    </row>
    <row r="1848" ht="15.75" customHeight="1">
      <c r="A1848" s="2">
        <v>661171.0</v>
      </c>
      <c r="B1848" s="2" t="s">
        <v>1254</v>
      </c>
      <c r="C1848" s="2" t="s">
        <v>4450</v>
      </c>
      <c r="D1848" s="2" t="s">
        <v>4451</v>
      </c>
      <c r="E1848" s="2" t="s">
        <v>1190</v>
      </c>
      <c r="F1848" s="2">
        <v>15.0</v>
      </c>
      <c r="G1848" s="2">
        <v>496.0</v>
      </c>
      <c r="H1848" s="3" t="str">
        <f>HYPERLINK("http://www.linkedin.com/in/rickcaraballo","http://www.linkedin.com/in/rickcaraballo")</f>
        <v>http://www.linkedin.com/in/rickcaraballo</v>
      </c>
      <c r="I1848" s="2" t="s">
        <v>240</v>
      </c>
      <c r="J1848" s="2" t="s">
        <v>102</v>
      </c>
      <c r="K1848" s="2" t="s">
        <v>1191</v>
      </c>
    </row>
    <row r="1849" ht="15.75" customHeight="1">
      <c r="A1849" s="2">
        <v>661992.0</v>
      </c>
      <c r="B1849" s="2" t="s">
        <v>275</v>
      </c>
      <c r="C1849" s="2" t="s">
        <v>1570</v>
      </c>
      <c r="D1849" s="2" t="s">
        <v>42</v>
      </c>
      <c r="E1849" s="2" t="s">
        <v>301</v>
      </c>
      <c r="F1849" s="2" t="s">
        <v>13</v>
      </c>
      <c r="G1849" s="2">
        <v>360.0</v>
      </c>
      <c r="H1849" s="3" t="str">
        <f>HYPERLINK("http://www.linkedin.com/pub/mark-drew/6/3B2/92B","http://www.linkedin.com/pub/mark-drew/6/3B2/92B")</f>
        <v>http://www.linkedin.com/pub/mark-drew/6/3B2/92B</v>
      </c>
      <c r="I1849" s="2" t="s">
        <v>1361</v>
      </c>
      <c r="J1849" s="2" t="s">
        <v>102</v>
      </c>
      <c r="K1849" s="2" t="s">
        <v>58</v>
      </c>
    </row>
    <row r="1850" ht="15.75" customHeight="1">
      <c r="A1850" s="2">
        <v>662307.0</v>
      </c>
      <c r="B1850" s="2" t="s">
        <v>4452</v>
      </c>
      <c r="C1850" s="2" t="s">
        <v>4453</v>
      </c>
      <c r="D1850" s="2" t="s">
        <v>304</v>
      </c>
      <c r="E1850" s="2" t="s">
        <v>971</v>
      </c>
      <c r="F1850" s="2" t="s">
        <v>13</v>
      </c>
      <c r="G1850" s="2">
        <v>500.0</v>
      </c>
      <c r="H1850" s="3" t="str">
        <f>HYPERLINK("http://www.linkedin.com/pub/jacques-p-derouen/3/148/3B2","http://www.linkedin.com/pub/jacques-p-derouen/3/148/3B2")</f>
        <v>http://www.linkedin.com/pub/jacques-p-derouen/3/148/3B2</v>
      </c>
      <c r="I1850" s="2" t="s">
        <v>279</v>
      </c>
      <c r="J1850" s="2" t="s">
        <v>102</v>
      </c>
      <c r="K1850" s="2" t="s">
        <v>58</v>
      </c>
    </row>
    <row r="1851" ht="15.75" customHeight="1">
      <c r="A1851" s="2">
        <v>662468.0</v>
      </c>
      <c r="B1851" s="2" t="s">
        <v>412</v>
      </c>
      <c r="C1851" s="2" t="s">
        <v>4454</v>
      </c>
      <c r="D1851" s="2"/>
      <c r="E1851" s="2" t="s">
        <v>4455</v>
      </c>
      <c r="F1851" s="2">
        <v>0.0</v>
      </c>
      <c r="G1851" s="2">
        <v>412.0</v>
      </c>
      <c r="H1851" s="3" t="str">
        <f>HYPERLINK("http://www.linkedin.com/pub/robert-grano/1/10B/69A","http://www.linkedin.com/pub/robert-grano/1/10B/69A")</f>
        <v>http://www.linkedin.com/pub/robert-grano/1/10B/69A</v>
      </c>
      <c r="I1851" s="2" t="s">
        <v>865</v>
      </c>
      <c r="J1851" s="2" t="s">
        <v>273</v>
      </c>
      <c r="K1851" s="2" t="s">
        <v>22</v>
      </c>
    </row>
    <row r="1852" ht="15.75" customHeight="1">
      <c r="A1852" s="2">
        <v>662724.0</v>
      </c>
      <c r="B1852" s="2" t="s">
        <v>211</v>
      </c>
      <c r="C1852" s="2" t="s">
        <v>797</v>
      </c>
      <c r="D1852" s="2" t="s">
        <v>1738</v>
      </c>
      <c r="E1852" s="2" t="s">
        <v>4456</v>
      </c>
      <c r="F1852" s="2" t="s">
        <v>13</v>
      </c>
      <c r="G1852" s="2">
        <v>500.0</v>
      </c>
      <c r="H1852" s="3" t="str">
        <f>HYPERLINK("http://uk.linkedin.com/pub/susan-taylor/5/324/7BB","http://uk.linkedin.com/pub/susan-taylor/5/324/7BB")</f>
        <v>http://uk.linkedin.com/pub/susan-taylor/5/324/7BB</v>
      </c>
      <c r="I1852" s="2" t="s">
        <v>77</v>
      </c>
      <c r="J1852" s="2" t="s">
        <v>53</v>
      </c>
      <c r="K1852" s="2" t="s">
        <v>97</v>
      </c>
    </row>
    <row r="1853" ht="15.75" customHeight="1">
      <c r="A1853" s="2">
        <v>663224.0</v>
      </c>
      <c r="B1853" s="2" t="s">
        <v>1027</v>
      </c>
      <c r="C1853" s="2" t="s">
        <v>4457</v>
      </c>
      <c r="D1853" s="2" t="s">
        <v>4458</v>
      </c>
      <c r="E1853" s="2" t="s">
        <v>3560</v>
      </c>
      <c r="F1853" s="2">
        <v>12.0</v>
      </c>
      <c r="G1853" s="2">
        <v>500.0</v>
      </c>
      <c r="H1853" s="3" t="str">
        <f>HYPERLINK("http://www.linkedin.com/pub/george-pariza/1/19B/79","http://www.linkedin.com/pub/george-pariza/1/19B/79")</f>
        <v>http://www.linkedin.com/pub/george-pariza/1/19B/79</v>
      </c>
      <c r="I1853" s="2" t="s">
        <v>1107</v>
      </c>
      <c r="J1853" s="2" t="s">
        <v>28</v>
      </c>
      <c r="K1853" s="2" t="s">
        <v>29</v>
      </c>
    </row>
    <row r="1854" ht="15.75" customHeight="1">
      <c r="A1854" s="2">
        <v>663260.0</v>
      </c>
      <c r="B1854" s="2" t="s">
        <v>4459</v>
      </c>
      <c r="C1854" s="2" t="s">
        <v>4460</v>
      </c>
      <c r="D1854" s="2" t="s">
        <v>4461</v>
      </c>
      <c r="E1854" s="2" t="s">
        <v>4462</v>
      </c>
      <c r="F1854" s="2">
        <v>0.0</v>
      </c>
      <c r="G1854" s="2">
        <v>367.0</v>
      </c>
      <c r="H1854" s="3" t="str">
        <f>HYPERLINK("http://www.linkedin.com/pub/%22peter%22-weiping-shi/6/416/737","http://www.linkedin.com/pub/%22peter%22-weiping-shi/6/416/737")</f>
        <v>http://www.linkedin.com/pub/%22peter%22-weiping-shi/6/416/737</v>
      </c>
      <c r="I1854" s="2" t="s">
        <v>48</v>
      </c>
      <c r="J1854" s="2" t="s">
        <v>144</v>
      </c>
      <c r="K1854" s="2" t="s">
        <v>145</v>
      </c>
    </row>
    <row r="1855" ht="15.75" customHeight="1">
      <c r="A1855" s="2">
        <v>663307.0</v>
      </c>
      <c r="B1855" s="2" t="s">
        <v>4463</v>
      </c>
      <c r="C1855" s="2" t="s">
        <v>849</v>
      </c>
      <c r="D1855" s="2" t="s">
        <v>4464</v>
      </c>
      <c r="E1855" s="2" t="s">
        <v>4465</v>
      </c>
      <c r="F1855" s="2" t="s">
        <v>13</v>
      </c>
      <c r="G1855" s="2">
        <v>440.0</v>
      </c>
      <c r="H1855" s="3" t="str">
        <f>HYPERLINK("http://br.linkedin.com/pub/edgar-souza/29/754/761","http://br.linkedin.com/pub/edgar-souza/29/754/761")</f>
        <v>http://br.linkedin.com/pub/edgar-souza/29/754/761</v>
      </c>
      <c r="I1855" s="2" t="s">
        <v>3890</v>
      </c>
      <c r="J1855" s="2" t="s">
        <v>34</v>
      </c>
      <c r="K1855" s="2" t="s">
        <v>22</v>
      </c>
    </row>
    <row r="1856" ht="15.75" customHeight="1">
      <c r="A1856" s="2">
        <v>663333.0</v>
      </c>
      <c r="B1856" s="2" t="s">
        <v>4466</v>
      </c>
      <c r="C1856" s="2" t="s">
        <v>4467</v>
      </c>
      <c r="D1856" s="2" t="s">
        <v>4468</v>
      </c>
      <c r="E1856" s="2" t="s">
        <v>187</v>
      </c>
      <c r="F1856" s="2">
        <v>3.0</v>
      </c>
      <c r="G1856" s="2">
        <v>500.0</v>
      </c>
      <c r="H1856" s="3" t="str">
        <f>HYPERLINK("http://br.linkedin.com/pub/marcia-cristina-motta/29/769/AA","http://br.linkedin.com/pub/marcia-cristina-motta/29/769/AA")</f>
        <v>http://br.linkedin.com/pub/marcia-cristina-motta/29/769/AA</v>
      </c>
      <c r="I1856" s="2" t="s">
        <v>621</v>
      </c>
      <c r="J1856" s="2" t="s">
        <v>34</v>
      </c>
      <c r="K1856" s="2" t="s">
        <v>522</v>
      </c>
    </row>
    <row r="1857" ht="15.75" customHeight="1">
      <c r="A1857" s="2">
        <v>663491.0</v>
      </c>
      <c r="B1857" s="2" t="s">
        <v>245</v>
      </c>
      <c r="C1857" s="2" t="s">
        <v>4469</v>
      </c>
      <c r="D1857" s="2" t="s">
        <v>4470</v>
      </c>
      <c r="E1857" s="2" t="s">
        <v>301</v>
      </c>
      <c r="F1857" s="2">
        <v>3.0</v>
      </c>
      <c r="G1857" s="2">
        <v>500.0</v>
      </c>
      <c r="H1857" s="3" t="str">
        <f>HYPERLINK("http://www.linkedin.com/in/stevenkerstein","http://www.linkedin.com/in/stevenkerstein")</f>
        <v>http://www.linkedin.com/in/stevenkerstein</v>
      </c>
      <c r="I1857" s="2" t="s">
        <v>15</v>
      </c>
      <c r="J1857" s="2" t="s">
        <v>102</v>
      </c>
      <c r="K1857" s="2" t="s">
        <v>58</v>
      </c>
    </row>
    <row r="1858" ht="15.75" customHeight="1">
      <c r="A1858" s="2">
        <v>663528.0</v>
      </c>
      <c r="B1858" s="2" t="s">
        <v>2457</v>
      </c>
      <c r="C1858" s="2" t="s">
        <v>4471</v>
      </c>
      <c r="D1858" s="2" t="s">
        <v>2723</v>
      </c>
      <c r="E1858" s="2" t="s">
        <v>2352</v>
      </c>
      <c r="F1858" s="2" t="s">
        <v>13</v>
      </c>
      <c r="G1858" s="2">
        <v>500.0</v>
      </c>
      <c r="H1858" s="3" t="str">
        <f>HYPERLINK("http://ca.linkedin.com/in/stephenjamesjoyce","http://ca.linkedin.com/in/stephenjamesjoyce")</f>
        <v>http://ca.linkedin.com/in/stephenjamesjoyce</v>
      </c>
      <c r="I1858" s="2" t="s">
        <v>279</v>
      </c>
      <c r="J1858" s="2" t="s">
        <v>44</v>
      </c>
      <c r="K1858" s="2" t="s">
        <v>35</v>
      </c>
    </row>
    <row r="1859" ht="15.75" customHeight="1">
      <c r="A1859" s="2">
        <v>663792.0</v>
      </c>
      <c r="B1859" s="2" t="s">
        <v>4472</v>
      </c>
      <c r="C1859" s="2" t="s">
        <v>4473</v>
      </c>
      <c r="D1859" s="2" t="s">
        <v>4474</v>
      </c>
      <c r="E1859" s="2" t="s">
        <v>187</v>
      </c>
      <c r="F1859" s="2" t="s">
        <v>13</v>
      </c>
      <c r="G1859" s="2">
        <v>97.0</v>
      </c>
      <c r="H1859" s="3" t="str">
        <f>HYPERLINK("http://br.linkedin.com/pub/gilson-mar%C3%A7al-mar%C3%A7al/29/859/B30","http://br.linkedin.com/pub/gilson-mar%C3%A7al-mar%C3%A7al/29/859/B30")</f>
        <v>http://br.linkedin.com/pub/gilson-mar%C3%A7al-mar%C3%A7al/29/859/B30</v>
      </c>
      <c r="I1859" s="2" t="s">
        <v>475</v>
      </c>
      <c r="J1859" s="2" t="s">
        <v>34</v>
      </c>
      <c r="K1859" s="2" t="s">
        <v>97</v>
      </c>
    </row>
    <row r="1860" ht="15.75" customHeight="1">
      <c r="A1860" s="2">
        <v>664214.0</v>
      </c>
      <c r="B1860" s="2" t="s">
        <v>2350</v>
      </c>
      <c r="C1860" s="2" t="s">
        <v>4475</v>
      </c>
      <c r="D1860" s="2" t="s">
        <v>4476</v>
      </c>
      <c r="E1860" s="2" t="s">
        <v>301</v>
      </c>
      <c r="F1860" s="2">
        <v>5.0</v>
      </c>
      <c r="G1860" s="2">
        <v>500.0</v>
      </c>
      <c r="H1860" s="3" t="str">
        <f>HYPERLINK("http://www.linkedin.com/in/fredpieretti","http://www.linkedin.com/in/fredpieretti")</f>
        <v>http://www.linkedin.com/in/fredpieretti</v>
      </c>
      <c r="I1860" s="2" t="s">
        <v>681</v>
      </c>
      <c r="J1860" s="2" t="s">
        <v>102</v>
      </c>
      <c r="K1860" s="2" t="s">
        <v>58</v>
      </c>
    </row>
    <row r="1861" ht="15.75" customHeight="1">
      <c r="A1861" s="2">
        <v>664527.0</v>
      </c>
      <c r="B1861" s="2" t="s">
        <v>4477</v>
      </c>
      <c r="C1861" s="2" t="s">
        <v>4478</v>
      </c>
      <c r="D1861" s="2" t="s">
        <v>1320</v>
      </c>
      <c r="E1861" s="2" t="s">
        <v>4479</v>
      </c>
      <c r="F1861" s="2" t="s">
        <v>13</v>
      </c>
      <c r="G1861" s="2">
        <v>470.0</v>
      </c>
      <c r="H1861" s="3" t="str">
        <f>HYPERLINK("http://www.linkedin.com/pub/nitin-thakor/1/373/520","http://www.linkedin.com/pub/nitin-thakor/1/373/520")</f>
        <v>http://www.linkedin.com/pub/nitin-thakor/1/373/520</v>
      </c>
      <c r="I1861" s="2" t="s">
        <v>252</v>
      </c>
      <c r="J1861" s="2" t="s">
        <v>102</v>
      </c>
      <c r="K1861" s="2" t="s">
        <v>58</v>
      </c>
    </row>
    <row r="1862" ht="15.75" customHeight="1">
      <c r="A1862" s="2">
        <v>664587.0</v>
      </c>
      <c r="B1862" s="2" t="s">
        <v>4480</v>
      </c>
      <c r="C1862" s="2" t="s">
        <v>4481</v>
      </c>
      <c r="D1862" s="2" t="s">
        <v>4482</v>
      </c>
      <c r="E1862" s="2" t="s">
        <v>187</v>
      </c>
      <c r="F1862" s="2" t="s">
        <v>13</v>
      </c>
      <c r="G1862" s="2">
        <v>116.0</v>
      </c>
      <c r="H1862" s="3" t="str">
        <f>HYPERLINK("http://br.linkedin.com/pub/juliete-villar/29/A82/BA2","http://br.linkedin.com/pub/juliete-villar/29/A82/BA2")</f>
        <v>http://br.linkedin.com/pub/juliete-villar/29/A82/BA2</v>
      </c>
      <c r="I1862" s="2" t="s">
        <v>344</v>
      </c>
      <c r="J1862" s="2" t="s">
        <v>34</v>
      </c>
      <c r="K1862" s="2" t="s">
        <v>29</v>
      </c>
    </row>
    <row r="1863" ht="15.75" customHeight="1">
      <c r="A1863" s="2">
        <v>664612.0</v>
      </c>
      <c r="B1863" s="2" t="s">
        <v>698</v>
      </c>
      <c r="C1863" s="2" t="s">
        <v>4483</v>
      </c>
      <c r="D1863" s="2" t="s">
        <v>4484</v>
      </c>
      <c r="E1863" s="2" t="s">
        <v>4485</v>
      </c>
      <c r="F1863" s="2">
        <v>1.0</v>
      </c>
      <c r="G1863" s="2">
        <v>223.0</v>
      </c>
      <c r="H1863" s="3" t="str">
        <f>HYPERLINK("http://br.linkedin.com/pub/armando-ferreira-santos-filho/29/A88/42A","http://br.linkedin.com/pub/armando-ferreira-santos-filho/29/A88/42A")</f>
        <v>http://br.linkedin.com/pub/armando-ferreira-santos-filho/29/A88/42A</v>
      </c>
      <c r="I1863" s="2" t="s">
        <v>96</v>
      </c>
      <c r="J1863" s="2" t="s">
        <v>34</v>
      </c>
      <c r="K1863" s="2" t="s">
        <v>97</v>
      </c>
    </row>
    <row r="1864" ht="15.75" customHeight="1">
      <c r="A1864" s="2">
        <v>664666.0</v>
      </c>
      <c r="B1864" s="2" t="s">
        <v>3626</v>
      </c>
      <c r="C1864" s="2" t="s">
        <v>4486</v>
      </c>
      <c r="D1864" s="2" t="s">
        <v>400</v>
      </c>
      <c r="E1864" s="2" t="s">
        <v>301</v>
      </c>
      <c r="F1864" s="2">
        <v>3.0</v>
      </c>
      <c r="G1864" s="2">
        <v>160.0</v>
      </c>
      <c r="H1864" s="3" t="str">
        <f>HYPERLINK("http://www.linkedin.com/in/beatrizfernandez","http://www.linkedin.com/in/beatrizfernandez")</f>
        <v>http://www.linkedin.com/in/beatrizfernandez</v>
      </c>
      <c r="I1864" s="2" t="s">
        <v>27</v>
      </c>
      <c r="J1864" s="2" t="s">
        <v>102</v>
      </c>
      <c r="K1864" s="2" t="s">
        <v>58</v>
      </c>
    </row>
    <row r="1865" ht="15.75" customHeight="1">
      <c r="A1865" s="2">
        <v>665237.0</v>
      </c>
      <c r="B1865" s="2" t="s">
        <v>511</v>
      </c>
      <c r="C1865" s="2" t="s">
        <v>4487</v>
      </c>
      <c r="D1865" s="2" t="s">
        <v>13</v>
      </c>
      <c r="E1865" s="2" t="s">
        <v>4258</v>
      </c>
      <c r="F1865" s="2">
        <v>0.0</v>
      </c>
      <c r="G1865" s="2">
        <v>500.0</v>
      </c>
      <c r="H1865" s="3" t="str">
        <f>HYPERLINK("https://www.linkedin.com/in/indymike","https://www.linkedin.com/in/indymike")</f>
        <v>https://www.linkedin.com/in/indymike</v>
      </c>
      <c r="I1865" s="2" t="s">
        <v>15</v>
      </c>
      <c r="J1865" s="2" t="s">
        <v>102</v>
      </c>
      <c r="K1865" s="2" t="s">
        <v>58</v>
      </c>
    </row>
    <row r="1866" ht="15.75" customHeight="1">
      <c r="A1866" s="2">
        <v>665389.0</v>
      </c>
      <c r="B1866" s="2" t="s">
        <v>4488</v>
      </c>
      <c r="C1866" s="2" t="s">
        <v>4489</v>
      </c>
      <c r="D1866" s="2"/>
      <c r="E1866" s="2" t="s">
        <v>2447</v>
      </c>
      <c r="F1866" s="2">
        <v>13.0</v>
      </c>
      <c r="G1866" s="2">
        <v>158.0</v>
      </c>
      <c r="H1866" s="3" t="str">
        <f>HYPERLINK("http://www.linkedin.com/pub/heather-harwood/7/93/860","http://www.linkedin.com/pub/heather-harwood/7/93/860")</f>
        <v>http://www.linkedin.com/pub/heather-harwood/7/93/860</v>
      </c>
      <c r="I1866" s="2" t="s">
        <v>2081</v>
      </c>
      <c r="J1866" s="2" t="s">
        <v>16</v>
      </c>
      <c r="K1866" s="2" t="s">
        <v>522</v>
      </c>
    </row>
    <row r="1867" ht="15.75" customHeight="1">
      <c r="A1867" s="2">
        <v>665952.0</v>
      </c>
      <c r="B1867" s="2" t="s">
        <v>2190</v>
      </c>
      <c r="C1867" s="2" t="s">
        <v>4490</v>
      </c>
      <c r="D1867" s="2" t="s">
        <v>4491</v>
      </c>
      <c r="E1867" s="2" t="s">
        <v>187</v>
      </c>
      <c r="F1867" s="2" t="s">
        <v>13</v>
      </c>
      <c r="G1867" s="2">
        <v>130.0</v>
      </c>
      <c r="H1867" s="3" t="str">
        <f>HYPERLINK("http://br.linkedin.com/pub/bruna-ventura/2A/1BB/9B3","http://br.linkedin.com/pub/bruna-ventura/2A/1BB/9B3")</f>
        <v>http://br.linkedin.com/pub/bruna-ventura/2A/1BB/9B3</v>
      </c>
      <c r="I1867" s="2" t="s">
        <v>2994</v>
      </c>
      <c r="J1867" s="2" t="s">
        <v>34</v>
      </c>
      <c r="K1867" s="2" t="s">
        <v>22</v>
      </c>
    </row>
    <row r="1868" ht="15.75" customHeight="1">
      <c r="A1868" s="2">
        <v>666901.0</v>
      </c>
      <c r="B1868" s="2" t="s">
        <v>1834</v>
      </c>
      <c r="C1868" s="2" t="s">
        <v>4492</v>
      </c>
      <c r="D1868" s="2" t="s">
        <v>4493</v>
      </c>
      <c r="E1868" s="2" t="s">
        <v>4494</v>
      </c>
      <c r="F1868" s="2">
        <v>1.0</v>
      </c>
      <c r="G1868" s="2">
        <v>252.0</v>
      </c>
      <c r="H1868" s="3" t="str">
        <f>HYPERLINK("http://www.linkedin.com/in/ccaraccioloculhane","http://www.linkedin.com/in/ccaraccioloculhane")</f>
        <v>http://www.linkedin.com/in/ccaraccioloculhane</v>
      </c>
      <c r="I1868" s="2" t="s">
        <v>77</v>
      </c>
      <c r="J1868" s="2" t="s">
        <v>273</v>
      </c>
      <c r="K1868" s="2" t="s">
        <v>3923</v>
      </c>
    </row>
    <row r="1869" ht="15.75" customHeight="1">
      <c r="A1869" s="2">
        <v>667284.0</v>
      </c>
      <c r="B1869" s="2" t="s">
        <v>70</v>
      </c>
      <c r="C1869" s="2" t="s">
        <v>4495</v>
      </c>
      <c r="D1869" s="2" t="s">
        <v>3572</v>
      </c>
      <c r="E1869" s="2" t="s">
        <v>187</v>
      </c>
      <c r="F1869" s="2">
        <v>13.0</v>
      </c>
      <c r="G1869" s="2">
        <v>398.0</v>
      </c>
      <c r="H1869" s="3" t="str">
        <f>HYPERLINK("http://br.linkedin.com/pub/gustavo-lira/2A/5B7/B37","http://br.linkedin.com/pub/gustavo-lira/2A/5B7/B37")</f>
        <v>http://br.linkedin.com/pub/gustavo-lira/2A/5B7/B37</v>
      </c>
      <c r="I1869" s="2" t="s">
        <v>2443</v>
      </c>
      <c r="J1869" s="2" t="s">
        <v>34</v>
      </c>
      <c r="K1869" s="2" t="s">
        <v>35</v>
      </c>
    </row>
    <row r="1870" ht="15.75" customHeight="1">
      <c r="A1870" s="2">
        <v>667448.0</v>
      </c>
      <c r="B1870" s="2" t="s">
        <v>2567</v>
      </c>
      <c r="C1870" s="2" t="s">
        <v>4496</v>
      </c>
      <c r="D1870" s="2" t="s">
        <v>4497</v>
      </c>
      <c r="E1870" s="2" t="s">
        <v>4498</v>
      </c>
      <c r="F1870" s="2">
        <v>0.0</v>
      </c>
      <c r="G1870" s="2">
        <v>500.0</v>
      </c>
      <c r="H1870" s="3" t="str">
        <f>HYPERLINK("http://www.linkedin.com/pub/christopher-k-merker-cfa/1/298/B12","http://www.linkedin.com/pub/christopher-k-merker-cfa/1/298/B12")</f>
        <v>http://www.linkedin.com/pub/christopher-k-merker-cfa/1/298/B12</v>
      </c>
      <c r="I1870" s="2" t="s">
        <v>240</v>
      </c>
      <c r="J1870" s="2" t="s">
        <v>102</v>
      </c>
      <c r="K1870" s="2" t="s">
        <v>183</v>
      </c>
    </row>
    <row r="1871" ht="15.75" customHeight="1">
      <c r="A1871" s="2">
        <v>667516.0</v>
      </c>
      <c r="B1871" s="2" t="s">
        <v>4499</v>
      </c>
      <c r="C1871" s="2" t="s">
        <v>4500</v>
      </c>
      <c r="D1871" s="2" t="s">
        <v>13</v>
      </c>
      <c r="E1871" s="2" t="s">
        <v>181</v>
      </c>
      <c r="F1871" s="2">
        <v>0.0</v>
      </c>
      <c r="G1871" s="2">
        <v>500.0</v>
      </c>
      <c r="H1871" s="3" t="str">
        <f>HYPERLINK("http://www.linkedin.com/in/demetrikaragas","http://www.linkedin.com/in/demetrikaragas")</f>
        <v>http://www.linkedin.com/in/demetrikaragas</v>
      </c>
      <c r="I1871" s="2" t="s">
        <v>69</v>
      </c>
      <c r="J1871" s="2" t="s">
        <v>102</v>
      </c>
      <c r="K1871" s="2" t="s">
        <v>35</v>
      </c>
    </row>
    <row r="1872" ht="15.75" customHeight="1">
      <c r="A1872" s="2">
        <v>667517.0</v>
      </c>
      <c r="B1872" s="2" t="s">
        <v>4501</v>
      </c>
      <c r="C1872" s="2" t="s">
        <v>778</v>
      </c>
      <c r="D1872" s="2" t="s">
        <v>4502</v>
      </c>
      <c r="E1872" s="2" t="s">
        <v>1407</v>
      </c>
      <c r="F1872" s="2">
        <v>3.0</v>
      </c>
      <c r="G1872" s="2">
        <v>295.0</v>
      </c>
      <c r="H1872" s="3" t="str">
        <f>HYPERLINK("http://www.linkedin.com/in/pnsinha","http://www.linkedin.com/in/pnsinha")</f>
        <v>http://www.linkedin.com/in/pnsinha</v>
      </c>
      <c r="I1872" s="2" t="s">
        <v>240</v>
      </c>
      <c r="J1872" s="2" t="s">
        <v>102</v>
      </c>
      <c r="K1872" s="2" t="s">
        <v>183</v>
      </c>
    </row>
    <row r="1873" ht="15.75" customHeight="1">
      <c r="A1873" s="2">
        <v>667543.0</v>
      </c>
      <c r="B1873" s="2" t="s">
        <v>4503</v>
      </c>
      <c r="C1873" s="2" t="s">
        <v>4504</v>
      </c>
      <c r="D1873" s="2" t="s">
        <v>4505</v>
      </c>
      <c r="E1873" s="2" t="s">
        <v>706</v>
      </c>
      <c r="F1873" s="2">
        <v>0.0</v>
      </c>
      <c r="G1873" s="2">
        <v>302.0</v>
      </c>
      <c r="H1873" s="3" t="str">
        <f>HYPERLINK("http://www.linkedin.com/pub/fernanda-brienza/2A/696/901","http://www.linkedin.com/pub/fernanda-brienza/2A/696/901")</f>
        <v>http://www.linkedin.com/pub/fernanda-brienza/2A/696/901</v>
      </c>
      <c r="I1873" s="2" t="s">
        <v>629</v>
      </c>
      <c r="J1873" s="2" t="s">
        <v>34</v>
      </c>
      <c r="K1873" s="2" t="s">
        <v>1883</v>
      </c>
    </row>
    <row r="1874" ht="15.75" customHeight="1">
      <c r="A1874" s="2">
        <v>667609.0</v>
      </c>
      <c r="B1874" s="2" t="s">
        <v>874</v>
      </c>
      <c r="C1874" s="2" t="s">
        <v>4506</v>
      </c>
      <c r="D1874" s="2" t="s">
        <v>42</v>
      </c>
      <c r="E1874" s="2" t="s">
        <v>4507</v>
      </c>
      <c r="F1874" s="2">
        <v>7.0</v>
      </c>
      <c r="G1874" s="2">
        <v>500.0</v>
      </c>
      <c r="H1874" s="3" t="str">
        <f>HYPERLINK("http://www.linkedin.com/in/tddonahue","http://www.linkedin.com/in/tddonahue")</f>
        <v>http://www.linkedin.com/in/tddonahue</v>
      </c>
      <c r="I1874" s="2" t="s">
        <v>240</v>
      </c>
      <c r="J1874" s="2" t="s">
        <v>4508</v>
      </c>
      <c r="K1874" s="2" t="s">
        <v>35</v>
      </c>
    </row>
    <row r="1875" ht="15.75" customHeight="1">
      <c r="A1875" s="2">
        <v>668353.0</v>
      </c>
      <c r="B1875" s="2" t="s">
        <v>221</v>
      </c>
      <c r="C1875" s="2" t="s">
        <v>4509</v>
      </c>
      <c r="D1875" s="2" t="s">
        <v>47</v>
      </c>
      <c r="E1875" s="2" t="s">
        <v>3746</v>
      </c>
      <c r="F1875" s="2">
        <v>32.0</v>
      </c>
      <c r="G1875" s="2">
        <v>500.0</v>
      </c>
      <c r="H1875" s="3" t="str">
        <f>HYPERLINK("http://ca.linkedin.com/in/miguelcaronceo","http://ca.linkedin.com/in/miguelcaronceo")</f>
        <v>http://ca.linkedin.com/in/miguelcaronceo</v>
      </c>
      <c r="I1875" s="2" t="s">
        <v>143</v>
      </c>
      <c r="J1875" s="2" t="s">
        <v>44</v>
      </c>
      <c r="K1875" s="2" t="s">
        <v>35</v>
      </c>
    </row>
    <row r="1876" ht="15.75" customHeight="1">
      <c r="A1876" s="2">
        <v>668614.0</v>
      </c>
      <c r="B1876" s="2" t="s">
        <v>993</v>
      </c>
      <c r="C1876" s="2" t="s">
        <v>4510</v>
      </c>
      <c r="D1876" s="2" t="s">
        <v>4511</v>
      </c>
      <c r="E1876" s="2" t="s">
        <v>1041</v>
      </c>
      <c r="F1876" s="2">
        <v>2.0</v>
      </c>
      <c r="G1876" s="2">
        <v>500.0</v>
      </c>
      <c r="H1876" s="3" t="str">
        <f>HYPERLINK("http://www.linkedin.com/in/jonflahive","http://www.linkedin.com/in/jonflahive")</f>
        <v>http://www.linkedin.com/in/jonflahive</v>
      </c>
      <c r="I1876" s="2" t="s">
        <v>48</v>
      </c>
      <c r="J1876" s="2" t="s">
        <v>102</v>
      </c>
      <c r="K1876" s="2" t="s">
        <v>35</v>
      </c>
    </row>
    <row r="1877" ht="15.75" customHeight="1">
      <c r="A1877" s="2">
        <v>669038.0</v>
      </c>
      <c r="B1877" s="2" t="s">
        <v>4512</v>
      </c>
      <c r="C1877" s="2" t="s">
        <v>4513</v>
      </c>
      <c r="D1877" s="2" t="s">
        <v>2960</v>
      </c>
      <c r="E1877" s="2" t="s">
        <v>4514</v>
      </c>
      <c r="F1877" s="2">
        <v>1.0</v>
      </c>
      <c r="G1877" s="2">
        <v>500.0</v>
      </c>
      <c r="H1877" s="3" t="str">
        <f>HYPERLINK("http://www.linkedin.com/pub/peter-koldgaard-eriksen/0/641/992","http://www.linkedin.com/pub/peter-koldgaard-eriksen/0/641/992")</f>
        <v>http://www.linkedin.com/pub/peter-koldgaard-eriksen/0/641/992</v>
      </c>
      <c r="I1877" s="2" t="s">
        <v>579</v>
      </c>
      <c r="J1877" s="2" t="s">
        <v>102</v>
      </c>
      <c r="K1877" s="2" t="s">
        <v>97</v>
      </c>
    </row>
    <row r="1878" ht="15.75" customHeight="1">
      <c r="A1878" s="2">
        <v>669076.0</v>
      </c>
      <c r="B1878" s="2" t="s">
        <v>4515</v>
      </c>
      <c r="C1878" s="2" t="s">
        <v>4516</v>
      </c>
      <c r="D1878" s="2" t="s">
        <v>4517</v>
      </c>
      <c r="E1878" s="2" t="s">
        <v>1009</v>
      </c>
      <c r="F1878" s="2">
        <v>5.0</v>
      </c>
      <c r="G1878" s="2">
        <v>500.0</v>
      </c>
      <c r="H1878" s="3" t="str">
        <f>HYPERLINK("http://www.linkedin.com/in/hitchenswrandolph","http://www.linkedin.com/in/hitchenswrandolph")</f>
        <v>http://www.linkedin.com/in/hitchenswrandolph</v>
      </c>
      <c r="I1878" s="2" t="s">
        <v>374</v>
      </c>
      <c r="J1878" s="2" t="s">
        <v>87</v>
      </c>
      <c r="K1878" s="2" t="s">
        <v>138</v>
      </c>
    </row>
    <row r="1879" ht="15.75" customHeight="1">
      <c r="A1879" s="2">
        <v>670720.0</v>
      </c>
      <c r="B1879" s="2" t="s">
        <v>549</v>
      </c>
      <c r="C1879" s="2" t="s">
        <v>4518</v>
      </c>
      <c r="D1879" s="2" t="s">
        <v>4519</v>
      </c>
      <c r="E1879" s="2" t="s">
        <v>136</v>
      </c>
      <c r="F1879" s="2">
        <v>1.0</v>
      </c>
      <c r="G1879" s="2">
        <v>286.0</v>
      </c>
      <c r="H1879" s="3" t="str">
        <f>HYPERLINK("http://www.linkedin.com/pub/mario-pelella/8/141/B05","http://www.linkedin.com/pub/mario-pelella/8/141/B05")</f>
        <v>http://www.linkedin.com/pub/mario-pelella/8/141/B05</v>
      </c>
      <c r="I1879" s="2" t="s">
        <v>167</v>
      </c>
      <c r="J1879" s="2" t="s">
        <v>102</v>
      </c>
      <c r="K1879" s="2" t="s">
        <v>58</v>
      </c>
    </row>
    <row r="1880" ht="15.75" customHeight="1">
      <c r="A1880" s="2">
        <v>671155.0</v>
      </c>
      <c r="B1880" s="2" t="s">
        <v>4520</v>
      </c>
      <c r="C1880" s="2" t="s">
        <v>4521</v>
      </c>
      <c r="D1880" s="2" t="s">
        <v>4522</v>
      </c>
      <c r="E1880" s="2" t="s">
        <v>33</v>
      </c>
      <c r="F1880" s="2" t="s">
        <v>13</v>
      </c>
      <c r="G1880" s="2">
        <v>500.0</v>
      </c>
      <c r="H1880" s="3" t="str">
        <f>HYPERLINK("http://br.linkedin.com/pub/tatyana-lima/7/72/928","http://br.linkedin.com/pub/tatyana-lima/7/72/928")</f>
        <v>http://br.linkedin.com/pub/tatyana-lima/7/72/928</v>
      </c>
      <c r="I1880" s="2" t="s">
        <v>579</v>
      </c>
      <c r="J1880" s="2" t="s">
        <v>34</v>
      </c>
      <c r="K1880" s="2" t="s">
        <v>58</v>
      </c>
    </row>
    <row r="1881" ht="15.75" customHeight="1">
      <c r="A1881" s="2">
        <v>671227.0</v>
      </c>
      <c r="B1881" s="2" t="s">
        <v>4523</v>
      </c>
      <c r="C1881" s="2" t="s">
        <v>4524</v>
      </c>
      <c r="D1881" s="2" t="s">
        <v>13</v>
      </c>
      <c r="E1881" s="2" t="s">
        <v>122</v>
      </c>
      <c r="F1881" s="2">
        <v>6.0</v>
      </c>
      <c r="G1881" s="2">
        <v>500.0</v>
      </c>
      <c r="H1881" s="3" t="str">
        <f>HYPERLINK("http://www.linkedin.com/in/ditlev","http://www.linkedin.com/in/ditlev")</f>
        <v>http://www.linkedin.com/in/ditlev</v>
      </c>
      <c r="I1881" s="2" t="s">
        <v>69</v>
      </c>
      <c r="J1881" s="2" t="s">
        <v>53</v>
      </c>
      <c r="K1881" s="2" t="s">
        <v>35</v>
      </c>
    </row>
    <row r="1882" ht="15.75" customHeight="1">
      <c r="A1882" s="2">
        <v>671960.0</v>
      </c>
      <c r="B1882" s="2" t="s">
        <v>471</v>
      </c>
      <c r="C1882" s="2" t="s">
        <v>4525</v>
      </c>
      <c r="D1882" s="2" t="s">
        <v>4526</v>
      </c>
      <c r="E1882" s="2" t="s">
        <v>142</v>
      </c>
      <c r="F1882" s="2">
        <v>4.0</v>
      </c>
      <c r="G1882" s="2">
        <v>500.0</v>
      </c>
      <c r="H1882" s="3" t="str">
        <f>HYPERLINK("http://www.linkedin.com/in/danzagursky","http://www.linkedin.com/in/danzagursky")</f>
        <v>http://www.linkedin.com/in/danzagursky</v>
      </c>
      <c r="I1882" s="2" t="s">
        <v>1496</v>
      </c>
      <c r="J1882" s="2" t="s">
        <v>144</v>
      </c>
      <c r="K1882" s="2" t="s">
        <v>3854</v>
      </c>
    </row>
    <row r="1883" ht="15.75" customHeight="1">
      <c r="A1883" s="2">
        <v>672034.0</v>
      </c>
      <c r="B1883" s="2" t="s">
        <v>4527</v>
      </c>
      <c r="C1883" s="2" t="s">
        <v>4528</v>
      </c>
      <c r="D1883" s="2" t="s">
        <v>13</v>
      </c>
      <c r="E1883" s="2" t="s">
        <v>136</v>
      </c>
      <c r="F1883" s="2">
        <v>0.0</v>
      </c>
      <c r="G1883" s="2">
        <v>500.0</v>
      </c>
      <c r="H1883" s="3" t="str">
        <f>HYPERLINK("https://www.linkedin.com/in/bmarie","https://www.linkedin.com/in/bmarie")</f>
        <v>https://www.linkedin.com/in/bmarie</v>
      </c>
      <c r="I1883" s="2" t="s">
        <v>48</v>
      </c>
      <c r="J1883" s="2" t="s">
        <v>102</v>
      </c>
      <c r="K1883" s="2" t="s">
        <v>35</v>
      </c>
    </row>
    <row r="1884" ht="15.75" customHeight="1">
      <c r="A1884" s="2">
        <v>672185.0</v>
      </c>
      <c r="B1884" s="2" t="s">
        <v>341</v>
      </c>
      <c r="C1884" s="2" t="s">
        <v>4529</v>
      </c>
      <c r="D1884" s="2" t="s">
        <v>4530</v>
      </c>
      <c r="E1884" s="2" t="s">
        <v>4531</v>
      </c>
      <c r="F1884" s="2" t="s">
        <v>13</v>
      </c>
      <c r="G1884" s="2">
        <v>500.0</v>
      </c>
      <c r="H1884" s="3" t="str">
        <f>HYPERLINK("http://uk.linkedin.com/in/kevincorti","http://uk.linkedin.com/in/kevincorti")</f>
        <v>http://uk.linkedin.com/in/kevincorti</v>
      </c>
      <c r="I1884" s="2" t="s">
        <v>143</v>
      </c>
      <c r="J1884" s="2" t="s">
        <v>53</v>
      </c>
      <c r="K1884" s="2" t="s">
        <v>35</v>
      </c>
    </row>
    <row r="1885" ht="15.75" customHeight="1">
      <c r="A1885" s="2">
        <v>672271.0</v>
      </c>
      <c r="B1885" s="2" t="s">
        <v>1458</v>
      </c>
      <c r="C1885" s="2" t="s">
        <v>4532</v>
      </c>
      <c r="D1885" s="2" t="s">
        <v>42</v>
      </c>
      <c r="E1885" s="2" t="s">
        <v>4533</v>
      </c>
      <c r="F1885" s="2" t="s">
        <v>13</v>
      </c>
      <c r="G1885" s="2">
        <v>500.0</v>
      </c>
      <c r="H1885" s="3" t="str">
        <f>HYPERLINK("http://www.linkedin.com/in/toddzetter","http://www.linkedin.com/in/toddzetter")</f>
        <v>http://www.linkedin.com/in/toddzetter</v>
      </c>
      <c r="I1885" s="2" t="s">
        <v>446</v>
      </c>
      <c r="J1885" s="2" t="s">
        <v>144</v>
      </c>
      <c r="K1885" s="2" t="s">
        <v>58</v>
      </c>
    </row>
    <row r="1886" ht="15.75" customHeight="1">
      <c r="A1886" s="2">
        <v>672337.0</v>
      </c>
      <c r="B1886" s="2" t="s">
        <v>1458</v>
      </c>
      <c r="C1886" s="2" t="s">
        <v>4534</v>
      </c>
      <c r="D1886" s="2" t="s">
        <v>13</v>
      </c>
      <c r="E1886" s="2" t="s">
        <v>4146</v>
      </c>
      <c r="F1886" s="2">
        <v>0.0</v>
      </c>
      <c r="G1886" s="2">
        <v>500.0</v>
      </c>
      <c r="H1886" s="3" t="str">
        <f>HYPERLINK("https://www.linkedin.com/in/toddlabeau","https://www.linkedin.com/in/toddlabeau")</f>
        <v>https://www.linkedin.com/in/toddlabeau</v>
      </c>
      <c r="I1886" s="2" t="s">
        <v>105</v>
      </c>
      <c r="J1886" s="2" t="s">
        <v>102</v>
      </c>
      <c r="K1886" s="2" t="s">
        <v>58</v>
      </c>
    </row>
    <row r="1887" ht="15.75" customHeight="1">
      <c r="A1887" s="2">
        <v>672372.0</v>
      </c>
      <c r="B1887" s="2" t="s">
        <v>4535</v>
      </c>
      <c r="C1887" s="2" t="s">
        <v>4536</v>
      </c>
      <c r="D1887" s="2" t="s">
        <v>959</v>
      </c>
      <c r="E1887" s="2" t="s">
        <v>4537</v>
      </c>
      <c r="F1887" s="2">
        <v>10.0</v>
      </c>
      <c r="G1887" s="2">
        <v>500.0</v>
      </c>
      <c r="H1887" s="3" t="str">
        <f>HYPERLINK("http://www.linkedin.com/in/mauricedawson","http://www.linkedin.com/in/mauricedawson")</f>
        <v>http://www.linkedin.com/in/mauricedawson</v>
      </c>
      <c r="I1887" s="2" t="s">
        <v>1788</v>
      </c>
      <c r="J1887" s="2" t="s">
        <v>102</v>
      </c>
      <c r="K1887" s="2" t="s">
        <v>4538</v>
      </c>
    </row>
    <row r="1888" ht="15.75" customHeight="1">
      <c r="A1888" s="2">
        <v>672413.0</v>
      </c>
      <c r="B1888" s="2" t="s">
        <v>4539</v>
      </c>
      <c r="C1888" s="2" t="s">
        <v>4540</v>
      </c>
      <c r="D1888" s="2" t="s">
        <v>13</v>
      </c>
      <c r="E1888" s="2" t="s">
        <v>1547</v>
      </c>
      <c r="F1888" s="2">
        <v>13.0</v>
      </c>
      <c r="G1888" s="2">
        <v>500.0</v>
      </c>
      <c r="H1888" s="3" t="str">
        <f>HYPERLINK("http://www.linkedin.com/pub/sherol-zuniga-cts/1/42/999","http://www.linkedin.com/pub/sherol-zuniga-cts/1/42/999")</f>
        <v>http://www.linkedin.com/pub/sherol-zuniga-cts/1/42/999</v>
      </c>
      <c r="I1888" s="2" t="s">
        <v>356</v>
      </c>
      <c r="J1888" s="2" t="s">
        <v>102</v>
      </c>
      <c r="K1888" s="2" t="s">
        <v>196</v>
      </c>
    </row>
    <row r="1889" ht="15.75" customHeight="1">
      <c r="A1889" s="2">
        <v>672533.0</v>
      </c>
      <c r="B1889" s="2" t="s">
        <v>4541</v>
      </c>
      <c r="C1889" s="2" t="s">
        <v>1474</v>
      </c>
      <c r="D1889" s="2" t="s">
        <v>42</v>
      </c>
      <c r="E1889" s="2" t="s">
        <v>214</v>
      </c>
      <c r="F1889" s="2" t="s">
        <v>13</v>
      </c>
      <c r="G1889" s="2">
        <v>12.0</v>
      </c>
      <c r="H1889" s="3" t="str">
        <f>HYPERLINK("http://www.linkedin.com/pub/robyn-phelan/9/276/859","http://www.linkedin.com/pub/robyn-phelan/9/276/859")</f>
        <v>http://www.linkedin.com/pub/robyn-phelan/9/276/859</v>
      </c>
      <c r="I1889" s="2" t="s">
        <v>475</v>
      </c>
      <c r="J1889" s="2" t="s">
        <v>102</v>
      </c>
      <c r="K1889" s="2" t="s">
        <v>58</v>
      </c>
    </row>
    <row r="1890" ht="15.75" customHeight="1">
      <c r="A1890" s="2">
        <v>673465.0</v>
      </c>
      <c r="B1890" s="2" t="s">
        <v>4542</v>
      </c>
      <c r="C1890" s="2" t="s">
        <v>4543</v>
      </c>
      <c r="D1890" s="2" t="s">
        <v>4544</v>
      </c>
      <c r="E1890" s="2" t="s">
        <v>4545</v>
      </c>
      <c r="F1890" s="2">
        <v>2.0</v>
      </c>
      <c r="G1890" s="2">
        <v>93.0</v>
      </c>
      <c r="H1890" s="3" t="str">
        <f>HYPERLINK("http://www.linkedin.com/in/alisonashcraft","http://www.linkedin.com/in/alisonashcraft")</f>
        <v>http://www.linkedin.com/in/alisonashcraft</v>
      </c>
      <c r="I1890" s="2" t="s">
        <v>2275</v>
      </c>
      <c r="J1890" s="2" t="s">
        <v>273</v>
      </c>
      <c r="K1890" s="2" t="s">
        <v>196</v>
      </c>
    </row>
    <row r="1891" ht="15.75" customHeight="1">
      <c r="A1891" s="2">
        <v>673692.0</v>
      </c>
      <c r="B1891" s="2" t="s">
        <v>4546</v>
      </c>
      <c r="C1891" s="2" t="s">
        <v>2140</v>
      </c>
      <c r="D1891" s="2" t="s">
        <v>4547</v>
      </c>
      <c r="E1891" s="2" t="s">
        <v>1702</v>
      </c>
      <c r="F1891" s="2">
        <v>4.0</v>
      </c>
      <c r="G1891" s="2">
        <v>168.0</v>
      </c>
      <c r="H1891" s="3" t="str">
        <f>HYPERLINK("http://in.linkedin.com/pub/durgesh-agrawal/5/19/2B0","http://in.linkedin.com/pub/durgesh-agrawal/5/19/2B0")</f>
        <v>http://in.linkedin.com/pub/durgesh-agrawal/5/19/2B0</v>
      </c>
      <c r="I1891" s="2" t="s">
        <v>15</v>
      </c>
      <c r="J1891" s="2" t="s">
        <v>1703</v>
      </c>
      <c r="K1891" s="2" t="s">
        <v>766</v>
      </c>
    </row>
    <row r="1892" ht="15.75" customHeight="1">
      <c r="A1892" s="2">
        <v>674628.0</v>
      </c>
      <c r="B1892" s="2" t="s">
        <v>4548</v>
      </c>
      <c r="C1892" s="2" t="s">
        <v>4549</v>
      </c>
      <c r="D1892" s="2" t="s">
        <v>4550</v>
      </c>
      <c r="E1892" s="2" t="s">
        <v>26</v>
      </c>
      <c r="F1892" s="2" t="s">
        <v>13</v>
      </c>
      <c r="G1892" s="2">
        <v>149.0</v>
      </c>
      <c r="H1892" s="3" t="str">
        <f>HYPERLINK("http://mx.linkedin.com/pub/noe-vivar/24/433/4B1","http://mx.linkedin.com/pub/noe-vivar/24/433/4B1")</f>
        <v>http://mx.linkedin.com/pub/noe-vivar/24/433/4B1</v>
      </c>
      <c r="I1892" s="2" t="s">
        <v>2046</v>
      </c>
      <c r="J1892" s="2" t="s">
        <v>28</v>
      </c>
      <c r="K1892" s="2" t="s">
        <v>58</v>
      </c>
    </row>
    <row r="1893" ht="15.75" customHeight="1">
      <c r="A1893" s="2">
        <v>675083.0</v>
      </c>
      <c r="B1893" s="2" t="s">
        <v>4551</v>
      </c>
      <c r="C1893" s="2" t="s">
        <v>4552</v>
      </c>
      <c r="D1893" s="2" t="s">
        <v>3791</v>
      </c>
      <c r="E1893" s="2" t="s">
        <v>187</v>
      </c>
      <c r="F1893" s="2" t="s">
        <v>13</v>
      </c>
      <c r="G1893" s="2">
        <v>2.0</v>
      </c>
      <c r="H1893" s="3" t="str">
        <f>HYPERLINK("http://br.linkedin.com/pub/marcio-trevisan/29/8BA/544","http://br.linkedin.com/pub/marcio-trevisan/29/8BA/544")</f>
        <v>http://br.linkedin.com/pub/marcio-trevisan/29/8BA/544</v>
      </c>
      <c r="I1893" s="2" t="s">
        <v>96</v>
      </c>
      <c r="J1893" s="2" t="s">
        <v>34</v>
      </c>
      <c r="K1893" s="2" t="s">
        <v>357</v>
      </c>
    </row>
    <row r="1894" ht="15.75" customHeight="1">
      <c r="A1894" s="2">
        <v>675169.0</v>
      </c>
      <c r="B1894" s="2" t="s">
        <v>4553</v>
      </c>
      <c r="C1894" s="2" t="s">
        <v>4554</v>
      </c>
      <c r="D1894" s="2" t="s">
        <v>4555</v>
      </c>
      <c r="E1894" s="2" t="s">
        <v>122</v>
      </c>
      <c r="F1894" s="2" t="s">
        <v>13</v>
      </c>
      <c r="G1894" s="2">
        <v>500.0</v>
      </c>
      <c r="H1894" s="3" t="str">
        <f>HYPERLINK("http://uk.linkedin.com/in/billyfranksmusic","http://uk.linkedin.com/in/billyfranksmusic")</f>
        <v>http://uk.linkedin.com/in/billyfranksmusic</v>
      </c>
      <c r="I1894" s="2" t="s">
        <v>910</v>
      </c>
      <c r="J1894" s="2" t="s">
        <v>53</v>
      </c>
      <c r="K1894" s="2" t="s">
        <v>58</v>
      </c>
    </row>
    <row r="1895" ht="15.75" customHeight="1">
      <c r="A1895" s="2">
        <v>675842.0</v>
      </c>
      <c r="B1895" s="2" t="s">
        <v>4556</v>
      </c>
      <c r="C1895" s="2" t="s">
        <v>2344</v>
      </c>
      <c r="D1895" s="2" t="s">
        <v>4557</v>
      </c>
      <c r="E1895" s="2" t="s">
        <v>2058</v>
      </c>
      <c r="F1895" s="2" t="s">
        <v>13</v>
      </c>
      <c r="G1895" s="2">
        <v>221.0</v>
      </c>
      <c r="H1895" s="3" t="str">
        <f>HYPERLINK("http://www.linkedin.com/pub/kaitlin-gibson/5/178/212","http://www.linkedin.com/pub/kaitlin-gibson/5/178/212")</f>
        <v>http://www.linkedin.com/pub/kaitlin-gibson/5/178/212</v>
      </c>
      <c r="I1895" s="2" t="s">
        <v>1094</v>
      </c>
      <c r="J1895" s="2" t="s">
        <v>102</v>
      </c>
      <c r="K1895" s="2" t="s">
        <v>3860</v>
      </c>
    </row>
    <row r="1896" ht="15.75" customHeight="1">
      <c r="A1896" s="2">
        <v>676219.0</v>
      </c>
      <c r="B1896" s="2" t="s">
        <v>211</v>
      </c>
      <c r="C1896" s="2" t="s">
        <v>4558</v>
      </c>
      <c r="D1896" s="2" t="s">
        <v>47</v>
      </c>
      <c r="E1896" s="2" t="s">
        <v>4559</v>
      </c>
      <c r="F1896" s="2">
        <v>1.0</v>
      </c>
      <c r="G1896" s="2">
        <v>500.0</v>
      </c>
      <c r="H1896" s="3" t="str">
        <f>HYPERLINK("http://www.linkedin.com/in/susanwhittaker","http://www.linkedin.com/in/susanwhittaker")</f>
        <v>http://www.linkedin.com/in/susanwhittaker</v>
      </c>
      <c r="I1896" s="2" t="s">
        <v>1452</v>
      </c>
      <c r="J1896" s="2" t="s">
        <v>144</v>
      </c>
      <c r="K1896" s="2" t="s">
        <v>97</v>
      </c>
    </row>
    <row r="1897" ht="15.75" customHeight="1">
      <c r="A1897" s="2">
        <v>676628.0</v>
      </c>
      <c r="B1897" s="2" t="s">
        <v>4560</v>
      </c>
      <c r="C1897" s="2" t="s">
        <v>1233</v>
      </c>
      <c r="D1897" s="2" t="s">
        <v>3435</v>
      </c>
      <c r="E1897" s="2" t="s">
        <v>136</v>
      </c>
      <c r="F1897" s="2" t="s">
        <v>13</v>
      </c>
      <c r="G1897" s="2">
        <v>500.0</v>
      </c>
      <c r="H1897" s="3" t="str">
        <f>HYPERLINK("http://www.linkedin.com/in/collinsgroup","http://www.linkedin.com/in/collinsgroup")</f>
        <v>http://www.linkedin.com/in/collinsgroup</v>
      </c>
      <c r="I1897" s="2" t="s">
        <v>248</v>
      </c>
      <c r="J1897" s="2" t="s">
        <v>102</v>
      </c>
      <c r="K1897" s="2" t="s">
        <v>196</v>
      </c>
    </row>
    <row r="1898" ht="15.75" customHeight="1">
      <c r="A1898" s="2">
        <v>676756.0</v>
      </c>
      <c r="B1898" s="2" t="s">
        <v>3927</v>
      </c>
      <c r="C1898" s="2" t="s">
        <v>4561</v>
      </c>
      <c r="D1898" s="2" t="s">
        <v>4562</v>
      </c>
      <c r="E1898" s="2" t="s">
        <v>4563</v>
      </c>
      <c r="F1898" s="2">
        <v>3.0</v>
      </c>
      <c r="G1898" s="2">
        <v>500.0</v>
      </c>
      <c r="H1898" s="3" t="str">
        <f>HYPERLINK("http://www.linkedin.com/in/tinawood","http://www.linkedin.com/in/tinawood")</f>
        <v>http://www.linkedin.com/in/tinawood</v>
      </c>
      <c r="I1898" s="2" t="s">
        <v>3890</v>
      </c>
      <c r="J1898" s="2" t="s">
        <v>273</v>
      </c>
      <c r="K1898" s="2" t="s">
        <v>1895</v>
      </c>
    </row>
    <row r="1899" ht="15.75" customHeight="1">
      <c r="A1899" s="2">
        <v>677269.0</v>
      </c>
      <c r="B1899" s="2" t="s">
        <v>4564</v>
      </c>
      <c r="C1899" s="3" t="str">
        <f>HYPERLINK("http://siva.kumarbenvia.com","siva.kumarbenvia.com")</f>
        <v>siva.kumarbenvia.com</v>
      </c>
      <c r="D1899" s="2" t="s">
        <v>4565</v>
      </c>
      <c r="E1899" s="2" t="s">
        <v>3494</v>
      </c>
      <c r="F1899" s="2">
        <v>8.0</v>
      </c>
      <c r="G1899" s="2">
        <v>500.0</v>
      </c>
      <c r="H1899" s="3" t="str">
        <f>HYPERLINK("http://www.linkedin.com/in/sivakumarpappu","http://www.linkedin.com/in/sivakumarpappu")</f>
        <v>http://www.linkedin.com/in/sivakumarpappu</v>
      </c>
      <c r="I1899" s="2" t="s">
        <v>15</v>
      </c>
      <c r="J1899" s="2" t="s">
        <v>273</v>
      </c>
      <c r="K1899" s="2" t="s">
        <v>697</v>
      </c>
    </row>
    <row r="1900" ht="15.75" customHeight="1">
      <c r="A1900" s="2">
        <v>677921.0</v>
      </c>
      <c r="B1900" s="2" t="s">
        <v>275</v>
      </c>
      <c r="C1900" s="2" t="s">
        <v>4566</v>
      </c>
      <c r="D1900" s="2" t="s">
        <v>4567</v>
      </c>
      <c r="E1900" s="2" t="s">
        <v>4568</v>
      </c>
      <c r="F1900" s="2" t="s">
        <v>13</v>
      </c>
      <c r="G1900" s="2">
        <v>28.0</v>
      </c>
      <c r="H1900" s="3" t="str">
        <f>HYPERLINK("http://www.linkedin.com/pub/mark-brockhoff/B/A63/402","http://www.linkedin.com/pub/mark-brockhoff/B/A63/402")</f>
        <v>http://www.linkedin.com/pub/mark-brockhoff/B/A63/402</v>
      </c>
      <c r="I1900" s="2" t="s">
        <v>475</v>
      </c>
      <c r="J1900" s="2" t="s">
        <v>102</v>
      </c>
      <c r="K1900" s="2" t="s">
        <v>168</v>
      </c>
    </row>
    <row r="1901" ht="15.75" customHeight="1">
      <c r="A1901" s="2">
        <v>678037.0</v>
      </c>
      <c r="B1901" s="2" t="s">
        <v>4569</v>
      </c>
      <c r="C1901" s="2" t="s">
        <v>3592</v>
      </c>
      <c r="D1901" s="2" t="s">
        <v>4570</v>
      </c>
      <c r="E1901" s="2" t="s">
        <v>235</v>
      </c>
      <c r="F1901" s="2" t="s">
        <v>13</v>
      </c>
      <c r="G1901" s="2">
        <v>500.0</v>
      </c>
      <c r="H1901" s="3" t="str">
        <f>HYPERLINK("http://www.linkedin.com/in/samanthacasey","http://www.linkedin.com/in/samanthacasey")</f>
        <v>http://www.linkedin.com/in/samanthacasey</v>
      </c>
      <c r="I1901" s="2" t="s">
        <v>15</v>
      </c>
      <c r="J1901" s="2" t="s">
        <v>102</v>
      </c>
      <c r="K1901" s="2" t="s">
        <v>58</v>
      </c>
    </row>
    <row r="1902" ht="15.75" customHeight="1">
      <c r="A1902" s="2">
        <v>678318.0</v>
      </c>
      <c r="B1902" s="2" t="s">
        <v>3385</v>
      </c>
      <c r="C1902" s="2" t="s">
        <v>4571</v>
      </c>
      <c r="D1902" s="2" t="s">
        <v>4572</v>
      </c>
      <c r="E1902" s="2" t="s">
        <v>3746</v>
      </c>
      <c r="F1902" s="2">
        <v>3.0</v>
      </c>
      <c r="G1902" s="2">
        <v>500.0</v>
      </c>
      <c r="H1902" s="3" t="str">
        <f>HYPERLINK("http://ca.linkedin.com/in/carriemacpherson","http://ca.linkedin.com/in/carriemacpherson")</f>
        <v>http://ca.linkedin.com/in/carriemacpherson</v>
      </c>
      <c r="I1902" s="2" t="s">
        <v>326</v>
      </c>
      <c r="J1902" s="2" t="s">
        <v>44</v>
      </c>
      <c r="K1902" s="2" t="s">
        <v>58</v>
      </c>
    </row>
    <row r="1903" ht="15.75" customHeight="1">
      <c r="A1903" s="2">
        <v>679018.0</v>
      </c>
      <c r="B1903" s="2" t="s">
        <v>4573</v>
      </c>
      <c r="C1903" s="2" t="s">
        <v>4574</v>
      </c>
      <c r="D1903" s="2" t="s">
        <v>4575</v>
      </c>
      <c r="E1903" s="2" t="s">
        <v>4576</v>
      </c>
      <c r="F1903" s="2" t="s">
        <v>13</v>
      </c>
      <c r="G1903" s="2">
        <v>397.0</v>
      </c>
      <c r="H1903" s="3" t="str">
        <f>HYPERLINK("http://it.linkedin.com/pub/gabriele-ruffatti/4/13/68","http://it.linkedin.com/pub/gabriele-ruffatti/4/13/68")</f>
        <v>http://it.linkedin.com/pub/gabriele-ruffatti/4/13/68</v>
      </c>
      <c r="I1903" s="2" t="s">
        <v>15</v>
      </c>
      <c r="J1903" s="2" t="s">
        <v>2258</v>
      </c>
      <c r="K1903" s="2" t="s">
        <v>35</v>
      </c>
    </row>
    <row r="1904" ht="15.75" customHeight="1">
      <c r="A1904" s="2">
        <v>679751.0</v>
      </c>
      <c r="B1904" s="2" t="s">
        <v>414</v>
      </c>
      <c r="C1904" s="2" t="s">
        <v>4577</v>
      </c>
      <c r="D1904" s="2" t="s">
        <v>114</v>
      </c>
      <c r="E1904" s="2" t="s">
        <v>301</v>
      </c>
      <c r="F1904" s="2">
        <v>10.0</v>
      </c>
      <c r="G1904" s="2">
        <v>500.0</v>
      </c>
      <c r="H1904" s="3" t="str">
        <f>HYPERLINK("http://www.linkedin.com/in/tomregino","http://www.linkedin.com/in/tomregino")</f>
        <v>http://www.linkedin.com/in/tomregino</v>
      </c>
      <c r="I1904" s="2" t="s">
        <v>1841</v>
      </c>
      <c r="J1904" s="2" t="s">
        <v>102</v>
      </c>
      <c r="K1904" s="2" t="s">
        <v>58</v>
      </c>
    </row>
    <row r="1905" ht="15.75" customHeight="1">
      <c r="A1905" s="2">
        <v>679961.0</v>
      </c>
      <c r="B1905" s="2" t="s">
        <v>752</v>
      </c>
      <c r="C1905" s="2" t="s">
        <v>4578</v>
      </c>
      <c r="D1905" s="2" t="s">
        <v>400</v>
      </c>
      <c r="E1905" s="2" t="s">
        <v>720</v>
      </c>
      <c r="F1905" s="2">
        <v>32.0</v>
      </c>
      <c r="G1905" s="2">
        <v>500.0</v>
      </c>
      <c r="H1905" s="3" t="str">
        <f>HYPERLINK("http://www.linkedin.com/in/jimcavagnarotcn","http://www.linkedin.com/in/jimcavagnarotcn")</f>
        <v>http://www.linkedin.com/in/jimcavagnarotcn</v>
      </c>
      <c r="I1905" s="2" t="s">
        <v>15</v>
      </c>
      <c r="J1905" s="2" t="s">
        <v>102</v>
      </c>
      <c r="K1905" s="2" t="s">
        <v>35</v>
      </c>
    </row>
    <row r="1906" ht="15.75" customHeight="1">
      <c r="A1906" s="2">
        <v>680185.0</v>
      </c>
      <c r="B1906" s="2" t="s">
        <v>4579</v>
      </c>
      <c r="C1906" s="2" t="s">
        <v>4580</v>
      </c>
      <c r="D1906" s="2" t="s">
        <v>13</v>
      </c>
      <c r="E1906" s="2" t="s">
        <v>783</v>
      </c>
      <c r="F1906" s="2">
        <v>0.0</v>
      </c>
      <c r="G1906" s="2">
        <v>500.0</v>
      </c>
      <c r="H1906" s="3" t="str">
        <f>HYPERLINK("https://in.linkedin.com/pub/srinivas-ov/9/970/27","https://in.linkedin.com/pub/srinivas-ov/9/970/27")</f>
        <v>https://in.linkedin.com/pub/srinivas-ov/9/970/27</v>
      </c>
      <c r="I1906" s="2" t="s">
        <v>15</v>
      </c>
      <c r="J1906" s="2" t="s">
        <v>575</v>
      </c>
      <c r="K1906" s="2" t="s">
        <v>22</v>
      </c>
    </row>
    <row r="1907" ht="15.75" customHeight="1">
      <c r="A1907" s="2">
        <v>681362.0</v>
      </c>
      <c r="B1907" s="2" t="s">
        <v>1475</v>
      </c>
      <c r="C1907" s="2" t="s">
        <v>4581</v>
      </c>
      <c r="D1907" s="2" t="s">
        <v>4582</v>
      </c>
      <c r="E1907" s="2" t="s">
        <v>4583</v>
      </c>
      <c r="F1907" s="2">
        <v>2.0</v>
      </c>
      <c r="G1907" s="2">
        <v>351.0</v>
      </c>
      <c r="H1907" s="3" t="str">
        <f>HYPERLINK("http://www.linkedin.com/in/lisapettinelli","http://www.linkedin.com/in/lisapettinelli")</f>
        <v>http://www.linkedin.com/in/lisapettinelli</v>
      </c>
      <c r="I1907" s="2" t="s">
        <v>96</v>
      </c>
      <c r="J1907" s="2" t="s">
        <v>273</v>
      </c>
      <c r="K1907" s="2" t="s">
        <v>58</v>
      </c>
    </row>
    <row r="1908" ht="15.75" customHeight="1">
      <c r="A1908" s="2">
        <v>682653.0</v>
      </c>
      <c r="B1908" s="2" t="s">
        <v>4584</v>
      </c>
      <c r="C1908" s="2" t="s">
        <v>4585</v>
      </c>
      <c r="D1908" s="2" t="s">
        <v>4586</v>
      </c>
      <c r="E1908" s="2" t="s">
        <v>4587</v>
      </c>
      <c r="F1908" s="2" t="s">
        <v>13</v>
      </c>
      <c r="G1908" s="2">
        <v>405.0</v>
      </c>
      <c r="H1908" s="3" t="str">
        <f>HYPERLINK("http://www.linkedin.com/pub/wathiney-teodoro/20/913/588","http://www.linkedin.com/pub/wathiney-teodoro/20/913/588")</f>
        <v>http://www.linkedin.com/pub/wathiney-teodoro/20/913/588</v>
      </c>
      <c r="I1908" s="2" t="s">
        <v>3890</v>
      </c>
      <c r="J1908" s="2" t="s">
        <v>34</v>
      </c>
      <c r="K1908" s="2" t="s">
        <v>22</v>
      </c>
    </row>
    <row r="1909" ht="15.75" customHeight="1">
      <c r="A1909" s="2">
        <v>682981.0</v>
      </c>
      <c r="B1909" s="2" t="s">
        <v>1254</v>
      </c>
      <c r="C1909" s="2" t="s">
        <v>4588</v>
      </c>
      <c r="D1909" s="2" t="s">
        <v>13</v>
      </c>
      <c r="E1909" s="2" t="s">
        <v>325</v>
      </c>
      <c r="F1909" s="2">
        <v>0.0</v>
      </c>
      <c r="G1909" s="2">
        <v>473.0</v>
      </c>
      <c r="H1909" s="3" t="str">
        <f>HYPERLINK("http://www.linkedin.com/pub/rick-heavern/20/B43/222","http://www.linkedin.com/pub/rick-heavern/20/B43/222")</f>
        <v>http://www.linkedin.com/pub/rick-heavern/20/B43/222</v>
      </c>
      <c r="I1909" s="2" t="s">
        <v>470</v>
      </c>
      <c r="J1909" s="2" t="s">
        <v>102</v>
      </c>
      <c r="K1909" s="2" t="s">
        <v>58</v>
      </c>
    </row>
    <row r="1910" ht="15.75" customHeight="1">
      <c r="A1910" s="2">
        <v>683753.0</v>
      </c>
      <c r="B1910" s="2" t="s">
        <v>3664</v>
      </c>
      <c r="C1910" s="2" t="s">
        <v>2808</v>
      </c>
      <c r="D1910" s="2" t="s">
        <v>4589</v>
      </c>
      <c r="E1910" s="2" t="s">
        <v>181</v>
      </c>
      <c r="F1910" s="2">
        <v>0.0</v>
      </c>
      <c r="G1910" s="2">
        <v>432.0</v>
      </c>
      <c r="H1910" s="3" t="str">
        <f>HYPERLINK("http://www.linkedin.com/pub/christine-patterson/21/698/904","http://www.linkedin.com/pub/christine-patterson/21/698/904")</f>
        <v>http://www.linkedin.com/pub/christine-patterson/21/698/904</v>
      </c>
      <c r="I1910" s="2" t="s">
        <v>422</v>
      </c>
      <c r="J1910" s="2" t="s">
        <v>102</v>
      </c>
      <c r="K1910" s="2" t="s">
        <v>196</v>
      </c>
    </row>
    <row r="1911" ht="15.75" customHeight="1">
      <c r="A1911" s="2">
        <v>683919.0</v>
      </c>
      <c r="B1911" s="2" t="s">
        <v>4590</v>
      </c>
      <c r="C1911" s="2" t="s">
        <v>4591</v>
      </c>
      <c r="D1911" s="2"/>
      <c r="E1911" s="2" t="s">
        <v>4545</v>
      </c>
      <c r="F1911" s="2">
        <v>0.0</v>
      </c>
      <c r="G1911" s="2">
        <v>500.0</v>
      </c>
      <c r="H1911" s="3" t="str">
        <f>HYPERLINK("http://www.linkedin.com/pub/eileen-woods/2/167/245","http://www.linkedin.com/pub/eileen-woods/2/167/245")</f>
        <v>http://www.linkedin.com/pub/eileen-woods/2/167/245</v>
      </c>
      <c r="I1911" s="2" t="s">
        <v>374</v>
      </c>
      <c r="J1911" s="2" t="s">
        <v>273</v>
      </c>
      <c r="K1911" s="2" t="s">
        <v>35</v>
      </c>
    </row>
    <row r="1912" ht="15.75" customHeight="1">
      <c r="A1912" s="2">
        <v>684054.0</v>
      </c>
      <c r="B1912" s="2" t="s">
        <v>4592</v>
      </c>
      <c r="C1912" s="2" t="s">
        <v>4593</v>
      </c>
      <c r="D1912" s="2"/>
      <c r="E1912" s="2" t="s">
        <v>1832</v>
      </c>
      <c r="F1912" s="2">
        <v>0.0</v>
      </c>
      <c r="G1912" s="2">
        <v>0.0</v>
      </c>
      <c r="H1912" s="3" t="str">
        <f>HYPERLINK("http://www.linkedin.com/pub/tyear-middleton/3/152/267","http://www.linkedin.com/pub/tyear-middleton/3/152/267")</f>
        <v>http://www.linkedin.com/pub/tyear-middleton/3/152/267</v>
      </c>
      <c r="I1912" s="2" t="s">
        <v>910</v>
      </c>
      <c r="J1912" s="2" t="s">
        <v>102</v>
      </c>
      <c r="K1912" s="2" t="s">
        <v>357</v>
      </c>
    </row>
    <row r="1913" ht="15.75" customHeight="1">
      <c r="A1913" s="2">
        <v>684218.0</v>
      </c>
      <c r="B1913" s="2" t="s">
        <v>4594</v>
      </c>
      <c r="C1913" s="2" t="s">
        <v>4595</v>
      </c>
      <c r="D1913" s="2" t="s">
        <v>47</v>
      </c>
      <c r="E1913" s="2" t="s">
        <v>4596</v>
      </c>
      <c r="F1913" s="2" t="s">
        <v>13</v>
      </c>
      <c r="G1913" s="2">
        <v>500.0</v>
      </c>
      <c r="H1913" s="3" t="str">
        <f>HYPERLINK("http://uk.linkedin.com/in/fionajenvey","http://uk.linkedin.com/in/fionajenvey")</f>
        <v>http://uk.linkedin.com/in/fionajenvey</v>
      </c>
      <c r="I1913" s="2" t="s">
        <v>156</v>
      </c>
      <c r="J1913" s="2" t="s">
        <v>53</v>
      </c>
      <c r="K1913" s="2" t="s">
        <v>58</v>
      </c>
    </row>
    <row r="1914" ht="15.75" customHeight="1">
      <c r="A1914" s="2">
        <v>684598.0</v>
      </c>
      <c r="B1914" s="2" t="s">
        <v>1977</v>
      </c>
      <c r="C1914" s="2" t="s">
        <v>4597</v>
      </c>
      <c r="D1914" s="2" t="s">
        <v>4598</v>
      </c>
      <c r="E1914" s="2" t="s">
        <v>4599</v>
      </c>
      <c r="F1914" s="2" t="s">
        <v>13</v>
      </c>
      <c r="G1914" s="2">
        <v>500.0</v>
      </c>
      <c r="H1914" s="3" t="str">
        <f>HYPERLINK("http://www.linkedin.com/pub/joel-weingarten/0/17B/A20","http://www.linkedin.com/pub/joel-weingarten/0/17B/A20")</f>
        <v>http://www.linkedin.com/pub/joel-weingarten/0/17B/A20</v>
      </c>
      <c r="I1914" s="2" t="s">
        <v>48</v>
      </c>
      <c r="J1914" s="2" t="s">
        <v>102</v>
      </c>
      <c r="K1914" s="2" t="s">
        <v>35</v>
      </c>
    </row>
    <row r="1915" ht="15.75" customHeight="1">
      <c r="A1915" s="2">
        <v>685350.0</v>
      </c>
      <c r="B1915" s="2" t="s">
        <v>1173</v>
      </c>
      <c r="C1915" s="2" t="s">
        <v>4600</v>
      </c>
      <c r="D1915" s="2" t="s">
        <v>42</v>
      </c>
      <c r="E1915" s="2" t="s">
        <v>166</v>
      </c>
      <c r="F1915" s="2" t="s">
        <v>13</v>
      </c>
      <c r="G1915" s="2">
        <v>500.0</v>
      </c>
      <c r="H1915" s="3" t="str">
        <f>HYPERLINK("http://www.linkedin.com/pub/steve-flynn/0/47/54","http://www.linkedin.com/pub/steve-flynn/0/47/54")</f>
        <v>http://www.linkedin.com/pub/steve-flynn/0/47/54</v>
      </c>
      <c r="I1915" s="2" t="s">
        <v>709</v>
      </c>
      <c r="J1915" s="2" t="s">
        <v>102</v>
      </c>
      <c r="K1915" s="2" t="s">
        <v>58</v>
      </c>
    </row>
    <row r="1916" ht="15.75" customHeight="1">
      <c r="A1916" s="2">
        <v>685394.0</v>
      </c>
      <c r="B1916" s="2" t="s">
        <v>993</v>
      </c>
      <c r="C1916" s="2" t="s">
        <v>4601</v>
      </c>
      <c r="D1916" s="2"/>
      <c r="E1916" s="2" t="s">
        <v>122</v>
      </c>
      <c r="F1916" s="2">
        <v>2.0</v>
      </c>
      <c r="G1916" s="2">
        <v>500.0</v>
      </c>
      <c r="H1916" s="3" t="str">
        <f>HYPERLINK("http://www.linkedin.com/in/mistersterling","http://www.linkedin.com/in/mistersterling")</f>
        <v>http://www.linkedin.com/in/mistersterling</v>
      </c>
      <c r="I1916" s="2" t="s">
        <v>475</v>
      </c>
      <c r="J1916" s="2" t="s">
        <v>53</v>
      </c>
      <c r="K1916" s="2" t="s">
        <v>168</v>
      </c>
    </row>
    <row r="1917" ht="15.75" customHeight="1">
      <c r="A1917" s="2">
        <v>685884.0</v>
      </c>
      <c r="B1917" s="2" t="s">
        <v>4602</v>
      </c>
      <c r="C1917" s="2" t="s">
        <v>4603</v>
      </c>
      <c r="D1917" s="2" t="s">
        <v>4604</v>
      </c>
      <c r="E1917" s="2" t="s">
        <v>690</v>
      </c>
      <c r="F1917" s="2">
        <v>10.0</v>
      </c>
      <c r="G1917" s="2">
        <v>500.0</v>
      </c>
      <c r="H1917" s="3" t="str">
        <f>HYPERLINK("http://ca.linkedin.com/in/blackbelttech","http://ca.linkedin.com/in/blackbelttech")</f>
        <v>http://ca.linkedin.com/in/blackbelttech</v>
      </c>
      <c r="I1917" s="2" t="s">
        <v>48</v>
      </c>
      <c r="J1917" s="2" t="s">
        <v>691</v>
      </c>
      <c r="K1917" s="2" t="s">
        <v>35</v>
      </c>
    </row>
    <row r="1918" ht="15.75" customHeight="1">
      <c r="A1918" s="2">
        <v>685958.0</v>
      </c>
      <c r="B1918" s="2" t="s">
        <v>2856</v>
      </c>
      <c r="C1918" s="2" t="s">
        <v>4605</v>
      </c>
      <c r="D1918" s="2" t="s">
        <v>1780</v>
      </c>
      <c r="E1918" s="2" t="s">
        <v>259</v>
      </c>
      <c r="F1918" s="2">
        <v>17.0</v>
      </c>
      <c r="G1918" s="2">
        <v>500.0</v>
      </c>
      <c r="H1918" s="3" t="str">
        <f>HYPERLINK("http://www.linkedin.com/in/derekroot","http://www.linkedin.com/in/derekroot")</f>
        <v>http://www.linkedin.com/in/derekroot</v>
      </c>
      <c r="I1918" s="2" t="s">
        <v>105</v>
      </c>
      <c r="J1918" s="2" t="s">
        <v>144</v>
      </c>
      <c r="K1918" s="2" t="s">
        <v>357</v>
      </c>
    </row>
    <row r="1919" ht="15.75" customHeight="1">
      <c r="A1919" s="2">
        <v>686194.0</v>
      </c>
      <c r="B1919" s="2" t="s">
        <v>404</v>
      </c>
      <c r="C1919" s="2" t="s">
        <v>4606</v>
      </c>
      <c r="D1919" s="2" t="s">
        <v>4607</v>
      </c>
      <c r="E1919" s="2" t="s">
        <v>122</v>
      </c>
      <c r="F1919" s="2">
        <v>53.0</v>
      </c>
      <c r="G1919" s="2">
        <v>500.0</v>
      </c>
      <c r="H1919" s="3" t="str">
        <f>HYPERLINK("http://uk.linkedin.com/in/robincarton","http://uk.linkedin.com/in/robincarton")</f>
        <v>http://uk.linkedin.com/in/robincarton</v>
      </c>
      <c r="I1919" s="2" t="s">
        <v>15</v>
      </c>
      <c r="J1919" s="2" t="s">
        <v>53</v>
      </c>
      <c r="K1919" s="2" t="s">
        <v>35</v>
      </c>
    </row>
    <row r="1920" ht="15.75" customHeight="1">
      <c r="A1920" s="2">
        <v>687113.0</v>
      </c>
      <c r="B1920" s="2" t="s">
        <v>3592</v>
      </c>
      <c r="C1920" s="2" t="s">
        <v>4608</v>
      </c>
      <c r="D1920" s="2" t="s">
        <v>1098</v>
      </c>
      <c r="E1920" s="2" t="s">
        <v>142</v>
      </c>
      <c r="F1920" s="2">
        <v>22.0</v>
      </c>
      <c r="G1920" s="2">
        <v>500.0</v>
      </c>
      <c r="H1920" s="3" t="str">
        <f>HYPERLINK("http://www.linkedin.com/pub/casey-west/6/358/197","http://www.linkedin.com/pub/casey-west/6/358/197")</f>
        <v>http://www.linkedin.com/pub/casey-west/6/358/197</v>
      </c>
      <c r="I1920" s="2" t="s">
        <v>15</v>
      </c>
      <c r="J1920" s="2" t="s">
        <v>144</v>
      </c>
      <c r="K1920" s="2" t="s">
        <v>145</v>
      </c>
    </row>
    <row r="1921" ht="15.75" customHeight="1">
      <c r="A1921" s="2">
        <v>687227.0</v>
      </c>
      <c r="B1921" s="2" t="s">
        <v>879</v>
      </c>
      <c r="C1921" s="2" t="s">
        <v>4609</v>
      </c>
      <c r="D1921" s="2" t="s">
        <v>42</v>
      </c>
      <c r="E1921" s="2" t="s">
        <v>301</v>
      </c>
      <c r="F1921" s="2" t="s">
        <v>13</v>
      </c>
      <c r="G1921" s="2">
        <v>500.0</v>
      </c>
      <c r="H1921" s="3" t="str">
        <f>HYPERLINK("http://www.linkedin.com/in/richardjburns","http://www.linkedin.com/in/richardjburns")</f>
        <v>http://www.linkedin.com/in/richardjburns</v>
      </c>
      <c r="I1921" s="2" t="s">
        <v>195</v>
      </c>
      <c r="J1921" s="2" t="s">
        <v>102</v>
      </c>
      <c r="K1921" s="2" t="s">
        <v>196</v>
      </c>
    </row>
    <row r="1922" ht="15.75" customHeight="1">
      <c r="A1922" s="2">
        <v>687284.0</v>
      </c>
      <c r="B1922" s="2" t="s">
        <v>133</v>
      </c>
      <c r="C1922" s="2" t="s">
        <v>4610</v>
      </c>
      <c r="D1922" s="2" t="s">
        <v>4611</v>
      </c>
      <c r="E1922" s="2" t="s">
        <v>748</v>
      </c>
      <c r="F1922" s="2">
        <v>8.0</v>
      </c>
      <c r="G1922" s="2">
        <v>500.0</v>
      </c>
      <c r="H1922" s="3" t="str">
        <f>HYPERLINK("http://www.linkedin.com/pub/michael-gelb/0/65A/429","http://www.linkedin.com/pub/michael-gelb/0/65A/429")</f>
        <v>http://www.linkedin.com/pub/michael-gelb/0/65A/429</v>
      </c>
      <c r="I1922" s="2" t="s">
        <v>57</v>
      </c>
      <c r="J1922" s="2" t="s">
        <v>28</v>
      </c>
      <c r="K1922" s="2" t="s">
        <v>168</v>
      </c>
    </row>
    <row r="1923" ht="15.75" customHeight="1">
      <c r="A1923" s="2">
        <v>687904.0</v>
      </c>
      <c r="B1923" s="2" t="s">
        <v>45</v>
      </c>
      <c r="C1923" s="2" t="s">
        <v>4612</v>
      </c>
      <c r="D1923" s="2" t="s">
        <v>13</v>
      </c>
      <c r="E1923" s="2" t="s">
        <v>891</v>
      </c>
      <c r="F1923" s="2">
        <v>0.0</v>
      </c>
      <c r="G1923" s="2">
        <v>500.0</v>
      </c>
      <c r="H1923" s="3" t="str">
        <f>HYPERLINK("http://www.linkedin.com/pub/carlos-de-la-lama-noriega-pfrimmer/0/910/7a2","http://www.linkedin.com/pub/carlos-de-la-lama-noriega-pfrimmer/0/910/7a2")</f>
        <v>http://www.linkedin.com/pub/carlos-de-la-lama-noriega-pfrimmer/0/910/7a2</v>
      </c>
      <c r="I1923" s="2" t="s">
        <v>69</v>
      </c>
      <c r="J1923" s="2" t="s">
        <v>102</v>
      </c>
      <c r="K1923" s="2" t="s">
        <v>35</v>
      </c>
    </row>
    <row r="1924" ht="15.75" customHeight="1">
      <c r="A1924" s="2">
        <v>688026.0</v>
      </c>
      <c r="B1924" s="2" t="s">
        <v>1232</v>
      </c>
      <c r="C1924" s="2" t="s">
        <v>4613</v>
      </c>
      <c r="D1924" s="2" t="s">
        <v>4614</v>
      </c>
      <c r="E1924" s="2" t="s">
        <v>2694</v>
      </c>
      <c r="F1924" s="2" t="s">
        <v>13</v>
      </c>
      <c r="G1924" s="2">
        <v>500.0</v>
      </c>
      <c r="H1924" s="3" t="str">
        <f>HYPERLINK("http://www.linkedin.com/pub/roger-weisbeck/0/259/264","http://www.linkedin.com/pub/roger-weisbeck/0/259/264")</f>
        <v>http://www.linkedin.com/pub/roger-weisbeck/0/259/264</v>
      </c>
      <c r="I1924" s="2" t="s">
        <v>612</v>
      </c>
      <c r="J1924" s="2" t="s">
        <v>273</v>
      </c>
      <c r="K1924" s="2" t="s">
        <v>29</v>
      </c>
    </row>
    <row r="1925" ht="15.75" customHeight="1">
      <c r="A1925" s="2">
        <v>688189.0</v>
      </c>
      <c r="B1925" s="2" t="s">
        <v>4615</v>
      </c>
      <c r="C1925" s="2" t="s">
        <v>4616</v>
      </c>
      <c r="D1925" s="2"/>
      <c r="E1925" s="2" t="s">
        <v>783</v>
      </c>
      <c r="F1925" s="2">
        <v>11.0</v>
      </c>
      <c r="G1925" s="2">
        <v>500.0</v>
      </c>
      <c r="H1925" s="3" t="str">
        <f>HYPERLINK("http://www.linkedin.com/in/khirodra","http://www.linkedin.com/in/khirodra")</f>
        <v>http://www.linkedin.com/in/khirodra</v>
      </c>
      <c r="I1925" s="2" t="s">
        <v>15</v>
      </c>
      <c r="J1925" s="2" t="s">
        <v>575</v>
      </c>
      <c r="K1925" s="2" t="s">
        <v>22</v>
      </c>
    </row>
    <row r="1926" ht="15.75" customHeight="1">
      <c r="A1926" s="2">
        <v>688720.0</v>
      </c>
      <c r="B1926" s="2" t="s">
        <v>4617</v>
      </c>
      <c r="C1926" s="2" t="s">
        <v>3867</v>
      </c>
      <c r="D1926" s="2" t="s">
        <v>4618</v>
      </c>
      <c r="E1926" s="2" t="s">
        <v>301</v>
      </c>
      <c r="F1926" s="2">
        <v>8.0</v>
      </c>
      <c r="G1926" s="2">
        <v>259.0</v>
      </c>
      <c r="H1926" s="3" t="str">
        <f>HYPERLINK("http://www.linkedin.com/in/susanmiddleton","http://www.linkedin.com/in/susanmiddleton")</f>
        <v>http://www.linkedin.com/in/susanmiddleton</v>
      </c>
      <c r="I1926" s="2" t="s">
        <v>15</v>
      </c>
      <c r="J1926" s="2" t="s">
        <v>102</v>
      </c>
      <c r="K1926" s="2" t="s">
        <v>35</v>
      </c>
    </row>
    <row r="1927" ht="15.75" customHeight="1">
      <c r="A1927" s="2">
        <v>688732.0</v>
      </c>
      <c r="B1927" s="2" t="s">
        <v>4619</v>
      </c>
      <c r="C1927" s="2" t="s">
        <v>4620</v>
      </c>
      <c r="D1927" s="2" t="s">
        <v>400</v>
      </c>
      <c r="E1927" s="2" t="s">
        <v>259</v>
      </c>
      <c r="F1927" s="2">
        <v>3.0</v>
      </c>
      <c r="G1927" s="2">
        <v>500.0</v>
      </c>
      <c r="H1927" s="3" t="str">
        <f>HYPERLINK("http://www.linkedin.com/in/shantisos","http://www.linkedin.com/in/shantisos")</f>
        <v>http://www.linkedin.com/in/shantisos</v>
      </c>
      <c r="I1927" s="2" t="s">
        <v>105</v>
      </c>
      <c r="J1927" s="2" t="s">
        <v>144</v>
      </c>
      <c r="K1927" s="2" t="s">
        <v>29</v>
      </c>
    </row>
    <row r="1928" ht="15.75" customHeight="1">
      <c r="A1928" s="2">
        <v>688878.0</v>
      </c>
      <c r="B1928" s="2" t="s">
        <v>133</v>
      </c>
      <c r="C1928" s="2" t="s">
        <v>2002</v>
      </c>
      <c r="D1928" s="2"/>
      <c r="E1928" s="2" t="s">
        <v>450</v>
      </c>
      <c r="F1928" s="2">
        <v>0.0</v>
      </c>
      <c r="G1928" s="2">
        <v>500.0</v>
      </c>
      <c r="H1928" s="3" t="str">
        <f>HYPERLINK("http://www.linkedin.com/pub/michael-mayor/0/81/B41","http://www.linkedin.com/pub/michael-mayor/0/81/B41")</f>
        <v>http://www.linkedin.com/pub/michael-mayor/0/81/B41</v>
      </c>
      <c r="I1928" s="2" t="s">
        <v>1094</v>
      </c>
      <c r="J1928" s="2" t="s">
        <v>273</v>
      </c>
      <c r="K1928" s="2" t="s">
        <v>29</v>
      </c>
    </row>
    <row r="1929" ht="15.75" customHeight="1">
      <c r="A1929" s="2">
        <v>688963.0</v>
      </c>
      <c r="B1929" s="2" t="s">
        <v>227</v>
      </c>
      <c r="C1929" s="2" t="s">
        <v>3735</v>
      </c>
      <c r="D1929" s="2" t="s">
        <v>13</v>
      </c>
      <c r="E1929" s="2" t="s">
        <v>4621</v>
      </c>
      <c r="F1929" s="2">
        <v>12.0</v>
      </c>
      <c r="G1929" s="2">
        <v>500.0</v>
      </c>
      <c r="H1929" s="3" t="str">
        <f>HYPERLINK("http://www.linkedin.com/in/jorgerpereira","http://www.linkedin.com/in/jorgerpereira")</f>
        <v>http://www.linkedin.com/in/jorgerpereira</v>
      </c>
      <c r="I1929" s="2" t="s">
        <v>15</v>
      </c>
      <c r="J1929" s="2" t="s">
        <v>670</v>
      </c>
      <c r="K1929" s="2" t="s">
        <v>35</v>
      </c>
    </row>
    <row r="1930" ht="15.75" customHeight="1">
      <c r="A1930" s="2">
        <v>689301.0</v>
      </c>
      <c r="B1930" s="2" t="s">
        <v>4622</v>
      </c>
      <c r="C1930" s="2" t="s">
        <v>4623</v>
      </c>
      <c r="D1930" s="2" t="s">
        <v>13</v>
      </c>
      <c r="E1930" s="2" t="s">
        <v>783</v>
      </c>
      <c r="F1930" s="2">
        <v>0.0</v>
      </c>
      <c r="G1930" s="2">
        <v>394.0</v>
      </c>
      <c r="H1930" s="3" t="str">
        <f>HYPERLINK("http://www.linkedin.com/pub/subramanyam-doguparthi/0/773/a29","http://www.linkedin.com/pub/subramanyam-doguparthi/0/773/a29")</f>
        <v>http://www.linkedin.com/pub/subramanyam-doguparthi/0/773/a29</v>
      </c>
      <c r="I1930" s="2" t="s">
        <v>48</v>
      </c>
      <c r="J1930" s="2" t="s">
        <v>575</v>
      </c>
      <c r="K1930" s="2" t="s">
        <v>22</v>
      </c>
    </row>
    <row r="1931" ht="15.75" customHeight="1">
      <c r="A1931" s="2">
        <v>689382.0</v>
      </c>
      <c r="B1931" s="2" t="s">
        <v>36</v>
      </c>
      <c r="C1931" s="2" t="s">
        <v>4624</v>
      </c>
      <c r="D1931" s="2" t="s">
        <v>4625</v>
      </c>
      <c r="E1931" s="2" t="s">
        <v>33</v>
      </c>
      <c r="F1931" s="2" t="s">
        <v>13</v>
      </c>
      <c r="G1931" s="2">
        <v>293.0</v>
      </c>
      <c r="H1931" s="3" t="str">
        <f>HYPERLINK("http://br.linkedin.com/pub/adriana-souza/1/2A9/348","http://br.linkedin.com/pub/adriana-souza/1/2A9/348")</f>
        <v>http://br.linkedin.com/pub/adriana-souza/1/2A9/348</v>
      </c>
      <c r="I1931" s="2" t="s">
        <v>1841</v>
      </c>
      <c r="J1931" s="2" t="s">
        <v>34</v>
      </c>
      <c r="K1931" s="2" t="s">
        <v>58</v>
      </c>
    </row>
    <row r="1932" ht="15.75" customHeight="1">
      <c r="A1932" s="2">
        <v>689861.0</v>
      </c>
      <c r="B1932" s="2" t="s">
        <v>1405</v>
      </c>
      <c r="C1932" s="2" t="s">
        <v>4626</v>
      </c>
      <c r="D1932" s="2" t="s">
        <v>4627</v>
      </c>
      <c r="E1932" s="2" t="s">
        <v>3257</v>
      </c>
      <c r="F1932" s="2" t="s">
        <v>13</v>
      </c>
      <c r="G1932" s="2">
        <v>500.0</v>
      </c>
      <c r="H1932" s="3" t="str">
        <f>HYPERLINK("http://nl.linkedin.com/pub/ron-boscu/0/237/668","http://nl.linkedin.com/pub/ron-boscu/0/237/668")</f>
        <v>http://nl.linkedin.com/pub/ron-boscu/0/237/668</v>
      </c>
      <c r="I1932" s="2" t="s">
        <v>15</v>
      </c>
      <c r="J1932" s="2" t="s">
        <v>837</v>
      </c>
      <c r="K1932" s="2" t="s">
        <v>35</v>
      </c>
    </row>
    <row r="1933" ht="15.75" customHeight="1">
      <c r="A1933" s="2">
        <v>690358.0</v>
      </c>
      <c r="B1933" s="2" t="s">
        <v>1217</v>
      </c>
      <c r="C1933" s="2" t="s">
        <v>4628</v>
      </c>
      <c r="D1933" s="2" t="s">
        <v>1674</v>
      </c>
      <c r="E1933" s="2" t="s">
        <v>122</v>
      </c>
      <c r="F1933" s="2" t="s">
        <v>13</v>
      </c>
      <c r="G1933" s="2">
        <v>500.0</v>
      </c>
      <c r="H1933" s="3" t="str">
        <f>HYPERLINK("http://uk.linkedin.com/in/ianscummings","http://uk.linkedin.com/in/ianscummings")</f>
        <v>http://uk.linkedin.com/in/ianscummings</v>
      </c>
      <c r="I1933" s="2" t="s">
        <v>1421</v>
      </c>
      <c r="J1933" s="2" t="s">
        <v>53</v>
      </c>
      <c r="K1933" s="2" t="s">
        <v>58</v>
      </c>
    </row>
    <row r="1934" ht="15.75" customHeight="1">
      <c r="A1934" s="2">
        <v>690567.0</v>
      </c>
      <c r="B1934" s="2" t="s">
        <v>1275</v>
      </c>
      <c r="C1934" s="2" t="s">
        <v>3120</v>
      </c>
      <c r="D1934" s="2" t="s">
        <v>1825</v>
      </c>
      <c r="E1934" s="2" t="s">
        <v>136</v>
      </c>
      <c r="F1934" s="2">
        <v>2.0</v>
      </c>
      <c r="G1934" s="2">
        <v>500.0</v>
      </c>
      <c r="H1934" s="3" t="str">
        <f>HYPERLINK("http://www.linkedin.com/pub/brad-young/0/725/11B","http://www.linkedin.com/pub/brad-young/0/725/11B")</f>
        <v>http://www.linkedin.com/pub/brad-young/0/725/11B</v>
      </c>
      <c r="I1934" s="2" t="s">
        <v>143</v>
      </c>
      <c r="J1934" s="2" t="s">
        <v>102</v>
      </c>
      <c r="K1934" s="2" t="s">
        <v>35</v>
      </c>
    </row>
    <row r="1935" ht="15.75" customHeight="1">
      <c r="A1935" s="2">
        <v>690669.0</v>
      </c>
      <c r="B1935" s="2" t="s">
        <v>4629</v>
      </c>
      <c r="C1935" s="2" t="s">
        <v>4630</v>
      </c>
      <c r="D1935" s="2" t="s">
        <v>13</v>
      </c>
      <c r="E1935" s="2" t="s">
        <v>136</v>
      </c>
      <c r="F1935" s="2">
        <v>0.0</v>
      </c>
      <c r="G1935" s="2">
        <v>500.0</v>
      </c>
      <c r="H1935" s="3" t="str">
        <f>HYPERLINK("https://www.linkedin.com/in/bhabanisahu","https://www.linkedin.com/in/bhabanisahu")</f>
        <v>https://www.linkedin.com/in/bhabanisahu</v>
      </c>
      <c r="I1935" s="2" t="s">
        <v>48</v>
      </c>
      <c r="J1935" s="2" t="s">
        <v>102</v>
      </c>
      <c r="K1935" s="2" t="s">
        <v>35</v>
      </c>
    </row>
    <row r="1936" ht="15.75" customHeight="1">
      <c r="A1936" s="2">
        <v>692372.0</v>
      </c>
      <c r="B1936" s="2" t="s">
        <v>348</v>
      </c>
      <c r="C1936" s="2" t="s">
        <v>1364</v>
      </c>
      <c r="D1936" s="2" t="s">
        <v>4631</v>
      </c>
      <c r="E1936" s="2" t="s">
        <v>122</v>
      </c>
      <c r="F1936" s="2">
        <v>6.0</v>
      </c>
      <c r="G1936" s="2">
        <v>500.0</v>
      </c>
      <c r="H1936" s="3" t="str">
        <f>HYPERLINK("http://be.linkedin.com/pub/kim-dennis/3/159/280","http://be.linkedin.com/pub/kim-dennis/3/159/280")</f>
        <v>http://be.linkedin.com/pub/kim-dennis/3/159/280</v>
      </c>
      <c r="I1936" s="2" t="s">
        <v>15</v>
      </c>
      <c r="J1936" s="2" t="s">
        <v>53</v>
      </c>
      <c r="K1936" s="2" t="s">
        <v>35</v>
      </c>
    </row>
    <row r="1937" ht="15.75" customHeight="1">
      <c r="A1937" s="2">
        <v>692973.0</v>
      </c>
      <c r="B1937" s="2" t="s">
        <v>1254</v>
      </c>
      <c r="C1937" s="2" t="s">
        <v>4632</v>
      </c>
      <c r="D1937" s="2" t="s">
        <v>42</v>
      </c>
      <c r="E1937" s="2" t="s">
        <v>1317</v>
      </c>
      <c r="F1937" s="2">
        <v>0.0</v>
      </c>
      <c r="G1937" s="2">
        <v>500.0</v>
      </c>
      <c r="H1937" s="3" t="str">
        <f>HYPERLINK("https://www.linkedin.com/pub/rick-louden/0/37b/1b9","https://www.linkedin.com/pub/rick-louden/0/37b/1b9")</f>
        <v>https://www.linkedin.com/pub/rick-louden/0/37b/1b9</v>
      </c>
      <c r="I1937" s="2" t="s">
        <v>15</v>
      </c>
      <c r="J1937" s="2" t="s">
        <v>102</v>
      </c>
      <c r="K1937" s="2" t="s">
        <v>35</v>
      </c>
    </row>
    <row r="1938" ht="15.75" customHeight="1">
      <c r="A1938" s="2">
        <v>693471.0</v>
      </c>
      <c r="B1938" s="2" t="s">
        <v>1505</v>
      </c>
      <c r="C1938" s="2" t="s">
        <v>4633</v>
      </c>
      <c r="D1938" s="2" t="s">
        <v>4634</v>
      </c>
      <c r="E1938" s="2" t="s">
        <v>278</v>
      </c>
      <c r="F1938" s="2">
        <v>1.0</v>
      </c>
      <c r="G1938" s="2">
        <v>101.0</v>
      </c>
      <c r="H1938" s="3" t="str">
        <f>HYPERLINK("http://www.linkedin.com/in/lindalupowitz","http://www.linkedin.com/in/lindalupowitz")</f>
        <v>http://www.linkedin.com/in/lindalupowitz</v>
      </c>
      <c r="I1938" s="2" t="s">
        <v>458</v>
      </c>
      <c r="J1938" s="2" t="s">
        <v>28</v>
      </c>
      <c r="K1938" s="2" t="s">
        <v>35</v>
      </c>
    </row>
    <row r="1939" ht="15.75" customHeight="1">
      <c r="A1939" s="2">
        <v>694716.0</v>
      </c>
      <c r="B1939" s="2" t="s">
        <v>4635</v>
      </c>
      <c r="C1939" s="2" t="s">
        <v>1144</v>
      </c>
      <c r="D1939" s="2" t="s">
        <v>4636</v>
      </c>
      <c r="E1939" s="2" t="s">
        <v>301</v>
      </c>
      <c r="F1939" s="2">
        <v>4.0</v>
      </c>
      <c r="G1939" s="2">
        <v>500.0</v>
      </c>
      <c r="H1939" s="3" t="str">
        <f>HYPERLINK("http://www.linkedin.com/in/martiallen","http://www.linkedin.com/in/martiallen")</f>
        <v>http://www.linkedin.com/in/martiallen</v>
      </c>
      <c r="I1939" s="2" t="s">
        <v>15</v>
      </c>
      <c r="J1939" s="2" t="s">
        <v>102</v>
      </c>
      <c r="K1939" s="2" t="s">
        <v>35</v>
      </c>
    </row>
    <row r="1940" ht="15.75" customHeight="1">
      <c r="A1940" s="2">
        <v>695571.0</v>
      </c>
      <c r="B1940" s="2" t="s">
        <v>4637</v>
      </c>
      <c r="C1940" s="2" t="s">
        <v>4638</v>
      </c>
      <c r="D1940" s="2" t="s">
        <v>4639</v>
      </c>
      <c r="E1940" s="2" t="s">
        <v>86</v>
      </c>
      <c r="F1940" s="2">
        <v>1.0</v>
      </c>
      <c r="G1940" s="2">
        <v>500.0</v>
      </c>
      <c r="H1940" s="3" t="str">
        <f>HYPERLINK("http://www.linkedin.com/in/ninadk","http://www.linkedin.com/in/ninadk")</f>
        <v>http://www.linkedin.com/in/ninadk</v>
      </c>
      <c r="I1940" s="2" t="s">
        <v>15</v>
      </c>
      <c r="J1940" s="2" t="s">
        <v>87</v>
      </c>
      <c r="K1940" s="2" t="s">
        <v>357</v>
      </c>
    </row>
    <row r="1941" ht="15.75" customHeight="1">
      <c r="A1941" s="2">
        <v>695646.0</v>
      </c>
      <c r="B1941" s="2" t="s">
        <v>3443</v>
      </c>
      <c r="C1941" s="2" t="s">
        <v>4640</v>
      </c>
      <c r="D1941" s="2" t="s">
        <v>4641</v>
      </c>
      <c r="E1941" s="2" t="s">
        <v>4642</v>
      </c>
      <c r="F1941" s="2" t="s">
        <v>13</v>
      </c>
      <c r="G1941" s="2">
        <v>172.0</v>
      </c>
      <c r="H1941" s="3" t="str">
        <f>HYPERLINK("http://ca.linkedin.com/pub/diane-martino/1/787/A3","http://ca.linkedin.com/pub/diane-martino/1/787/A3")</f>
        <v>http://ca.linkedin.com/pub/diane-martino/1/787/A3</v>
      </c>
      <c r="I1941" s="2" t="s">
        <v>1421</v>
      </c>
      <c r="J1941" s="2" t="s">
        <v>4643</v>
      </c>
      <c r="K1941" s="2" t="s">
        <v>29</v>
      </c>
    </row>
    <row r="1942" ht="15.75" customHeight="1">
      <c r="A1942" s="2">
        <v>695742.0</v>
      </c>
      <c r="B1942" s="2" t="s">
        <v>788</v>
      </c>
      <c r="C1942" s="2" t="s">
        <v>664</v>
      </c>
      <c r="D1942" s="2" t="s">
        <v>13</v>
      </c>
      <c r="E1942" s="2" t="s">
        <v>122</v>
      </c>
      <c r="F1942" s="2">
        <v>0.0</v>
      </c>
      <c r="G1942" s="2">
        <v>500.0</v>
      </c>
      <c r="H1942" s="3" t="str">
        <f>HYPERLINK("http://uk.linkedin.com/in/samjgordon","http://uk.linkedin.com/in/samjgordon")</f>
        <v>http://uk.linkedin.com/in/samjgordon</v>
      </c>
      <c r="I1942" s="2" t="s">
        <v>248</v>
      </c>
      <c r="J1942" s="2" t="s">
        <v>53</v>
      </c>
      <c r="K1942" s="2" t="s">
        <v>196</v>
      </c>
    </row>
    <row r="1943" ht="15.75" customHeight="1">
      <c r="A1943" s="2">
        <v>696082.0</v>
      </c>
      <c r="B1943" s="2" t="s">
        <v>4644</v>
      </c>
      <c r="C1943" s="2" t="s">
        <v>4645</v>
      </c>
      <c r="D1943" s="2" t="s">
        <v>4646</v>
      </c>
      <c r="E1943" s="2" t="s">
        <v>2447</v>
      </c>
      <c r="F1943" s="2">
        <v>7.0</v>
      </c>
      <c r="G1943" s="2">
        <v>500.0</v>
      </c>
      <c r="H1943" s="3" t="str">
        <f>HYPERLINK("http://www.linkedin.com/pub/eman-emmanuel-conde/2/770/5BA","http://www.linkedin.com/pub/eman-emmanuel-conde/2/770/5BA")</f>
        <v>http://www.linkedin.com/pub/eman-emmanuel-conde/2/770/5BA</v>
      </c>
      <c r="I1943" s="2" t="s">
        <v>248</v>
      </c>
      <c r="J1943" s="2" t="s">
        <v>16</v>
      </c>
      <c r="K1943" s="2" t="s">
        <v>522</v>
      </c>
    </row>
    <row r="1944" ht="15.75" customHeight="1">
      <c r="A1944" s="2">
        <v>697098.0</v>
      </c>
      <c r="B1944" s="2" t="s">
        <v>4647</v>
      </c>
      <c r="C1944" s="2" t="s">
        <v>4648</v>
      </c>
      <c r="D1944" s="2" t="s">
        <v>4649</v>
      </c>
      <c r="E1944" s="2" t="s">
        <v>3709</v>
      </c>
      <c r="F1944" s="2" t="s">
        <v>13</v>
      </c>
      <c r="G1944" s="2">
        <v>500.0</v>
      </c>
      <c r="H1944" s="3" t="str">
        <f>HYPERLINK("http://uk.linkedin.com/in/jarmilahalovskyyu","http://uk.linkedin.com/in/jarmilahalovskyyu")</f>
        <v>http://uk.linkedin.com/in/jarmilahalovskyyu</v>
      </c>
      <c r="I1944" s="2" t="s">
        <v>15</v>
      </c>
      <c r="J1944" s="2" t="s">
        <v>53</v>
      </c>
      <c r="K1944" s="2" t="s">
        <v>35</v>
      </c>
    </row>
    <row r="1945" ht="15.75" customHeight="1">
      <c r="A1945" s="2">
        <v>697430.0</v>
      </c>
      <c r="B1945" s="2" t="s">
        <v>965</v>
      </c>
      <c r="C1945" s="2" t="s">
        <v>4650</v>
      </c>
      <c r="D1945" s="2" t="s">
        <v>4651</v>
      </c>
      <c r="E1945" s="2" t="s">
        <v>748</v>
      </c>
      <c r="F1945" s="2">
        <v>4.0</v>
      </c>
      <c r="G1945" s="2">
        <v>500.0</v>
      </c>
      <c r="H1945" s="3" t="str">
        <f>HYPERLINK("http://www.linkedin.com/in/jordanhoggard1","http://www.linkedin.com/in/jordanhoggard1")</f>
        <v>http://www.linkedin.com/in/jordanhoggard1</v>
      </c>
      <c r="I1945" s="2" t="s">
        <v>1390</v>
      </c>
      <c r="J1945" s="2" t="s">
        <v>28</v>
      </c>
      <c r="K1945" s="2" t="s">
        <v>3174</v>
      </c>
    </row>
    <row r="1946" ht="15.75" customHeight="1">
      <c r="A1946" s="2">
        <v>697490.0</v>
      </c>
      <c r="B1946" s="2" t="s">
        <v>4652</v>
      </c>
      <c r="C1946" s="2" t="s">
        <v>4653</v>
      </c>
      <c r="D1946" s="2" t="s">
        <v>4654</v>
      </c>
      <c r="E1946" s="2" t="s">
        <v>4655</v>
      </c>
      <c r="F1946" s="2" t="s">
        <v>13</v>
      </c>
      <c r="G1946" s="2">
        <v>329.0</v>
      </c>
      <c r="H1946" s="3" t="str">
        <f>HYPERLINK("http://br.linkedin.com/pub/wanderley-corr%C3%AAa-de-almeida-jr/8/201/890","http://br.linkedin.com/pub/wanderley-corr%C3%AAa-de-almeida-jr/8/201/890")</f>
        <v>http://br.linkedin.com/pub/wanderley-corr%C3%AAa-de-almeida-jr/8/201/890</v>
      </c>
      <c r="I1946" s="2" t="s">
        <v>15</v>
      </c>
      <c r="J1946" s="2" t="s">
        <v>34</v>
      </c>
      <c r="K1946" s="2" t="s">
        <v>35</v>
      </c>
    </row>
    <row r="1947" ht="15.75" customHeight="1">
      <c r="A1947" s="2">
        <v>698129.0</v>
      </c>
      <c r="B1947" s="2" t="s">
        <v>2877</v>
      </c>
      <c r="C1947" s="2" t="s">
        <v>4656</v>
      </c>
      <c r="D1947" s="2" t="s">
        <v>42</v>
      </c>
      <c r="E1947" s="2" t="s">
        <v>808</v>
      </c>
      <c r="F1947" s="2">
        <v>4.0</v>
      </c>
      <c r="G1947" s="2">
        <v>500.0</v>
      </c>
      <c r="H1947" s="3" t="str">
        <f>HYPERLINK("http://www.linkedin.com/in/72422","http://www.linkedin.com/in/72422")</f>
        <v>http://www.linkedin.com/in/72422</v>
      </c>
      <c r="I1947" s="2" t="s">
        <v>248</v>
      </c>
      <c r="J1947" s="2" t="s">
        <v>102</v>
      </c>
      <c r="K1947" s="2" t="s">
        <v>196</v>
      </c>
    </row>
    <row r="1948" ht="15.75" customHeight="1">
      <c r="A1948" s="2">
        <v>698315.0</v>
      </c>
      <c r="B1948" s="2" t="s">
        <v>4657</v>
      </c>
      <c r="C1948" s="2" t="s">
        <v>4658</v>
      </c>
      <c r="D1948" s="2" t="s">
        <v>4659</v>
      </c>
      <c r="E1948" s="2" t="s">
        <v>808</v>
      </c>
      <c r="F1948" s="2">
        <v>21.0</v>
      </c>
      <c r="G1948" s="2">
        <v>500.0</v>
      </c>
      <c r="H1948" s="3" t="str">
        <f>HYPERLINK("http://www.linkedin.com/in/chipbumgardner","http://www.linkedin.com/in/chipbumgardner")</f>
        <v>http://www.linkedin.com/in/chipbumgardner</v>
      </c>
      <c r="I1948" s="2" t="s">
        <v>48</v>
      </c>
      <c r="J1948" s="2" t="s">
        <v>102</v>
      </c>
      <c r="K1948" s="2" t="s">
        <v>35</v>
      </c>
    </row>
    <row r="1949" ht="15.75" customHeight="1">
      <c r="A1949" s="2">
        <v>698362.0</v>
      </c>
      <c r="B1949" s="2" t="s">
        <v>4660</v>
      </c>
      <c r="C1949" s="2" t="s">
        <v>4661</v>
      </c>
      <c r="D1949" s="2"/>
      <c r="E1949" s="2" t="s">
        <v>2447</v>
      </c>
      <c r="F1949" s="2">
        <v>0.0</v>
      </c>
      <c r="G1949" s="2">
        <v>404.0</v>
      </c>
      <c r="H1949" s="3" t="str">
        <f>HYPERLINK("http://www.linkedin.com/in/abhegde","http://www.linkedin.com/in/abhegde")</f>
        <v>http://www.linkedin.com/in/abhegde</v>
      </c>
      <c r="I1949" s="2" t="s">
        <v>231</v>
      </c>
      <c r="J1949" s="2" t="s">
        <v>16</v>
      </c>
      <c r="K1949" s="2" t="s">
        <v>97</v>
      </c>
    </row>
    <row r="1950" ht="15.75" customHeight="1">
      <c r="A1950" s="2">
        <v>698365.0</v>
      </c>
      <c r="B1950" s="2" t="s">
        <v>784</v>
      </c>
      <c r="C1950" s="2" t="s">
        <v>742</v>
      </c>
      <c r="D1950" s="2" t="s">
        <v>4662</v>
      </c>
      <c r="E1950" s="2" t="s">
        <v>3436</v>
      </c>
      <c r="F1950" s="2">
        <v>8.0</v>
      </c>
      <c r="G1950" s="2">
        <v>500.0</v>
      </c>
      <c r="H1950" s="3" t="str">
        <f>HYPERLINK("http://ca.linkedin.com/pub/jeff-dwyer/1/860/74B","http://ca.linkedin.com/pub/jeff-dwyer/1/860/74B")</f>
        <v>http://ca.linkedin.com/pub/jeff-dwyer/1/860/74B</v>
      </c>
      <c r="I1950" s="2" t="s">
        <v>15</v>
      </c>
      <c r="J1950" s="2" t="s">
        <v>44</v>
      </c>
      <c r="K1950" s="2" t="s">
        <v>35</v>
      </c>
    </row>
    <row r="1951" ht="15.75" customHeight="1">
      <c r="A1951" s="2">
        <v>698593.0</v>
      </c>
      <c r="B1951" s="2" t="s">
        <v>3686</v>
      </c>
      <c r="C1951" s="2" t="s">
        <v>4663</v>
      </c>
      <c r="D1951" s="2" t="s">
        <v>42</v>
      </c>
      <c r="E1951" s="2" t="s">
        <v>4664</v>
      </c>
      <c r="F1951" s="2" t="s">
        <v>13</v>
      </c>
      <c r="G1951" s="2">
        <v>403.0</v>
      </c>
      <c r="H1951" s="3" t="str">
        <f>HYPERLINK("http://www.linkedin.com/in/brennantitus","http://www.linkedin.com/in/brennantitus")</f>
        <v>http://www.linkedin.com/in/brennantitus</v>
      </c>
      <c r="I1951" s="2" t="s">
        <v>475</v>
      </c>
      <c r="J1951" s="2" t="s">
        <v>102</v>
      </c>
      <c r="K1951" s="2" t="s">
        <v>138</v>
      </c>
    </row>
    <row r="1952" ht="15.75" customHeight="1">
      <c r="A1952" s="2">
        <v>698672.0</v>
      </c>
      <c r="B1952" s="2" t="s">
        <v>4665</v>
      </c>
      <c r="C1952" s="2" t="s">
        <v>4666</v>
      </c>
      <c r="D1952" s="2" t="s">
        <v>3136</v>
      </c>
      <c r="E1952" s="2" t="s">
        <v>301</v>
      </c>
      <c r="F1952" s="2" t="s">
        <v>13</v>
      </c>
      <c r="G1952" s="2">
        <v>500.0</v>
      </c>
      <c r="H1952" s="3" t="str">
        <f>HYPERLINK("http://www.linkedin.com/in/greggsgambati","http://www.linkedin.com/in/greggsgambati")</f>
        <v>http://www.linkedin.com/in/greggsgambati</v>
      </c>
      <c r="I1952" s="2" t="s">
        <v>57</v>
      </c>
      <c r="J1952" s="2" t="s">
        <v>102</v>
      </c>
      <c r="K1952" s="2" t="s">
        <v>58</v>
      </c>
    </row>
    <row r="1953" ht="15.75" customHeight="1">
      <c r="A1953" s="2">
        <v>699432.0</v>
      </c>
      <c r="B1953" s="2" t="s">
        <v>4667</v>
      </c>
      <c r="C1953" s="2" t="s">
        <v>4668</v>
      </c>
      <c r="D1953" s="2" t="s">
        <v>4669</v>
      </c>
      <c r="E1953" s="2" t="s">
        <v>720</v>
      </c>
      <c r="F1953" s="2">
        <v>8.0</v>
      </c>
      <c r="G1953" s="2">
        <v>500.0</v>
      </c>
      <c r="H1953" s="3" t="str">
        <f>HYPERLINK("http://www.linkedin.com/pub/clifford-heckman/2/471/97B","http://www.linkedin.com/pub/clifford-heckman/2/471/97B")</f>
        <v>http://www.linkedin.com/pub/clifford-heckman/2/471/97B</v>
      </c>
      <c r="I1953" s="2" t="s">
        <v>440</v>
      </c>
      <c r="J1953" s="2" t="s">
        <v>102</v>
      </c>
      <c r="K1953" s="2" t="s">
        <v>97</v>
      </c>
    </row>
    <row r="1954" ht="15.75" customHeight="1">
      <c r="A1954" s="2">
        <v>699434.0</v>
      </c>
      <c r="B1954" s="2" t="s">
        <v>478</v>
      </c>
      <c r="C1954" s="2" t="s">
        <v>4670</v>
      </c>
      <c r="D1954" s="2" t="s">
        <v>42</v>
      </c>
      <c r="E1954" s="2" t="s">
        <v>4671</v>
      </c>
      <c r="F1954" s="2">
        <v>5.0</v>
      </c>
      <c r="G1954" s="2">
        <v>203.0</v>
      </c>
      <c r="H1954" s="3" t="str">
        <f>HYPERLINK("http://www.linkedin.com/pub/karen-brewer/3/A60/B84","http://www.linkedin.com/pub/karen-brewer/3/A60/B84")</f>
        <v>http://www.linkedin.com/pub/karen-brewer/3/A60/B84</v>
      </c>
      <c r="I1954" s="2" t="s">
        <v>599</v>
      </c>
      <c r="J1954" s="2" t="s">
        <v>102</v>
      </c>
      <c r="K1954" s="2" t="s">
        <v>58</v>
      </c>
    </row>
    <row r="1955" ht="15.75" customHeight="1">
      <c r="A1955" s="2">
        <v>699702.0</v>
      </c>
      <c r="B1955" s="2" t="s">
        <v>4672</v>
      </c>
      <c r="C1955" s="3" t="str">
        <f>HYPERLINK("http://alexandre.t.tardifusherbrooke.ca","alexandre.t.tardifusherbrooke.ca")</f>
        <v>alexandre.t.tardifusherbrooke.ca</v>
      </c>
      <c r="D1955" s="2" t="s">
        <v>4673</v>
      </c>
      <c r="E1955" s="2" t="s">
        <v>4674</v>
      </c>
      <c r="F1955" s="2" t="s">
        <v>13</v>
      </c>
      <c r="G1955" s="2">
        <v>500.0</v>
      </c>
      <c r="H1955" s="3" t="str">
        <f>HYPERLINK("http://ca.linkedin.com/in/alexandretardif","http://ca.linkedin.com/in/alexandretardif")</f>
        <v>http://ca.linkedin.com/in/alexandretardif</v>
      </c>
      <c r="I1955" s="2" t="s">
        <v>15</v>
      </c>
      <c r="J1955" s="2" t="s">
        <v>44</v>
      </c>
      <c r="K1955" s="2" t="s">
        <v>35</v>
      </c>
    </row>
    <row r="1956" ht="15.75" customHeight="1">
      <c r="A1956" s="2">
        <v>700043.0</v>
      </c>
      <c r="B1956" s="2" t="s">
        <v>4675</v>
      </c>
      <c r="C1956" s="2" t="s">
        <v>4676</v>
      </c>
      <c r="D1956" s="2" t="s">
        <v>400</v>
      </c>
      <c r="E1956" s="2" t="s">
        <v>122</v>
      </c>
      <c r="F1956" s="2" t="s">
        <v>13</v>
      </c>
      <c r="G1956" s="2">
        <v>256.0</v>
      </c>
      <c r="H1956" s="3" t="str">
        <f>HYPERLINK("http://uk.linkedin.com/in/faler","http://uk.linkedin.com/in/faler")</f>
        <v>http://uk.linkedin.com/in/faler</v>
      </c>
      <c r="I1956" s="2" t="s">
        <v>48</v>
      </c>
      <c r="J1956" s="2" t="s">
        <v>53</v>
      </c>
      <c r="K1956" s="2" t="s">
        <v>35</v>
      </c>
    </row>
    <row r="1957" ht="15.75" customHeight="1">
      <c r="A1957" s="2">
        <v>701001.0</v>
      </c>
      <c r="B1957" s="2" t="s">
        <v>4677</v>
      </c>
      <c r="C1957" s="2" t="s">
        <v>4678</v>
      </c>
      <c r="D1957" s="2" t="s">
        <v>1935</v>
      </c>
      <c r="E1957" s="2" t="s">
        <v>2730</v>
      </c>
      <c r="F1957" s="2" t="s">
        <v>13</v>
      </c>
      <c r="G1957" s="2">
        <v>412.0</v>
      </c>
      <c r="H1957" s="3" t="str">
        <f>HYPERLINK("http://www.linkedin.com/pub/pete-joiner/4/852/215","http://www.linkedin.com/pub/pete-joiner/4/852/215")</f>
        <v>http://www.linkedin.com/pub/pete-joiner/4/852/215</v>
      </c>
      <c r="I1957" s="2" t="s">
        <v>374</v>
      </c>
      <c r="J1957" s="2" t="s">
        <v>102</v>
      </c>
      <c r="K1957" s="2" t="s">
        <v>58</v>
      </c>
    </row>
    <row r="1958" ht="15.75" customHeight="1">
      <c r="A1958" s="2">
        <v>701609.0</v>
      </c>
      <c r="B1958" s="2" t="s">
        <v>414</v>
      </c>
      <c r="C1958" s="2" t="s">
        <v>4679</v>
      </c>
      <c r="D1958" s="2" t="s">
        <v>4680</v>
      </c>
      <c r="E1958" s="2" t="s">
        <v>1891</v>
      </c>
      <c r="F1958" s="2">
        <v>7.0</v>
      </c>
      <c r="G1958" s="2">
        <v>500.0</v>
      </c>
      <c r="H1958" s="3" t="str">
        <f>HYPERLINK("http://www.linkedin.com/in/tomhorrocks","http://www.linkedin.com/in/tomhorrocks")</f>
        <v>http://www.linkedin.com/in/tomhorrocks</v>
      </c>
      <c r="I1958" s="2" t="s">
        <v>105</v>
      </c>
      <c r="J1958" s="2" t="s">
        <v>952</v>
      </c>
      <c r="K1958" s="2" t="s">
        <v>29</v>
      </c>
    </row>
    <row r="1959" ht="15.75" customHeight="1">
      <c r="A1959" s="2">
        <v>702470.0</v>
      </c>
      <c r="B1959" s="2" t="s">
        <v>4183</v>
      </c>
      <c r="C1959" s="2" t="s">
        <v>4681</v>
      </c>
      <c r="D1959" s="2" t="s">
        <v>4682</v>
      </c>
      <c r="E1959" s="2" t="s">
        <v>1434</v>
      </c>
      <c r="F1959" s="2">
        <v>0.0</v>
      </c>
      <c r="G1959" s="2">
        <v>36.0</v>
      </c>
      <c r="H1959" s="3" t="str">
        <f>HYPERLINK("http://www.linkedin.com/in/courtconsults","http://www.linkedin.com/in/courtconsults")</f>
        <v>http://www.linkedin.com/in/courtconsults</v>
      </c>
      <c r="I1959" s="2" t="s">
        <v>1278</v>
      </c>
      <c r="J1959" s="2" t="s">
        <v>28</v>
      </c>
      <c r="K1959" s="2" t="s">
        <v>357</v>
      </c>
    </row>
    <row r="1960" ht="15.75" customHeight="1">
      <c r="A1960" s="2">
        <v>702865.0</v>
      </c>
      <c r="B1960" s="2" t="s">
        <v>4683</v>
      </c>
      <c r="C1960" s="2" t="s">
        <v>4684</v>
      </c>
      <c r="D1960" s="2" t="s">
        <v>1196</v>
      </c>
      <c r="E1960" s="2" t="s">
        <v>4685</v>
      </c>
      <c r="F1960" s="2">
        <v>5.0</v>
      </c>
      <c r="G1960" s="2">
        <v>500.0</v>
      </c>
      <c r="H1960" s="3" t="str">
        <f>HYPERLINK("http://uk.linkedin.com/pub/chantel-heesen/4/936/8B5","http://uk.linkedin.com/pub/chantel-heesen/4/936/8B5")</f>
        <v>http://uk.linkedin.com/pub/chantel-heesen/4/936/8B5</v>
      </c>
      <c r="I1960" s="2" t="s">
        <v>458</v>
      </c>
      <c r="J1960" s="2" t="s">
        <v>4686</v>
      </c>
      <c r="K1960" s="2" t="s">
        <v>29</v>
      </c>
    </row>
    <row r="1961" ht="15.75" customHeight="1">
      <c r="A1961" s="2">
        <v>703318.0</v>
      </c>
      <c r="B1961" s="2" t="s">
        <v>287</v>
      </c>
      <c r="C1961" s="2" t="s">
        <v>4687</v>
      </c>
      <c r="D1961" s="2" t="s">
        <v>4688</v>
      </c>
      <c r="E1961" s="2" t="s">
        <v>628</v>
      </c>
      <c r="F1961" s="2">
        <v>1.0</v>
      </c>
      <c r="G1961" s="2">
        <v>372.0</v>
      </c>
      <c r="H1961" s="3" t="str">
        <f>HYPERLINK("http://www.linkedin.com/in/pauljdombrowski","http://www.linkedin.com/in/pauljdombrowski")</f>
        <v>http://www.linkedin.com/in/pauljdombrowski</v>
      </c>
      <c r="I1961" s="2" t="s">
        <v>2936</v>
      </c>
      <c r="J1961" s="2" t="s">
        <v>102</v>
      </c>
      <c r="K1961" s="2" t="s">
        <v>2116</v>
      </c>
    </row>
    <row r="1962" ht="15.75" customHeight="1">
      <c r="A1962" s="2">
        <v>703934.0</v>
      </c>
      <c r="B1962" s="2" t="s">
        <v>4689</v>
      </c>
      <c r="C1962" s="2" t="s">
        <v>206</v>
      </c>
      <c r="D1962" s="2" t="s">
        <v>2302</v>
      </c>
      <c r="E1962" s="2" t="s">
        <v>39</v>
      </c>
      <c r="F1962" s="2" t="s">
        <v>13</v>
      </c>
      <c r="G1962" s="2">
        <v>334.0</v>
      </c>
      <c r="H1962" s="3" t="str">
        <f>HYPERLINK("http://br.linkedin.com/pub/jo%C3%A3o-garcia/11/B02/12","http://br.linkedin.com/pub/jo%C3%A3o-garcia/11/B02/12")</f>
        <v>http://br.linkedin.com/pub/jo%C3%A3o-garcia/11/B02/12</v>
      </c>
      <c r="I1962" s="2" t="s">
        <v>69</v>
      </c>
      <c r="J1962" s="2" t="s">
        <v>34</v>
      </c>
      <c r="K1962" s="2" t="s">
        <v>35</v>
      </c>
    </row>
    <row r="1963" ht="15.75" customHeight="1">
      <c r="A1963" s="2">
        <v>703971.0</v>
      </c>
      <c r="B1963" s="2" t="s">
        <v>3268</v>
      </c>
      <c r="C1963" s="2" t="s">
        <v>4690</v>
      </c>
      <c r="D1963" s="2" t="s">
        <v>4691</v>
      </c>
      <c r="E1963" s="2" t="s">
        <v>808</v>
      </c>
      <c r="F1963" s="2">
        <v>2.0</v>
      </c>
      <c r="G1963" s="2">
        <v>500.0</v>
      </c>
      <c r="H1963" s="3" t="str">
        <f>HYPERLINK("http://www.linkedin.com/in/patriciamilner","http://www.linkedin.com/in/patriciamilner")</f>
        <v>http://www.linkedin.com/in/patriciamilner</v>
      </c>
      <c r="I1963" s="2" t="s">
        <v>279</v>
      </c>
      <c r="J1963" s="2" t="s">
        <v>102</v>
      </c>
      <c r="K1963" s="2" t="s">
        <v>58</v>
      </c>
    </row>
    <row r="1964" ht="15.75" customHeight="1">
      <c r="A1964" s="2">
        <v>704270.0</v>
      </c>
      <c r="B1964" s="2" t="s">
        <v>4692</v>
      </c>
      <c r="C1964" s="2" t="s">
        <v>4693</v>
      </c>
      <c r="D1964" s="2" t="s">
        <v>4694</v>
      </c>
      <c r="E1964" s="2" t="s">
        <v>142</v>
      </c>
      <c r="F1964" s="2">
        <v>0.0</v>
      </c>
      <c r="G1964" s="2">
        <v>500.0</v>
      </c>
      <c r="H1964" s="3" t="str">
        <f>HYPERLINK("http://www.linkedin.com/in/winetrout","http://www.linkedin.com/in/winetrout")</f>
        <v>http://www.linkedin.com/in/winetrout</v>
      </c>
      <c r="I1964" s="2" t="s">
        <v>15</v>
      </c>
      <c r="J1964" s="2" t="s">
        <v>144</v>
      </c>
      <c r="K1964" s="2" t="s">
        <v>145</v>
      </c>
    </row>
    <row r="1965" ht="15.75" customHeight="1">
      <c r="A1965" s="2">
        <v>704714.0</v>
      </c>
      <c r="B1965" s="2" t="s">
        <v>1593</v>
      </c>
      <c r="C1965" s="2" t="s">
        <v>4695</v>
      </c>
      <c r="D1965" s="2" t="s">
        <v>4696</v>
      </c>
      <c r="E1965" s="2" t="s">
        <v>2366</v>
      </c>
      <c r="F1965" s="2">
        <v>0.0</v>
      </c>
      <c r="G1965" s="2">
        <v>30.0</v>
      </c>
      <c r="H1965" s="3" t="str">
        <f>HYPERLINK("http://www.linkedin.com/pub/adam-pimentel/5/484/3BA","http://www.linkedin.com/pub/adam-pimentel/5/484/3BA")</f>
        <v>http://www.linkedin.com/pub/adam-pimentel/5/484/3BA</v>
      </c>
      <c r="I1965" s="2" t="s">
        <v>172</v>
      </c>
      <c r="J1965" s="2" t="s">
        <v>273</v>
      </c>
      <c r="K1965" s="2" t="s">
        <v>357</v>
      </c>
    </row>
    <row r="1966" ht="15.75" customHeight="1">
      <c r="A1966" s="2">
        <v>704736.0</v>
      </c>
      <c r="B1966" s="2" t="s">
        <v>839</v>
      </c>
      <c r="C1966" s="2" t="s">
        <v>4697</v>
      </c>
      <c r="D1966" s="2" t="s">
        <v>47</v>
      </c>
      <c r="E1966" s="2" t="s">
        <v>4698</v>
      </c>
      <c r="F1966" s="2" t="s">
        <v>13</v>
      </c>
      <c r="G1966" s="2">
        <v>500.0</v>
      </c>
      <c r="H1966" s="3" t="str">
        <f>HYPERLINK("http://uk.linkedin.com/in/thedaveriley","http://uk.linkedin.com/in/thedaveriley")</f>
        <v>http://uk.linkedin.com/in/thedaveriley</v>
      </c>
      <c r="I1966" s="2" t="s">
        <v>69</v>
      </c>
      <c r="J1966" s="2" t="s">
        <v>53</v>
      </c>
      <c r="K1966" s="2" t="s">
        <v>35</v>
      </c>
    </row>
    <row r="1967" ht="15.75" customHeight="1">
      <c r="A1967" s="2">
        <v>705162.0</v>
      </c>
      <c r="B1967" s="2" t="s">
        <v>414</v>
      </c>
      <c r="C1967" s="2" t="s">
        <v>4699</v>
      </c>
      <c r="D1967" s="2" t="s">
        <v>1750</v>
      </c>
      <c r="E1967" s="2" t="s">
        <v>2835</v>
      </c>
      <c r="F1967" s="2">
        <v>4.0</v>
      </c>
      <c r="G1967" s="2">
        <v>348.0</v>
      </c>
      <c r="H1967" s="3" t="str">
        <f>HYPERLINK("http://www.linkedin.com/pub/tom-blackwell/7/B01/369","http://www.linkedin.com/pub/tom-blackwell/7/B01/369")</f>
        <v>http://www.linkedin.com/pub/tom-blackwell/7/B01/369</v>
      </c>
      <c r="I1967" s="2" t="s">
        <v>470</v>
      </c>
      <c r="J1967" s="2" t="s">
        <v>273</v>
      </c>
      <c r="K1967" s="2" t="s">
        <v>29</v>
      </c>
    </row>
    <row r="1968" ht="15.75" customHeight="1">
      <c r="A1968" s="2">
        <v>705441.0</v>
      </c>
      <c r="B1968" s="2" t="s">
        <v>4700</v>
      </c>
      <c r="C1968" s="2" t="s">
        <v>4701</v>
      </c>
      <c r="D1968" s="2" t="s">
        <v>13</v>
      </c>
      <c r="E1968" s="2" t="s">
        <v>1739</v>
      </c>
      <c r="F1968" s="2">
        <v>0.0</v>
      </c>
      <c r="G1968" s="2">
        <v>500.0</v>
      </c>
      <c r="H1968" s="3" t="str">
        <f>HYPERLINK("http://www.linkedin.com/pub/flamand-micha%C3%ABl-michael-flamand-come4news-com/2/149/56a","http://www.linkedin.com/pub/flamand-micha%C3%ABl-michael-flamand-come4news-com/2/149/56a")</f>
        <v>http://www.linkedin.com/pub/flamand-micha%C3%ABl-michael-flamand-come4news-com/2/149/56a</v>
      </c>
      <c r="I1968" s="2" t="s">
        <v>69</v>
      </c>
      <c r="J1968" s="2" t="s">
        <v>65</v>
      </c>
      <c r="K1968" s="2" t="s">
        <v>35</v>
      </c>
    </row>
    <row r="1969" ht="15.75" customHeight="1">
      <c r="A1969" s="2">
        <v>705510.0</v>
      </c>
      <c r="B1969" s="2" t="s">
        <v>1167</v>
      </c>
      <c r="C1969" s="2" t="s">
        <v>4702</v>
      </c>
      <c r="D1969" s="2" t="s">
        <v>47</v>
      </c>
      <c r="E1969" s="2" t="s">
        <v>744</v>
      </c>
      <c r="F1969" s="2" t="s">
        <v>13</v>
      </c>
      <c r="G1969" s="2">
        <v>500.0</v>
      </c>
      <c r="H1969" s="3" t="str">
        <f>HYPERLINK("http://www.linkedin.com/pub/ben-yarbrough/5/38/B50","http://www.linkedin.com/pub/ben-yarbrough/5/38/B50")</f>
        <v>http://www.linkedin.com/pub/ben-yarbrough/5/38/B50</v>
      </c>
      <c r="I1969" s="2" t="s">
        <v>15</v>
      </c>
      <c r="J1969" s="2" t="s">
        <v>102</v>
      </c>
      <c r="K1969" s="2" t="s">
        <v>35</v>
      </c>
    </row>
    <row r="1970" ht="15.75" customHeight="1">
      <c r="A1970" s="2">
        <v>705573.0</v>
      </c>
      <c r="B1970" s="2" t="s">
        <v>759</v>
      </c>
      <c r="C1970" s="2" t="s">
        <v>4703</v>
      </c>
      <c r="D1970" s="2" t="s">
        <v>81</v>
      </c>
      <c r="E1970" s="2" t="s">
        <v>808</v>
      </c>
      <c r="F1970" s="2">
        <v>1.0</v>
      </c>
      <c r="G1970" s="2">
        <v>500.0</v>
      </c>
      <c r="H1970" s="3" t="str">
        <f>HYPERLINK("http://www.linkedin.com/pub/barbara-cepinko/2/495/637","http://www.linkedin.com/pub/barbara-cepinko/2/495/637")</f>
        <v>http://www.linkedin.com/pub/barbara-cepinko/2/495/637</v>
      </c>
      <c r="I1970" s="2" t="s">
        <v>15</v>
      </c>
      <c r="J1970" s="2" t="s">
        <v>102</v>
      </c>
      <c r="K1970" s="2" t="s">
        <v>35</v>
      </c>
    </row>
    <row r="1971" ht="15.75" customHeight="1">
      <c r="A1971" s="2">
        <v>706076.0</v>
      </c>
      <c r="B1971" s="2" t="s">
        <v>4704</v>
      </c>
      <c r="C1971" s="2" t="s">
        <v>3200</v>
      </c>
      <c r="D1971" s="2" t="s">
        <v>4705</v>
      </c>
      <c r="E1971" s="2" t="s">
        <v>122</v>
      </c>
      <c r="F1971" s="2" t="s">
        <v>13</v>
      </c>
      <c r="G1971" s="2">
        <v>500.0</v>
      </c>
      <c r="H1971" s="3" t="str">
        <f>HYPERLINK("http://uk.linkedin.com/pub/per-mikael-jensen/1/3B8/A96","http://uk.linkedin.com/pub/per-mikael-jensen/1/3B8/A96")</f>
        <v>http://uk.linkedin.com/pub/per-mikael-jensen/1/3B8/A96</v>
      </c>
      <c r="I1971" s="2" t="s">
        <v>1398</v>
      </c>
      <c r="J1971" s="2" t="s">
        <v>53</v>
      </c>
      <c r="K1971" s="2" t="s">
        <v>58</v>
      </c>
    </row>
    <row r="1972" ht="15.75" customHeight="1">
      <c r="A1972" s="2">
        <v>706550.0</v>
      </c>
      <c r="B1972" s="2" t="s">
        <v>133</v>
      </c>
      <c r="C1972" s="2" t="s">
        <v>4706</v>
      </c>
      <c r="D1972" s="2" t="s">
        <v>4707</v>
      </c>
      <c r="E1972" s="2" t="s">
        <v>278</v>
      </c>
      <c r="F1972" s="2" t="s">
        <v>13</v>
      </c>
      <c r="G1972" s="2">
        <v>1.0</v>
      </c>
      <c r="H1972" s="3" t="str">
        <f>HYPERLINK("http://www.linkedin.com/pub/michael-bertram/A/3A2/492","http://www.linkedin.com/pub/michael-bertram/A/3A2/492")</f>
        <v>http://www.linkedin.com/pub/michael-bertram/A/3A2/492</v>
      </c>
      <c r="I1972" s="2" t="s">
        <v>15</v>
      </c>
      <c r="J1972" s="2" t="s">
        <v>28</v>
      </c>
      <c r="K1972" s="2" t="s">
        <v>766</v>
      </c>
    </row>
    <row r="1973" ht="15.75" customHeight="1">
      <c r="A1973" s="2">
        <v>706693.0</v>
      </c>
      <c r="B1973" s="2" t="s">
        <v>839</v>
      </c>
      <c r="C1973" s="2" t="s">
        <v>4708</v>
      </c>
      <c r="D1973" s="2" t="s">
        <v>4709</v>
      </c>
      <c r="E1973" s="2" t="s">
        <v>122</v>
      </c>
      <c r="F1973" s="2">
        <v>5.0</v>
      </c>
      <c r="G1973" s="2">
        <v>500.0</v>
      </c>
      <c r="H1973" s="3" t="str">
        <f>HYPERLINK("http://www.linkedin.com/in/davedraper","http://www.linkedin.com/in/davedraper")</f>
        <v>http://www.linkedin.com/in/davedraper</v>
      </c>
      <c r="I1973" s="2" t="s">
        <v>15</v>
      </c>
      <c r="J1973" s="2" t="s">
        <v>53</v>
      </c>
      <c r="K1973" s="2" t="s">
        <v>35</v>
      </c>
    </row>
    <row r="1974" ht="15.75" customHeight="1">
      <c r="A1974" s="2">
        <v>706743.0</v>
      </c>
      <c r="B1974" s="2" t="s">
        <v>4710</v>
      </c>
      <c r="C1974" s="2" t="s">
        <v>4711</v>
      </c>
      <c r="D1974" s="2" t="s">
        <v>4712</v>
      </c>
      <c r="E1974" s="2" t="s">
        <v>301</v>
      </c>
      <c r="F1974" s="2">
        <v>5.0</v>
      </c>
      <c r="G1974" s="2">
        <v>500.0</v>
      </c>
      <c r="H1974" s="3" t="str">
        <f>HYPERLINK("http://www.linkedin.com/in/aleclsmith","http://www.linkedin.com/in/aleclsmith")</f>
        <v>http://www.linkedin.com/in/aleclsmith</v>
      </c>
      <c r="I1974" s="2" t="s">
        <v>15</v>
      </c>
      <c r="J1974" s="2" t="s">
        <v>102</v>
      </c>
      <c r="K1974" s="2" t="s">
        <v>35</v>
      </c>
    </row>
    <row r="1975" ht="15.75" customHeight="1">
      <c r="A1975" s="2">
        <v>706941.0</v>
      </c>
      <c r="B1975" s="2" t="s">
        <v>4713</v>
      </c>
      <c r="C1975" s="2" t="s">
        <v>4714</v>
      </c>
      <c r="D1975" s="2" t="s">
        <v>114</v>
      </c>
      <c r="E1975" s="2" t="s">
        <v>4715</v>
      </c>
      <c r="F1975" s="2">
        <v>0.0</v>
      </c>
      <c r="G1975" s="2">
        <v>500.0</v>
      </c>
      <c r="H1975" s="3" t="str">
        <f>HYPERLINK("http://uk.linkedin.com/pub/tomas-valasek/A/414/137","http://uk.linkedin.com/pub/tomas-valasek/A/414/137")</f>
        <v>http://uk.linkedin.com/pub/tomas-valasek/A/414/137</v>
      </c>
      <c r="I1975" s="2" t="s">
        <v>4132</v>
      </c>
      <c r="J1975" s="2" t="s">
        <v>4716</v>
      </c>
      <c r="K1975" s="2" t="s">
        <v>58</v>
      </c>
    </row>
    <row r="1976" ht="15.75" customHeight="1">
      <c r="A1976" s="2">
        <v>706957.0</v>
      </c>
      <c r="B1976" s="2" t="s">
        <v>4717</v>
      </c>
      <c r="C1976" s="2" t="s">
        <v>4718</v>
      </c>
      <c r="D1976" s="2" t="s">
        <v>4719</v>
      </c>
      <c r="E1976" s="2" t="s">
        <v>450</v>
      </c>
      <c r="F1976" s="2">
        <v>11.0</v>
      </c>
      <c r="G1976" s="2">
        <v>500.0</v>
      </c>
      <c r="H1976" s="3" t="str">
        <f>HYPERLINK("http://www.linkedin.com/in/sivaramann","http://www.linkedin.com/in/sivaramann")</f>
        <v>http://www.linkedin.com/in/sivaramann</v>
      </c>
      <c r="I1976" s="2" t="s">
        <v>248</v>
      </c>
      <c r="J1976" s="2" t="s">
        <v>273</v>
      </c>
      <c r="K1976" s="2" t="s">
        <v>22</v>
      </c>
    </row>
    <row r="1977" ht="15.75" customHeight="1">
      <c r="A1977" s="2">
        <v>708168.0</v>
      </c>
      <c r="B1977" s="2" t="s">
        <v>291</v>
      </c>
      <c r="C1977" s="2" t="s">
        <v>4720</v>
      </c>
      <c r="D1977" s="2" t="s">
        <v>4721</v>
      </c>
      <c r="E1977" s="2" t="s">
        <v>4722</v>
      </c>
      <c r="F1977" s="2" t="s">
        <v>13</v>
      </c>
      <c r="G1977" s="2">
        <v>106.0</v>
      </c>
      <c r="H1977" s="3" t="str">
        <f>HYPERLINK("http://www.linkedin.com/pub/gary-broyles/8/17/251","http://www.linkedin.com/pub/gary-broyles/8/17/251")</f>
        <v>http://www.linkedin.com/pub/gary-broyles/8/17/251</v>
      </c>
      <c r="I1977" s="2" t="s">
        <v>69</v>
      </c>
      <c r="J1977" s="2" t="s">
        <v>144</v>
      </c>
      <c r="K1977" s="2" t="s">
        <v>168</v>
      </c>
    </row>
    <row r="1978" ht="15.75" customHeight="1">
      <c r="A1978" s="2">
        <v>708591.0</v>
      </c>
      <c r="B1978" s="2" t="s">
        <v>2578</v>
      </c>
      <c r="C1978" s="2" t="s">
        <v>4723</v>
      </c>
      <c r="D1978" s="2" t="s">
        <v>42</v>
      </c>
      <c r="E1978" s="2" t="s">
        <v>278</v>
      </c>
      <c r="F1978" s="2" t="s">
        <v>13</v>
      </c>
      <c r="G1978" s="2">
        <v>257.0</v>
      </c>
      <c r="H1978" s="3" t="str">
        <f>HYPERLINK("http://www.linkedin.com/pub/philip-hand/2/833/377","http://www.linkedin.com/pub/philip-hand/2/833/377")</f>
        <v>http://www.linkedin.com/pub/philip-hand/2/833/377</v>
      </c>
      <c r="I1978" s="2" t="s">
        <v>2046</v>
      </c>
      <c r="J1978" s="2" t="s">
        <v>28</v>
      </c>
      <c r="K1978" s="2" t="s">
        <v>58</v>
      </c>
    </row>
    <row r="1979" ht="15.75" customHeight="1">
      <c r="A1979" s="2">
        <v>709060.0</v>
      </c>
      <c r="B1979" s="2" t="s">
        <v>1157</v>
      </c>
      <c r="C1979" s="2" t="s">
        <v>4724</v>
      </c>
      <c r="D1979" s="2" t="s">
        <v>13</v>
      </c>
      <c r="E1979" s="2" t="s">
        <v>181</v>
      </c>
      <c r="F1979" s="2">
        <v>0.0</v>
      </c>
      <c r="G1979" s="2">
        <v>500.0</v>
      </c>
      <c r="H1979" s="3" t="str">
        <f>HYPERLINK("http://www.linkedin.com/in/howardmwiener","http://www.linkedin.com/in/howardmwiener")</f>
        <v>http://www.linkedin.com/in/howardmwiener</v>
      </c>
      <c r="I1979" s="2" t="s">
        <v>15</v>
      </c>
      <c r="J1979" s="2" t="s">
        <v>102</v>
      </c>
      <c r="K1979" s="2" t="s">
        <v>35</v>
      </c>
    </row>
    <row r="1980" ht="15.75" customHeight="1">
      <c r="A1980" s="2">
        <v>709213.0</v>
      </c>
      <c r="B1980" s="2" t="s">
        <v>1173</v>
      </c>
      <c r="C1980" s="2" t="s">
        <v>4725</v>
      </c>
      <c r="D1980" s="2" t="s">
        <v>642</v>
      </c>
      <c r="E1980" s="2" t="s">
        <v>4726</v>
      </c>
      <c r="F1980" s="2">
        <v>29.0</v>
      </c>
      <c r="G1980" s="2">
        <v>500.0</v>
      </c>
      <c r="H1980" s="3" t="str">
        <f>HYPERLINK("http://www.linkedin.com/in/stevehamby","http://www.linkedin.com/in/stevehamby")</f>
        <v>http://www.linkedin.com/in/stevehamby</v>
      </c>
      <c r="I1980" s="2" t="s">
        <v>4727</v>
      </c>
      <c r="J1980" s="2" t="s">
        <v>102</v>
      </c>
      <c r="K1980" s="2" t="s">
        <v>97</v>
      </c>
    </row>
    <row r="1981" ht="15.75" customHeight="1">
      <c r="A1981" s="2">
        <v>709717.0</v>
      </c>
      <c r="B1981" s="2" t="s">
        <v>4728</v>
      </c>
      <c r="C1981" s="2" t="s">
        <v>4729</v>
      </c>
      <c r="D1981" s="2" t="s">
        <v>4730</v>
      </c>
      <c r="E1981" s="2" t="s">
        <v>4731</v>
      </c>
      <c r="F1981" s="2">
        <v>0.0</v>
      </c>
      <c r="G1981" s="2">
        <v>137.0</v>
      </c>
      <c r="H1981" s="3" t="str">
        <f>HYPERLINK("http://www.linkedin.com/pub/ozzie-perez/8/9A/680","http://www.linkedin.com/pub/ozzie-perez/8/9A/680")</f>
        <v>http://www.linkedin.com/pub/ozzie-perez/8/9A/680</v>
      </c>
      <c r="I1981" s="2" t="s">
        <v>612</v>
      </c>
      <c r="J1981" s="2" t="s">
        <v>273</v>
      </c>
      <c r="K1981" s="2" t="s">
        <v>29</v>
      </c>
    </row>
    <row r="1982" ht="15.75" customHeight="1">
      <c r="A1982" s="2">
        <v>710051.0</v>
      </c>
      <c r="B1982" s="2" t="s">
        <v>59</v>
      </c>
      <c r="C1982" s="2" t="s">
        <v>4732</v>
      </c>
      <c r="D1982" s="2" t="s">
        <v>340</v>
      </c>
      <c r="E1982" s="2" t="s">
        <v>4733</v>
      </c>
      <c r="F1982" s="2" t="s">
        <v>13</v>
      </c>
      <c r="G1982" s="2">
        <v>500.0</v>
      </c>
      <c r="H1982" s="3" t="str">
        <f>HYPERLINK("http://dk.linkedin.com/pub/martin-thomsen/7/A56/A78","http://dk.linkedin.com/pub/martin-thomsen/7/A56/A78")</f>
        <v>http://dk.linkedin.com/pub/martin-thomsen/7/A56/A78</v>
      </c>
      <c r="I1982" s="2" t="s">
        <v>669</v>
      </c>
      <c r="J1982" s="2" t="s">
        <v>4426</v>
      </c>
      <c r="K1982" s="2" t="s">
        <v>35</v>
      </c>
    </row>
    <row r="1983" ht="15.75" customHeight="1">
      <c r="A1983" s="2">
        <v>710232.0</v>
      </c>
      <c r="B1983" s="2" t="s">
        <v>664</v>
      </c>
      <c r="C1983" s="2" t="s">
        <v>4734</v>
      </c>
      <c r="D1983" s="2" t="s">
        <v>42</v>
      </c>
      <c r="E1983" s="2" t="s">
        <v>301</v>
      </c>
      <c r="F1983" s="2">
        <v>3.0</v>
      </c>
      <c r="G1983" s="2">
        <v>387.0</v>
      </c>
      <c r="H1983" s="3" t="str">
        <f>HYPERLINK("http://www.linkedin.com/pub/gordon-sell/2/278/226","http://www.linkedin.com/pub/gordon-sell/2/278/226")</f>
        <v>http://www.linkedin.com/pub/gordon-sell/2/278/226</v>
      </c>
      <c r="I1983" s="2" t="s">
        <v>1452</v>
      </c>
      <c r="J1983" s="2" t="s">
        <v>102</v>
      </c>
      <c r="K1983" s="2" t="s">
        <v>196</v>
      </c>
    </row>
    <row r="1984" ht="15.75" customHeight="1">
      <c r="A1984" s="2">
        <v>710398.0</v>
      </c>
      <c r="B1984" s="2" t="s">
        <v>4735</v>
      </c>
      <c r="C1984" s="2" t="s">
        <v>4736</v>
      </c>
      <c r="D1984" s="2" t="s">
        <v>309</v>
      </c>
      <c r="E1984" s="2" t="s">
        <v>4737</v>
      </c>
      <c r="F1984" s="2">
        <v>20.0</v>
      </c>
      <c r="G1984" s="2">
        <v>500.0</v>
      </c>
      <c r="H1984" s="3" t="str">
        <f>HYPERLINK("http://www.linkedin.com/in/kojikodama","http://www.linkedin.com/in/kojikodama")</f>
        <v>http://www.linkedin.com/in/kojikodama</v>
      </c>
      <c r="I1984" s="2" t="s">
        <v>2931</v>
      </c>
      <c r="J1984" s="2" t="s">
        <v>3505</v>
      </c>
      <c r="K1984" s="2" t="s">
        <v>1386</v>
      </c>
    </row>
    <row r="1985" ht="15.75" customHeight="1">
      <c r="A1985" s="2">
        <v>711380.0</v>
      </c>
      <c r="B1985" s="2" t="s">
        <v>4738</v>
      </c>
      <c r="C1985" s="2" t="s">
        <v>4739</v>
      </c>
      <c r="D1985" s="2" t="s">
        <v>4740</v>
      </c>
      <c r="E1985" s="2" t="s">
        <v>716</v>
      </c>
      <c r="F1985" s="2">
        <v>17.0</v>
      </c>
      <c r="G1985" s="2">
        <v>500.0</v>
      </c>
      <c r="H1985" s="3" t="str">
        <f>HYPERLINK("http://in.linkedin.com/pub/amitabh-lahiri/6/174/5BA","http://in.linkedin.com/pub/amitabh-lahiri/6/174/5BA")</f>
        <v>http://in.linkedin.com/pub/amitabh-lahiri/6/174/5BA</v>
      </c>
      <c r="I1985" s="2" t="s">
        <v>1094</v>
      </c>
      <c r="J1985" s="2" t="s">
        <v>575</v>
      </c>
      <c r="K1985" s="2" t="s">
        <v>3138</v>
      </c>
    </row>
    <row r="1986" ht="15.75" customHeight="1">
      <c r="A1986" s="2">
        <v>711505.0</v>
      </c>
      <c r="B1986" s="2" t="s">
        <v>4741</v>
      </c>
      <c r="C1986" s="2" t="s">
        <v>4742</v>
      </c>
      <c r="D1986" s="2" t="s">
        <v>4743</v>
      </c>
      <c r="E1986" s="2" t="s">
        <v>1633</v>
      </c>
      <c r="F1986" s="2">
        <v>7.0</v>
      </c>
      <c r="G1986" s="2">
        <v>393.0</v>
      </c>
      <c r="H1986" s="3" t="str">
        <f>HYPERLINK("http://www.linkedin.com/in/chasperry2thewisevisionary7","http://www.linkedin.com/in/chasperry2thewisevisionary7")</f>
        <v>http://www.linkedin.com/in/chasperry2thewisevisionary7</v>
      </c>
      <c r="I1986" s="2" t="s">
        <v>77</v>
      </c>
      <c r="J1986" s="2" t="s">
        <v>16</v>
      </c>
      <c r="K1986" s="2" t="s">
        <v>111</v>
      </c>
    </row>
    <row r="1987" ht="15.75" customHeight="1">
      <c r="A1987" s="2">
        <v>711749.0</v>
      </c>
      <c r="B1987" s="2" t="s">
        <v>460</v>
      </c>
      <c r="C1987" s="2" t="s">
        <v>4744</v>
      </c>
      <c r="D1987" s="2" t="s">
        <v>47</v>
      </c>
      <c r="E1987" s="2" t="s">
        <v>251</v>
      </c>
      <c r="F1987" s="2" t="s">
        <v>13</v>
      </c>
      <c r="G1987" s="2">
        <v>157.0</v>
      </c>
      <c r="H1987" s="3" t="str">
        <f>HYPERLINK("http://www.linkedin.com/pub/john-grimes/1/918/A81","http://www.linkedin.com/pub/john-grimes/1/918/A81")</f>
        <v>http://www.linkedin.com/pub/john-grimes/1/918/A81</v>
      </c>
      <c r="I1987" s="2" t="s">
        <v>57</v>
      </c>
      <c r="J1987" s="2" t="s">
        <v>102</v>
      </c>
      <c r="K1987" s="2" t="s">
        <v>35</v>
      </c>
    </row>
    <row r="1988" ht="15.75" customHeight="1">
      <c r="A1988" s="2">
        <v>712611.0</v>
      </c>
      <c r="B1988" s="2" t="s">
        <v>845</v>
      </c>
      <c r="C1988" s="2" t="s">
        <v>4745</v>
      </c>
      <c r="D1988" s="2" t="s">
        <v>400</v>
      </c>
      <c r="E1988" s="2" t="s">
        <v>142</v>
      </c>
      <c r="F1988" s="2">
        <v>4.0</v>
      </c>
      <c r="G1988" s="2">
        <v>500.0</v>
      </c>
      <c r="H1988" s="3" t="str">
        <f>HYPERLINK("http://www.linkedin.com/pub/david-palella/3/4B6/2B5","http://www.linkedin.com/pub/david-palella/3/4B6/2B5")</f>
        <v>http://www.linkedin.com/pub/david-palella/3/4B6/2B5</v>
      </c>
      <c r="I1988" s="2" t="s">
        <v>714</v>
      </c>
      <c r="J1988" s="2" t="s">
        <v>144</v>
      </c>
      <c r="K1988" s="2" t="s">
        <v>196</v>
      </c>
    </row>
    <row r="1989" ht="15.75" customHeight="1">
      <c r="A1989" s="2">
        <v>712677.0</v>
      </c>
      <c r="B1989" s="2" t="s">
        <v>4746</v>
      </c>
      <c r="C1989" s="2" t="s">
        <v>4747</v>
      </c>
      <c r="D1989" s="2" t="s">
        <v>13</v>
      </c>
      <c r="E1989" s="2" t="s">
        <v>181</v>
      </c>
      <c r="F1989" s="2">
        <v>0.0</v>
      </c>
      <c r="G1989" s="2">
        <v>500.0</v>
      </c>
      <c r="H1989" s="3" t="str">
        <f>HYPERLINK("http://www.linkedin.com/pub/frank-j-segarra-iii/2/600/a19","http://www.linkedin.com/pub/frank-j-segarra-iii/2/600/a19")</f>
        <v>http://www.linkedin.com/pub/frank-j-segarra-iii/2/600/a19</v>
      </c>
      <c r="I1989" s="2" t="s">
        <v>48</v>
      </c>
      <c r="J1989" s="2" t="s">
        <v>102</v>
      </c>
      <c r="K1989" s="2" t="s">
        <v>35</v>
      </c>
    </row>
    <row r="1990" ht="15.75" customHeight="1">
      <c r="A1990" s="2">
        <v>713122.0</v>
      </c>
      <c r="B1990" s="2" t="s">
        <v>1071</v>
      </c>
      <c r="C1990" s="2" t="s">
        <v>4748</v>
      </c>
      <c r="D1990" s="2" t="s">
        <v>4749</v>
      </c>
      <c r="E1990" s="2" t="s">
        <v>122</v>
      </c>
      <c r="F1990" s="2" t="s">
        <v>13</v>
      </c>
      <c r="G1990" s="2">
        <v>500.0</v>
      </c>
      <c r="H1990" s="3" t="str">
        <f>HYPERLINK("http://www.linkedin.com/in/ericarosenberg","http://www.linkedin.com/in/ericarosenberg")</f>
        <v>http://www.linkedin.com/in/ericarosenberg</v>
      </c>
      <c r="I1990" s="2" t="s">
        <v>2275</v>
      </c>
      <c r="J1990" s="2" t="s">
        <v>53</v>
      </c>
      <c r="K1990" s="2" t="s">
        <v>58</v>
      </c>
    </row>
    <row r="1991" ht="15.75" customHeight="1">
      <c r="A1991" s="2">
        <v>713527.0</v>
      </c>
      <c r="B1991" s="2" t="s">
        <v>4750</v>
      </c>
      <c r="C1991" s="2" t="s">
        <v>4751</v>
      </c>
      <c r="D1991" s="2" t="s">
        <v>13</v>
      </c>
      <c r="E1991" s="2" t="s">
        <v>780</v>
      </c>
      <c r="F1991" s="2">
        <v>0.0</v>
      </c>
      <c r="G1991" s="2">
        <v>500.0</v>
      </c>
      <c r="H1991" s="3" t="str">
        <f>HYPERLINK("http://www.linkedin.com/pub/manish-rai-nigam/A/801/75A","http://www.linkedin.com/pub/manish-rai-nigam/A/801/75A")</f>
        <v>http://www.linkedin.com/pub/manish-rai-nigam/A/801/75A</v>
      </c>
      <c r="I1991" s="2" t="s">
        <v>15</v>
      </c>
      <c r="J1991" s="2" t="s">
        <v>575</v>
      </c>
      <c r="K1991" s="2" t="s">
        <v>22</v>
      </c>
    </row>
    <row r="1992" ht="15.75" customHeight="1">
      <c r="A1992" s="2">
        <v>714083.0</v>
      </c>
      <c r="B1992" s="2" t="s">
        <v>609</v>
      </c>
      <c r="C1992" s="2" t="s">
        <v>4752</v>
      </c>
      <c r="D1992" s="2" t="s">
        <v>4753</v>
      </c>
      <c r="E1992" s="2" t="s">
        <v>187</v>
      </c>
      <c r="F1992" s="2">
        <v>1.0</v>
      </c>
      <c r="G1992" s="2">
        <v>354.0</v>
      </c>
      <c r="H1992" s="3" t="str">
        <f>HYPERLINK("http://www.linkedin.com/pub/ricardo-mendon-a/23/6A3/9B1","http://www.linkedin.com/pub/ricardo-mendon-a/23/6A3/9B1")</f>
        <v>http://www.linkedin.com/pub/ricardo-mendon-a/23/6A3/9B1</v>
      </c>
      <c r="I1992" s="2" t="s">
        <v>629</v>
      </c>
      <c r="J1992" s="2" t="s">
        <v>34</v>
      </c>
      <c r="K1992" s="2" t="s">
        <v>1883</v>
      </c>
    </row>
    <row r="1993" ht="15.75" customHeight="1">
      <c r="A1993" s="2">
        <v>714958.0</v>
      </c>
      <c r="B1993" s="2" t="s">
        <v>4754</v>
      </c>
      <c r="C1993" s="2" t="s">
        <v>4755</v>
      </c>
      <c r="D1993" s="2" t="s">
        <v>517</v>
      </c>
      <c r="E1993" s="2" t="s">
        <v>166</v>
      </c>
      <c r="F1993" s="2" t="s">
        <v>13</v>
      </c>
      <c r="G1993" s="2">
        <v>239.0</v>
      </c>
      <c r="H1993" s="3" t="str">
        <f>HYPERLINK("http://www.linkedin.com/pub/kyle-silk/3/48B/662","http://www.linkedin.com/pub/kyle-silk/3/48B/662")</f>
        <v>http://www.linkedin.com/pub/kyle-silk/3/48B/662</v>
      </c>
      <c r="I1993" s="2" t="s">
        <v>248</v>
      </c>
      <c r="J1993" s="2" t="s">
        <v>102</v>
      </c>
      <c r="K1993" s="2" t="s">
        <v>196</v>
      </c>
    </row>
    <row r="1994" ht="15.75" customHeight="1">
      <c r="A1994" s="2">
        <v>715836.0</v>
      </c>
      <c r="B1994" s="2" t="s">
        <v>4756</v>
      </c>
      <c r="C1994" s="2" t="s">
        <v>4757</v>
      </c>
      <c r="D1994" s="2" t="s">
        <v>4758</v>
      </c>
      <c r="E1994" s="2" t="s">
        <v>4759</v>
      </c>
      <c r="F1994" s="2">
        <v>19.0</v>
      </c>
      <c r="G1994" s="2">
        <v>500.0</v>
      </c>
      <c r="H1994" s="3" t="str">
        <f>HYPERLINK("http://www.linkedin.com/in/jodygouge","http://www.linkedin.com/in/jodygouge")</f>
        <v>http://www.linkedin.com/in/jodygouge</v>
      </c>
      <c r="I1994" s="2" t="s">
        <v>1012</v>
      </c>
      <c r="J1994" s="2" t="s">
        <v>102</v>
      </c>
      <c r="K1994" s="2" t="s">
        <v>58</v>
      </c>
    </row>
    <row r="1995" ht="15.75" customHeight="1">
      <c r="A1995" s="2">
        <v>716200.0</v>
      </c>
      <c r="B1995" s="2" t="s">
        <v>1454</v>
      </c>
      <c r="C1995" s="2" t="s">
        <v>4760</v>
      </c>
      <c r="D1995" s="2"/>
      <c r="E1995" s="2" t="s">
        <v>122</v>
      </c>
      <c r="F1995" s="2">
        <v>11.0</v>
      </c>
      <c r="G1995" s="2">
        <v>500.0</v>
      </c>
      <c r="H1995" s="3" t="str">
        <f>HYPERLINK("http://uk.linkedin.com/pub/alan-berryman/1/885/25","http://uk.linkedin.com/pub/alan-berryman/1/885/25")</f>
        <v>http://uk.linkedin.com/pub/alan-berryman/1/885/25</v>
      </c>
      <c r="I1995" s="2" t="s">
        <v>137</v>
      </c>
      <c r="J1995" s="2" t="s">
        <v>53</v>
      </c>
      <c r="K1995" s="2" t="s">
        <v>241</v>
      </c>
    </row>
    <row r="1996" ht="15.75" customHeight="1">
      <c r="A1996" s="2">
        <v>716251.0</v>
      </c>
      <c r="B1996" s="2" t="s">
        <v>4761</v>
      </c>
      <c r="C1996" s="2" t="s">
        <v>3869</v>
      </c>
      <c r="D1996" s="2" t="s">
        <v>4762</v>
      </c>
      <c r="E1996" s="2" t="s">
        <v>604</v>
      </c>
      <c r="F1996" s="2">
        <v>2.0</v>
      </c>
      <c r="G1996" s="2">
        <v>500.0</v>
      </c>
      <c r="H1996" s="3" t="str">
        <f>HYPERLINK("http://www.linkedin.com/pub/scott-c-williams/3/617/807","http://www.linkedin.com/pub/scott-c-williams/3/617/807")</f>
        <v>http://www.linkedin.com/pub/scott-c-williams/3/617/807</v>
      </c>
      <c r="I1996" s="2" t="s">
        <v>172</v>
      </c>
      <c r="J1996" s="2" t="s">
        <v>16</v>
      </c>
      <c r="K1996" s="2" t="s">
        <v>138</v>
      </c>
    </row>
    <row r="1997" ht="15.75" customHeight="1">
      <c r="A1997" s="2">
        <v>716293.0</v>
      </c>
      <c r="B1997" s="2" t="s">
        <v>275</v>
      </c>
      <c r="C1997" s="2" t="s">
        <v>4763</v>
      </c>
      <c r="D1997" s="2" t="s">
        <v>4764</v>
      </c>
      <c r="E1997" s="2" t="s">
        <v>1866</v>
      </c>
      <c r="F1997" s="2">
        <v>0.0</v>
      </c>
      <c r="G1997" s="2">
        <v>186.0</v>
      </c>
      <c r="H1997" s="3" t="str">
        <f>HYPERLINK("http://www.linkedin.com/pub/mark-santillo/4/0/0","http://www.linkedin.com/pub/mark-santillo/4/0/0")</f>
        <v>http://www.linkedin.com/pub/mark-santillo/4/0/0</v>
      </c>
      <c r="I1997" s="2" t="s">
        <v>15</v>
      </c>
      <c r="J1997" s="2" t="s">
        <v>1867</v>
      </c>
      <c r="K1997" s="2" t="s">
        <v>1733</v>
      </c>
    </row>
    <row r="1998" ht="15.75" customHeight="1">
      <c r="A1998" s="2">
        <v>717019.0</v>
      </c>
      <c r="B1998" s="2" t="s">
        <v>275</v>
      </c>
      <c r="C1998" s="2" t="s">
        <v>4765</v>
      </c>
      <c r="D1998" s="2" t="s">
        <v>517</v>
      </c>
      <c r="E1998" s="2" t="s">
        <v>1009</v>
      </c>
      <c r="F1998" s="2">
        <v>22.0</v>
      </c>
      <c r="G1998" s="2">
        <v>500.0</v>
      </c>
      <c r="H1998" s="3" t="str">
        <f>HYPERLINK("http://www.linkedin.com/in/mark01","http://www.linkedin.com/in/mark01")</f>
        <v>http://www.linkedin.com/in/mark01</v>
      </c>
      <c r="I1998" s="2" t="s">
        <v>15</v>
      </c>
      <c r="J1998" s="2" t="s">
        <v>87</v>
      </c>
      <c r="K1998" s="2" t="s">
        <v>29</v>
      </c>
    </row>
    <row r="1999" ht="15.75" customHeight="1">
      <c r="A1999" s="2">
        <v>717492.0</v>
      </c>
      <c r="B1999" s="2" t="s">
        <v>4766</v>
      </c>
      <c r="C1999" s="2" t="s">
        <v>4767</v>
      </c>
      <c r="D1999" s="2" t="s">
        <v>114</v>
      </c>
      <c r="E1999" s="2" t="s">
        <v>3865</v>
      </c>
      <c r="F1999" s="2">
        <v>2.0</v>
      </c>
      <c r="G1999" s="2">
        <v>500.0</v>
      </c>
      <c r="H1999" s="3" t="str">
        <f>HYPERLINK("http://www.linkedin.com/pub/c-michael-depew/8/49A/B30","http://www.linkedin.com/pub/c-michael-depew/8/49A/B30")</f>
        <v>http://www.linkedin.com/pub/c-michael-depew/8/49A/B30</v>
      </c>
      <c r="I1999" s="2" t="s">
        <v>446</v>
      </c>
      <c r="J1999" s="2" t="s">
        <v>102</v>
      </c>
      <c r="K1999" s="2" t="s">
        <v>97</v>
      </c>
    </row>
    <row r="2000" ht="15.75" customHeight="1">
      <c r="A2000" s="2">
        <v>717680.0</v>
      </c>
      <c r="B2000" s="2" t="s">
        <v>4768</v>
      </c>
      <c r="C2000" s="2" t="s">
        <v>4769</v>
      </c>
      <c r="D2000" s="2" t="s">
        <v>4291</v>
      </c>
      <c r="E2000" s="2" t="s">
        <v>301</v>
      </c>
      <c r="F2000" s="2">
        <v>11.0</v>
      </c>
      <c r="G2000" s="2">
        <v>500.0</v>
      </c>
      <c r="H2000" s="3" t="str">
        <f>HYPERLINK("http://www.linkedin.com/in/andrewferenci","http://www.linkedin.com/in/andrewferenci")</f>
        <v>http://www.linkedin.com/in/andrewferenci</v>
      </c>
      <c r="I2000" s="2" t="s">
        <v>69</v>
      </c>
      <c r="J2000" s="2" t="s">
        <v>102</v>
      </c>
      <c r="K2000" s="2" t="s">
        <v>35</v>
      </c>
    </row>
    <row r="2001" ht="15.75" customHeight="1">
      <c r="A2001" s="2">
        <v>717988.0</v>
      </c>
      <c r="B2001" s="2" t="s">
        <v>4770</v>
      </c>
      <c r="C2001" s="2" t="s">
        <v>4771</v>
      </c>
      <c r="D2001" s="2" t="s">
        <v>42</v>
      </c>
      <c r="E2001" s="2" t="s">
        <v>791</v>
      </c>
      <c r="F2001" s="2" t="s">
        <v>13</v>
      </c>
      <c r="G2001" s="2">
        <v>29.0</v>
      </c>
      <c r="H2001" s="3" t="str">
        <f>HYPERLINK("http://ca.linkedin.com/pub/biz-arrays/8/396/65B","http://ca.linkedin.com/pub/biz-arrays/8/396/65B")</f>
        <v>http://ca.linkedin.com/pub/biz-arrays/8/396/65B</v>
      </c>
      <c r="I2001" s="2" t="s">
        <v>15</v>
      </c>
      <c r="J2001" s="2" t="s">
        <v>575</v>
      </c>
      <c r="K2001" s="2" t="s">
        <v>35</v>
      </c>
    </row>
    <row r="2002" ht="15.75" customHeight="1">
      <c r="A2002" s="2">
        <v>718241.0</v>
      </c>
      <c r="B2002" s="2" t="s">
        <v>4772</v>
      </c>
      <c r="C2002" s="2" t="s">
        <v>4773</v>
      </c>
      <c r="D2002" s="2" t="s">
        <v>400</v>
      </c>
      <c r="E2002" s="2" t="s">
        <v>101</v>
      </c>
      <c r="F2002" s="2" t="s">
        <v>13</v>
      </c>
      <c r="G2002" s="2">
        <v>500.0</v>
      </c>
      <c r="H2002" s="3" t="str">
        <f>HYPERLINK("http://www.linkedin.com/in/gittelprice","http://www.linkedin.com/in/gittelprice")</f>
        <v>http://www.linkedin.com/in/gittelprice</v>
      </c>
      <c r="I2002" s="2" t="s">
        <v>1361</v>
      </c>
      <c r="J2002" s="2" t="s">
        <v>102</v>
      </c>
      <c r="K2002" s="2" t="s">
        <v>58</v>
      </c>
    </row>
    <row r="2003" ht="15.75" customHeight="1">
      <c r="A2003" s="2">
        <v>718317.0</v>
      </c>
      <c r="B2003" s="2" t="s">
        <v>4774</v>
      </c>
      <c r="C2003" s="2" t="s">
        <v>4775</v>
      </c>
      <c r="D2003" s="2" t="s">
        <v>13</v>
      </c>
      <c r="E2003" s="2" t="s">
        <v>1547</v>
      </c>
      <c r="F2003" s="2">
        <v>36.0</v>
      </c>
      <c r="G2003" s="2">
        <v>500.0</v>
      </c>
      <c r="H2003" s="3" t="str">
        <f>HYPERLINK("http://www.linkedin.com/in/regevyativlinkedin","http://www.linkedin.com/in/regevyativlinkedin")</f>
        <v>http://www.linkedin.com/in/regevyativlinkedin</v>
      </c>
      <c r="I2003" s="2" t="s">
        <v>48</v>
      </c>
      <c r="J2003" s="2" t="s">
        <v>102</v>
      </c>
      <c r="K2003" s="2" t="s">
        <v>35</v>
      </c>
    </row>
    <row r="2004" ht="15.75" customHeight="1">
      <c r="A2004" s="2">
        <v>718866.0</v>
      </c>
      <c r="B2004" s="2" t="s">
        <v>1177</v>
      </c>
      <c r="C2004" s="2" t="s">
        <v>4776</v>
      </c>
      <c r="D2004" s="2" t="s">
        <v>416</v>
      </c>
      <c r="E2004" s="2" t="s">
        <v>2724</v>
      </c>
      <c r="F2004" s="2" t="s">
        <v>13</v>
      </c>
      <c r="G2004" s="2">
        <v>473.0</v>
      </c>
      <c r="H2004" s="3" t="str">
        <f>HYPERLINK("http://www.linkedin.com/in/shauntilford","http://www.linkedin.com/in/shauntilford")</f>
        <v>http://www.linkedin.com/in/shauntilford</v>
      </c>
      <c r="I2004" s="2" t="s">
        <v>15</v>
      </c>
      <c r="J2004" s="2" t="s">
        <v>102</v>
      </c>
      <c r="K2004" s="2" t="s">
        <v>35</v>
      </c>
    </row>
    <row r="2005" ht="15.75" customHeight="1">
      <c r="A2005" s="2">
        <v>719167.0</v>
      </c>
      <c r="B2005" s="2" t="s">
        <v>1868</v>
      </c>
      <c r="C2005" s="2" t="s">
        <v>99</v>
      </c>
      <c r="D2005" s="2" t="s">
        <v>4777</v>
      </c>
      <c r="E2005" s="2" t="s">
        <v>2447</v>
      </c>
      <c r="F2005" s="2">
        <v>2.0</v>
      </c>
      <c r="G2005" s="2">
        <v>359.0</v>
      </c>
      <c r="H2005" s="3" t="str">
        <f>HYPERLINK("http://www.linkedin.com/in/jackcolemanlightingspecialist","http://www.linkedin.com/in/jackcolemanlightingspecialist")</f>
        <v>http://www.linkedin.com/in/jackcolemanlightingspecialist</v>
      </c>
      <c r="I2005" s="2" t="s">
        <v>1948</v>
      </c>
      <c r="J2005" s="2" t="s">
        <v>16</v>
      </c>
      <c r="K2005" s="2" t="s">
        <v>97</v>
      </c>
    </row>
    <row r="2006" ht="15.75" customHeight="1">
      <c r="A2006" s="2">
        <v>720170.0</v>
      </c>
      <c r="B2006" s="2" t="s">
        <v>133</v>
      </c>
      <c r="C2006" s="2" t="s">
        <v>4778</v>
      </c>
      <c r="D2006" s="2" t="s">
        <v>4779</v>
      </c>
      <c r="E2006" s="2" t="s">
        <v>4780</v>
      </c>
      <c r="F2006" s="2">
        <v>6.0</v>
      </c>
      <c r="G2006" s="2">
        <v>500.0</v>
      </c>
      <c r="H2006" s="3" t="str">
        <f>HYPERLINK("http://www.linkedin.com/pub/michael-albarano/8/645/183","http://www.linkedin.com/pub/michael-albarano/8/645/183")</f>
        <v>http://www.linkedin.com/pub/michael-albarano/8/645/183</v>
      </c>
      <c r="I2006" s="2" t="s">
        <v>629</v>
      </c>
      <c r="J2006" s="2" t="s">
        <v>273</v>
      </c>
      <c r="K2006" s="2" t="s">
        <v>3138</v>
      </c>
    </row>
    <row r="2007" ht="15.75" customHeight="1">
      <c r="A2007" s="2">
        <v>722098.0</v>
      </c>
      <c r="B2007" s="2" t="s">
        <v>879</v>
      </c>
      <c r="C2007" s="2" t="s">
        <v>4781</v>
      </c>
      <c r="D2007" s="2" t="s">
        <v>4782</v>
      </c>
      <c r="E2007" s="2" t="s">
        <v>397</v>
      </c>
      <c r="F2007" s="2">
        <v>0.0</v>
      </c>
      <c r="G2007" s="2">
        <v>500.0</v>
      </c>
      <c r="H2007" s="3" t="str">
        <f>HYPERLINK("http://www.linkedin.com/in/rleader","http://www.linkedin.com/in/rleader")</f>
        <v>http://www.linkedin.com/in/rleader</v>
      </c>
      <c r="I2007" s="2" t="s">
        <v>48</v>
      </c>
      <c r="J2007" s="2" t="s">
        <v>102</v>
      </c>
      <c r="K2007" s="2" t="s">
        <v>58</v>
      </c>
    </row>
    <row r="2008" ht="15.75" customHeight="1">
      <c r="A2008" s="2">
        <v>722100.0</v>
      </c>
      <c r="B2008" s="2" t="s">
        <v>2648</v>
      </c>
      <c r="C2008" s="2" t="s">
        <v>4783</v>
      </c>
      <c r="D2008" s="2" t="s">
        <v>114</v>
      </c>
      <c r="E2008" s="2" t="s">
        <v>301</v>
      </c>
      <c r="F2008" s="2">
        <v>2.0</v>
      </c>
      <c r="G2008" s="2">
        <v>500.0</v>
      </c>
      <c r="H2008" s="3" t="str">
        <f>HYPERLINK("http://www.linkedin.com/in/normansilverberg","http://www.linkedin.com/in/normansilverberg")</f>
        <v>http://www.linkedin.com/in/normansilverberg</v>
      </c>
      <c r="I2008" s="2" t="s">
        <v>326</v>
      </c>
      <c r="J2008" s="2" t="s">
        <v>102</v>
      </c>
      <c r="K2008" s="2" t="s">
        <v>58</v>
      </c>
    </row>
    <row r="2009" ht="15.75" customHeight="1">
      <c r="A2009" s="2">
        <v>722451.0</v>
      </c>
      <c r="B2009" s="2" t="s">
        <v>4784</v>
      </c>
      <c r="C2009" s="2" t="s">
        <v>4785</v>
      </c>
      <c r="D2009" s="2"/>
      <c r="E2009" s="2" t="s">
        <v>278</v>
      </c>
      <c r="F2009" s="2">
        <v>1.0</v>
      </c>
      <c r="G2009" s="2">
        <v>500.0</v>
      </c>
      <c r="H2009" s="3" t="str">
        <f>HYPERLINK("http://www.linkedin.com/pub/h-ward-camp/0/434/B49","http://www.linkedin.com/pub/h-ward-camp/0/434/B49")</f>
        <v>http://www.linkedin.com/pub/h-ward-camp/0/434/B49</v>
      </c>
      <c r="I2009" s="2" t="s">
        <v>696</v>
      </c>
      <c r="J2009" s="2" t="s">
        <v>28</v>
      </c>
      <c r="K2009" s="2" t="s">
        <v>357</v>
      </c>
    </row>
    <row r="2010" ht="15.75" customHeight="1">
      <c r="A2010" s="2">
        <v>722667.0</v>
      </c>
      <c r="B2010" s="2" t="s">
        <v>879</v>
      </c>
      <c r="C2010" s="2" t="s">
        <v>4786</v>
      </c>
      <c r="D2010" s="2" t="s">
        <v>4787</v>
      </c>
      <c r="E2010" s="2" t="s">
        <v>301</v>
      </c>
      <c r="F2010" s="2">
        <v>25.0</v>
      </c>
      <c r="G2010" s="2">
        <v>500.0</v>
      </c>
      <c r="H2010" s="3" t="str">
        <f>HYPERLINK("http://www.linkedin.com/in/richvestuto","http://www.linkedin.com/in/richvestuto")</f>
        <v>http://www.linkedin.com/in/richvestuto</v>
      </c>
      <c r="I2010" s="2" t="s">
        <v>621</v>
      </c>
      <c r="J2010" s="2" t="s">
        <v>102</v>
      </c>
      <c r="K2010" s="2" t="s">
        <v>58</v>
      </c>
    </row>
    <row r="2011" ht="15.75" customHeight="1">
      <c r="A2011" s="2">
        <v>722950.0</v>
      </c>
      <c r="B2011" s="2" t="s">
        <v>1238</v>
      </c>
      <c r="C2011" s="2" t="s">
        <v>4788</v>
      </c>
      <c r="D2011" s="2" t="s">
        <v>4789</v>
      </c>
      <c r="E2011" s="2" t="s">
        <v>301</v>
      </c>
      <c r="F2011" s="2">
        <v>5.0</v>
      </c>
      <c r="G2011" s="2">
        <v>500.0</v>
      </c>
      <c r="H2011" s="3" t="str">
        <f>HYPERLINK("http://fr.linkedin.com/in/olivierbrion","http://fr.linkedin.com/in/olivierbrion")</f>
        <v>http://fr.linkedin.com/in/olivierbrion</v>
      </c>
      <c r="I2011" s="2" t="s">
        <v>69</v>
      </c>
      <c r="J2011" s="2" t="s">
        <v>102</v>
      </c>
      <c r="K2011" s="2" t="s">
        <v>35</v>
      </c>
    </row>
    <row r="2012" ht="15.75" customHeight="1">
      <c r="A2012" s="2">
        <v>723063.0</v>
      </c>
      <c r="B2012" s="2" t="s">
        <v>4790</v>
      </c>
      <c r="C2012" s="2" t="s">
        <v>4791</v>
      </c>
      <c r="D2012" s="2" t="s">
        <v>498</v>
      </c>
      <c r="E2012" s="2" t="s">
        <v>1806</v>
      </c>
      <c r="F2012" s="2" t="s">
        <v>13</v>
      </c>
      <c r="G2012" s="2">
        <v>500.0</v>
      </c>
      <c r="H2012" s="3" t="str">
        <f>HYPERLINK("http://www.linkedin.com/in/gabegomez","http://www.linkedin.com/in/gabegomez")</f>
        <v>http://www.linkedin.com/in/gabegomez</v>
      </c>
      <c r="I2012" s="2" t="s">
        <v>77</v>
      </c>
      <c r="J2012" s="2" t="s">
        <v>102</v>
      </c>
      <c r="K2012" s="2" t="s">
        <v>97</v>
      </c>
    </row>
    <row r="2013" ht="15.75" customHeight="1">
      <c r="A2013" s="2">
        <v>723179.0</v>
      </c>
      <c r="B2013" s="2" t="s">
        <v>2578</v>
      </c>
      <c r="C2013" s="2" t="s">
        <v>2421</v>
      </c>
      <c r="D2013" s="2" t="s">
        <v>304</v>
      </c>
      <c r="E2013" s="2" t="s">
        <v>136</v>
      </c>
      <c r="F2013" s="2">
        <v>9.0</v>
      </c>
      <c r="G2013" s="2">
        <v>285.0</v>
      </c>
      <c r="H2013" s="3" t="str">
        <f>HYPERLINK("http://www.linkedin.com/pub/philip-wong/0/426/A8","http://www.linkedin.com/pub/philip-wong/0/426/A8")</f>
        <v>http://www.linkedin.com/pub/philip-wong/0/426/A8</v>
      </c>
      <c r="I2013" s="2" t="s">
        <v>15</v>
      </c>
      <c r="J2013" s="2" t="s">
        <v>102</v>
      </c>
      <c r="K2013" s="2" t="s">
        <v>35</v>
      </c>
    </row>
    <row r="2014" ht="15.75" customHeight="1">
      <c r="A2014" s="2">
        <v>723448.0</v>
      </c>
      <c r="B2014" s="2" t="s">
        <v>845</v>
      </c>
      <c r="C2014" s="2" t="s">
        <v>4792</v>
      </c>
      <c r="D2014" s="2" t="s">
        <v>42</v>
      </c>
      <c r="E2014" s="2" t="s">
        <v>2058</v>
      </c>
      <c r="F2014" s="2">
        <v>4.0</v>
      </c>
      <c r="G2014" s="2">
        <v>500.0</v>
      </c>
      <c r="H2014" s="3" t="str">
        <f>HYPERLINK("http://www.linkedin.com/in/bondelev","http://www.linkedin.com/in/bondelev")</f>
        <v>http://www.linkedin.com/in/bondelev</v>
      </c>
      <c r="I2014" s="2" t="s">
        <v>240</v>
      </c>
      <c r="J2014" s="2" t="s">
        <v>102</v>
      </c>
      <c r="K2014" s="2" t="s">
        <v>2533</v>
      </c>
    </row>
    <row r="2015" ht="15.75" customHeight="1">
      <c r="A2015" s="2">
        <v>723456.0</v>
      </c>
      <c r="B2015" s="2" t="s">
        <v>4793</v>
      </c>
      <c r="C2015" s="2" t="s">
        <v>292</v>
      </c>
      <c r="D2015" s="2" t="s">
        <v>4794</v>
      </c>
      <c r="E2015" s="2" t="s">
        <v>2922</v>
      </c>
      <c r="F2015" s="2">
        <v>39.0</v>
      </c>
      <c r="G2015" s="2">
        <v>500.0</v>
      </c>
      <c r="H2015" s="3" t="str">
        <f>HYPERLINK("http://ca.linkedin.com/in/gillessmith","http://ca.linkedin.com/in/gillessmith")</f>
        <v>http://ca.linkedin.com/in/gillessmith</v>
      </c>
      <c r="I2015" s="2" t="s">
        <v>1390</v>
      </c>
      <c r="J2015" s="2" t="s">
        <v>44</v>
      </c>
      <c r="K2015" s="2" t="s">
        <v>35</v>
      </c>
    </row>
    <row r="2016" ht="15.75" customHeight="1">
      <c r="A2016" s="2">
        <v>723561.0</v>
      </c>
      <c r="B2016" s="2" t="s">
        <v>845</v>
      </c>
      <c r="C2016" s="2" t="s">
        <v>4795</v>
      </c>
      <c r="D2016" s="2" t="s">
        <v>959</v>
      </c>
      <c r="E2016" s="2" t="s">
        <v>4796</v>
      </c>
      <c r="F2016" s="2" t="s">
        <v>13</v>
      </c>
      <c r="G2016" s="2">
        <v>500.0</v>
      </c>
      <c r="H2016" s="3" t="str">
        <f>HYPERLINK("http://au.linkedin.com/pub/david-redpath/1/495/828","http://au.linkedin.com/pub/david-redpath/1/495/828")</f>
        <v>http://au.linkedin.com/pub/david-redpath/1/495/828</v>
      </c>
      <c r="I2016" s="2" t="s">
        <v>15</v>
      </c>
      <c r="J2016" s="2" t="s">
        <v>53</v>
      </c>
      <c r="K2016" s="2" t="s">
        <v>35</v>
      </c>
    </row>
    <row r="2017" ht="15.75" customHeight="1">
      <c r="A2017" s="2">
        <v>723732.0</v>
      </c>
      <c r="B2017" s="2" t="s">
        <v>4797</v>
      </c>
      <c r="C2017" s="2" t="s">
        <v>4798</v>
      </c>
      <c r="D2017" s="2" t="s">
        <v>3708</v>
      </c>
      <c r="E2017" s="2" t="s">
        <v>301</v>
      </c>
      <c r="F2017" s="2">
        <v>7.0</v>
      </c>
      <c r="G2017" s="2">
        <v>500.0</v>
      </c>
      <c r="H2017" s="3" t="str">
        <f>HYPERLINK("http://www.linkedin.com/pub/shane-mullane/0/4A/952","http://www.linkedin.com/pub/shane-mullane/0/4A/952")</f>
        <v>http://www.linkedin.com/pub/shane-mullane/0/4A/952</v>
      </c>
      <c r="I2017" s="2" t="s">
        <v>69</v>
      </c>
      <c r="J2017" s="2" t="s">
        <v>102</v>
      </c>
      <c r="K2017" s="2" t="s">
        <v>35</v>
      </c>
    </row>
    <row r="2018" ht="15.75" customHeight="1">
      <c r="A2018" s="2">
        <v>723790.0</v>
      </c>
      <c r="B2018" s="2" t="s">
        <v>4799</v>
      </c>
      <c r="C2018" s="2" t="s">
        <v>4800</v>
      </c>
      <c r="D2018" s="2" t="s">
        <v>4801</v>
      </c>
      <c r="E2018" s="2" t="s">
        <v>748</v>
      </c>
      <c r="F2018" s="2">
        <v>8.0</v>
      </c>
      <c r="G2018" s="2">
        <v>61.0</v>
      </c>
      <c r="H2018" s="3" t="str">
        <f>HYPERLINK("http://www.linkedin.com/pub/darryl-dodson-edgars/0/52/151","http://www.linkedin.com/pub/darryl-dodson-edgars/0/52/151")</f>
        <v>http://www.linkedin.com/pub/darryl-dodson-edgars/0/52/151</v>
      </c>
      <c r="I2018" s="2" t="s">
        <v>629</v>
      </c>
      <c r="J2018" s="2" t="s">
        <v>28</v>
      </c>
      <c r="K2018" s="2" t="s">
        <v>138</v>
      </c>
    </row>
    <row r="2019" ht="15.75" customHeight="1">
      <c r="A2019" s="2">
        <v>723934.0</v>
      </c>
      <c r="B2019" s="2" t="s">
        <v>1015</v>
      </c>
      <c r="C2019" s="2" t="s">
        <v>4399</v>
      </c>
      <c r="D2019" s="2" t="s">
        <v>4802</v>
      </c>
      <c r="E2019" s="2" t="s">
        <v>166</v>
      </c>
      <c r="F2019" s="2">
        <v>1.0</v>
      </c>
      <c r="G2019" s="2">
        <v>500.0</v>
      </c>
      <c r="H2019" s="3" t="str">
        <f>HYPERLINK("http://www.linkedin.com/pub/brian-jung/0/932/A07","http://www.linkedin.com/pub/brian-jung/0/932/A07")</f>
        <v>http://www.linkedin.com/pub/brian-jung/0/932/A07</v>
      </c>
      <c r="I2019" s="2" t="s">
        <v>15</v>
      </c>
      <c r="J2019" s="2" t="s">
        <v>102</v>
      </c>
      <c r="K2019" s="2" t="s">
        <v>35</v>
      </c>
    </row>
    <row r="2020" ht="15.75" customHeight="1">
      <c r="A2020" s="2">
        <v>723974.0</v>
      </c>
      <c r="B2020" s="2" t="s">
        <v>4803</v>
      </c>
      <c r="C2020" s="2" t="s">
        <v>479</v>
      </c>
      <c r="D2020" s="2" t="s">
        <v>309</v>
      </c>
      <c r="E2020" s="2" t="s">
        <v>4804</v>
      </c>
      <c r="F2020" s="2">
        <v>5.0</v>
      </c>
      <c r="G2020" s="2">
        <v>500.0</v>
      </c>
      <c r="H2020" s="3" t="str">
        <f>HYPERLINK("http://www.linkedin.com/in/bovargas","http://www.linkedin.com/in/bovargas")</f>
        <v>http://www.linkedin.com/in/bovargas</v>
      </c>
      <c r="I2020" s="2" t="s">
        <v>48</v>
      </c>
      <c r="J2020" s="2" t="s">
        <v>102</v>
      </c>
      <c r="K2020" s="2" t="s">
        <v>35</v>
      </c>
    </row>
    <row r="2021" ht="15.75" customHeight="1">
      <c r="A2021" s="2">
        <v>724045.0</v>
      </c>
      <c r="B2021" s="2" t="s">
        <v>2941</v>
      </c>
      <c r="C2021" s="2" t="s">
        <v>4805</v>
      </c>
      <c r="D2021" s="2" t="s">
        <v>536</v>
      </c>
      <c r="E2021" s="2" t="s">
        <v>1379</v>
      </c>
      <c r="F2021" s="2">
        <v>26.0</v>
      </c>
      <c r="G2021" s="2">
        <v>500.0</v>
      </c>
      <c r="H2021" s="3" t="str">
        <f>HYPERLINK("http://www.linkedin.com/pub/indu-navar/0/17/59A","http://www.linkedin.com/pub/indu-navar/0/17/59A")</f>
        <v>http://www.linkedin.com/pub/indu-navar/0/17/59A</v>
      </c>
      <c r="I2021" s="2" t="s">
        <v>48</v>
      </c>
      <c r="J2021" s="2" t="s">
        <v>102</v>
      </c>
      <c r="K2021" s="2" t="s">
        <v>35</v>
      </c>
    </row>
    <row r="2022" ht="15.75" customHeight="1">
      <c r="A2022" s="2">
        <v>724062.0</v>
      </c>
      <c r="B2022" s="2" t="s">
        <v>4806</v>
      </c>
      <c r="C2022" s="2" t="s">
        <v>4807</v>
      </c>
      <c r="D2022" s="2" t="s">
        <v>642</v>
      </c>
      <c r="E2022" s="2" t="s">
        <v>136</v>
      </c>
      <c r="F2022" s="2">
        <v>1.0</v>
      </c>
      <c r="G2022" s="2">
        <v>500.0</v>
      </c>
      <c r="H2022" s="3" t="str">
        <f>HYPERLINK("http://www.linkedin.com/pub/orr-shakked/0/73/422","http://www.linkedin.com/pub/orr-shakked/0/73/422")</f>
        <v>http://www.linkedin.com/pub/orr-shakked/0/73/422</v>
      </c>
      <c r="I2022" s="2" t="s">
        <v>15</v>
      </c>
      <c r="J2022" s="2" t="s">
        <v>102</v>
      </c>
      <c r="K2022" s="2" t="s">
        <v>35</v>
      </c>
    </row>
    <row r="2023" ht="15.75" customHeight="1">
      <c r="A2023" s="2">
        <v>724153.0</v>
      </c>
      <c r="B2023" s="2" t="s">
        <v>4677</v>
      </c>
      <c r="C2023" s="2" t="s">
        <v>4808</v>
      </c>
      <c r="D2023" s="2" t="s">
        <v>1780</v>
      </c>
      <c r="E2023" s="2" t="s">
        <v>808</v>
      </c>
      <c r="F2023" s="2">
        <v>3.0</v>
      </c>
      <c r="G2023" s="2">
        <v>500.0</v>
      </c>
      <c r="H2023" s="3" t="str">
        <f>HYPERLINK("http://www.linkedin.com/pub/pete-dearborn/21/59B/1BB","http://www.linkedin.com/pub/pete-dearborn/21/59B/1BB")</f>
        <v>http://www.linkedin.com/pub/pete-dearborn/21/59B/1BB</v>
      </c>
      <c r="I2023" s="2" t="s">
        <v>15</v>
      </c>
      <c r="J2023" s="2" t="s">
        <v>102</v>
      </c>
      <c r="K2023" s="2" t="s">
        <v>35</v>
      </c>
    </row>
    <row r="2024" ht="15.75" customHeight="1">
      <c r="A2024" s="2">
        <v>724322.0</v>
      </c>
      <c r="B2024" s="2" t="s">
        <v>4809</v>
      </c>
      <c r="C2024" s="2" t="s">
        <v>4810</v>
      </c>
      <c r="D2024" s="2" t="s">
        <v>400</v>
      </c>
      <c r="E2024" s="2" t="s">
        <v>136</v>
      </c>
      <c r="F2024" s="2">
        <v>15.0</v>
      </c>
      <c r="G2024" s="2">
        <v>475.0</v>
      </c>
      <c r="H2024" s="3" t="str">
        <f>HYPERLINK("http://www.linkedin.com/in/rosenboim","http://www.linkedin.com/in/rosenboim")</f>
        <v>http://www.linkedin.com/in/rosenboim</v>
      </c>
      <c r="I2024" s="2" t="s">
        <v>669</v>
      </c>
      <c r="J2024" s="2" t="s">
        <v>102</v>
      </c>
      <c r="K2024" s="2" t="s">
        <v>58</v>
      </c>
    </row>
    <row r="2025" ht="15.75" customHeight="1">
      <c r="A2025" s="2">
        <v>724346.0</v>
      </c>
      <c r="B2025" s="2" t="s">
        <v>4811</v>
      </c>
      <c r="C2025" s="2" t="s">
        <v>3419</v>
      </c>
      <c r="D2025" s="2" t="s">
        <v>4812</v>
      </c>
      <c r="E2025" s="2" t="s">
        <v>4813</v>
      </c>
      <c r="F2025" s="2">
        <v>5.0</v>
      </c>
      <c r="G2025" s="2">
        <v>500.0</v>
      </c>
      <c r="H2025" s="3" t="str">
        <f>HYPERLINK("http://www.linkedin.com/in/lindonhayes","http://www.linkedin.com/in/lindonhayes")</f>
        <v>http://www.linkedin.com/in/lindonhayes</v>
      </c>
      <c r="I2025" s="2" t="s">
        <v>77</v>
      </c>
      <c r="J2025" s="2" t="s">
        <v>102</v>
      </c>
      <c r="K2025" s="2" t="s">
        <v>97</v>
      </c>
    </row>
    <row r="2026" ht="15.75" customHeight="1">
      <c r="A2026" s="2">
        <v>724547.0</v>
      </c>
      <c r="B2026" s="2" t="s">
        <v>2754</v>
      </c>
      <c r="C2026" s="2" t="s">
        <v>4814</v>
      </c>
      <c r="D2026" s="2"/>
      <c r="E2026" s="2" t="s">
        <v>4815</v>
      </c>
      <c r="F2026" s="2">
        <v>9.0</v>
      </c>
      <c r="G2026" s="2">
        <v>500.0</v>
      </c>
      <c r="H2026" s="3" t="str">
        <f>HYPERLINK("http://www.linkedin.com/in/wjimroglou","http://www.linkedin.com/in/wjimroglou")</f>
        <v>http://www.linkedin.com/in/wjimroglou</v>
      </c>
      <c r="I2026" s="2" t="s">
        <v>612</v>
      </c>
      <c r="J2026" s="2" t="s">
        <v>273</v>
      </c>
      <c r="K2026" s="2" t="s">
        <v>29</v>
      </c>
    </row>
    <row r="2027" ht="15.75" customHeight="1">
      <c r="A2027" s="2">
        <v>724683.0</v>
      </c>
      <c r="B2027" s="2" t="s">
        <v>1087</v>
      </c>
      <c r="C2027" s="2" t="s">
        <v>4816</v>
      </c>
      <c r="D2027" s="2" t="s">
        <v>47</v>
      </c>
      <c r="E2027" s="2" t="s">
        <v>4817</v>
      </c>
      <c r="F2027" s="2">
        <v>4.0</v>
      </c>
      <c r="G2027" s="2">
        <v>500.0</v>
      </c>
      <c r="H2027" s="3" t="str">
        <f>HYPERLINK("http://www.linkedin.com/in/jamescossler","http://www.linkedin.com/in/jamescossler")</f>
        <v>http://www.linkedin.com/in/jamescossler</v>
      </c>
      <c r="I2027" s="2" t="s">
        <v>48</v>
      </c>
      <c r="J2027" s="2" t="s">
        <v>102</v>
      </c>
      <c r="K2027" s="2" t="s">
        <v>35</v>
      </c>
    </row>
    <row r="2028" ht="15.75" customHeight="1">
      <c r="A2028" s="2">
        <v>724894.0</v>
      </c>
      <c r="B2028" s="2" t="s">
        <v>4818</v>
      </c>
      <c r="C2028" s="2" t="s">
        <v>4819</v>
      </c>
      <c r="D2028" s="2" t="s">
        <v>4820</v>
      </c>
      <c r="E2028" s="2" t="s">
        <v>690</v>
      </c>
      <c r="F2028" s="2">
        <v>0.0</v>
      </c>
      <c r="G2028" s="2">
        <v>37.0</v>
      </c>
      <c r="H2028" s="3" t="str">
        <f>HYPERLINK("http://www.linkedin.com/in/aagha","http://www.linkedin.com/in/aagha")</f>
        <v>http://www.linkedin.com/in/aagha</v>
      </c>
      <c r="I2028" s="2" t="s">
        <v>1740</v>
      </c>
      <c r="J2028" s="2" t="s">
        <v>691</v>
      </c>
      <c r="K2028" s="2" t="s">
        <v>522</v>
      </c>
    </row>
    <row r="2029" ht="15.75" customHeight="1">
      <c r="A2029" s="2">
        <v>724953.0</v>
      </c>
      <c r="B2029" s="2" t="s">
        <v>4821</v>
      </c>
      <c r="C2029" s="2" t="s">
        <v>3191</v>
      </c>
      <c r="D2029" s="2" t="s">
        <v>4822</v>
      </c>
      <c r="E2029" s="2" t="s">
        <v>4823</v>
      </c>
      <c r="F2029" s="2">
        <v>0.0</v>
      </c>
      <c r="G2029" s="2">
        <v>500.0</v>
      </c>
      <c r="H2029" s="3" t="str">
        <f>HYPERLINK("http://www.linkedin.com/pub/larussia-london/2/673/19A","http://www.linkedin.com/pub/larussia-london/2/673/19A")</f>
        <v>http://www.linkedin.com/pub/larussia-london/2/673/19A</v>
      </c>
      <c r="I2029" s="2" t="s">
        <v>248</v>
      </c>
      <c r="J2029" s="2" t="s">
        <v>273</v>
      </c>
      <c r="K2029" s="2" t="s">
        <v>4824</v>
      </c>
    </row>
    <row r="2030" ht="15.75" customHeight="1">
      <c r="A2030" s="2">
        <v>725702.0</v>
      </c>
      <c r="B2030" s="2" t="s">
        <v>2099</v>
      </c>
      <c r="C2030" s="2" t="s">
        <v>4825</v>
      </c>
      <c r="D2030" s="2" t="s">
        <v>4826</v>
      </c>
      <c r="E2030" s="2" t="s">
        <v>259</v>
      </c>
      <c r="F2030" s="2">
        <v>8.0</v>
      </c>
      <c r="G2030" s="2">
        <v>500.0</v>
      </c>
      <c r="H2030" s="3" t="str">
        <f>HYPERLINK("http://www.linkedin.com/pub/charles-mcneilly-ctp/0/610/B2A","http://www.linkedin.com/pub/charles-mcneilly-ctp/0/610/B2A")</f>
        <v>http://www.linkedin.com/pub/charles-mcneilly-ctp/0/610/B2A</v>
      </c>
      <c r="I2030" s="2" t="s">
        <v>279</v>
      </c>
      <c r="J2030" s="2" t="s">
        <v>144</v>
      </c>
      <c r="K2030" s="2" t="s">
        <v>22</v>
      </c>
    </row>
    <row r="2031" ht="15.75" customHeight="1">
      <c r="A2031" s="2">
        <v>725815.0</v>
      </c>
      <c r="B2031" s="2" t="s">
        <v>4827</v>
      </c>
      <c r="C2031" s="2" t="s">
        <v>4828</v>
      </c>
      <c r="D2031" s="2" t="s">
        <v>1297</v>
      </c>
      <c r="E2031" s="2" t="s">
        <v>971</v>
      </c>
      <c r="F2031" s="2" t="s">
        <v>13</v>
      </c>
      <c r="G2031" s="2">
        <v>169.0</v>
      </c>
      <c r="H2031" s="3" t="str">
        <f>HYPERLINK("http://www.linkedin.com/in/diginomicworld","http://www.linkedin.com/in/diginomicworld")</f>
        <v>http://www.linkedin.com/in/diginomicworld</v>
      </c>
      <c r="I2031" s="2" t="s">
        <v>225</v>
      </c>
      <c r="J2031" s="2" t="s">
        <v>102</v>
      </c>
      <c r="K2031" s="2" t="s">
        <v>58</v>
      </c>
    </row>
    <row r="2032" ht="15.75" customHeight="1">
      <c r="A2032" s="2">
        <v>725826.0</v>
      </c>
      <c r="B2032" s="2" t="s">
        <v>1015</v>
      </c>
      <c r="C2032" s="2" t="s">
        <v>4829</v>
      </c>
      <c r="D2032" s="2" t="s">
        <v>13</v>
      </c>
      <c r="E2032" s="2" t="s">
        <v>136</v>
      </c>
      <c r="F2032" s="2">
        <v>0.0</v>
      </c>
      <c r="G2032" s="2">
        <v>500.0</v>
      </c>
      <c r="H2032" s="3" t="str">
        <f>HYPERLINK("https://www.linkedin.com/in/brianpbauer","https://www.linkedin.com/in/brianpbauer")</f>
        <v>https://www.linkedin.com/in/brianpbauer</v>
      </c>
      <c r="I2032" s="2" t="s">
        <v>15</v>
      </c>
      <c r="J2032" s="2" t="s">
        <v>102</v>
      </c>
      <c r="K2032" s="2" t="s">
        <v>35</v>
      </c>
    </row>
    <row r="2033" ht="15.75" customHeight="1">
      <c r="A2033" s="2">
        <v>726403.0</v>
      </c>
      <c r="B2033" s="2" t="s">
        <v>2648</v>
      </c>
      <c r="C2033" s="2" t="s">
        <v>4830</v>
      </c>
      <c r="D2033" s="2" t="s">
        <v>416</v>
      </c>
      <c r="E2033" s="2" t="s">
        <v>181</v>
      </c>
      <c r="F2033" s="2">
        <v>0.0</v>
      </c>
      <c r="G2033" s="2">
        <v>365.0</v>
      </c>
      <c r="H2033" s="3" t="str">
        <f>HYPERLINK("http://www.linkedin.com/pub/norman-stone/0/9B2/647","http://www.linkedin.com/pub/norman-stone/0/9B2/647")</f>
        <v>http://www.linkedin.com/pub/norman-stone/0/9B2/647</v>
      </c>
      <c r="I2033" s="2" t="s">
        <v>240</v>
      </c>
      <c r="J2033" s="2" t="s">
        <v>102</v>
      </c>
      <c r="K2033" s="2" t="s">
        <v>4831</v>
      </c>
    </row>
    <row r="2034" ht="15.75" customHeight="1">
      <c r="A2034" s="2">
        <v>726760.0</v>
      </c>
      <c r="B2034" s="2" t="s">
        <v>4832</v>
      </c>
      <c r="C2034" s="2" t="s">
        <v>4833</v>
      </c>
      <c r="D2034" s="2" t="s">
        <v>4834</v>
      </c>
      <c r="E2034" s="2" t="s">
        <v>4835</v>
      </c>
      <c r="F2034" s="2">
        <v>22.0</v>
      </c>
      <c r="G2034" s="2">
        <v>500.0</v>
      </c>
      <c r="H2034" s="3" t="str">
        <f>HYPERLINK("http://www.linkedin.com/in/geertwarlop","http://www.linkedin.com/in/geertwarlop")</f>
        <v>http://www.linkedin.com/in/geertwarlop</v>
      </c>
      <c r="I2034" s="2" t="s">
        <v>77</v>
      </c>
      <c r="J2034" s="2" t="s">
        <v>4836</v>
      </c>
      <c r="K2034" s="2" t="s">
        <v>4837</v>
      </c>
    </row>
    <row r="2035" ht="15.75" customHeight="1">
      <c r="A2035" s="2">
        <v>728624.0</v>
      </c>
      <c r="B2035" s="2" t="s">
        <v>2457</v>
      </c>
      <c r="C2035" s="2" t="s">
        <v>4838</v>
      </c>
      <c r="D2035" s="2" t="s">
        <v>13</v>
      </c>
      <c r="E2035" s="2" t="s">
        <v>3107</v>
      </c>
      <c r="F2035" s="2">
        <v>0.0</v>
      </c>
      <c r="G2035" s="2">
        <v>500.0</v>
      </c>
      <c r="H2035" s="3" t="str">
        <f>HYPERLINK("http://www.linkedin.com/in/stephenzarick","http://www.linkedin.com/in/stephenzarick")</f>
        <v>http://www.linkedin.com/in/stephenzarick</v>
      </c>
      <c r="I2035" s="2" t="s">
        <v>3562</v>
      </c>
      <c r="J2035" s="2" t="s">
        <v>102</v>
      </c>
      <c r="K2035" s="2" t="s">
        <v>58</v>
      </c>
    </row>
    <row r="2036" ht="15.75" customHeight="1">
      <c r="A2036" s="2">
        <v>728808.0</v>
      </c>
      <c r="B2036" s="2" t="s">
        <v>4839</v>
      </c>
      <c r="C2036" s="2" t="s">
        <v>4840</v>
      </c>
      <c r="D2036" s="2" t="s">
        <v>47</v>
      </c>
      <c r="E2036" s="2" t="s">
        <v>2257</v>
      </c>
      <c r="F2036" s="2" t="s">
        <v>13</v>
      </c>
      <c r="G2036" s="2">
        <v>500.0</v>
      </c>
      <c r="H2036" s="3" t="str">
        <f>HYPERLINK("http://it.linkedin.com/in/nicomic","http://it.linkedin.com/in/nicomic")</f>
        <v>http://it.linkedin.com/in/nicomic</v>
      </c>
      <c r="I2036" s="2" t="s">
        <v>69</v>
      </c>
      <c r="J2036" s="2" t="s">
        <v>2258</v>
      </c>
      <c r="K2036" s="2" t="s">
        <v>35</v>
      </c>
    </row>
    <row r="2037" ht="15.75" customHeight="1">
      <c r="A2037" s="2">
        <v>730236.0</v>
      </c>
      <c r="B2037" s="2" t="s">
        <v>774</v>
      </c>
      <c r="C2037" s="2" t="s">
        <v>4841</v>
      </c>
      <c r="D2037" s="2" t="s">
        <v>400</v>
      </c>
      <c r="E2037" s="2" t="s">
        <v>136</v>
      </c>
      <c r="F2037" s="2">
        <v>4.0</v>
      </c>
      <c r="G2037" s="2">
        <v>255.0</v>
      </c>
      <c r="H2037" s="3" t="str">
        <f>HYPERLINK("http://www.linkedin.com/pub/bruce-ramsey/0/AB/952","http://www.linkedin.com/pub/bruce-ramsey/0/AB/952")</f>
        <v>http://www.linkedin.com/pub/bruce-ramsey/0/AB/952</v>
      </c>
      <c r="I2037" s="2" t="s">
        <v>182</v>
      </c>
      <c r="J2037" s="2" t="s">
        <v>102</v>
      </c>
      <c r="K2037" s="2" t="s">
        <v>97</v>
      </c>
    </row>
    <row r="2038" ht="15.75" customHeight="1">
      <c r="A2038" s="2">
        <v>730664.0</v>
      </c>
      <c r="B2038" s="2" t="s">
        <v>4842</v>
      </c>
      <c r="C2038" s="2" t="s">
        <v>4843</v>
      </c>
      <c r="D2038" s="2" t="s">
        <v>4844</v>
      </c>
      <c r="E2038" s="2" t="s">
        <v>122</v>
      </c>
      <c r="F2038" s="2">
        <v>4.0</v>
      </c>
      <c r="G2038" s="2">
        <v>500.0</v>
      </c>
      <c r="H2038" s="3" t="str">
        <f>HYPERLINK("http://uk.linkedin.com/pub/prasanna-gundi/0/746/3BA","http://uk.linkedin.com/pub/prasanna-gundi/0/746/3BA")</f>
        <v>http://uk.linkedin.com/pub/prasanna-gundi/0/746/3BA</v>
      </c>
      <c r="I2038" s="2" t="s">
        <v>15</v>
      </c>
      <c r="J2038" s="2" t="s">
        <v>53</v>
      </c>
      <c r="K2038" s="2" t="s">
        <v>35</v>
      </c>
    </row>
    <row r="2039" ht="15.75" customHeight="1">
      <c r="A2039" s="2">
        <v>730815.0</v>
      </c>
      <c r="B2039" s="2" t="s">
        <v>4183</v>
      </c>
      <c r="C2039" s="2" t="s">
        <v>4845</v>
      </c>
      <c r="D2039" s="2" t="s">
        <v>108</v>
      </c>
      <c r="E2039" s="2" t="s">
        <v>301</v>
      </c>
      <c r="F2039" s="2">
        <v>1.0</v>
      </c>
      <c r="G2039" s="2">
        <v>500.0</v>
      </c>
      <c r="H2039" s="3" t="str">
        <f>HYPERLINK("http://www.linkedin.com/pub/kenneth-borruso/4/57/542","http://www.linkedin.com/pub/kenneth-borruso/4/57/542")</f>
        <v>http://www.linkedin.com/pub/kenneth-borruso/4/57/542</v>
      </c>
      <c r="I2039" s="2" t="s">
        <v>195</v>
      </c>
      <c r="J2039" s="2" t="s">
        <v>102</v>
      </c>
      <c r="K2039" s="2" t="s">
        <v>196</v>
      </c>
    </row>
    <row r="2040" ht="15.75" customHeight="1">
      <c r="A2040" s="2">
        <v>730981.0</v>
      </c>
      <c r="B2040" s="2" t="s">
        <v>4846</v>
      </c>
      <c r="C2040" s="2" t="s">
        <v>4847</v>
      </c>
      <c r="D2040" s="2" t="s">
        <v>4848</v>
      </c>
      <c r="E2040" s="2" t="s">
        <v>735</v>
      </c>
      <c r="F2040" s="2">
        <v>0.0</v>
      </c>
      <c r="G2040" s="2">
        <v>500.0</v>
      </c>
      <c r="H2040" s="3" t="str">
        <f>HYPERLINK("http://www.linkedin.com/pub/josildo-melo/11/78B/787","http://www.linkedin.com/pub/josildo-melo/11/78B/787")</f>
        <v>http://www.linkedin.com/pub/josildo-melo/11/78B/787</v>
      </c>
      <c r="I2040" s="2" t="s">
        <v>629</v>
      </c>
      <c r="J2040" s="2" t="s">
        <v>34</v>
      </c>
      <c r="K2040" s="2" t="s">
        <v>4849</v>
      </c>
    </row>
    <row r="2041" ht="15.75" customHeight="1">
      <c r="A2041" s="2">
        <v>731111.0</v>
      </c>
      <c r="B2041" s="2" t="s">
        <v>4850</v>
      </c>
      <c r="C2041" s="2" t="s">
        <v>4851</v>
      </c>
      <c r="D2041" s="2" t="s">
        <v>4852</v>
      </c>
      <c r="E2041" s="2" t="s">
        <v>877</v>
      </c>
      <c r="F2041" s="2">
        <v>18.0</v>
      </c>
      <c r="G2041" s="2">
        <v>500.0</v>
      </c>
      <c r="H2041" s="3" t="str">
        <f>HYPERLINK("http://www.linkedin.com/pub/rachin-negi/4/182/587","http://www.linkedin.com/pub/rachin-negi/4/182/587")</f>
        <v>http://www.linkedin.com/pub/rachin-negi/4/182/587</v>
      </c>
      <c r="I2041" s="2" t="s">
        <v>248</v>
      </c>
      <c r="J2041" s="2" t="s">
        <v>273</v>
      </c>
      <c r="K2041" s="2" t="s">
        <v>22</v>
      </c>
    </row>
    <row r="2042" ht="15.75" customHeight="1">
      <c r="A2042" s="2">
        <v>731911.0</v>
      </c>
      <c r="B2042" s="2" t="s">
        <v>845</v>
      </c>
      <c r="C2042" s="2" t="s">
        <v>4853</v>
      </c>
      <c r="D2042" s="2" t="s">
        <v>4854</v>
      </c>
      <c r="E2042" s="2" t="s">
        <v>101</v>
      </c>
      <c r="F2042" s="2">
        <v>22.0</v>
      </c>
      <c r="G2042" s="2">
        <v>500.0</v>
      </c>
      <c r="H2042" s="3" t="str">
        <f>HYPERLINK("http://www.linkedin.com/pub/david-findley/1/10/1A4","http://www.linkedin.com/pub/david-findley/1/10/1A4")</f>
        <v>http://www.linkedin.com/pub/david-findley/1/10/1A4</v>
      </c>
      <c r="I2042" s="2" t="s">
        <v>15</v>
      </c>
      <c r="J2042" s="2" t="s">
        <v>102</v>
      </c>
      <c r="K2042" s="2" t="s">
        <v>35</v>
      </c>
    </row>
    <row r="2043" ht="15.75" customHeight="1">
      <c r="A2043" s="2">
        <v>732912.0</v>
      </c>
      <c r="B2043" s="2" t="s">
        <v>4855</v>
      </c>
      <c r="C2043" s="2" t="s">
        <v>4856</v>
      </c>
      <c r="D2043" s="2" t="s">
        <v>42</v>
      </c>
      <c r="E2043" s="2" t="s">
        <v>2257</v>
      </c>
      <c r="F2043" s="2" t="s">
        <v>13</v>
      </c>
      <c r="G2043" s="2">
        <v>99.0</v>
      </c>
      <c r="H2043" s="3" t="str">
        <f>HYPERLINK("http://it.linkedin.com/pub/giovanni-migotto/0/884/BB9","http://it.linkedin.com/pub/giovanni-migotto/0/884/BB9")</f>
        <v>http://it.linkedin.com/pub/giovanni-migotto/0/884/BB9</v>
      </c>
      <c r="I2043" s="2" t="s">
        <v>48</v>
      </c>
      <c r="J2043" s="2" t="s">
        <v>2258</v>
      </c>
      <c r="K2043" s="2" t="s">
        <v>35</v>
      </c>
    </row>
    <row r="2044" ht="15.75" customHeight="1">
      <c r="A2044" s="2">
        <v>733190.0</v>
      </c>
      <c r="B2044" s="2" t="s">
        <v>4857</v>
      </c>
      <c r="C2044" s="2" t="s">
        <v>4858</v>
      </c>
      <c r="D2044" s="2" t="s">
        <v>4859</v>
      </c>
      <c r="E2044" s="2" t="s">
        <v>136</v>
      </c>
      <c r="F2044" s="2" t="s">
        <v>13</v>
      </c>
      <c r="G2044" s="2">
        <v>500.0</v>
      </c>
      <c r="H2044" s="3" t="str">
        <f>HYPERLINK("http://www.linkedin.com/in/djdavidson","http://www.linkedin.com/in/djdavidson")</f>
        <v>http://www.linkedin.com/in/djdavidson</v>
      </c>
      <c r="I2044" s="2" t="s">
        <v>15</v>
      </c>
      <c r="J2044" s="2" t="s">
        <v>102</v>
      </c>
      <c r="K2044" s="2" t="s">
        <v>35</v>
      </c>
    </row>
    <row r="2045" ht="15.75" customHeight="1">
      <c r="A2045" s="2">
        <v>733265.0</v>
      </c>
      <c r="B2045" s="2" t="s">
        <v>4860</v>
      </c>
      <c r="C2045" s="2" t="s">
        <v>4861</v>
      </c>
      <c r="D2045" s="2" t="s">
        <v>13</v>
      </c>
      <c r="E2045" s="2" t="s">
        <v>4862</v>
      </c>
      <c r="F2045" s="2">
        <v>0.0</v>
      </c>
      <c r="G2045" s="2">
        <v>186.0</v>
      </c>
      <c r="H2045" s="3" t="str">
        <f>HYPERLINK("http://www.linkedin.com/pub/stefano-seghetto/0/89b/406","http://www.linkedin.com/pub/stefano-seghetto/0/89b/406")</f>
        <v>http://www.linkedin.com/pub/stefano-seghetto/0/89b/406</v>
      </c>
      <c r="I2045" s="2" t="s">
        <v>48</v>
      </c>
      <c r="J2045" s="2" t="s">
        <v>2258</v>
      </c>
      <c r="K2045" s="2" t="s">
        <v>35</v>
      </c>
    </row>
    <row r="2046" ht="15.75" customHeight="1">
      <c r="A2046" s="2">
        <v>733558.0</v>
      </c>
      <c r="B2046" s="2" t="s">
        <v>4863</v>
      </c>
      <c r="C2046" s="2" t="s">
        <v>4864</v>
      </c>
      <c r="D2046" s="2"/>
      <c r="E2046" s="2" t="s">
        <v>791</v>
      </c>
      <c r="F2046" s="2">
        <v>11.0</v>
      </c>
      <c r="G2046" s="2">
        <v>477.0</v>
      </c>
      <c r="H2046" s="3" t="str">
        <f>HYPERLINK("http://www.linkedin.com/pub/nimpee-kaul/6/912/978","http://www.linkedin.com/pub/nimpee-kaul/6/912/978")</f>
        <v>http://www.linkedin.com/pub/nimpee-kaul/6/912/978</v>
      </c>
      <c r="I2046" s="2" t="s">
        <v>15</v>
      </c>
      <c r="J2046" s="2" t="s">
        <v>575</v>
      </c>
      <c r="K2046" s="2" t="s">
        <v>22</v>
      </c>
    </row>
    <row r="2047" ht="15.75" customHeight="1">
      <c r="A2047" s="2">
        <v>733584.0</v>
      </c>
      <c r="B2047" s="2" t="s">
        <v>1545</v>
      </c>
      <c r="C2047" s="2" t="s">
        <v>4865</v>
      </c>
      <c r="D2047" s="2" t="s">
        <v>4866</v>
      </c>
      <c r="E2047" s="2" t="s">
        <v>3746</v>
      </c>
      <c r="F2047" s="2">
        <v>4.0</v>
      </c>
      <c r="G2047" s="2">
        <v>500.0</v>
      </c>
      <c r="H2047" s="3" t="str">
        <f>HYPERLINK("http://ca.linkedin.com/in/patrickchenel","http://ca.linkedin.com/in/patrickchenel")</f>
        <v>http://ca.linkedin.com/in/patrickchenel</v>
      </c>
      <c r="I2047" s="2" t="s">
        <v>15</v>
      </c>
      <c r="J2047" s="2" t="s">
        <v>44</v>
      </c>
      <c r="K2047" s="2" t="s">
        <v>35</v>
      </c>
    </row>
    <row r="2048" ht="15.75" customHeight="1">
      <c r="A2048" s="2">
        <v>734485.0</v>
      </c>
      <c r="B2048" s="2" t="s">
        <v>4867</v>
      </c>
      <c r="C2048" s="2" t="s">
        <v>4868</v>
      </c>
      <c r="D2048" s="2" t="s">
        <v>42</v>
      </c>
      <c r="E2048" s="2" t="s">
        <v>748</v>
      </c>
      <c r="F2048" s="2" t="s">
        <v>13</v>
      </c>
      <c r="G2048" s="2">
        <v>28.0</v>
      </c>
      <c r="H2048" s="3" t="str">
        <f>HYPERLINK("http://www.linkedin.com/pub/albert-engelhardt/6/729/895","http://www.linkedin.com/pub/albert-engelhardt/6/729/895")</f>
        <v>http://www.linkedin.com/pub/albert-engelhardt/6/729/895</v>
      </c>
      <c r="I2048" s="2" t="s">
        <v>1012</v>
      </c>
      <c r="J2048" s="2" t="s">
        <v>28</v>
      </c>
      <c r="K2048" s="2" t="s">
        <v>35</v>
      </c>
    </row>
    <row r="2049" ht="15.75" customHeight="1">
      <c r="A2049" s="2">
        <v>734534.0</v>
      </c>
      <c r="B2049" s="2" t="s">
        <v>4869</v>
      </c>
      <c r="C2049" s="2" t="s">
        <v>4870</v>
      </c>
      <c r="D2049" s="2" t="s">
        <v>517</v>
      </c>
      <c r="E2049" s="2" t="s">
        <v>325</v>
      </c>
      <c r="F2049" s="2">
        <v>22.0</v>
      </c>
      <c r="G2049" s="2">
        <v>500.0</v>
      </c>
      <c r="H2049" s="3" t="str">
        <f>HYPERLINK("http://www.linkedin.com/in/jayeenglish","http://www.linkedin.com/in/jayeenglish")</f>
        <v>http://www.linkedin.com/in/jayeenglish</v>
      </c>
      <c r="I2049" s="2" t="s">
        <v>910</v>
      </c>
      <c r="J2049" s="2" t="s">
        <v>102</v>
      </c>
      <c r="K2049" s="2" t="s">
        <v>58</v>
      </c>
    </row>
    <row r="2050" ht="15.75" customHeight="1">
      <c r="A2050" s="2">
        <v>735319.0</v>
      </c>
      <c r="B2050" s="2" t="s">
        <v>2752</v>
      </c>
      <c r="C2050" s="2" t="s">
        <v>3686</v>
      </c>
      <c r="D2050" s="2" t="s">
        <v>1320</v>
      </c>
      <c r="E2050" s="2" t="s">
        <v>136</v>
      </c>
      <c r="F2050" s="2">
        <v>7.0</v>
      </c>
      <c r="G2050" s="2">
        <v>500.0</v>
      </c>
      <c r="H2050" s="3" t="str">
        <f>HYPERLINK("http://www.linkedin.com/in/craigdbrennan","http://www.linkedin.com/in/craigdbrennan")</f>
        <v>http://www.linkedin.com/in/craigdbrennan</v>
      </c>
      <c r="I2050" s="2" t="s">
        <v>48</v>
      </c>
      <c r="J2050" s="2" t="s">
        <v>102</v>
      </c>
      <c r="K2050" s="2" t="s">
        <v>35</v>
      </c>
    </row>
    <row r="2051" ht="15.75" customHeight="1">
      <c r="A2051" s="2">
        <v>735549.0</v>
      </c>
      <c r="B2051" s="2" t="s">
        <v>4871</v>
      </c>
      <c r="C2051" s="2" t="s">
        <v>4872</v>
      </c>
      <c r="D2051" s="2" t="s">
        <v>13</v>
      </c>
      <c r="E2051" s="2" t="s">
        <v>33</v>
      </c>
      <c r="F2051" s="2">
        <v>0.0</v>
      </c>
      <c r="G2051" s="2">
        <v>500.0</v>
      </c>
      <c r="H2051" s="3" t="str">
        <f>HYPERLINK("http://www.linkedin.com/pub/delma-quintanilha-vianna/14/79/a50","http://www.linkedin.com/pub/delma-quintanilha-vianna/14/79/a50")</f>
        <v>http://www.linkedin.com/pub/delma-quintanilha-vianna/14/79/a50</v>
      </c>
      <c r="I2051" s="2" t="s">
        <v>579</v>
      </c>
      <c r="J2051" s="2" t="s">
        <v>34</v>
      </c>
      <c r="K2051" s="2" t="s">
        <v>97</v>
      </c>
    </row>
    <row r="2052" ht="15.75" customHeight="1">
      <c r="A2052" s="2">
        <v>735970.0</v>
      </c>
      <c r="B2052" s="2" t="s">
        <v>2609</v>
      </c>
      <c r="C2052" s="2" t="s">
        <v>4873</v>
      </c>
      <c r="D2052" s="2" t="s">
        <v>400</v>
      </c>
      <c r="E2052" s="2" t="s">
        <v>4874</v>
      </c>
      <c r="F2052" s="2" t="s">
        <v>13</v>
      </c>
      <c r="G2052" s="2">
        <v>186.0</v>
      </c>
      <c r="H2052" s="3" t="str">
        <f>HYPERLINK("http://uk.linkedin.com/in/carlfawkes","http://uk.linkedin.com/in/carlfawkes")</f>
        <v>http://uk.linkedin.com/in/carlfawkes</v>
      </c>
      <c r="I2052" s="2" t="s">
        <v>225</v>
      </c>
      <c r="J2052" s="2" t="s">
        <v>53</v>
      </c>
      <c r="K2052" s="2" t="s">
        <v>35</v>
      </c>
    </row>
    <row r="2053" ht="15.75" customHeight="1">
      <c r="A2053" s="2">
        <v>736265.0</v>
      </c>
      <c r="B2053" s="2" t="s">
        <v>313</v>
      </c>
      <c r="C2053" s="2" t="s">
        <v>4875</v>
      </c>
      <c r="D2053" s="2" t="s">
        <v>47</v>
      </c>
      <c r="E2053" s="2" t="s">
        <v>4796</v>
      </c>
      <c r="F2053" s="2">
        <v>8.0</v>
      </c>
      <c r="G2053" s="2">
        <v>500.0</v>
      </c>
      <c r="H2053" s="3" t="str">
        <f>HYPERLINK("http://uk.linkedin.com/in/leehutch","http://uk.linkedin.com/in/leehutch")</f>
        <v>http://uk.linkedin.com/in/leehutch</v>
      </c>
      <c r="I2053" s="2" t="s">
        <v>143</v>
      </c>
      <c r="J2053" s="2" t="s">
        <v>53</v>
      </c>
      <c r="K2053" s="2" t="s">
        <v>35</v>
      </c>
    </row>
    <row r="2054" ht="15.75" customHeight="1">
      <c r="A2054" s="2">
        <v>736534.0</v>
      </c>
      <c r="B2054" s="2" t="s">
        <v>4876</v>
      </c>
      <c r="C2054" s="2" t="s">
        <v>4877</v>
      </c>
      <c r="D2054" s="2" t="s">
        <v>1674</v>
      </c>
      <c r="E2054" s="2" t="s">
        <v>4878</v>
      </c>
      <c r="F2054" s="2" t="s">
        <v>13</v>
      </c>
      <c r="G2054" s="2">
        <v>500.0</v>
      </c>
      <c r="H2054" s="3" t="str">
        <f>HYPERLINK("http://in.linkedin.com/in/garryabbs","http://in.linkedin.com/in/garryabbs")</f>
        <v>http://in.linkedin.com/in/garryabbs</v>
      </c>
      <c r="I2054" s="2" t="s">
        <v>1012</v>
      </c>
      <c r="J2054" s="2" t="s">
        <v>87</v>
      </c>
      <c r="K2054" s="2" t="s">
        <v>58</v>
      </c>
    </row>
    <row r="2055" ht="15.75" customHeight="1">
      <c r="A2055" s="2">
        <v>736563.0</v>
      </c>
      <c r="B2055" s="2" t="s">
        <v>4879</v>
      </c>
      <c r="C2055" s="2" t="s">
        <v>4880</v>
      </c>
      <c r="D2055" s="2" t="s">
        <v>4881</v>
      </c>
      <c r="E2055" s="2" t="s">
        <v>122</v>
      </c>
      <c r="F2055" s="2">
        <v>7.0</v>
      </c>
      <c r="G2055" s="2">
        <v>500.0</v>
      </c>
      <c r="H2055" s="3" t="str">
        <f>HYPERLINK("http://uk.linkedin.com/in/navalkumar","http://uk.linkedin.com/in/navalkumar")</f>
        <v>http://uk.linkedin.com/in/navalkumar</v>
      </c>
      <c r="I2055" s="2" t="s">
        <v>69</v>
      </c>
      <c r="J2055" s="2" t="s">
        <v>53</v>
      </c>
      <c r="K2055" s="2" t="s">
        <v>35</v>
      </c>
    </row>
    <row r="2056" ht="15.75" customHeight="1">
      <c r="A2056" s="2">
        <v>736664.0</v>
      </c>
      <c r="B2056" s="2" t="s">
        <v>471</v>
      </c>
      <c r="C2056" s="2" t="s">
        <v>4882</v>
      </c>
      <c r="D2056" s="2" t="s">
        <v>47</v>
      </c>
      <c r="E2056" s="2" t="s">
        <v>4804</v>
      </c>
      <c r="F2056" s="2" t="s">
        <v>13</v>
      </c>
      <c r="G2056" s="2">
        <v>500.0</v>
      </c>
      <c r="H2056" s="3" t="str">
        <f>HYPERLINK("http://www.linkedin.com/pub/dan-haley/3/490/797","http://www.linkedin.com/pub/dan-haley/3/490/797")</f>
        <v>http://www.linkedin.com/pub/dan-haley/3/490/797</v>
      </c>
      <c r="I2056" s="2" t="s">
        <v>48</v>
      </c>
      <c r="J2056" s="2" t="s">
        <v>102</v>
      </c>
      <c r="K2056" s="2" t="s">
        <v>35</v>
      </c>
    </row>
    <row r="2057" ht="15.75" customHeight="1">
      <c r="A2057" s="2">
        <v>736847.0</v>
      </c>
      <c r="B2057" s="2" t="s">
        <v>3443</v>
      </c>
      <c r="C2057" s="2" t="s">
        <v>4883</v>
      </c>
      <c r="D2057" s="2" t="s">
        <v>4884</v>
      </c>
      <c r="E2057" s="2" t="s">
        <v>4885</v>
      </c>
      <c r="F2057" s="2">
        <v>6.0</v>
      </c>
      <c r="G2057" s="2">
        <v>263.0</v>
      </c>
      <c r="H2057" s="3" t="str">
        <f>HYPERLINK("http://www.linkedin.com/pub/diane-economaki/0/34A/B78","http://www.linkedin.com/pub/diane-economaki/0/34A/B78")</f>
        <v>http://www.linkedin.com/pub/diane-economaki/0/34A/B78</v>
      </c>
      <c r="I2057" s="2" t="s">
        <v>669</v>
      </c>
      <c r="J2057" s="2" t="s">
        <v>144</v>
      </c>
      <c r="K2057" s="2" t="s">
        <v>1306</v>
      </c>
    </row>
    <row r="2058" ht="15.75" customHeight="1">
      <c r="A2058" s="2">
        <v>737639.0</v>
      </c>
      <c r="B2058" s="2" t="s">
        <v>133</v>
      </c>
      <c r="C2058" s="2" t="s">
        <v>4886</v>
      </c>
      <c r="D2058" s="2" t="s">
        <v>4887</v>
      </c>
      <c r="E2058" s="2" t="s">
        <v>1759</v>
      </c>
      <c r="F2058" s="2">
        <v>3.0</v>
      </c>
      <c r="G2058" s="2">
        <v>500.0</v>
      </c>
      <c r="H2058" s="3" t="str">
        <f>HYPERLINK("http://www.linkedin.com/in/michaellejeune","http://www.linkedin.com/in/michaellejeune")</f>
        <v>http://www.linkedin.com/in/michaellejeune</v>
      </c>
      <c r="I2058" s="2" t="s">
        <v>714</v>
      </c>
      <c r="J2058" s="2" t="s">
        <v>144</v>
      </c>
      <c r="K2058" s="2" t="s">
        <v>97</v>
      </c>
    </row>
    <row r="2059" ht="15.75" customHeight="1">
      <c r="A2059" s="2">
        <v>737745.0</v>
      </c>
      <c r="B2059" s="2" t="s">
        <v>3472</v>
      </c>
      <c r="C2059" s="2" t="s">
        <v>4888</v>
      </c>
      <c r="D2059" s="2" t="s">
        <v>410</v>
      </c>
      <c r="E2059" s="2" t="s">
        <v>2267</v>
      </c>
      <c r="F2059" s="2">
        <v>1.0</v>
      </c>
      <c r="G2059" s="2">
        <v>500.0</v>
      </c>
      <c r="H2059" s="3" t="str">
        <f>HYPERLINK("http://uk.linkedin.com/pub/sandeep-thawani/1/460/A64","http://uk.linkedin.com/pub/sandeep-thawani/1/460/A64")</f>
        <v>http://uk.linkedin.com/pub/sandeep-thawani/1/460/A64</v>
      </c>
      <c r="I2059" s="2" t="s">
        <v>15</v>
      </c>
      <c r="J2059" s="2" t="s">
        <v>87</v>
      </c>
      <c r="K2059" s="2" t="s">
        <v>35</v>
      </c>
    </row>
    <row r="2060" ht="15.75" customHeight="1">
      <c r="A2060" s="2">
        <v>737775.0</v>
      </c>
      <c r="B2060" s="2" t="s">
        <v>4183</v>
      </c>
      <c r="C2060" s="2" t="s">
        <v>4889</v>
      </c>
      <c r="D2060" s="2" t="s">
        <v>1935</v>
      </c>
      <c r="E2060" s="2" t="s">
        <v>235</v>
      </c>
      <c r="F2060" s="2">
        <v>7.0</v>
      </c>
      <c r="G2060" s="2">
        <v>500.0</v>
      </c>
      <c r="H2060" s="3" t="str">
        <f>HYPERLINK("http://www.linkedin.com/in/cushing","http://www.linkedin.com/in/cushing")</f>
        <v>http://www.linkedin.com/in/cushing</v>
      </c>
      <c r="I2060" s="2" t="s">
        <v>69</v>
      </c>
      <c r="J2060" s="2" t="s">
        <v>102</v>
      </c>
      <c r="K2060" s="2" t="s">
        <v>35</v>
      </c>
    </row>
    <row r="2061" ht="15.75" customHeight="1">
      <c r="A2061" s="2">
        <v>738125.0</v>
      </c>
      <c r="B2061" s="2" t="s">
        <v>4890</v>
      </c>
      <c r="C2061" s="2" t="s">
        <v>4891</v>
      </c>
      <c r="D2061" s="2" t="s">
        <v>400</v>
      </c>
      <c r="E2061" s="2" t="s">
        <v>4892</v>
      </c>
      <c r="F2061" s="2">
        <v>1.0</v>
      </c>
      <c r="G2061" s="2">
        <v>500.0</v>
      </c>
      <c r="H2061" s="3" t="str">
        <f>HYPERLINK("http://ca.linkedin.com/in/kpwinc","http://ca.linkedin.com/in/kpwinc")</f>
        <v>http://ca.linkedin.com/in/kpwinc</v>
      </c>
      <c r="I2061" s="2" t="s">
        <v>69</v>
      </c>
      <c r="J2061" s="2" t="s">
        <v>44</v>
      </c>
      <c r="K2061" s="2" t="s">
        <v>35</v>
      </c>
    </row>
    <row r="2062" ht="15.75" customHeight="1">
      <c r="A2062" s="2">
        <v>738477.0</v>
      </c>
      <c r="B2062" s="2" t="s">
        <v>4893</v>
      </c>
      <c r="C2062" s="2" t="s">
        <v>4894</v>
      </c>
      <c r="D2062" s="2" t="s">
        <v>13</v>
      </c>
      <c r="E2062" s="2" t="s">
        <v>397</v>
      </c>
      <c r="F2062" s="2">
        <v>18.0</v>
      </c>
      <c r="G2062" s="2">
        <v>500.0</v>
      </c>
      <c r="H2062" s="3" t="str">
        <f>HYPERLINK("http://www.linkedin.com/in/saxberg","http://www.linkedin.com/in/saxberg")</f>
        <v>http://www.linkedin.com/in/saxberg</v>
      </c>
      <c r="I2062" s="2" t="s">
        <v>69</v>
      </c>
      <c r="J2062" s="2" t="s">
        <v>102</v>
      </c>
      <c r="K2062" s="2" t="s">
        <v>35</v>
      </c>
    </row>
    <row r="2063" ht="15.75" customHeight="1">
      <c r="A2063" s="2">
        <v>739093.0</v>
      </c>
      <c r="B2063" s="2" t="s">
        <v>3455</v>
      </c>
      <c r="C2063" s="2" t="s">
        <v>4895</v>
      </c>
      <c r="D2063" s="2" t="s">
        <v>4896</v>
      </c>
      <c r="E2063" s="2" t="s">
        <v>2447</v>
      </c>
      <c r="F2063" s="2">
        <v>0.0</v>
      </c>
      <c r="G2063" s="2">
        <v>500.0</v>
      </c>
      <c r="H2063" s="3" t="str">
        <f>HYPERLINK("http://www.linkedin.com/in/htower131","http://www.linkedin.com/in/htower131")</f>
        <v>http://www.linkedin.com/in/htower131</v>
      </c>
      <c r="I2063" s="2" t="s">
        <v>279</v>
      </c>
      <c r="J2063" s="2" t="s">
        <v>16</v>
      </c>
      <c r="K2063" s="2" t="s">
        <v>522</v>
      </c>
    </row>
    <row r="2064" ht="15.75" customHeight="1">
      <c r="A2064" s="2">
        <v>741323.0</v>
      </c>
      <c r="B2064" s="2" t="s">
        <v>4897</v>
      </c>
      <c r="C2064" s="2" t="s">
        <v>4898</v>
      </c>
      <c r="D2064" s="2" t="s">
        <v>114</v>
      </c>
      <c r="E2064" s="2" t="s">
        <v>2352</v>
      </c>
      <c r="F2064" s="2">
        <v>3.0</v>
      </c>
      <c r="G2064" s="2">
        <v>500.0</v>
      </c>
      <c r="H2064" s="3" t="str">
        <f>HYPERLINK("http://ca.linkedin.com/in/desireeleigh","http://ca.linkedin.com/in/desireeleigh")</f>
        <v>http://ca.linkedin.com/in/desireeleigh</v>
      </c>
      <c r="I2064" s="2" t="s">
        <v>27</v>
      </c>
      <c r="J2064" s="2" t="s">
        <v>44</v>
      </c>
      <c r="K2064" s="2" t="s">
        <v>58</v>
      </c>
    </row>
    <row r="2065" ht="15.75" customHeight="1">
      <c r="A2065" s="2">
        <v>742687.0</v>
      </c>
      <c r="B2065" s="2" t="s">
        <v>4899</v>
      </c>
      <c r="C2065" s="2" t="s">
        <v>4900</v>
      </c>
      <c r="D2065" s="2" t="s">
        <v>13</v>
      </c>
      <c r="E2065" s="2" t="s">
        <v>136</v>
      </c>
      <c r="F2065" s="2">
        <v>0.0</v>
      </c>
      <c r="G2065" s="2">
        <v>500.0</v>
      </c>
      <c r="H2065" s="3" t="str">
        <f>HYPERLINK("http://www.linkedin.com/pub/dr-pratap-chillakanti/7/20b/79a","http://www.linkedin.com/pub/dr-pratap-chillakanti/7/20b/79a")</f>
        <v>http://www.linkedin.com/pub/dr-pratap-chillakanti/7/20b/79a</v>
      </c>
      <c r="I2065" s="2" t="s">
        <v>440</v>
      </c>
      <c r="J2065" s="2" t="s">
        <v>102</v>
      </c>
      <c r="K2065" s="2" t="s">
        <v>97</v>
      </c>
    </row>
    <row r="2066" ht="15.75" customHeight="1">
      <c r="A2066" s="2">
        <v>742736.0</v>
      </c>
      <c r="B2066" s="2" t="s">
        <v>285</v>
      </c>
      <c r="C2066" s="2" t="s">
        <v>4901</v>
      </c>
      <c r="D2066" s="2" t="s">
        <v>47</v>
      </c>
      <c r="E2066" s="2" t="s">
        <v>765</v>
      </c>
      <c r="F2066" s="2">
        <v>5.0</v>
      </c>
      <c r="G2066" s="2">
        <v>500.0</v>
      </c>
      <c r="H2066" s="3" t="str">
        <f>HYPERLINK("http://www.linkedin.com/pub/marc-pacino/8/79A/91A","http://www.linkedin.com/pub/marc-pacino/8/79A/91A")</f>
        <v>http://www.linkedin.com/pub/marc-pacino/8/79A/91A</v>
      </c>
      <c r="I2066" s="2" t="s">
        <v>306</v>
      </c>
      <c r="J2066" s="2" t="s">
        <v>144</v>
      </c>
      <c r="K2066" s="2" t="s">
        <v>138</v>
      </c>
    </row>
    <row r="2067" ht="15.75" customHeight="1">
      <c r="A2067" s="2">
        <v>742793.0</v>
      </c>
      <c r="B2067" s="2" t="s">
        <v>4902</v>
      </c>
      <c r="C2067" s="2" t="s">
        <v>4903</v>
      </c>
      <c r="D2067" s="2" t="s">
        <v>4904</v>
      </c>
      <c r="E2067" s="2" t="s">
        <v>791</v>
      </c>
      <c r="F2067" s="2">
        <v>4.0</v>
      </c>
      <c r="G2067" s="2">
        <v>500.0</v>
      </c>
      <c r="H2067" s="3" t="str">
        <f>HYPERLINK("http://www.linkedin.com/pub/hossein-kazemi/4/142/BA1","http://www.linkedin.com/pub/hossein-kazemi/4/142/BA1")</f>
        <v>http://www.linkedin.com/pub/hossein-kazemi/4/142/BA1</v>
      </c>
      <c r="I2067" s="2" t="s">
        <v>663</v>
      </c>
      <c r="J2067" s="2" t="s">
        <v>575</v>
      </c>
      <c r="K2067" s="2" t="s">
        <v>522</v>
      </c>
    </row>
    <row r="2068" ht="15.75" customHeight="1">
      <c r="A2068" s="2">
        <v>744183.0</v>
      </c>
      <c r="B2068" s="2" t="s">
        <v>4905</v>
      </c>
      <c r="C2068" s="2" t="s">
        <v>4906</v>
      </c>
      <c r="D2068" s="2" t="s">
        <v>4907</v>
      </c>
      <c r="E2068" s="2" t="s">
        <v>450</v>
      </c>
      <c r="F2068" s="2">
        <v>11.0</v>
      </c>
      <c r="G2068" s="2">
        <v>163.0</v>
      </c>
      <c r="H2068" s="3" t="str">
        <f>HYPERLINK("http://www.linkedin.com/in/colleenmeyer","http://www.linkedin.com/in/colleenmeyer")</f>
        <v>http://www.linkedin.com/in/colleenmeyer</v>
      </c>
      <c r="I2068" s="2" t="s">
        <v>475</v>
      </c>
      <c r="J2068" s="2" t="s">
        <v>273</v>
      </c>
      <c r="K2068" s="2" t="s">
        <v>58</v>
      </c>
    </row>
    <row r="2069" ht="15.75" customHeight="1">
      <c r="A2069" s="2">
        <v>744496.0</v>
      </c>
      <c r="B2069" s="2" t="s">
        <v>4908</v>
      </c>
      <c r="C2069" s="3" t="str">
        <f>HYPERLINK("http://ltkmerlinigmail.com","ltkmerlinigmail.com")</f>
        <v>ltkmerlinigmail.com</v>
      </c>
      <c r="D2069" s="2" t="s">
        <v>13</v>
      </c>
      <c r="E2069" s="2" t="s">
        <v>4655</v>
      </c>
      <c r="F2069" s="2">
        <v>0.0</v>
      </c>
      <c r="G2069" s="2">
        <v>500.0</v>
      </c>
      <c r="H2069" s="3" t="str">
        <f>HYPERLINK("http://www.linkedin.com/pub/luca-merlini-ltkmerlini-gmail-com/9/677/a34","http://www.linkedin.com/pub/luca-merlini-ltkmerlini-gmail-com/9/677/a34")</f>
        <v>http://www.linkedin.com/pub/luca-merlini-ltkmerlini-gmail-com/9/677/a34</v>
      </c>
      <c r="I2069" s="2" t="s">
        <v>1094</v>
      </c>
      <c r="J2069" s="2" t="s">
        <v>34</v>
      </c>
      <c r="K2069" s="2" t="s">
        <v>138</v>
      </c>
    </row>
    <row r="2070" ht="15.75" customHeight="1">
      <c r="A2070" s="2">
        <v>745146.0</v>
      </c>
      <c r="B2070" s="2" t="s">
        <v>4909</v>
      </c>
      <c r="C2070" s="2" t="s">
        <v>4910</v>
      </c>
      <c r="D2070" s="2" t="s">
        <v>4911</v>
      </c>
      <c r="E2070" s="2" t="s">
        <v>101</v>
      </c>
      <c r="F2070" s="2">
        <v>2.0</v>
      </c>
      <c r="G2070" s="2">
        <v>492.0</v>
      </c>
      <c r="H2070" s="3" t="str">
        <f>HYPERLINK("http://www.linkedin.com/in/vivianmetz","http://www.linkedin.com/in/vivianmetz")</f>
        <v>http://www.linkedin.com/in/vivianmetz</v>
      </c>
      <c r="I2070" s="2" t="s">
        <v>105</v>
      </c>
      <c r="J2070" s="2" t="s">
        <v>102</v>
      </c>
      <c r="K2070" s="2" t="s">
        <v>58</v>
      </c>
    </row>
    <row r="2071" ht="15.75" customHeight="1">
      <c r="A2071" s="2">
        <v>745664.0</v>
      </c>
      <c r="B2071" s="2" t="s">
        <v>2350</v>
      </c>
      <c r="C2071" s="2" t="s">
        <v>2982</v>
      </c>
      <c r="D2071" s="2" t="s">
        <v>42</v>
      </c>
      <c r="E2071" s="2" t="s">
        <v>762</v>
      </c>
      <c r="F2071" s="2" t="s">
        <v>13</v>
      </c>
      <c r="G2071" s="2">
        <v>500.0</v>
      </c>
      <c r="H2071" s="3" t="str">
        <f>HYPERLINK("http://www.linkedin.com/in/fredpierce","http://www.linkedin.com/in/fredpierce")</f>
        <v>http://www.linkedin.com/in/fredpierce</v>
      </c>
      <c r="I2071" s="2" t="s">
        <v>248</v>
      </c>
      <c r="J2071" s="2" t="s">
        <v>102</v>
      </c>
      <c r="K2071" s="2" t="s">
        <v>196</v>
      </c>
    </row>
    <row r="2072" ht="15.75" customHeight="1">
      <c r="A2072" s="2">
        <v>747013.0</v>
      </c>
      <c r="B2072" s="2" t="s">
        <v>3640</v>
      </c>
      <c r="C2072" s="2" t="s">
        <v>4912</v>
      </c>
      <c r="D2072" s="2" t="s">
        <v>4913</v>
      </c>
      <c r="E2072" s="2" t="s">
        <v>2835</v>
      </c>
      <c r="F2072" s="2">
        <v>0.0</v>
      </c>
      <c r="G2072" s="2">
        <v>130.0</v>
      </c>
      <c r="H2072" s="3" t="str">
        <f>HYPERLINK("http://www.linkedin.com/pub/fern-katronetsky/7/470/845","http://www.linkedin.com/pub/fern-katronetsky/7/470/845")</f>
        <v>http://www.linkedin.com/pub/fern-katronetsky/7/470/845</v>
      </c>
      <c r="I2072" s="2" t="s">
        <v>422</v>
      </c>
      <c r="J2072" s="2" t="s">
        <v>273</v>
      </c>
      <c r="K2072" s="2" t="s">
        <v>1053</v>
      </c>
    </row>
    <row r="2073" ht="15.75" customHeight="1">
      <c r="A2073" s="2">
        <v>747177.0</v>
      </c>
      <c r="B2073" s="2" t="s">
        <v>4914</v>
      </c>
      <c r="C2073" s="2" t="s">
        <v>1193</v>
      </c>
      <c r="D2073" s="2" t="s">
        <v>4915</v>
      </c>
      <c r="E2073" s="2" t="s">
        <v>4007</v>
      </c>
      <c r="F2073" s="2">
        <v>5.0</v>
      </c>
      <c r="G2073" s="2">
        <v>500.0</v>
      </c>
      <c r="H2073" s="3" t="str">
        <f>HYPERLINK("http://www.linkedin.com/in/prafulkumar","http://www.linkedin.com/in/prafulkumar")</f>
        <v>http://www.linkedin.com/in/prafulkumar</v>
      </c>
      <c r="I2073" s="2" t="s">
        <v>248</v>
      </c>
      <c r="J2073" s="2" t="s">
        <v>273</v>
      </c>
      <c r="K2073" s="2" t="s">
        <v>2062</v>
      </c>
    </row>
    <row r="2074" ht="15.75" customHeight="1">
      <c r="A2074" s="2">
        <v>748383.0</v>
      </c>
      <c r="B2074" s="2" t="s">
        <v>4916</v>
      </c>
      <c r="C2074" s="2" t="s">
        <v>4917</v>
      </c>
      <c r="D2074" s="2" t="s">
        <v>4918</v>
      </c>
      <c r="E2074" s="2" t="s">
        <v>122</v>
      </c>
      <c r="F2074" s="2" t="s">
        <v>13</v>
      </c>
      <c r="G2074" s="2">
        <v>500.0</v>
      </c>
      <c r="H2074" s="3" t="str">
        <f>HYPERLINK("http://uk.linkedin.com/in/seunmoses","http://uk.linkedin.com/in/seunmoses")</f>
        <v>http://uk.linkedin.com/in/seunmoses</v>
      </c>
      <c r="I2074" s="2" t="s">
        <v>440</v>
      </c>
      <c r="J2074" s="2" t="s">
        <v>53</v>
      </c>
      <c r="K2074" s="2" t="s">
        <v>97</v>
      </c>
    </row>
    <row r="2075" ht="15.75" customHeight="1">
      <c r="A2075" s="2">
        <v>748951.0</v>
      </c>
      <c r="B2075" s="2" t="s">
        <v>4919</v>
      </c>
      <c r="C2075" s="2" t="s">
        <v>4920</v>
      </c>
      <c r="D2075" s="2" t="s">
        <v>1780</v>
      </c>
      <c r="E2075" s="2" t="s">
        <v>1037</v>
      </c>
      <c r="F2075" s="2">
        <v>0.0</v>
      </c>
      <c r="G2075" s="2">
        <v>269.0</v>
      </c>
      <c r="H2075" s="3" t="str">
        <f>HYPERLINK("http://www.linkedin.com/pub/stacia-parseghian/4/B48/14A","http://www.linkedin.com/pub/stacia-parseghian/4/B48/14A")</f>
        <v>http://www.linkedin.com/pub/stacia-parseghian/4/B48/14A</v>
      </c>
      <c r="I2075" s="2" t="s">
        <v>105</v>
      </c>
      <c r="J2075" s="2" t="s">
        <v>144</v>
      </c>
      <c r="K2075" s="2" t="s">
        <v>357</v>
      </c>
    </row>
    <row r="2076" ht="15.75" customHeight="1">
      <c r="A2076" s="2">
        <v>749131.0</v>
      </c>
      <c r="B2076" s="2" t="s">
        <v>4921</v>
      </c>
      <c r="C2076" s="2" t="s">
        <v>13</v>
      </c>
      <c r="D2076" s="2" t="s">
        <v>13</v>
      </c>
      <c r="E2076" s="2" t="s">
        <v>397</v>
      </c>
      <c r="F2076" s="2">
        <v>0.0</v>
      </c>
      <c r="G2076" s="2">
        <v>500.0</v>
      </c>
      <c r="H2076" s="3" t="str">
        <f>HYPERLINK("https://www.linkedin.com/pub/john-bennett/30/277/75","https://www.linkedin.com/pub/john-bennett/30/277/75")</f>
        <v>https://www.linkedin.com/pub/john-bennett/30/277/75</v>
      </c>
      <c r="I2076" s="2" t="s">
        <v>709</v>
      </c>
      <c r="J2076" s="2" t="s">
        <v>102</v>
      </c>
      <c r="K2076" s="2" t="s">
        <v>35</v>
      </c>
    </row>
    <row r="2077" ht="15.75" customHeight="1">
      <c r="A2077" s="2">
        <v>749225.0</v>
      </c>
      <c r="B2077" s="2" t="s">
        <v>4922</v>
      </c>
      <c r="C2077" s="2" t="s">
        <v>4923</v>
      </c>
      <c r="D2077" s="2" t="s">
        <v>13</v>
      </c>
      <c r="E2077" s="2" t="s">
        <v>181</v>
      </c>
      <c r="F2077" s="2">
        <v>0.0</v>
      </c>
      <c r="G2077" s="2">
        <v>500.0</v>
      </c>
      <c r="H2077" s="3" t="str">
        <f>HYPERLINK("http://www.linkedin.com/pub/debra-sotland-stillman/2/401/167","http://www.linkedin.com/pub/debra-sotland-stillman/2/401/167")</f>
        <v>http://www.linkedin.com/pub/debra-sotland-stillman/2/401/167</v>
      </c>
      <c r="I2077" s="2" t="s">
        <v>248</v>
      </c>
      <c r="J2077" s="2" t="s">
        <v>102</v>
      </c>
      <c r="K2077" s="2" t="s">
        <v>196</v>
      </c>
    </row>
    <row r="2078" ht="15.75" customHeight="1">
      <c r="A2078" s="2">
        <v>749469.0</v>
      </c>
      <c r="B2078" s="2" t="s">
        <v>4924</v>
      </c>
      <c r="C2078" s="2" t="s">
        <v>4925</v>
      </c>
      <c r="D2078" s="2" t="s">
        <v>4926</v>
      </c>
      <c r="E2078" s="2" t="s">
        <v>336</v>
      </c>
      <c r="F2078" s="2">
        <v>27.0</v>
      </c>
      <c r="G2078" s="2">
        <v>500.0</v>
      </c>
      <c r="H2078" s="3" t="str">
        <f>HYPERLINK("http://uk.linkedin.com/in/urhammer","http://uk.linkedin.com/in/urhammer")</f>
        <v>http://uk.linkedin.com/in/urhammer</v>
      </c>
      <c r="I2078" s="2" t="s">
        <v>69</v>
      </c>
      <c r="J2078" s="2" t="s">
        <v>337</v>
      </c>
      <c r="K2078" s="2" t="s">
        <v>35</v>
      </c>
    </row>
    <row r="2079" ht="15.75" customHeight="1">
      <c r="A2079" s="2">
        <v>749700.0</v>
      </c>
      <c r="B2079" s="2" t="s">
        <v>4927</v>
      </c>
      <c r="C2079" s="2" t="s">
        <v>4928</v>
      </c>
      <c r="D2079" s="2" t="s">
        <v>4929</v>
      </c>
      <c r="E2079" s="2" t="s">
        <v>4053</v>
      </c>
      <c r="F2079" s="2">
        <v>10.0</v>
      </c>
      <c r="G2079" s="2">
        <v>416.0</v>
      </c>
      <c r="H2079" s="3" t="str">
        <f>HYPERLINK("http://www.linkedin.com/in/bd2008","http://www.linkedin.com/in/bd2008")</f>
        <v>http://www.linkedin.com/in/bd2008</v>
      </c>
      <c r="I2079" s="2" t="s">
        <v>15</v>
      </c>
      <c r="J2079" s="2" t="s">
        <v>102</v>
      </c>
      <c r="K2079" s="2" t="s">
        <v>35</v>
      </c>
    </row>
    <row r="2080" ht="15.75" customHeight="1">
      <c r="A2080" s="2">
        <v>749948.0</v>
      </c>
      <c r="B2080" s="2" t="s">
        <v>4930</v>
      </c>
      <c r="C2080" s="2" t="s">
        <v>4931</v>
      </c>
      <c r="D2080" s="2" t="s">
        <v>4224</v>
      </c>
      <c r="E2080" s="2" t="s">
        <v>235</v>
      </c>
      <c r="F2080" s="2" t="s">
        <v>13</v>
      </c>
      <c r="G2080" s="2">
        <v>438.0</v>
      </c>
      <c r="H2080" s="3" t="str">
        <f>HYPERLINK("http://www.linkedin.com/pub/alina-koos/9/867/4B8","http://www.linkedin.com/pub/alina-koos/9/867/4B8")</f>
        <v>http://www.linkedin.com/pub/alina-koos/9/867/4B8</v>
      </c>
      <c r="I2080" s="2" t="s">
        <v>15</v>
      </c>
      <c r="J2080" s="2" t="s">
        <v>102</v>
      </c>
      <c r="K2080" s="2" t="s">
        <v>35</v>
      </c>
    </row>
    <row r="2081" ht="15.75" customHeight="1">
      <c r="A2081" s="2">
        <v>750240.0</v>
      </c>
      <c r="B2081" s="2" t="s">
        <v>824</v>
      </c>
      <c r="C2081" s="2" t="s">
        <v>4932</v>
      </c>
      <c r="D2081" s="2" t="s">
        <v>2079</v>
      </c>
      <c r="E2081" s="2" t="s">
        <v>294</v>
      </c>
      <c r="F2081" s="2" t="s">
        <v>13</v>
      </c>
      <c r="G2081" s="2">
        <v>253.0</v>
      </c>
      <c r="H2081" s="3" t="str">
        <f>HYPERLINK("http://www.linkedin.com/pub/nancy-zwiener/1B/A9B/681","http://www.linkedin.com/pub/nancy-zwiener/1B/A9B/681")</f>
        <v>http://www.linkedin.com/pub/nancy-zwiener/1B/A9B/681</v>
      </c>
      <c r="I2081" s="2" t="s">
        <v>2268</v>
      </c>
      <c r="J2081" s="2" t="s">
        <v>102</v>
      </c>
      <c r="K2081" s="2" t="s">
        <v>58</v>
      </c>
    </row>
    <row r="2082" ht="15.75" customHeight="1">
      <c r="A2082" s="2">
        <v>750370.0</v>
      </c>
      <c r="B2082" s="2" t="s">
        <v>4933</v>
      </c>
      <c r="C2082" s="2" t="s">
        <v>308</v>
      </c>
      <c r="D2082" s="2" t="s">
        <v>4934</v>
      </c>
      <c r="E2082" s="2" t="s">
        <v>4935</v>
      </c>
      <c r="F2082" s="2">
        <v>10.0</v>
      </c>
      <c r="G2082" s="2">
        <v>500.0</v>
      </c>
      <c r="H2082" s="3" t="str">
        <f>HYPERLINK("http://www.linkedin.com/in/gyanofcary","http://www.linkedin.com/in/gyanofcary")</f>
        <v>http://www.linkedin.com/in/gyanofcary</v>
      </c>
      <c r="I2082" s="2" t="s">
        <v>15</v>
      </c>
      <c r="J2082" s="2" t="s">
        <v>102</v>
      </c>
      <c r="K2082" s="2" t="s">
        <v>35</v>
      </c>
    </row>
    <row r="2083" ht="15.75" customHeight="1">
      <c r="A2083" s="2">
        <v>750719.0</v>
      </c>
      <c r="B2083" s="2" t="s">
        <v>993</v>
      </c>
      <c r="C2083" s="2" t="s">
        <v>4936</v>
      </c>
      <c r="D2083" s="2" t="s">
        <v>4937</v>
      </c>
      <c r="E2083" s="2" t="s">
        <v>2447</v>
      </c>
      <c r="F2083" s="2">
        <v>2.0</v>
      </c>
      <c r="G2083" s="2">
        <v>500.0</v>
      </c>
      <c r="H2083" s="3" t="str">
        <f>HYPERLINK("http://www.linkedin.com/pub/jon-barton-toplinked-/7/768/4B1","http://www.linkedin.com/pub/jon-barton-toplinked-/7/768/4B1")</f>
        <v>http://www.linkedin.com/pub/jon-barton-toplinked-/7/768/4B1</v>
      </c>
      <c r="I2083" s="2" t="s">
        <v>15</v>
      </c>
      <c r="J2083" s="2" t="s">
        <v>16</v>
      </c>
      <c r="K2083" s="2" t="s">
        <v>4938</v>
      </c>
    </row>
    <row r="2084" ht="15.75" customHeight="1">
      <c r="A2084" s="2">
        <v>750813.0</v>
      </c>
      <c r="B2084" s="2" t="s">
        <v>2752</v>
      </c>
      <c r="C2084" s="2" t="s">
        <v>4939</v>
      </c>
      <c r="D2084" s="2"/>
      <c r="E2084" s="2" t="s">
        <v>1587</v>
      </c>
      <c r="F2084" s="2">
        <v>0.0</v>
      </c>
      <c r="G2084" s="2">
        <v>6.0</v>
      </c>
      <c r="H2084" s="3" t="str">
        <f>HYPERLINK("http://www.linkedin.com/pub/craig-yarmchuk/2/709/734","http://www.linkedin.com/pub/craig-yarmchuk/2/709/734")</f>
        <v>http://www.linkedin.com/pub/craig-yarmchuk/2/709/734</v>
      </c>
      <c r="I2084" s="2" t="s">
        <v>48</v>
      </c>
      <c r="J2084" s="2" t="s">
        <v>273</v>
      </c>
      <c r="K2084" s="2" t="s">
        <v>22</v>
      </c>
    </row>
    <row r="2085" ht="15.75" customHeight="1">
      <c r="A2085" s="2">
        <v>753002.0</v>
      </c>
      <c r="B2085" s="2" t="s">
        <v>1545</v>
      </c>
      <c r="C2085" s="2" t="s">
        <v>4940</v>
      </c>
      <c r="D2085" s="2" t="s">
        <v>4941</v>
      </c>
      <c r="E2085" s="2" t="s">
        <v>765</v>
      </c>
      <c r="F2085" s="2">
        <v>0.0</v>
      </c>
      <c r="G2085" s="2">
        <v>500.0</v>
      </c>
      <c r="H2085" s="3" t="str">
        <f>HYPERLINK("http://www.linkedin.com/in/cookepm411","http://www.linkedin.com/in/cookepm411")</f>
        <v>http://www.linkedin.com/in/cookepm411</v>
      </c>
      <c r="I2085" s="2" t="s">
        <v>69</v>
      </c>
      <c r="J2085" s="2" t="s">
        <v>144</v>
      </c>
      <c r="K2085" s="2" t="s">
        <v>646</v>
      </c>
    </row>
    <row r="2086" ht="15.75" customHeight="1">
      <c r="A2086" s="2">
        <v>753331.0</v>
      </c>
      <c r="B2086" s="2" t="s">
        <v>275</v>
      </c>
      <c r="C2086" s="2" t="s">
        <v>4942</v>
      </c>
      <c r="D2086" s="2" t="s">
        <v>3587</v>
      </c>
      <c r="E2086" s="2" t="s">
        <v>278</v>
      </c>
      <c r="F2086" s="2" t="s">
        <v>13</v>
      </c>
      <c r="G2086" s="2">
        <v>226.0</v>
      </c>
      <c r="H2086" s="3" t="str">
        <f>HYPERLINK("http://www.linkedin.com/pub/mark-ryerson/9/13A/534","http://www.linkedin.com/pub/mark-ryerson/9/13A/534")</f>
        <v>http://www.linkedin.com/pub/mark-ryerson/9/13A/534</v>
      </c>
      <c r="I2086" s="2" t="s">
        <v>422</v>
      </c>
      <c r="J2086" s="2" t="s">
        <v>28</v>
      </c>
      <c r="K2086" s="2" t="s">
        <v>138</v>
      </c>
    </row>
    <row r="2087" ht="15.75" customHeight="1">
      <c r="A2087" s="2">
        <v>753517.0</v>
      </c>
      <c r="B2087" s="2" t="s">
        <v>845</v>
      </c>
      <c r="C2087" s="2" t="s">
        <v>4943</v>
      </c>
      <c r="D2087" s="2" t="s">
        <v>42</v>
      </c>
      <c r="E2087" s="2" t="s">
        <v>278</v>
      </c>
      <c r="F2087" s="2" t="s">
        <v>13</v>
      </c>
      <c r="G2087" s="2">
        <v>500.0</v>
      </c>
      <c r="H2087" s="3" t="str">
        <f>HYPERLINK("http://www.linkedin.com/pub/david-o-niell/7/7B1/5B9","http://www.linkedin.com/pub/david-o-niell/7/7B1/5B9")</f>
        <v>http://www.linkedin.com/pub/david-o-niell/7/7B1/5B9</v>
      </c>
      <c r="I2087" s="2" t="s">
        <v>1237</v>
      </c>
      <c r="J2087" s="2" t="s">
        <v>28</v>
      </c>
      <c r="K2087" s="2" t="s">
        <v>183</v>
      </c>
    </row>
    <row r="2088" ht="15.75" customHeight="1">
      <c r="A2088" s="2">
        <v>754418.0</v>
      </c>
      <c r="B2088" s="2" t="s">
        <v>4944</v>
      </c>
      <c r="C2088" s="2" t="s">
        <v>399</v>
      </c>
      <c r="D2088" s="2"/>
      <c r="E2088" s="2" t="s">
        <v>748</v>
      </c>
      <c r="F2088" s="2">
        <v>0.0</v>
      </c>
      <c r="G2088" s="2">
        <v>393.0</v>
      </c>
      <c r="H2088" s="3" t="str">
        <f>HYPERLINK("http://www.linkedin.com/pub/j-t-%22tom%22-johnson/1/112/A19","http://www.linkedin.com/pub/j-t-%22tom%22-johnson/1/112/A19")</f>
        <v>http://www.linkedin.com/pub/j-t-%22tom%22-johnson/1/112/A19</v>
      </c>
      <c r="I2088" s="2" t="s">
        <v>1398</v>
      </c>
      <c r="J2088" s="2" t="s">
        <v>28</v>
      </c>
      <c r="K2088" s="2" t="s">
        <v>357</v>
      </c>
    </row>
    <row r="2089" ht="15.75" customHeight="1">
      <c r="A2089" s="2">
        <v>755017.0</v>
      </c>
      <c r="B2089" s="2" t="s">
        <v>1015</v>
      </c>
      <c r="C2089" s="2" t="s">
        <v>4945</v>
      </c>
      <c r="D2089" s="2" t="s">
        <v>309</v>
      </c>
      <c r="E2089" s="2" t="s">
        <v>4000</v>
      </c>
      <c r="F2089" s="2">
        <v>2.0</v>
      </c>
      <c r="G2089" s="2">
        <v>500.0</v>
      </c>
      <c r="H2089" s="3" t="str">
        <f>HYPERLINK("http://www.linkedin.com/in/brianreale","http://www.linkedin.com/in/brianreale")</f>
        <v>http://www.linkedin.com/in/brianreale</v>
      </c>
      <c r="I2089" s="2" t="s">
        <v>48</v>
      </c>
      <c r="J2089" s="2" t="s">
        <v>102</v>
      </c>
      <c r="K2089" s="2" t="s">
        <v>35</v>
      </c>
    </row>
    <row r="2090" ht="15.75" customHeight="1">
      <c r="A2090" s="2">
        <v>755034.0</v>
      </c>
      <c r="B2090" s="2" t="s">
        <v>4946</v>
      </c>
      <c r="C2090" s="2" t="s">
        <v>4947</v>
      </c>
      <c r="D2090" s="2"/>
      <c r="E2090" s="2" t="s">
        <v>278</v>
      </c>
      <c r="F2090" s="2">
        <v>6.0</v>
      </c>
      <c r="G2090" s="2">
        <v>370.0</v>
      </c>
      <c r="H2090" s="3" t="str">
        <f>HYPERLINK("http://www.linkedin.com/pub/laurie-sigillito/1/159/715","http://www.linkedin.com/pub/laurie-sigillito/1/159/715")</f>
        <v>http://www.linkedin.com/pub/laurie-sigillito/1/159/715</v>
      </c>
      <c r="I2090" s="2" t="s">
        <v>2936</v>
      </c>
      <c r="J2090" s="2" t="s">
        <v>28</v>
      </c>
      <c r="K2090" s="2" t="s">
        <v>357</v>
      </c>
    </row>
    <row r="2091" ht="15.75" customHeight="1">
      <c r="A2091" s="2">
        <v>755662.0</v>
      </c>
      <c r="B2091" s="2" t="s">
        <v>133</v>
      </c>
      <c r="C2091" s="2" t="s">
        <v>4948</v>
      </c>
      <c r="D2091" s="2" t="s">
        <v>959</v>
      </c>
      <c r="E2091" s="2" t="s">
        <v>122</v>
      </c>
      <c r="F2091" s="2">
        <v>2.0</v>
      </c>
      <c r="G2091" s="2">
        <v>500.0</v>
      </c>
      <c r="H2091" s="3" t="str">
        <f>HYPERLINK("http://www.linkedin.com/in/michaelanthonybufalino","http://www.linkedin.com/in/michaelanthonybufalino")</f>
        <v>http://www.linkedin.com/in/michaelanthonybufalino</v>
      </c>
      <c r="I2091" s="2" t="s">
        <v>629</v>
      </c>
      <c r="J2091" s="2" t="s">
        <v>53</v>
      </c>
      <c r="K2091" s="2" t="s">
        <v>97</v>
      </c>
    </row>
    <row r="2092" ht="15.75" customHeight="1">
      <c r="A2092" s="2">
        <v>755911.0</v>
      </c>
      <c r="B2092" s="2" t="s">
        <v>133</v>
      </c>
      <c r="C2092" s="2" t="s">
        <v>4949</v>
      </c>
      <c r="D2092" s="2" t="s">
        <v>1771</v>
      </c>
      <c r="E2092" s="2" t="s">
        <v>2835</v>
      </c>
      <c r="F2092" s="2">
        <v>0.0</v>
      </c>
      <c r="G2092" s="2">
        <v>135.0</v>
      </c>
      <c r="H2092" s="3" t="str">
        <f>HYPERLINK("http://www.linkedin.com/pub/michael-deering/7/B9B/B12","http://www.linkedin.com/pub/michael-deering/7/B9B/B12")</f>
        <v>http://www.linkedin.com/pub/michael-deering/7/B9B/B12</v>
      </c>
      <c r="I2092" s="2" t="s">
        <v>422</v>
      </c>
      <c r="J2092" s="2" t="s">
        <v>273</v>
      </c>
      <c r="K2092" s="2" t="s">
        <v>1053</v>
      </c>
    </row>
    <row r="2093" ht="15.75" customHeight="1">
      <c r="A2093" s="2">
        <v>756103.0</v>
      </c>
      <c r="B2093" s="2" t="s">
        <v>710</v>
      </c>
      <c r="C2093" s="2" t="s">
        <v>2610</v>
      </c>
      <c r="D2093" s="2" t="s">
        <v>4950</v>
      </c>
      <c r="E2093" s="2" t="s">
        <v>4951</v>
      </c>
      <c r="F2093" s="2">
        <v>8.0</v>
      </c>
      <c r="G2093" s="2">
        <v>500.0</v>
      </c>
      <c r="H2093" s="3" t="str">
        <f>HYPERLINK("http://www.linkedin.com/in/jasonmhall","http://www.linkedin.com/in/jasonmhall")</f>
        <v>http://www.linkedin.com/in/jasonmhall</v>
      </c>
      <c r="I2093" s="2" t="s">
        <v>240</v>
      </c>
      <c r="J2093" s="2" t="s">
        <v>102</v>
      </c>
      <c r="K2093" s="2" t="s">
        <v>2201</v>
      </c>
    </row>
    <row r="2094" ht="15.75" customHeight="1">
      <c r="A2094" s="2">
        <v>756132.0</v>
      </c>
      <c r="B2094" s="2" t="s">
        <v>3907</v>
      </c>
      <c r="C2094" s="2" t="s">
        <v>4952</v>
      </c>
      <c r="D2094" s="2" t="s">
        <v>47</v>
      </c>
      <c r="E2094" s="2" t="s">
        <v>4953</v>
      </c>
      <c r="F2094" s="2" t="s">
        <v>13</v>
      </c>
      <c r="G2094" s="2">
        <v>500.0</v>
      </c>
      <c r="H2094" s="3" t="str">
        <f>HYPERLINK("http://ca.linkedin.com/in/francisdion","http://ca.linkedin.com/in/francisdion")</f>
        <v>http://ca.linkedin.com/in/francisdion</v>
      </c>
      <c r="I2094" s="2" t="s">
        <v>15</v>
      </c>
      <c r="J2094" s="2" t="s">
        <v>44</v>
      </c>
      <c r="K2094" s="2" t="s">
        <v>35</v>
      </c>
    </row>
    <row r="2095" ht="15.75" customHeight="1">
      <c r="A2095" s="2">
        <v>756209.0</v>
      </c>
      <c r="B2095" s="2" t="s">
        <v>4954</v>
      </c>
      <c r="C2095" s="2" t="s">
        <v>4955</v>
      </c>
      <c r="D2095" s="2" t="s">
        <v>114</v>
      </c>
      <c r="E2095" s="2" t="s">
        <v>301</v>
      </c>
      <c r="F2095" s="2">
        <v>5.0</v>
      </c>
      <c r="G2095" s="2">
        <v>500.0</v>
      </c>
      <c r="H2095" s="3" t="str">
        <f>HYPERLINK("http://www.linkedin.com/in/carolynsimi","http://www.linkedin.com/in/carolynsimi")</f>
        <v>http://www.linkedin.com/in/carolynsimi</v>
      </c>
      <c r="I2095" s="2" t="s">
        <v>1390</v>
      </c>
      <c r="J2095" s="2" t="s">
        <v>102</v>
      </c>
      <c r="K2095" s="2" t="s">
        <v>35</v>
      </c>
    </row>
    <row r="2096" ht="15.75" customHeight="1">
      <c r="A2096" s="2">
        <v>757250.0</v>
      </c>
      <c r="B2096" s="2" t="s">
        <v>4956</v>
      </c>
      <c r="C2096" s="2" t="s">
        <v>4628</v>
      </c>
      <c r="D2096" s="2" t="s">
        <v>2861</v>
      </c>
      <c r="E2096" s="2" t="s">
        <v>3829</v>
      </c>
      <c r="F2096" s="2">
        <v>1.0</v>
      </c>
      <c r="G2096" s="2">
        <v>500.0</v>
      </c>
      <c r="H2096" s="3" t="str">
        <f>HYPERLINK("http://www.linkedin.com/in/rodneycummings","http://www.linkedin.com/in/rodneycummings")</f>
        <v>http://www.linkedin.com/in/rodneycummings</v>
      </c>
      <c r="I2096" s="2" t="s">
        <v>696</v>
      </c>
      <c r="J2096" s="2" t="s">
        <v>102</v>
      </c>
      <c r="K2096" s="2" t="s">
        <v>97</v>
      </c>
    </row>
    <row r="2097" ht="15.75" customHeight="1">
      <c r="A2097" s="2">
        <v>757343.0</v>
      </c>
      <c r="B2097" s="2" t="s">
        <v>4957</v>
      </c>
      <c r="C2097" s="2" t="s">
        <v>4958</v>
      </c>
      <c r="D2097" s="2" t="s">
        <v>4959</v>
      </c>
      <c r="E2097" s="2" t="s">
        <v>122</v>
      </c>
      <c r="F2097" s="2">
        <v>23.0</v>
      </c>
      <c r="G2097" s="2">
        <v>500.0</v>
      </c>
      <c r="H2097" s="3" t="str">
        <f>HYPERLINK("http://uk.linkedin.com/pub/sophie-rogers/3/9B/178","http://uk.linkedin.com/pub/sophie-rogers/3/9B/178")</f>
        <v>http://uk.linkedin.com/pub/sophie-rogers/3/9B/178</v>
      </c>
      <c r="I2097" s="2" t="s">
        <v>15</v>
      </c>
      <c r="J2097" s="2" t="s">
        <v>53</v>
      </c>
      <c r="K2097" s="2" t="s">
        <v>35</v>
      </c>
    </row>
    <row r="2098" ht="15.75" customHeight="1">
      <c r="A2098" s="2">
        <v>757363.0</v>
      </c>
      <c r="B2098" s="2" t="s">
        <v>4960</v>
      </c>
      <c r="C2098" s="2" t="s">
        <v>2635</v>
      </c>
      <c r="D2098" s="2" t="s">
        <v>42</v>
      </c>
      <c r="E2098" s="2" t="s">
        <v>4961</v>
      </c>
      <c r="F2098" s="2" t="s">
        <v>13</v>
      </c>
      <c r="G2098" s="2">
        <v>334.0</v>
      </c>
      <c r="H2098" s="3" t="str">
        <f>HYPERLINK("http://www.linkedin.com/pub/ley-jackson/9/367/59A","http://www.linkedin.com/pub/ley-jackson/9/367/59A")</f>
        <v>http://www.linkedin.com/pub/ley-jackson/9/367/59A</v>
      </c>
      <c r="I2098" s="2" t="s">
        <v>248</v>
      </c>
      <c r="J2098" s="2" t="s">
        <v>102</v>
      </c>
      <c r="K2098" s="2" t="s">
        <v>196</v>
      </c>
    </row>
    <row r="2099" ht="15.75" customHeight="1">
      <c r="A2099" s="2">
        <v>758132.0</v>
      </c>
      <c r="B2099" s="2" t="s">
        <v>291</v>
      </c>
      <c r="C2099" s="2" t="s">
        <v>4962</v>
      </c>
      <c r="D2099" s="2"/>
      <c r="E2099" s="2" t="s">
        <v>821</v>
      </c>
      <c r="F2099" s="2">
        <v>1.0</v>
      </c>
      <c r="G2099" s="2">
        <v>233.0</v>
      </c>
      <c r="H2099" s="3" t="str">
        <f>HYPERLINK("http://uk.linkedin.com/pub/gary-sharp/3/144/313","http://uk.linkedin.com/pub/gary-sharp/3/144/313")</f>
        <v>http://uk.linkedin.com/pub/gary-sharp/3/144/313</v>
      </c>
      <c r="I2099" s="2" t="s">
        <v>15</v>
      </c>
      <c r="J2099" s="2" t="s">
        <v>575</v>
      </c>
      <c r="K2099" s="2" t="s">
        <v>22</v>
      </c>
    </row>
    <row r="2100" ht="15.75" customHeight="1">
      <c r="A2100" s="2">
        <v>758584.0</v>
      </c>
      <c r="B2100" s="2" t="s">
        <v>1254</v>
      </c>
      <c r="C2100" s="2" t="s">
        <v>4963</v>
      </c>
      <c r="D2100" s="2" t="s">
        <v>47</v>
      </c>
      <c r="E2100" s="2" t="s">
        <v>301</v>
      </c>
      <c r="F2100" s="2">
        <v>6.0</v>
      </c>
      <c r="G2100" s="2">
        <v>500.0</v>
      </c>
      <c r="H2100" s="3" t="str">
        <f>HYPERLINK("http://www.linkedin.com/in/rickprobstein","http://www.linkedin.com/in/rickprobstein")</f>
        <v>http://www.linkedin.com/in/rickprobstein</v>
      </c>
      <c r="I2100" s="2" t="s">
        <v>96</v>
      </c>
      <c r="J2100" s="2" t="s">
        <v>102</v>
      </c>
      <c r="K2100" s="2" t="s">
        <v>58</v>
      </c>
    </row>
    <row r="2101" ht="15.75" customHeight="1">
      <c r="A2101" s="2">
        <v>758991.0</v>
      </c>
      <c r="B2101" s="2" t="s">
        <v>341</v>
      </c>
      <c r="C2101" s="2" t="s">
        <v>1319</v>
      </c>
      <c r="D2101" s="2" t="s">
        <v>4964</v>
      </c>
      <c r="E2101" s="2" t="s">
        <v>301</v>
      </c>
      <c r="F2101" s="2">
        <v>16.0</v>
      </c>
      <c r="G2101" s="2">
        <v>500.0</v>
      </c>
      <c r="H2101" s="3" t="str">
        <f>HYPERLINK("http://www.linkedin.com/pub/kevin-doyle/9/487/4B4","http://www.linkedin.com/pub/kevin-doyle/9/487/4B4")</f>
        <v>http://www.linkedin.com/pub/kevin-doyle/9/487/4B4</v>
      </c>
      <c r="I2101" s="2" t="s">
        <v>15</v>
      </c>
      <c r="J2101" s="2" t="s">
        <v>102</v>
      </c>
      <c r="K2101" s="2" t="s">
        <v>97</v>
      </c>
    </row>
    <row r="2102" ht="15.75" customHeight="1">
      <c r="A2102" s="2">
        <v>759990.0</v>
      </c>
      <c r="B2102" s="2" t="s">
        <v>833</v>
      </c>
      <c r="C2102" s="2" t="s">
        <v>4965</v>
      </c>
      <c r="D2102" s="2" t="s">
        <v>42</v>
      </c>
      <c r="E2102" s="2" t="s">
        <v>1041</v>
      </c>
      <c r="F2102" s="2" t="s">
        <v>13</v>
      </c>
      <c r="G2102" s="2">
        <v>350.0</v>
      </c>
      <c r="H2102" s="3" t="str">
        <f>HYPERLINK("http://www.linkedin.com/pub/sander-pomper/1/279/9B3","http://www.linkedin.com/pub/sander-pomper/1/279/9B3")</f>
        <v>http://www.linkedin.com/pub/sander-pomper/1/279/9B3</v>
      </c>
      <c r="I2102" s="2" t="s">
        <v>48</v>
      </c>
      <c r="J2102" s="2" t="s">
        <v>102</v>
      </c>
      <c r="K2102" s="2" t="s">
        <v>35</v>
      </c>
    </row>
    <row r="2103" ht="15.75" customHeight="1">
      <c r="A2103" s="2">
        <v>760546.0</v>
      </c>
      <c r="B2103" s="2" t="s">
        <v>460</v>
      </c>
      <c r="C2103" s="2" t="s">
        <v>4966</v>
      </c>
      <c r="D2103" s="2" t="s">
        <v>47</v>
      </c>
      <c r="E2103" s="2" t="s">
        <v>4967</v>
      </c>
      <c r="F2103" s="2" t="s">
        <v>13</v>
      </c>
      <c r="G2103" s="2">
        <v>500.0</v>
      </c>
      <c r="H2103" s="3" t="str">
        <f>HYPERLINK("http://uk.linkedin.com/in/johnfirthacclimatise","http://uk.linkedin.com/in/johnfirthacclimatise")</f>
        <v>http://uk.linkedin.com/in/johnfirthacclimatise</v>
      </c>
      <c r="I2103" s="2" t="s">
        <v>57</v>
      </c>
      <c r="J2103" s="2" t="s">
        <v>53</v>
      </c>
      <c r="K2103" s="2" t="s">
        <v>58</v>
      </c>
    </row>
    <row r="2104" ht="15.75" customHeight="1">
      <c r="A2104" s="2">
        <v>760923.0</v>
      </c>
      <c r="B2104" s="2" t="s">
        <v>796</v>
      </c>
      <c r="C2104" s="2" t="s">
        <v>4968</v>
      </c>
      <c r="D2104" s="2" t="s">
        <v>4969</v>
      </c>
      <c r="E2104" s="2" t="s">
        <v>4970</v>
      </c>
      <c r="F2104" s="2">
        <v>2.0</v>
      </c>
      <c r="G2104" s="2">
        <v>359.0</v>
      </c>
      <c r="H2104" s="3" t="str">
        <f>HYPERLINK("http://ca.linkedin.com/pub/simon-l-vesque/4/270/254","http://ca.linkedin.com/pub/simon-l-vesque/4/270/254")</f>
        <v>http://ca.linkedin.com/pub/simon-l-vesque/4/270/254</v>
      </c>
      <c r="I2104" s="2" t="s">
        <v>15</v>
      </c>
      <c r="J2104" s="2" t="s">
        <v>44</v>
      </c>
      <c r="K2104" s="2" t="s">
        <v>35</v>
      </c>
    </row>
    <row r="2105" ht="15.75" customHeight="1">
      <c r="A2105" s="2">
        <v>760958.0</v>
      </c>
      <c r="B2105" s="2" t="s">
        <v>4971</v>
      </c>
      <c r="C2105" s="2" t="s">
        <v>4972</v>
      </c>
      <c r="D2105" s="2" t="s">
        <v>4973</v>
      </c>
      <c r="E2105" s="2" t="s">
        <v>1702</v>
      </c>
      <c r="F2105" s="2">
        <v>6.0</v>
      </c>
      <c r="G2105" s="2">
        <v>240.0</v>
      </c>
      <c r="H2105" s="3" t="str">
        <f>HYPERLINK("http://www.linkedin.com/in/ashishnainwal","http://www.linkedin.com/in/ashishnainwal")</f>
        <v>http://www.linkedin.com/in/ashishnainwal</v>
      </c>
      <c r="I2105" s="2" t="s">
        <v>15</v>
      </c>
      <c r="J2105" s="2" t="s">
        <v>1703</v>
      </c>
      <c r="K2105" s="2" t="s">
        <v>580</v>
      </c>
    </row>
    <row r="2106" ht="15.75" customHeight="1">
      <c r="A2106" s="2">
        <v>761224.0</v>
      </c>
      <c r="B2106" s="2" t="s">
        <v>4974</v>
      </c>
      <c r="C2106" s="2" t="s">
        <v>4975</v>
      </c>
      <c r="D2106" s="2" t="s">
        <v>13</v>
      </c>
      <c r="E2106" s="2" t="s">
        <v>101</v>
      </c>
      <c r="F2106" s="2">
        <v>0.0</v>
      </c>
      <c r="G2106" s="2">
        <v>500.0</v>
      </c>
      <c r="H2106" s="3" t="str">
        <f>HYPERLINK("https://www.linkedin.com/in/germainemoody","https://www.linkedin.com/in/germainemoody")</f>
        <v>https://www.linkedin.com/in/germainemoody</v>
      </c>
      <c r="I2106" s="2" t="s">
        <v>560</v>
      </c>
      <c r="J2106" s="2" t="s">
        <v>102</v>
      </c>
      <c r="K2106" s="2" t="s">
        <v>35</v>
      </c>
    </row>
    <row r="2107" ht="15.75" customHeight="1">
      <c r="A2107" s="2">
        <v>761758.0</v>
      </c>
      <c r="B2107" s="2" t="s">
        <v>1868</v>
      </c>
      <c r="C2107" s="2" t="s">
        <v>489</v>
      </c>
      <c r="D2107" s="2" t="s">
        <v>347</v>
      </c>
      <c r="E2107" s="2" t="s">
        <v>301</v>
      </c>
      <c r="F2107" s="2" t="s">
        <v>13</v>
      </c>
      <c r="G2107" s="2">
        <v>500.0</v>
      </c>
      <c r="H2107" s="3" t="str">
        <f>HYPERLINK("http://www.linkedin.com/pub/jack-carter/8/BA7/105","http://www.linkedin.com/pub/jack-carter/8/BA7/105")</f>
        <v>http://www.linkedin.com/pub/jack-carter/8/BA7/105</v>
      </c>
      <c r="I2107" s="2" t="s">
        <v>48</v>
      </c>
      <c r="J2107" s="2" t="s">
        <v>102</v>
      </c>
      <c r="K2107" s="2" t="s">
        <v>35</v>
      </c>
    </row>
    <row r="2108" ht="15.75" customHeight="1">
      <c r="A2108" s="2">
        <v>761871.0</v>
      </c>
      <c r="B2108" s="2" t="s">
        <v>879</v>
      </c>
      <c r="C2108" s="2" t="s">
        <v>4976</v>
      </c>
      <c r="D2108" s="2" t="s">
        <v>4977</v>
      </c>
      <c r="E2108" s="2" t="s">
        <v>4978</v>
      </c>
      <c r="F2108" s="2">
        <v>14.0</v>
      </c>
      <c r="G2108" s="2">
        <v>500.0</v>
      </c>
      <c r="H2108" s="3" t="str">
        <f>HYPERLINK("http://www.linkedin.com/pub/richard-bodien/0/1A2/A57","http://www.linkedin.com/pub/richard-bodien/0/1A2/A57")</f>
        <v>http://www.linkedin.com/pub/richard-bodien/0/1A2/A57</v>
      </c>
      <c r="I2108" s="2" t="s">
        <v>2285</v>
      </c>
      <c r="J2108" s="2" t="s">
        <v>16</v>
      </c>
      <c r="K2108" s="2" t="s">
        <v>97</v>
      </c>
    </row>
    <row r="2109" ht="15.75" customHeight="1">
      <c r="A2109" s="2">
        <v>761895.0</v>
      </c>
      <c r="B2109" s="2" t="s">
        <v>1217</v>
      </c>
      <c r="C2109" s="2" t="s">
        <v>4979</v>
      </c>
      <c r="D2109" s="2" t="s">
        <v>4980</v>
      </c>
      <c r="E2109" s="2" t="s">
        <v>971</v>
      </c>
      <c r="F2109" s="2">
        <v>3.0</v>
      </c>
      <c r="G2109" s="2">
        <v>500.0</v>
      </c>
      <c r="H2109" s="3" t="str">
        <f>HYPERLINK("http://www.linkedin.com/in/iwheaton","http://www.linkedin.com/in/iwheaton")</f>
        <v>http://www.linkedin.com/in/iwheaton</v>
      </c>
      <c r="I2109" s="2" t="s">
        <v>248</v>
      </c>
      <c r="J2109" s="2" t="s">
        <v>102</v>
      </c>
      <c r="K2109" s="2" t="s">
        <v>196</v>
      </c>
    </row>
    <row r="2110" ht="15.75" customHeight="1">
      <c r="A2110" s="2">
        <v>762036.0</v>
      </c>
      <c r="B2110" s="2" t="s">
        <v>460</v>
      </c>
      <c r="C2110" s="2" t="s">
        <v>4981</v>
      </c>
      <c r="D2110" s="2" t="s">
        <v>4982</v>
      </c>
      <c r="E2110" s="2" t="s">
        <v>259</v>
      </c>
      <c r="F2110" s="2">
        <v>5.0</v>
      </c>
      <c r="G2110" s="2">
        <v>500.0</v>
      </c>
      <c r="H2110" s="3" t="str">
        <f>HYPERLINK("http://www.linkedin.com/in/johncharrison","http://www.linkedin.com/in/johncharrison")</f>
        <v>http://www.linkedin.com/in/johncharrison</v>
      </c>
      <c r="I2110" s="2" t="s">
        <v>48</v>
      </c>
      <c r="J2110" s="2" t="s">
        <v>144</v>
      </c>
      <c r="K2110" s="2" t="s">
        <v>766</v>
      </c>
    </row>
    <row r="2111" ht="15.75" customHeight="1">
      <c r="A2111" s="2">
        <v>762120.0</v>
      </c>
      <c r="B2111" s="2" t="s">
        <v>721</v>
      </c>
      <c r="C2111" s="2" t="s">
        <v>4983</v>
      </c>
      <c r="D2111" s="2" t="s">
        <v>4984</v>
      </c>
      <c r="E2111" s="2" t="s">
        <v>136</v>
      </c>
      <c r="F2111" s="2">
        <v>4.0</v>
      </c>
      <c r="G2111" s="2">
        <v>379.0</v>
      </c>
      <c r="H2111" s="3" t="str">
        <f>HYPERLINK("http://www.linkedin.com/pub/andrew-lam/0/50/894","http://www.linkedin.com/pub/andrew-lam/0/50/894")</f>
        <v>http://www.linkedin.com/pub/andrew-lam/0/50/894</v>
      </c>
      <c r="I2111" s="2" t="s">
        <v>48</v>
      </c>
      <c r="J2111" s="2" t="s">
        <v>102</v>
      </c>
      <c r="K2111" s="2" t="s">
        <v>35</v>
      </c>
    </row>
    <row r="2112" ht="15.75" customHeight="1">
      <c r="A2112" s="2">
        <v>762459.0</v>
      </c>
      <c r="B2112" s="2" t="s">
        <v>133</v>
      </c>
      <c r="C2112" s="2" t="s">
        <v>4985</v>
      </c>
      <c r="D2112" s="2" t="s">
        <v>47</v>
      </c>
      <c r="E2112" s="2" t="s">
        <v>235</v>
      </c>
      <c r="F2112" s="2" t="s">
        <v>13</v>
      </c>
      <c r="G2112" s="2">
        <v>500.0</v>
      </c>
      <c r="H2112" s="3" t="str">
        <f>HYPERLINK("http://www.linkedin.com/in/mikeortner","http://www.linkedin.com/in/mikeortner")</f>
        <v>http://www.linkedin.com/in/mikeortner</v>
      </c>
      <c r="I2112" s="2" t="s">
        <v>69</v>
      </c>
      <c r="J2112" s="2" t="s">
        <v>102</v>
      </c>
      <c r="K2112" s="2" t="s">
        <v>35</v>
      </c>
    </row>
    <row r="2113" ht="15.75" customHeight="1">
      <c r="A2113" s="2">
        <v>762807.0</v>
      </c>
      <c r="B2113" s="2" t="s">
        <v>4986</v>
      </c>
      <c r="C2113" s="2" t="s">
        <v>4987</v>
      </c>
      <c r="D2113" s="2" t="s">
        <v>4988</v>
      </c>
      <c r="E2113" s="2" t="s">
        <v>122</v>
      </c>
      <c r="F2113" s="2" t="s">
        <v>13</v>
      </c>
      <c r="G2113" s="2">
        <v>500.0</v>
      </c>
      <c r="H2113" s="3" t="str">
        <f>HYPERLINK("http://uk.linkedin.com/in/juliengargowitsch","http://uk.linkedin.com/in/juliengargowitsch")</f>
        <v>http://uk.linkedin.com/in/juliengargowitsch</v>
      </c>
      <c r="I2113" s="2" t="s">
        <v>48</v>
      </c>
      <c r="J2113" s="2" t="s">
        <v>53</v>
      </c>
      <c r="K2113" s="2" t="s">
        <v>35</v>
      </c>
    </row>
    <row r="2114" ht="15.75" customHeight="1">
      <c r="A2114" s="2">
        <v>763228.0</v>
      </c>
      <c r="B2114" s="2" t="s">
        <v>460</v>
      </c>
      <c r="C2114" s="2" t="s">
        <v>4989</v>
      </c>
      <c r="D2114" s="2" t="s">
        <v>114</v>
      </c>
      <c r="E2114" s="2" t="s">
        <v>1009</v>
      </c>
      <c r="F2114" s="2">
        <v>1.0</v>
      </c>
      <c r="G2114" s="2">
        <v>500.0</v>
      </c>
      <c r="H2114" s="3" t="str">
        <f>HYPERLINK("http://www.linkedin.com/pub/john-byxbee/8/617/2B2","http://www.linkedin.com/pub/john-byxbee/8/617/2B2")</f>
        <v>http://www.linkedin.com/pub/john-byxbee/8/617/2B2</v>
      </c>
      <c r="I2114" s="2" t="s">
        <v>15</v>
      </c>
      <c r="J2114" s="2" t="s">
        <v>87</v>
      </c>
      <c r="K2114" s="2" t="s">
        <v>97</v>
      </c>
    </row>
    <row r="2115" ht="15.75" customHeight="1">
      <c r="A2115" s="2">
        <v>763900.0</v>
      </c>
      <c r="B2115" s="2" t="s">
        <v>1405</v>
      </c>
      <c r="C2115" s="2" t="s">
        <v>3842</v>
      </c>
      <c r="D2115" s="2" t="s">
        <v>114</v>
      </c>
      <c r="E2115" s="2" t="s">
        <v>3829</v>
      </c>
      <c r="F2115" s="2">
        <v>5.0</v>
      </c>
      <c r="G2115" s="2">
        <v>500.0</v>
      </c>
      <c r="H2115" s="3" t="str">
        <f>HYPERLINK("http://www.linkedin.com/pub/ron-hoffman/8/642/11B","http://www.linkedin.com/pub/ron-hoffman/8/642/11B")</f>
        <v>http://www.linkedin.com/pub/ron-hoffman/8/642/11B</v>
      </c>
      <c r="I2115" s="2" t="s">
        <v>132</v>
      </c>
      <c r="J2115" s="2" t="s">
        <v>102</v>
      </c>
      <c r="K2115" s="2" t="s">
        <v>58</v>
      </c>
    </row>
    <row r="2116" ht="15.75" customHeight="1">
      <c r="A2116" s="2">
        <v>764107.0</v>
      </c>
      <c r="B2116" s="2" t="s">
        <v>752</v>
      </c>
      <c r="C2116" s="2" t="s">
        <v>4990</v>
      </c>
      <c r="D2116" s="2" t="s">
        <v>4991</v>
      </c>
      <c r="E2116" s="2" t="s">
        <v>4992</v>
      </c>
      <c r="F2116" s="2">
        <v>4.0</v>
      </c>
      <c r="G2116" s="2">
        <v>500.0</v>
      </c>
      <c r="H2116" s="3" t="str">
        <f>HYPERLINK("http://www.linkedin.com/in/jamescgreen","http://www.linkedin.com/in/jamescgreen")</f>
        <v>http://www.linkedin.com/in/jamescgreen</v>
      </c>
      <c r="I2116" s="2" t="s">
        <v>77</v>
      </c>
      <c r="J2116" s="2" t="s">
        <v>16</v>
      </c>
      <c r="K2116" s="2" t="s">
        <v>2552</v>
      </c>
    </row>
    <row r="2117" ht="15.75" customHeight="1">
      <c r="A2117" s="2">
        <v>764786.0</v>
      </c>
      <c r="B2117" s="2" t="s">
        <v>4993</v>
      </c>
      <c r="C2117" s="2" t="s">
        <v>4994</v>
      </c>
      <c r="D2117" s="2" t="s">
        <v>633</v>
      </c>
      <c r="E2117" s="2" t="s">
        <v>136</v>
      </c>
      <c r="F2117" s="2" t="s">
        <v>13</v>
      </c>
      <c r="G2117" s="2">
        <v>500.0</v>
      </c>
      <c r="H2117" s="3" t="str">
        <f>HYPERLINK("http://www.linkedin.com/in/calebelston","http://www.linkedin.com/in/calebelston")</f>
        <v>http://www.linkedin.com/in/calebelston</v>
      </c>
      <c r="I2117" s="2" t="s">
        <v>69</v>
      </c>
      <c r="J2117" s="2" t="s">
        <v>102</v>
      </c>
      <c r="K2117" s="2" t="s">
        <v>35</v>
      </c>
    </row>
    <row r="2118" ht="15.75" customHeight="1">
      <c r="A2118" s="2">
        <v>765322.0</v>
      </c>
      <c r="B2118" s="2" t="s">
        <v>3695</v>
      </c>
      <c r="C2118" s="2" t="s">
        <v>4995</v>
      </c>
      <c r="D2118" s="2" t="s">
        <v>4996</v>
      </c>
      <c r="E2118" s="2" t="s">
        <v>1368</v>
      </c>
      <c r="F2118" s="2" t="s">
        <v>13</v>
      </c>
      <c r="G2118" s="2">
        <v>500.0</v>
      </c>
      <c r="H2118" s="3" t="str">
        <f>HYPERLINK("http://nl.linkedin.com/pub/andre-meer-van-der/3/122/2BA","http://nl.linkedin.com/pub/andre-meer-van-der/3/122/2BA")</f>
        <v>http://nl.linkedin.com/pub/andre-meer-van-der/3/122/2BA</v>
      </c>
      <c r="I2118" s="2" t="s">
        <v>15</v>
      </c>
      <c r="J2118" s="2" t="s">
        <v>837</v>
      </c>
      <c r="K2118" s="2" t="s">
        <v>35</v>
      </c>
    </row>
    <row r="2119" ht="15.75" customHeight="1">
      <c r="A2119" s="2">
        <v>765716.0</v>
      </c>
      <c r="B2119" s="2" t="s">
        <v>2286</v>
      </c>
      <c r="C2119" s="2" t="s">
        <v>4997</v>
      </c>
      <c r="D2119" s="2" t="s">
        <v>4998</v>
      </c>
      <c r="E2119" s="2" t="s">
        <v>4060</v>
      </c>
      <c r="F2119" s="2">
        <v>12.0</v>
      </c>
      <c r="G2119" s="2">
        <v>500.0</v>
      </c>
      <c r="H2119" s="3" t="str">
        <f>HYPERLINK("http://www.linkedin.com/in/amyjblack","http://www.linkedin.com/in/amyjblack")</f>
        <v>http://www.linkedin.com/in/amyjblack</v>
      </c>
      <c r="I2119" s="2" t="s">
        <v>318</v>
      </c>
      <c r="J2119" s="2" t="s">
        <v>102</v>
      </c>
      <c r="K2119" s="2" t="s">
        <v>138</v>
      </c>
    </row>
    <row r="2120" ht="15.75" customHeight="1">
      <c r="A2120" s="2">
        <v>767508.0</v>
      </c>
      <c r="B2120" s="2" t="s">
        <v>4999</v>
      </c>
      <c r="C2120" s="2" t="s">
        <v>5000</v>
      </c>
      <c r="D2120" s="2" t="s">
        <v>5001</v>
      </c>
      <c r="E2120" s="2" t="s">
        <v>305</v>
      </c>
      <c r="F2120" s="2" t="s">
        <v>13</v>
      </c>
      <c r="G2120" s="2">
        <v>243.0</v>
      </c>
      <c r="H2120" s="3" t="str">
        <f>HYPERLINK("http://www.linkedin.com/pub/vicki-pollman/5/556/227","http://www.linkedin.com/pub/vicki-pollman/5/556/227")</f>
        <v>http://www.linkedin.com/pub/vicki-pollman/5/556/227</v>
      </c>
      <c r="I2120" s="2" t="s">
        <v>579</v>
      </c>
      <c r="J2120" s="2" t="s">
        <v>102</v>
      </c>
      <c r="K2120" s="2" t="s">
        <v>97</v>
      </c>
    </row>
    <row r="2121" ht="15.75" customHeight="1">
      <c r="A2121" s="2">
        <v>767906.0</v>
      </c>
      <c r="B2121" s="2" t="s">
        <v>412</v>
      </c>
      <c r="C2121" s="2" t="s">
        <v>5002</v>
      </c>
      <c r="D2121" s="2" t="s">
        <v>114</v>
      </c>
      <c r="E2121" s="2" t="s">
        <v>3922</v>
      </c>
      <c r="F2121" s="2" t="s">
        <v>13</v>
      </c>
      <c r="G2121" s="2">
        <v>227.0</v>
      </c>
      <c r="H2121" s="3" t="str">
        <f>HYPERLINK("http://www.linkedin.com/in/robertzadotti","http://www.linkedin.com/in/robertzadotti")</f>
        <v>http://www.linkedin.com/in/robertzadotti</v>
      </c>
      <c r="I2121" s="2" t="s">
        <v>5003</v>
      </c>
      <c r="J2121" s="2" t="s">
        <v>273</v>
      </c>
      <c r="K2121" s="2" t="s">
        <v>196</v>
      </c>
    </row>
    <row r="2122" ht="15.75" customHeight="1">
      <c r="A2122" s="2">
        <v>768376.0</v>
      </c>
      <c r="B2122" s="2" t="s">
        <v>5004</v>
      </c>
      <c r="C2122" s="2" t="s">
        <v>5005</v>
      </c>
      <c r="D2122" s="2" t="s">
        <v>5006</v>
      </c>
      <c r="E2122" s="2" t="s">
        <v>136</v>
      </c>
      <c r="F2122" s="2">
        <v>1.0</v>
      </c>
      <c r="G2122" s="2">
        <v>427.0</v>
      </c>
      <c r="H2122" s="3" t="str">
        <f>HYPERLINK("http://www.linkedin.com/pub/vadim-geshel/0/8/584","http://www.linkedin.com/pub/vadim-geshel/0/8/584")</f>
        <v>http://www.linkedin.com/pub/vadim-geshel/0/8/584</v>
      </c>
      <c r="I2122" s="2" t="s">
        <v>48</v>
      </c>
      <c r="J2122" s="2" t="s">
        <v>102</v>
      </c>
      <c r="K2122" s="2" t="s">
        <v>35</v>
      </c>
    </row>
    <row r="2123" ht="15.75" customHeight="1">
      <c r="A2123" s="2">
        <v>768745.0</v>
      </c>
      <c r="B2123" s="2" t="s">
        <v>5007</v>
      </c>
      <c r="C2123" s="2" t="s">
        <v>5008</v>
      </c>
      <c r="D2123" s="2" t="s">
        <v>5009</v>
      </c>
      <c r="E2123" s="2" t="s">
        <v>2454</v>
      </c>
      <c r="F2123" s="2" t="s">
        <v>13</v>
      </c>
      <c r="G2123" s="2">
        <v>277.0</v>
      </c>
      <c r="H2123" s="3" t="str">
        <f>HYPERLINK("http://www.linkedin.com/in/arnellmilhouse","http://www.linkedin.com/in/arnellmilhouse")</f>
        <v>http://www.linkedin.com/in/arnellmilhouse</v>
      </c>
      <c r="I2123" s="2" t="s">
        <v>69</v>
      </c>
      <c r="J2123" s="2" t="s">
        <v>102</v>
      </c>
      <c r="K2123" s="2" t="s">
        <v>35</v>
      </c>
    </row>
    <row r="2124" ht="15.75" customHeight="1">
      <c r="A2124" s="2">
        <v>768970.0</v>
      </c>
      <c r="B2124" s="2" t="s">
        <v>348</v>
      </c>
      <c r="C2124" s="2" t="s">
        <v>5010</v>
      </c>
      <c r="D2124" s="2" t="s">
        <v>5011</v>
      </c>
      <c r="E2124" s="2" t="s">
        <v>301</v>
      </c>
      <c r="F2124" s="2" t="s">
        <v>13</v>
      </c>
      <c r="G2124" s="2">
        <v>500.0</v>
      </c>
      <c r="H2124" s="3" t="str">
        <f>HYPERLINK("http://www.linkedin.com/pub/kim-donaldson/4/3AB/442","http://www.linkedin.com/pub/kim-donaldson/4/3AB/442")</f>
        <v>http://www.linkedin.com/pub/kim-donaldson/4/3AB/442</v>
      </c>
      <c r="I2124" s="2" t="s">
        <v>69</v>
      </c>
      <c r="J2124" s="2" t="s">
        <v>102</v>
      </c>
      <c r="K2124" s="2" t="s">
        <v>35</v>
      </c>
    </row>
    <row r="2125" ht="15.75" customHeight="1">
      <c r="A2125" s="2">
        <v>769073.0</v>
      </c>
      <c r="B2125" s="2" t="s">
        <v>1015</v>
      </c>
      <c r="C2125" s="2" t="s">
        <v>5012</v>
      </c>
      <c r="D2125" s="2"/>
      <c r="E2125" s="2" t="s">
        <v>5013</v>
      </c>
      <c r="F2125" s="2">
        <v>0.0</v>
      </c>
      <c r="G2125" s="2">
        <v>383.0</v>
      </c>
      <c r="H2125" s="3" t="str">
        <f>HYPERLINK("http://www.linkedin.com/pub/brian-quirion/1/810/237","http://www.linkedin.com/pub/brian-quirion/1/810/237")</f>
        <v>http://www.linkedin.com/pub/brian-quirion/1/810/237</v>
      </c>
      <c r="I2125" s="2" t="s">
        <v>48</v>
      </c>
      <c r="J2125" s="2" t="s">
        <v>5014</v>
      </c>
      <c r="K2125" s="2" t="s">
        <v>35</v>
      </c>
    </row>
    <row r="2126" ht="15.75" customHeight="1">
      <c r="A2126" s="2">
        <v>769113.0</v>
      </c>
      <c r="B2126" s="2" t="s">
        <v>5015</v>
      </c>
      <c r="C2126" s="2" t="s">
        <v>5016</v>
      </c>
      <c r="D2126" s="2" t="s">
        <v>3466</v>
      </c>
      <c r="E2126" s="2" t="s">
        <v>765</v>
      </c>
      <c r="F2126" s="2">
        <v>4.0</v>
      </c>
      <c r="G2126" s="2">
        <v>500.0</v>
      </c>
      <c r="H2126" s="3" t="str">
        <f>HYPERLINK("http://www.linkedin.com/in/elmereubanks","http://www.linkedin.com/in/elmereubanks")</f>
        <v>http://www.linkedin.com/in/elmereubanks</v>
      </c>
      <c r="I2126" s="2" t="s">
        <v>57</v>
      </c>
      <c r="J2126" s="2" t="s">
        <v>144</v>
      </c>
      <c r="K2126" s="2" t="s">
        <v>97</v>
      </c>
    </row>
    <row r="2127" ht="15.75" customHeight="1">
      <c r="A2127" s="2">
        <v>769171.0</v>
      </c>
      <c r="B2127" s="2" t="s">
        <v>178</v>
      </c>
      <c r="C2127" s="2" t="s">
        <v>5017</v>
      </c>
      <c r="D2127" s="2" t="s">
        <v>42</v>
      </c>
      <c r="E2127" s="2" t="s">
        <v>301</v>
      </c>
      <c r="F2127" s="2" t="s">
        <v>13</v>
      </c>
      <c r="G2127" s="2">
        <v>101.0</v>
      </c>
      <c r="H2127" s="3" t="str">
        <f>HYPERLINK("http://www.linkedin.com/pub/joe-kulesa/4/A56/842","http://www.linkedin.com/pub/joe-kulesa/4/A56/842")</f>
        <v>http://www.linkedin.com/pub/joe-kulesa/4/A56/842</v>
      </c>
      <c r="I2127" s="2" t="s">
        <v>69</v>
      </c>
      <c r="J2127" s="2" t="s">
        <v>102</v>
      </c>
      <c r="K2127" s="2" t="s">
        <v>35</v>
      </c>
    </row>
    <row r="2128" ht="15.75" customHeight="1">
      <c r="A2128" s="2">
        <v>770328.0</v>
      </c>
      <c r="B2128" s="2" t="s">
        <v>5018</v>
      </c>
      <c r="C2128" s="2" t="s">
        <v>5019</v>
      </c>
      <c r="D2128" s="2" t="s">
        <v>13</v>
      </c>
      <c r="E2128" s="2" t="s">
        <v>181</v>
      </c>
      <c r="F2128" s="2">
        <v>0.0</v>
      </c>
      <c r="G2128" s="2">
        <v>500.0</v>
      </c>
      <c r="H2128" s="3" t="str">
        <f>HYPERLINK("http://www.linkedin.com/pub/eddy-m-micich-emicich-at-gmail-com/5/326/26","http://www.linkedin.com/pub/eddy-m-micich-emicich-at-gmail-com/5/326/26")</f>
        <v>http://www.linkedin.com/pub/eddy-m-micich-emicich-at-gmail-com/5/326/26</v>
      </c>
      <c r="I2128" s="2" t="s">
        <v>15</v>
      </c>
      <c r="J2128" s="2" t="s">
        <v>102</v>
      </c>
      <c r="K2128" s="2" t="s">
        <v>35</v>
      </c>
    </row>
    <row r="2129" ht="15.75" customHeight="1">
      <c r="A2129" s="2">
        <v>770653.0</v>
      </c>
      <c r="B2129" s="2" t="s">
        <v>3793</v>
      </c>
      <c r="C2129" s="2" t="s">
        <v>944</v>
      </c>
      <c r="D2129" s="2" t="s">
        <v>42</v>
      </c>
      <c r="E2129" s="2" t="s">
        <v>1147</v>
      </c>
      <c r="F2129" s="2">
        <v>6.0</v>
      </c>
      <c r="G2129" s="2">
        <v>500.0</v>
      </c>
      <c r="H2129" s="3" t="str">
        <f>HYPERLINK("http://www.linkedin.com/in/jilllazar","http://www.linkedin.com/in/jilllazar")</f>
        <v>http://www.linkedin.com/in/jilllazar</v>
      </c>
      <c r="I2129" s="2" t="s">
        <v>105</v>
      </c>
      <c r="J2129" s="2" t="s">
        <v>102</v>
      </c>
      <c r="K2129" s="2" t="s">
        <v>58</v>
      </c>
    </row>
    <row r="2130" ht="15.75" customHeight="1">
      <c r="A2130" s="2">
        <v>770692.0</v>
      </c>
      <c r="B2130" s="2" t="s">
        <v>5020</v>
      </c>
      <c r="C2130" s="2" t="s">
        <v>5021</v>
      </c>
      <c r="D2130" s="2" t="s">
        <v>13</v>
      </c>
      <c r="E2130" s="2" t="s">
        <v>325</v>
      </c>
      <c r="F2130" s="2">
        <v>0.0</v>
      </c>
      <c r="G2130" s="2">
        <v>500.0</v>
      </c>
      <c r="H2130" s="3" t="str">
        <f>HYPERLINK("http://www.linkedin.com/pub/brandi-paik/14/8A0/2B3","http://www.linkedin.com/pub/brandi-paik/14/8A0/2B3")</f>
        <v>http://www.linkedin.com/pub/brandi-paik/14/8A0/2B3</v>
      </c>
      <c r="I2130" s="2" t="s">
        <v>156</v>
      </c>
      <c r="J2130" s="2" t="s">
        <v>102</v>
      </c>
      <c r="K2130" s="2" t="s">
        <v>58</v>
      </c>
    </row>
    <row r="2131" ht="15.75" customHeight="1">
      <c r="A2131" s="2">
        <v>771760.0</v>
      </c>
      <c r="B2131" s="2" t="s">
        <v>2239</v>
      </c>
      <c r="C2131" s="2" t="s">
        <v>5022</v>
      </c>
      <c r="D2131" s="2" t="s">
        <v>4247</v>
      </c>
      <c r="E2131" s="2" t="s">
        <v>403</v>
      </c>
      <c r="F2131" s="2" t="s">
        <v>13</v>
      </c>
      <c r="G2131" s="2">
        <v>494.0</v>
      </c>
      <c r="H2131" s="3" t="str">
        <f>HYPERLINK("http://ca.linkedin.com/in/russbuchanan","http://ca.linkedin.com/in/russbuchanan")</f>
        <v>http://ca.linkedin.com/in/russbuchanan</v>
      </c>
      <c r="I2131" s="2" t="s">
        <v>15</v>
      </c>
      <c r="J2131" s="2" t="s">
        <v>44</v>
      </c>
      <c r="K2131" s="2" t="s">
        <v>35</v>
      </c>
    </row>
    <row r="2132" ht="15.75" customHeight="1">
      <c r="A2132" s="2">
        <v>773114.0</v>
      </c>
      <c r="B2132" s="2" t="s">
        <v>5023</v>
      </c>
      <c r="C2132" s="2" t="s">
        <v>5024</v>
      </c>
      <c r="D2132" s="2" t="s">
        <v>5025</v>
      </c>
      <c r="E2132" s="2" t="s">
        <v>1806</v>
      </c>
      <c r="F2132" s="2">
        <v>6.0</v>
      </c>
      <c r="G2132" s="2">
        <v>500.0</v>
      </c>
      <c r="H2132" s="3" t="str">
        <f>HYPERLINK("http://www.linkedin.com/in/hillstreetstudios","http://www.linkedin.com/in/hillstreetstudios")</f>
        <v>http://www.linkedin.com/in/hillstreetstudios</v>
      </c>
      <c r="I2132" s="2" t="s">
        <v>1361</v>
      </c>
      <c r="J2132" s="2" t="s">
        <v>102</v>
      </c>
      <c r="K2132" s="2" t="s">
        <v>58</v>
      </c>
    </row>
    <row r="2133" ht="15.75" customHeight="1">
      <c r="A2133" s="2">
        <v>773202.0</v>
      </c>
      <c r="B2133" s="2" t="s">
        <v>2522</v>
      </c>
      <c r="C2133" s="2" t="s">
        <v>5026</v>
      </c>
      <c r="D2133" s="2" t="s">
        <v>5027</v>
      </c>
      <c r="E2133" s="2" t="s">
        <v>1956</v>
      </c>
      <c r="F2133" s="2">
        <v>4.0</v>
      </c>
      <c r="G2133" s="2">
        <v>500.0</v>
      </c>
      <c r="H2133" s="3" t="str">
        <f>HYPERLINK("http://www.linkedin.com/in/laurenjwheeler","http://www.linkedin.com/in/laurenjwheeler")</f>
        <v>http://www.linkedin.com/in/laurenjwheeler</v>
      </c>
      <c r="I2133" s="2" t="s">
        <v>137</v>
      </c>
      <c r="J2133" s="2" t="s">
        <v>273</v>
      </c>
      <c r="K2133" s="2" t="s">
        <v>97</v>
      </c>
    </row>
    <row r="2134" ht="15.75" customHeight="1">
      <c r="A2134" s="2">
        <v>773581.0</v>
      </c>
      <c r="B2134" s="2" t="s">
        <v>3165</v>
      </c>
      <c r="C2134" s="2" t="s">
        <v>5028</v>
      </c>
      <c r="D2134" s="2" t="s">
        <v>5029</v>
      </c>
      <c r="E2134" s="2" t="s">
        <v>706</v>
      </c>
      <c r="F2134" s="2" t="s">
        <v>13</v>
      </c>
      <c r="G2134" s="2">
        <v>75.0</v>
      </c>
      <c r="H2134" s="3" t="str">
        <f>HYPERLINK("http://www.linkedin.com/pub/luciana-janoni/29/59B/11A","http://www.linkedin.com/pub/luciana-janoni/29/59B/11A")</f>
        <v>http://www.linkedin.com/pub/luciana-janoni/29/59B/11A</v>
      </c>
      <c r="I2134" s="2" t="s">
        <v>1841</v>
      </c>
      <c r="J2134" s="2" t="s">
        <v>34</v>
      </c>
      <c r="K2134" s="2" t="s">
        <v>22</v>
      </c>
    </row>
    <row r="2135" ht="15.75" customHeight="1">
      <c r="A2135" s="2">
        <v>773860.0</v>
      </c>
      <c r="B2135" s="2" t="s">
        <v>116</v>
      </c>
      <c r="C2135" s="2" t="s">
        <v>3869</v>
      </c>
      <c r="D2135" s="2" t="s">
        <v>5030</v>
      </c>
      <c r="E2135" s="2" t="s">
        <v>259</v>
      </c>
      <c r="F2135" s="2">
        <v>7.0</v>
      </c>
      <c r="G2135" s="2">
        <v>500.0</v>
      </c>
      <c r="H2135" s="3" t="str">
        <f>HYPERLINK("http://www.linkedin.com/in/emailmarketingstrategy","http://www.linkedin.com/in/emailmarketingstrategy")</f>
        <v>http://www.linkedin.com/in/emailmarketingstrategy</v>
      </c>
      <c r="I2135" s="2" t="s">
        <v>105</v>
      </c>
      <c r="J2135" s="2" t="s">
        <v>144</v>
      </c>
      <c r="K2135" s="2" t="s">
        <v>357</v>
      </c>
    </row>
    <row r="2136" ht="15.75" customHeight="1">
      <c r="A2136" s="2">
        <v>774021.0</v>
      </c>
      <c r="B2136" s="2" t="s">
        <v>3891</v>
      </c>
      <c r="C2136" s="2" t="s">
        <v>5031</v>
      </c>
      <c r="D2136" s="2" t="s">
        <v>5032</v>
      </c>
      <c r="E2136" s="2" t="s">
        <v>706</v>
      </c>
      <c r="F2136" s="2">
        <v>0.0</v>
      </c>
      <c r="G2136" s="2">
        <v>372.0</v>
      </c>
      <c r="H2136" s="3" t="str">
        <f>HYPERLINK("http://www.linkedin.com/pub/veronica-kimura/27/534/275","http://www.linkedin.com/pub/veronica-kimura/27/534/275")</f>
        <v>http://www.linkedin.com/pub/veronica-kimura/27/534/275</v>
      </c>
      <c r="I2136" s="2" t="s">
        <v>374</v>
      </c>
      <c r="J2136" s="2" t="s">
        <v>34</v>
      </c>
      <c r="K2136" s="2" t="s">
        <v>22</v>
      </c>
    </row>
    <row r="2137" ht="15.75" customHeight="1">
      <c r="A2137" s="2">
        <v>774284.0</v>
      </c>
      <c r="B2137" s="2" t="s">
        <v>2567</v>
      </c>
      <c r="C2137" s="2" t="s">
        <v>3152</v>
      </c>
      <c r="D2137" s="2" t="s">
        <v>498</v>
      </c>
      <c r="E2137" s="2" t="s">
        <v>3560</v>
      </c>
      <c r="F2137" s="2">
        <v>5.0</v>
      </c>
      <c r="G2137" s="2">
        <v>500.0</v>
      </c>
      <c r="H2137" s="3" t="str">
        <f>HYPERLINK("http://www.linkedin.com/in/brookschristopher","http://www.linkedin.com/in/brookschristopher")</f>
        <v>http://www.linkedin.com/in/brookschristopher</v>
      </c>
      <c r="I2137" s="2" t="s">
        <v>5033</v>
      </c>
      <c r="J2137" s="2" t="s">
        <v>28</v>
      </c>
      <c r="K2137" s="2" t="s">
        <v>1386</v>
      </c>
    </row>
    <row r="2138" ht="15.75" customHeight="1">
      <c r="A2138" s="2">
        <v>774377.0</v>
      </c>
      <c r="B2138" s="2" t="s">
        <v>3318</v>
      </c>
      <c r="C2138" s="2" t="s">
        <v>5034</v>
      </c>
      <c r="D2138" s="2" t="s">
        <v>5035</v>
      </c>
      <c r="E2138" s="2" t="s">
        <v>706</v>
      </c>
      <c r="F2138" s="2" t="s">
        <v>13</v>
      </c>
      <c r="G2138" s="2">
        <v>162.0</v>
      </c>
      <c r="H2138" s="3" t="str">
        <f>HYPERLINK("http://br.linkedin.com/pub/domingos-alterio/29/75A/370","http://br.linkedin.com/pub/domingos-alterio/29/75A/370")</f>
        <v>http://br.linkedin.com/pub/domingos-alterio/29/75A/370</v>
      </c>
      <c r="I2138" s="2" t="s">
        <v>5036</v>
      </c>
      <c r="J2138" s="2" t="s">
        <v>34</v>
      </c>
      <c r="K2138" s="2" t="s">
        <v>22</v>
      </c>
    </row>
    <row r="2139" ht="15.75" customHeight="1">
      <c r="A2139" s="2">
        <v>774498.0</v>
      </c>
      <c r="B2139" s="2" t="s">
        <v>1042</v>
      </c>
      <c r="C2139" s="2" t="s">
        <v>5037</v>
      </c>
      <c r="D2139" s="2" t="s">
        <v>5038</v>
      </c>
      <c r="E2139" s="2" t="s">
        <v>706</v>
      </c>
      <c r="F2139" s="2" t="s">
        <v>13</v>
      </c>
      <c r="G2139" s="2">
        <v>500.0</v>
      </c>
      <c r="H2139" s="3" t="str">
        <f>HYPERLINK("http://br.linkedin.com/pub/marina-b-menezes-de-lima/29/79A/5","http://br.linkedin.com/pub/marina-b-menezes-de-lima/29/79A/5")</f>
        <v>http://br.linkedin.com/pub/marina-b-menezes-de-lima/29/79A/5</v>
      </c>
      <c r="I2139" s="2" t="s">
        <v>96</v>
      </c>
      <c r="J2139" s="2" t="s">
        <v>34</v>
      </c>
      <c r="K2139" s="2" t="s">
        <v>97</v>
      </c>
    </row>
    <row r="2140" ht="15.75" customHeight="1">
      <c r="A2140" s="2">
        <v>774651.0</v>
      </c>
      <c r="B2140" s="2" t="s">
        <v>5039</v>
      </c>
      <c r="C2140" s="2" t="s">
        <v>5040</v>
      </c>
      <c r="D2140" s="2" t="s">
        <v>5041</v>
      </c>
      <c r="E2140" s="2" t="s">
        <v>706</v>
      </c>
      <c r="F2140" s="2">
        <v>1.0</v>
      </c>
      <c r="G2140" s="2">
        <v>131.0</v>
      </c>
      <c r="H2140" s="3" t="str">
        <f>HYPERLINK("http://br.linkedin.com/pub/rodolfo-marques-monegatto/29/801/A5A","http://br.linkedin.com/pub/rodolfo-marques-monegatto/29/801/A5A")</f>
        <v>http://br.linkedin.com/pub/rodolfo-marques-monegatto/29/801/A5A</v>
      </c>
      <c r="I2140" s="2" t="s">
        <v>629</v>
      </c>
      <c r="J2140" s="2" t="s">
        <v>34</v>
      </c>
      <c r="K2140" s="2" t="s">
        <v>97</v>
      </c>
    </row>
    <row r="2141" ht="15.75" customHeight="1">
      <c r="A2141" s="2">
        <v>774712.0</v>
      </c>
      <c r="B2141" s="2" t="s">
        <v>5042</v>
      </c>
      <c r="C2141" s="2" t="s">
        <v>5043</v>
      </c>
      <c r="D2141" s="2" t="s">
        <v>13</v>
      </c>
      <c r="E2141" s="2" t="s">
        <v>181</v>
      </c>
      <c r="F2141" s="2">
        <v>0.0</v>
      </c>
      <c r="G2141" s="2">
        <v>500.0</v>
      </c>
      <c r="H2141" s="3" t="str">
        <f>HYPERLINK("http://www.linkedin.com/in/veerallakhani","http://www.linkedin.com/in/veerallakhani")</f>
        <v>http://www.linkedin.com/in/veerallakhani</v>
      </c>
      <c r="I2141" s="2" t="s">
        <v>48</v>
      </c>
      <c r="J2141" s="2" t="s">
        <v>102</v>
      </c>
      <c r="K2141" s="2" t="s">
        <v>35</v>
      </c>
    </row>
    <row r="2142" ht="15.75" customHeight="1">
      <c r="A2142" s="2">
        <v>775349.0</v>
      </c>
      <c r="B2142" s="2" t="s">
        <v>5044</v>
      </c>
      <c r="C2142" s="2" t="s">
        <v>5045</v>
      </c>
      <c r="D2142" s="2" t="s">
        <v>5046</v>
      </c>
      <c r="E2142" s="2" t="s">
        <v>301</v>
      </c>
      <c r="F2142" s="2">
        <v>2.0</v>
      </c>
      <c r="G2142" s="2">
        <v>379.0</v>
      </c>
      <c r="H2142" s="3" t="str">
        <f>HYPERLINK("http://www.linkedin.com/in/ramvedantham","http://www.linkedin.com/in/ramvedantham")</f>
        <v>http://www.linkedin.com/in/ramvedantham</v>
      </c>
      <c r="I2142" s="2" t="s">
        <v>48</v>
      </c>
      <c r="J2142" s="2" t="s">
        <v>102</v>
      </c>
      <c r="K2142" s="2" t="s">
        <v>35</v>
      </c>
    </row>
    <row r="2143" ht="15.75" customHeight="1">
      <c r="A2143" s="2">
        <v>775878.0</v>
      </c>
      <c r="B2143" s="2" t="s">
        <v>879</v>
      </c>
      <c r="C2143" s="2" t="s">
        <v>5047</v>
      </c>
      <c r="D2143" s="2" t="s">
        <v>347</v>
      </c>
      <c r="E2143" s="2" t="s">
        <v>301</v>
      </c>
      <c r="F2143" s="2" t="s">
        <v>13</v>
      </c>
      <c r="G2143" s="2">
        <v>500.0</v>
      </c>
      <c r="H2143" s="3" t="str">
        <f>HYPERLINK("http://www.linkedin.com/pub/richard-ungar/0/145/90A","http://www.linkedin.com/pub/richard-ungar/0/145/90A")</f>
        <v>http://www.linkedin.com/pub/richard-ungar/0/145/90A</v>
      </c>
      <c r="I2143" s="2" t="s">
        <v>15</v>
      </c>
      <c r="J2143" s="2" t="s">
        <v>102</v>
      </c>
      <c r="K2143" s="2" t="s">
        <v>35</v>
      </c>
    </row>
    <row r="2144" ht="15.75" customHeight="1">
      <c r="A2144" s="2">
        <v>776028.0</v>
      </c>
      <c r="B2144" s="2" t="s">
        <v>2329</v>
      </c>
      <c r="C2144" s="2" t="s">
        <v>5048</v>
      </c>
      <c r="D2144" s="2" t="s">
        <v>5049</v>
      </c>
      <c r="E2144" s="2" t="s">
        <v>706</v>
      </c>
      <c r="F2144" s="2" t="s">
        <v>13</v>
      </c>
      <c r="G2144" s="2">
        <v>198.0</v>
      </c>
      <c r="H2144" s="3" t="str">
        <f>HYPERLINK("http://br.linkedin.com/pub/paulo-converso/29/A92/A1B","http://br.linkedin.com/pub/paulo-converso/29/A92/A1B")</f>
        <v>http://br.linkedin.com/pub/paulo-converso/29/A92/A1B</v>
      </c>
      <c r="I2144" s="2" t="s">
        <v>475</v>
      </c>
      <c r="J2144" s="2" t="s">
        <v>34</v>
      </c>
      <c r="K2144" s="2" t="s">
        <v>97</v>
      </c>
    </row>
    <row r="2145" ht="15.75" customHeight="1">
      <c r="A2145" s="2">
        <v>776170.0</v>
      </c>
      <c r="B2145" s="2" t="s">
        <v>1505</v>
      </c>
      <c r="C2145" s="2" t="s">
        <v>5050</v>
      </c>
      <c r="D2145" s="2" t="s">
        <v>5051</v>
      </c>
      <c r="E2145" s="2" t="s">
        <v>301</v>
      </c>
      <c r="F2145" s="2">
        <v>3.0</v>
      </c>
      <c r="G2145" s="2">
        <v>500.0</v>
      </c>
      <c r="H2145" s="3" t="str">
        <f>HYPERLINK("http://www.linkedin.com/in/lindamerill","http://www.linkedin.com/in/lindamerill")</f>
        <v>http://www.linkedin.com/in/lindamerill</v>
      </c>
      <c r="I2145" s="2" t="s">
        <v>248</v>
      </c>
      <c r="J2145" s="2" t="s">
        <v>102</v>
      </c>
      <c r="K2145" s="2" t="s">
        <v>196</v>
      </c>
    </row>
    <row r="2146" ht="15.75" customHeight="1">
      <c r="A2146" s="2">
        <v>776201.0</v>
      </c>
      <c r="B2146" s="2" t="s">
        <v>3268</v>
      </c>
      <c r="C2146" s="2" t="s">
        <v>5052</v>
      </c>
      <c r="D2146" s="2" t="s">
        <v>5053</v>
      </c>
      <c r="E2146" s="2" t="s">
        <v>706</v>
      </c>
      <c r="F2146" s="2" t="s">
        <v>13</v>
      </c>
      <c r="G2146" s="2">
        <v>249.0</v>
      </c>
      <c r="H2146" s="3" t="str">
        <f>HYPERLINK("http://br.linkedin.com/pub/patricia-torrente/29/B54/A0","http://br.linkedin.com/pub/patricia-torrente/29/B54/A0")</f>
        <v>http://br.linkedin.com/pub/patricia-torrente/29/B54/A0</v>
      </c>
      <c r="I2146" s="2" t="s">
        <v>629</v>
      </c>
      <c r="J2146" s="2" t="s">
        <v>34</v>
      </c>
      <c r="K2146" s="2" t="s">
        <v>1883</v>
      </c>
    </row>
    <row r="2147" ht="15.75" customHeight="1">
      <c r="A2147" s="2">
        <v>776387.0</v>
      </c>
      <c r="B2147" s="2" t="s">
        <v>609</v>
      </c>
      <c r="C2147" s="2" t="s">
        <v>5054</v>
      </c>
      <c r="D2147" s="2" t="s">
        <v>5055</v>
      </c>
      <c r="E2147" s="2" t="s">
        <v>706</v>
      </c>
      <c r="F2147" s="2">
        <v>12.0</v>
      </c>
      <c r="G2147" s="2">
        <v>500.0</v>
      </c>
      <c r="H2147" s="3" t="str">
        <f>HYPERLINK("http://br.linkedin.com/pub/ricardo-santana/2A/47/56A","http://br.linkedin.com/pub/ricardo-santana/2A/47/56A")</f>
        <v>http://br.linkedin.com/pub/ricardo-santana/2A/47/56A</v>
      </c>
      <c r="I2147" s="2" t="s">
        <v>629</v>
      </c>
      <c r="J2147" s="2" t="s">
        <v>34</v>
      </c>
      <c r="K2147" s="2" t="s">
        <v>1883</v>
      </c>
    </row>
    <row r="2148" ht="15.75" customHeight="1">
      <c r="A2148" s="2">
        <v>777337.0</v>
      </c>
      <c r="B2148" s="2" t="s">
        <v>4303</v>
      </c>
      <c r="C2148" s="2" t="s">
        <v>5056</v>
      </c>
      <c r="D2148" s="2" t="s">
        <v>5057</v>
      </c>
      <c r="E2148" s="2" t="s">
        <v>706</v>
      </c>
      <c r="F2148" s="2">
        <v>8.0</v>
      </c>
      <c r="G2148" s="2">
        <v>500.0</v>
      </c>
      <c r="H2148" s="3" t="str">
        <f>HYPERLINK("http://br.linkedin.com/pub/emerson-castro-pereira/2A/2A3/925","http://br.linkedin.com/pub/emerson-castro-pereira/2A/2A3/925")</f>
        <v>http://br.linkedin.com/pub/emerson-castro-pereira/2A/2A3/925</v>
      </c>
      <c r="I2148" s="2" t="s">
        <v>612</v>
      </c>
      <c r="J2148" s="2" t="s">
        <v>34</v>
      </c>
      <c r="K2148" s="2" t="s">
        <v>35</v>
      </c>
    </row>
    <row r="2149" ht="15.75" customHeight="1">
      <c r="A2149" s="2">
        <v>777437.0</v>
      </c>
      <c r="B2149" s="2" t="s">
        <v>5058</v>
      </c>
      <c r="C2149" s="2" t="s">
        <v>596</v>
      </c>
      <c r="D2149" s="2" t="s">
        <v>5059</v>
      </c>
      <c r="E2149" s="2" t="s">
        <v>5060</v>
      </c>
      <c r="F2149" s="2" t="s">
        <v>13</v>
      </c>
      <c r="G2149" s="2">
        <v>111.0</v>
      </c>
      <c r="H2149" s="3" t="str">
        <f>HYPERLINK("http://br.linkedin.com/pub/agnaldo-moreira/2A/2BB/2B0","http://br.linkedin.com/pub/agnaldo-moreira/2A/2BB/2B0")</f>
        <v>http://br.linkedin.com/pub/agnaldo-moreira/2A/2BB/2B0</v>
      </c>
      <c r="I2149" s="2" t="s">
        <v>1135</v>
      </c>
      <c r="J2149" s="2" t="s">
        <v>34</v>
      </c>
      <c r="K2149" s="2" t="s">
        <v>22</v>
      </c>
    </row>
    <row r="2150" ht="15.75" customHeight="1">
      <c r="A2150" s="2">
        <v>777499.0</v>
      </c>
      <c r="B2150" s="2" t="s">
        <v>133</v>
      </c>
      <c r="C2150" s="2" t="s">
        <v>5061</v>
      </c>
      <c r="D2150" s="2" t="s">
        <v>5062</v>
      </c>
      <c r="E2150" s="2" t="s">
        <v>5063</v>
      </c>
      <c r="F2150" s="2" t="s">
        <v>13</v>
      </c>
      <c r="G2150" s="2">
        <v>292.0</v>
      </c>
      <c r="H2150" s="3" t="str">
        <f>HYPERLINK("http://www.linkedin.com/pub/michael-santorini/11/380/901","http://www.linkedin.com/pub/michael-santorini/11/380/901")</f>
        <v>http://www.linkedin.com/pub/michael-santorini/11/380/901</v>
      </c>
      <c r="I2150" s="2" t="s">
        <v>458</v>
      </c>
      <c r="J2150" s="2" t="s">
        <v>273</v>
      </c>
      <c r="K2150" s="2" t="s">
        <v>22</v>
      </c>
    </row>
    <row r="2151" ht="15.75" customHeight="1">
      <c r="A2151" s="2">
        <v>777679.0</v>
      </c>
      <c r="B2151" s="2" t="s">
        <v>5064</v>
      </c>
      <c r="C2151" s="2" t="s">
        <v>5065</v>
      </c>
      <c r="D2151" s="2" t="s">
        <v>5066</v>
      </c>
      <c r="E2151" s="2" t="s">
        <v>426</v>
      </c>
      <c r="F2151" s="2">
        <v>5.0</v>
      </c>
      <c r="G2151" s="2">
        <v>461.0</v>
      </c>
      <c r="H2151" s="3" t="str">
        <f>HYPERLINK("http://www.linkedin.com/in/sachinnimonkar","http://www.linkedin.com/in/sachinnimonkar")</f>
        <v>http://www.linkedin.com/in/sachinnimonkar</v>
      </c>
      <c r="I2151" s="2" t="s">
        <v>15</v>
      </c>
      <c r="J2151" s="2" t="s">
        <v>102</v>
      </c>
      <c r="K2151" s="2" t="s">
        <v>35</v>
      </c>
    </row>
    <row r="2152" ht="15.75" customHeight="1">
      <c r="A2152" s="2">
        <v>778016.0</v>
      </c>
      <c r="B2152" s="2" t="s">
        <v>852</v>
      </c>
      <c r="C2152" s="2" t="s">
        <v>5067</v>
      </c>
      <c r="D2152" s="2" t="s">
        <v>5068</v>
      </c>
      <c r="E2152" s="2" t="s">
        <v>136</v>
      </c>
      <c r="F2152" s="2">
        <v>2.0</v>
      </c>
      <c r="G2152" s="2">
        <v>500.0</v>
      </c>
      <c r="H2152" s="3" t="str">
        <f>HYPERLINK("http://www.linkedin.com/pub/alexander-lurie/2/40B/373","http://www.linkedin.com/pub/alexander-lurie/2/40B/373")</f>
        <v>http://www.linkedin.com/pub/alexander-lurie/2/40B/373</v>
      </c>
      <c r="I2152" s="2" t="s">
        <v>69</v>
      </c>
      <c r="J2152" s="2" t="s">
        <v>102</v>
      </c>
      <c r="K2152" s="2" t="s">
        <v>58</v>
      </c>
    </row>
    <row r="2153" ht="15.75" customHeight="1">
      <c r="A2153" s="2">
        <v>778820.0</v>
      </c>
      <c r="B2153" s="2" t="s">
        <v>879</v>
      </c>
      <c r="C2153" s="2" t="s">
        <v>5069</v>
      </c>
      <c r="D2153" s="2" t="s">
        <v>5070</v>
      </c>
      <c r="E2153" s="2" t="s">
        <v>142</v>
      </c>
      <c r="F2153" s="2">
        <v>1.0</v>
      </c>
      <c r="G2153" s="2">
        <v>239.0</v>
      </c>
      <c r="H2153" s="3" t="str">
        <f>HYPERLINK("http://www.linkedin.com/in/rickcrass","http://www.linkedin.com/in/rickcrass")</f>
        <v>http://www.linkedin.com/in/rickcrass</v>
      </c>
      <c r="I2153" s="2" t="s">
        <v>865</v>
      </c>
      <c r="J2153" s="2" t="s">
        <v>144</v>
      </c>
      <c r="K2153" s="2" t="s">
        <v>138</v>
      </c>
    </row>
    <row r="2154" ht="15.75" customHeight="1">
      <c r="A2154" s="2">
        <v>779082.0</v>
      </c>
      <c r="B2154" s="2" t="s">
        <v>1173</v>
      </c>
      <c r="C2154" s="2" t="s">
        <v>5071</v>
      </c>
      <c r="D2154" s="2" t="s">
        <v>13</v>
      </c>
      <c r="E2154" s="2" t="s">
        <v>5072</v>
      </c>
      <c r="F2154" s="2">
        <v>0.0</v>
      </c>
      <c r="G2154" s="2">
        <v>500.0</v>
      </c>
      <c r="H2154" s="3" t="str">
        <f>HYPERLINK("http://www.linkedin.com/pub/steve-baskowski-cpc/4/3a5/5a3","http://www.linkedin.com/pub/steve-baskowski-cpc/4/3a5/5a3")</f>
        <v>http://www.linkedin.com/pub/steve-baskowski-cpc/4/3a5/5a3</v>
      </c>
      <c r="I2154" s="2" t="s">
        <v>172</v>
      </c>
      <c r="J2154" s="2" t="s">
        <v>102</v>
      </c>
      <c r="K2154" s="2" t="s">
        <v>58</v>
      </c>
    </row>
    <row r="2155" ht="15.75" customHeight="1">
      <c r="A2155" s="2">
        <v>779098.0</v>
      </c>
      <c r="B2155" s="2" t="s">
        <v>5073</v>
      </c>
      <c r="C2155" s="2" t="s">
        <v>740</v>
      </c>
      <c r="D2155" s="2" t="s">
        <v>5074</v>
      </c>
      <c r="E2155" s="2" t="s">
        <v>3792</v>
      </c>
      <c r="F2155" s="2" t="s">
        <v>13</v>
      </c>
      <c r="G2155" s="2">
        <v>103.0</v>
      </c>
      <c r="H2155" s="3" t="str">
        <f>HYPERLINK("http://br.linkedin.com/pub/daniele-silva/2A/756/968","http://br.linkedin.com/pub/daniele-silva/2A/756/968")</f>
        <v>http://br.linkedin.com/pub/daniele-silva/2A/756/968</v>
      </c>
      <c r="I2155" s="2" t="s">
        <v>3857</v>
      </c>
      <c r="J2155" s="2" t="s">
        <v>34</v>
      </c>
      <c r="K2155" s="2" t="s">
        <v>522</v>
      </c>
    </row>
    <row r="2156" ht="15.75" customHeight="1">
      <c r="A2156" s="2">
        <v>780318.0</v>
      </c>
      <c r="B2156" s="2" t="s">
        <v>1757</v>
      </c>
      <c r="C2156" s="2" t="s">
        <v>5075</v>
      </c>
      <c r="D2156" s="2" t="s">
        <v>309</v>
      </c>
      <c r="E2156" s="2" t="s">
        <v>136</v>
      </c>
      <c r="F2156" s="2">
        <v>11.0</v>
      </c>
      <c r="G2156" s="2">
        <v>500.0</v>
      </c>
      <c r="H2156" s="3" t="str">
        <f>HYPERLINK("http://www.linkedin.com/in/halspice","http://www.linkedin.com/in/halspice")</f>
        <v>http://www.linkedin.com/in/halspice</v>
      </c>
      <c r="I2156" s="2" t="s">
        <v>709</v>
      </c>
      <c r="J2156" s="2" t="s">
        <v>102</v>
      </c>
      <c r="K2156" s="2" t="s">
        <v>58</v>
      </c>
    </row>
    <row r="2157" ht="15.75" customHeight="1">
      <c r="A2157" s="2">
        <v>780461.0</v>
      </c>
      <c r="B2157" s="2" t="s">
        <v>1104</v>
      </c>
      <c r="C2157" s="2" t="s">
        <v>5076</v>
      </c>
      <c r="D2157" s="2" t="s">
        <v>1865</v>
      </c>
      <c r="E2157" s="2" t="s">
        <v>122</v>
      </c>
      <c r="F2157" s="2">
        <v>13.0</v>
      </c>
      <c r="G2157" s="2">
        <v>500.0</v>
      </c>
      <c r="H2157" s="3" t="str">
        <f>HYPERLINK("http://uk.linkedin.com/in/jayladva","http://uk.linkedin.com/in/jayladva")</f>
        <v>http://uk.linkedin.com/in/jayladva</v>
      </c>
      <c r="I2157" s="2" t="s">
        <v>15</v>
      </c>
      <c r="J2157" s="2" t="s">
        <v>53</v>
      </c>
      <c r="K2157" s="2" t="s">
        <v>196</v>
      </c>
    </row>
    <row r="2158" ht="15.75" customHeight="1">
      <c r="A2158" s="2">
        <v>780725.0</v>
      </c>
      <c r="B2158" s="2" t="s">
        <v>178</v>
      </c>
      <c r="C2158" s="2" t="s">
        <v>5077</v>
      </c>
      <c r="D2158" s="2" t="s">
        <v>100</v>
      </c>
      <c r="E2158" s="2" t="s">
        <v>325</v>
      </c>
      <c r="F2158" s="2">
        <v>8.0</v>
      </c>
      <c r="G2158" s="2">
        <v>500.0</v>
      </c>
      <c r="H2158" s="3" t="str">
        <f>HYPERLINK("http://www.linkedin.com/in/joesaad","http://www.linkedin.com/in/joesaad")</f>
        <v>http://www.linkedin.com/in/joesaad</v>
      </c>
      <c r="I2158" s="2" t="s">
        <v>248</v>
      </c>
      <c r="J2158" s="2" t="s">
        <v>102</v>
      </c>
      <c r="K2158" s="2" t="s">
        <v>196</v>
      </c>
    </row>
    <row r="2159" ht="15.75" customHeight="1">
      <c r="A2159" s="2">
        <v>781055.0</v>
      </c>
      <c r="B2159" s="2" t="s">
        <v>5078</v>
      </c>
      <c r="C2159" s="2" t="s">
        <v>5079</v>
      </c>
      <c r="D2159" s="2" t="s">
        <v>5080</v>
      </c>
      <c r="E2159" s="2" t="s">
        <v>695</v>
      </c>
      <c r="F2159" s="2">
        <v>1.0</v>
      </c>
      <c r="G2159" s="2">
        <v>255.0</v>
      </c>
      <c r="H2159" s="3" t="str">
        <f>HYPERLINK("http://br.linkedin.com/pub/diego-aureliano/29/5B7/B88","http://br.linkedin.com/pub/diego-aureliano/29/5B7/B88")</f>
        <v>http://br.linkedin.com/pub/diego-aureliano/29/5B7/B88</v>
      </c>
      <c r="I2159" s="2" t="s">
        <v>621</v>
      </c>
      <c r="J2159" s="2" t="s">
        <v>34</v>
      </c>
      <c r="K2159" s="2" t="s">
        <v>522</v>
      </c>
    </row>
    <row r="2160" ht="15.75" customHeight="1">
      <c r="A2160" s="2">
        <v>781424.0</v>
      </c>
      <c r="B2160" s="2" t="s">
        <v>5081</v>
      </c>
      <c r="C2160" s="2" t="s">
        <v>5082</v>
      </c>
      <c r="D2160" s="2" t="s">
        <v>5083</v>
      </c>
      <c r="E2160" s="2" t="s">
        <v>5084</v>
      </c>
      <c r="F2160" s="2" t="s">
        <v>13</v>
      </c>
      <c r="G2160" s="2">
        <v>18.0</v>
      </c>
      <c r="H2160" s="3" t="str">
        <f>HYPERLINK("http://www.linkedin.com/pub/thawyo-rosenthal/21/983/618","http://www.linkedin.com/pub/thawyo-rosenthal/21/983/618")</f>
        <v>http://www.linkedin.com/pub/thawyo-rosenthal/21/983/618</v>
      </c>
      <c r="I2160" s="2" t="s">
        <v>5036</v>
      </c>
      <c r="J2160" s="2" t="s">
        <v>34</v>
      </c>
      <c r="K2160" s="2" t="s">
        <v>522</v>
      </c>
    </row>
    <row r="2161" ht="15.75" customHeight="1">
      <c r="A2161" s="2">
        <v>781504.0</v>
      </c>
      <c r="B2161" s="2" t="s">
        <v>3037</v>
      </c>
      <c r="C2161" s="2" t="s">
        <v>292</v>
      </c>
      <c r="D2161" s="2" t="s">
        <v>5085</v>
      </c>
      <c r="E2161" s="2" t="s">
        <v>235</v>
      </c>
      <c r="F2161" s="2" t="s">
        <v>13</v>
      </c>
      <c r="G2161" s="2">
        <v>500.0</v>
      </c>
      <c r="H2161" s="3" t="str">
        <f>HYPERLINK("http://www.linkedin.com/in/douglascsmith","http://www.linkedin.com/in/douglascsmith")</f>
        <v>http://www.linkedin.com/in/douglascsmith</v>
      </c>
      <c r="I2161" s="2" t="s">
        <v>248</v>
      </c>
      <c r="J2161" s="2" t="s">
        <v>102</v>
      </c>
      <c r="K2161" s="2" t="s">
        <v>196</v>
      </c>
    </row>
    <row r="2162" ht="15.75" customHeight="1">
      <c r="A2162" s="2">
        <v>781999.0</v>
      </c>
      <c r="B2162" s="2" t="s">
        <v>677</v>
      </c>
      <c r="C2162" s="2" t="s">
        <v>3534</v>
      </c>
      <c r="D2162" s="2" t="s">
        <v>5086</v>
      </c>
      <c r="E2162" s="2" t="s">
        <v>909</v>
      </c>
      <c r="F2162" s="2">
        <v>6.0</v>
      </c>
      <c r="G2162" s="2">
        <v>500.0</v>
      </c>
      <c r="H2162" s="3" t="str">
        <f>HYPERLINK("http://www.linkedin.com/pub/daniel-dunn/19/934/A41","http://www.linkedin.com/pub/daniel-dunn/19/934/A41")</f>
        <v>http://www.linkedin.com/pub/daniel-dunn/19/934/A41</v>
      </c>
      <c r="I2162" s="2" t="s">
        <v>326</v>
      </c>
      <c r="J2162" s="2" t="s">
        <v>273</v>
      </c>
      <c r="K2162" s="2" t="s">
        <v>97</v>
      </c>
    </row>
    <row r="2163" ht="15.75" customHeight="1">
      <c r="A2163" s="2">
        <v>782601.0</v>
      </c>
      <c r="B2163" s="2" t="s">
        <v>5087</v>
      </c>
      <c r="C2163" s="2" t="s">
        <v>5088</v>
      </c>
      <c r="D2163" s="2" t="s">
        <v>5089</v>
      </c>
      <c r="E2163" s="2" t="s">
        <v>5090</v>
      </c>
      <c r="F2163" s="2">
        <v>0.0</v>
      </c>
      <c r="G2163" s="2">
        <v>500.0</v>
      </c>
      <c r="H2163" s="3" t="str">
        <f>HYPERLINK("http://www.linkedin.com/pub/d-bora-santos/2B/723/B10","http://www.linkedin.com/pub/d-bora-santos/2B/723/B10")</f>
        <v>http://www.linkedin.com/pub/d-bora-santos/2B/723/B10</v>
      </c>
      <c r="I2163" s="2" t="s">
        <v>1841</v>
      </c>
      <c r="J2163" s="2" t="s">
        <v>34</v>
      </c>
      <c r="K2163" s="2" t="s">
        <v>22</v>
      </c>
    </row>
    <row r="2164" ht="15.75" customHeight="1">
      <c r="A2164" s="2">
        <v>782834.0</v>
      </c>
      <c r="B2164" s="2" t="s">
        <v>5091</v>
      </c>
      <c r="C2164" s="2" t="s">
        <v>5092</v>
      </c>
      <c r="D2164" s="2" t="s">
        <v>5093</v>
      </c>
      <c r="E2164" s="2" t="s">
        <v>5094</v>
      </c>
      <c r="F2164" s="2">
        <v>4.0</v>
      </c>
      <c r="G2164" s="2">
        <v>324.0</v>
      </c>
      <c r="H2164" s="3" t="str">
        <f>HYPERLINK("http://br.linkedin.com/pub/haelysan-lins/2A/90/6A0","http://br.linkedin.com/pub/haelysan-lins/2A/90/6A0")</f>
        <v>http://br.linkedin.com/pub/haelysan-lins/2A/90/6A0</v>
      </c>
      <c r="I2164" s="2" t="s">
        <v>172</v>
      </c>
      <c r="J2164" s="2" t="s">
        <v>34</v>
      </c>
      <c r="K2164" s="2" t="s">
        <v>522</v>
      </c>
    </row>
    <row r="2165" ht="15.75" customHeight="1">
      <c r="A2165" s="2">
        <v>783012.0</v>
      </c>
      <c r="B2165" s="2" t="s">
        <v>5095</v>
      </c>
      <c r="C2165" s="2" t="s">
        <v>5096</v>
      </c>
      <c r="D2165" s="2" t="s">
        <v>5097</v>
      </c>
      <c r="E2165" s="2" t="s">
        <v>5098</v>
      </c>
      <c r="F2165" s="2">
        <v>12.0</v>
      </c>
      <c r="G2165" s="2">
        <v>500.0</v>
      </c>
      <c r="H2165" s="3" t="str">
        <f>HYPERLINK("http://uk.linkedin.com/in/kerstybletso","http://uk.linkedin.com/in/kerstybletso")</f>
        <v>http://uk.linkedin.com/in/kerstybletso</v>
      </c>
      <c r="I2165" s="2" t="s">
        <v>15</v>
      </c>
      <c r="J2165" s="2" t="s">
        <v>53</v>
      </c>
      <c r="K2165" s="2" t="s">
        <v>35</v>
      </c>
    </row>
    <row r="2166" ht="15.75" customHeight="1">
      <c r="A2166" s="2">
        <v>783017.0</v>
      </c>
      <c r="B2166" s="2" t="s">
        <v>5099</v>
      </c>
      <c r="C2166" s="2" t="s">
        <v>5100</v>
      </c>
      <c r="D2166" s="2" t="s">
        <v>347</v>
      </c>
      <c r="E2166" s="2" t="s">
        <v>403</v>
      </c>
      <c r="F2166" s="2">
        <v>5.0</v>
      </c>
      <c r="G2166" s="2">
        <v>482.0</v>
      </c>
      <c r="H2166" s="3" t="str">
        <f>HYPERLINK("http://ca.linkedin.com/in/monasadatakhavi","http://ca.linkedin.com/in/monasadatakhavi")</f>
        <v>http://ca.linkedin.com/in/monasadatakhavi</v>
      </c>
      <c r="I2166" s="2" t="s">
        <v>15</v>
      </c>
      <c r="J2166" s="2" t="s">
        <v>44</v>
      </c>
      <c r="K2166" s="2" t="s">
        <v>35</v>
      </c>
    </row>
    <row r="2167" ht="15.75" customHeight="1">
      <c r="A2167" s="2">
        <v>783148.0</v>
      </c>
      <c r="B2167" s="2" t="s">
        <v>1593</v>
      </c>
      <c r="C2167" s="2" t="s">
        <v>2061</v>
      </c>
      <c r="D2167" s="2"/>
      <c r="E2167" s="2" t="s">
        <v>5101</v>
      </c>
      <c r="F2167" s="2">
        <v>5.0</v>
      </c>
      <c r="G2167" s="2">
        <v>500.0</v>
      </c>
      <c r="H2167" s="3" t="str">
        <f>HYPERLINK("http://www.linkedin.com/in/richardadamwhite","http://www.linkedin.com/in/richardadamwhite")</f>
        <v>http://www.linkedin.com/in/richardadamwhite</v>
      </c>
      <c r="I2167" s="2" t="s">
        <v>105</v>
      </c>
      <c r="J2167" s="2" t="s">
        <v>952</v>
      </c>
      <c r="K2167" s="2" t="s">
        <v>29</v>
      </c>
    </row>
    <row r="2168" ht="15.75" customHeight="1">
      <c r="A2168" s="2">
        <v>783260.0</v>
      </c>
      <c r="B2168" s="2" t="s">
        <v>5102</v>
      </c>
      <c r="C2168" s="2" t="s">
        <v>5103</v>
      </c>
      <c r="D2168" s="2" t="s">
        <v>5104</v>
      </c>
      <c r="E2168" s="2" t="s">
        <v>1918</v>
      </c>
      <c r="F2168" s="2">
        <v>32.0</v>
      </c>
      <c r="G2168" s="2">
        <v>500.0</v>
      </c>
      <c r="H2168" s="3" t="str">
        <f>HYPERLINK("http://www.linkedin.com/in/marketingmelodie","http://www.linkedin.com/in/marketingmelodie")</f>
        <v>http://www.linkedin.com/in/marketingmelodie</v>
      </c>
      <c r="I2168" s="2" t="s">
        <v>27</v>
      </c>
      <c r="J2168" s="2" t="s">
        <v>102</v>
      </c>
      <c r="K2168" s="2" t="s">
        <v>818</v>
      </c>
    </row>
    <row r="2169" ht="15.75" customHeight="1">
      <c r="A2169" s="2">
        <v>783479.0</v>
      </c>
      <c r="B2169" s="2" t="s">
        <v>5105</v>
      </c>
      <c r="C2169" s="2" t="s">
        <v>5106</v>
      </c>
      <c r="D2169" s="2" t="s">
        <v>347</v>
      </c>
      <c r="E2169" s="2" t="s">
        <v>450</v>
      </c>
      <c r="F2169" s="2" t="s">
        <v>13</v>
      </c>
      <c r="G2169" s="2">
        <v>500.0</v>
      </c>
      <c r="H2169" s="3" t="str">
        <f>HYPERLINK("http://www.linkedin.com/in/emlin","http://www.linkedin.com/in/emlin")</f>
        <v>http://www.linkedin.com/in/emlin</v>
      </c>
      <c r="I2169" s="2" t="s">
        <v>326</v>
      </c>
      <c r="J2169" s="2" t="s">
        <v>273</v>
      </c>
      <c r="K2169" s="2" t="s">
        <v>35</v>
      </c>
    </row>
    <row r="2170" ht="15.75" customHeight="1">
      <c r="A2170" s="2">
        <v>783595.0</v>
      </c>
      <c r="B2170" s="2" t="s">
        <v>1076</v>
      </c>
      <c r="C2170" s="2" t="s">
        <v>3686</v>
      </c>
      <c r="D2170" s="2" t="s">
        <v>3395</v>
      </c>
      <c r="E2170" s="2" t="s">
        <v>4030</v>
      </c>
      <c r="F2170" s="2">
        <v>2.0</v>
      </c>
      <c r="G2170" s="2">
        <v>500.0</v>
      </c>
      <c r="H2170" s="3" t="str">
        <f>HYPERLINK("http://www.linkedin.com/in/jenniferlmalloy","http://www.linkedin.com/in/jenniferlmalloy")</f>
        <v>http://www.linkedin.com/in/jenniferlmalloy</v>
      </c>
      <c r="I2170" s="2" t="s">
        <v>15</v>
      </c>
      <c r="J2170" s="2" t="s">
        <v>273</v>
      </c>
      <c r="K2170" s="2" t="s">
        <v>697</v>
      </c>
    </row>
    <row r="2171" ht="15.75" customHeight="1">
      <c r="A2171" s="2">
        <v>784882.0</v>
      </c>
      <c r="B2171" s="2" t="s">
        <v>460</v>
      </c>
      <c r="C2171" s="2" t="s">
        <v>5107</v>
      </c>
      <c r="D2171" s="2" t="s">
        <v>5108</v>
      </c>
      <c r="E2171" s="2" t="s">
        <v>5109</v>
      </c>
      <c r="F2171" s="2">
        <v>4.0</v>
      </c>
      <c r="G2171" s="2">
        <v>500.0</v>
      </c>
      <c r="H2171" s="3" t="str">
        <f>HYPERLINK("http://www.linkedin.com/pub/john-eichten/3/2BB/93","http://www.linkedin.com/pub/john-eichten/3/2BB/93")</f>
        <v>http://www.linkedin.com/pub/john-eichten/3/2BB/93</v>
      </c>
      <c r="I2171" s="2" t="s">
        <v>1107</v>
      </c>
      <c r="J2171" s="2" t="s">
        <v>16</v>
      </c>
      <c r="K2171" s="2" t="s">
        <v>97</v>
      </c>
    </row>
    <row r="2172" ht="15.75" customHeight="1">
      <c r="A2172" s="2">
        <v>786006.0</v>
      </c>
      <c r="B2172" s="2" t="s">
        <v>3268</v>
      </c>
      <c r="C2172" s="2" t="s">
        <v>5110</v>
      </c>
      <c r="D2172" s="2" t="s">
        <v>5111</v>
      </c>
      <c r="E2172" s="2" t="s">
        <v>3018</v>
      </c>
      <c r="F2172" s="2">
        <v>0.0</v>
      </c>
      <c r="G2172" s="2">
        <v>257.0</v>
      </c>
      <c r="H2172" s="3" t="str">
        <f>HYPERLINK("http://www.linkedin.com/pub/patricia-didek/30/832/833","http://www.linkedin.com/pub/patricia-didek/30/832/833")</f>
        <v>http://www.linkedin.com/pub/patricia-didek/30/832/833</v>
      </c>
      <c r="I2172" s="2" t="s">
        <v>470</v>
      </c>
      <c r="J2172" s="2" t="s">
        <v>34</v>
      </c>
      <c r="K2172" s="2" t="s">
        <v>97</v>
      </c>
    </row>
    <row r="2173" ht="15.75" customHeight="1">
      <c r="A2173" s="2">
        <v>786403.0</v>
      </c>
      <c r="B2173" s="2" t="s">
        <v>4304</v>
      </c>
      <c r="C2173" s="2" t="s">
        <v>2812</v>
      </c>
      <c r="D2173" s="2" t="s">
        <v>5112</v>
      </c>
      <c r="E2173" s="2" t="s">
        <v>578</v>
      </c>
      <c r="F2173" s="2" t="s">
        <v>13</v>
      </c>
      <c r="G2173" s="2">
        <v>500.0</v>
      </c>
      <c r="H2173" s="3" t="str">
        <f>HYPERLINK("http://www.linkedin.com/pub/leandro-camargo/2B/136/178","http://www.linkedin.com/pub/leandro-camargo/2B/136/178")</f>
        <v>http://www.linkedin.com/pub/leandro-camargo/2B/136/178</v>
      </c>
      <c r="I2173" s="2" t="s">
        <v>458</v>
      </c>
      <c r="J2173" s="2" t="s">
        <v>34</v>
      </c>
      <c r="K2173" s="2" t="s">
        <v>1191</v>
      </c>
    </row>
    <row r="2174" ht="15.75" customHeight="1">
      <c r="A2174" s="2">
        <v>787581.0</v>
      </c>
      <c r="B2174" s="2" t="s">
        <v>59</v>
      </c>
      <c r="C2174" s="2" t="s">
        <v>5113</v>
      </c>
      <c r="D2174" s="2" t="s">
        <v>47</v>
      </c>
      <c r="E2174" s="2" t="s">
        <v>804</v>
      </c>
      <c r="F2174" s="2" t="s">
        <v>13</v>
      </c>
      <c r="G2174" s="2">
        <v>500.0</v>
      </c>
      <c r="H2174" s="3" t="str">
        <f>HYPERLINK("http://www.linkedin.com/pub/martin-knott/3/259/898","http://www.linkedin.com/pub/martin-knott/3/259/898")</f>
        <v>http://www.linkedin.com/pub/martin-knott/3/259/898</v>
      </c>
      <c r="I2174" s="2" t="s">
        <v>440</v>
      </c>
      <c r="J2174" s="2" t="s">
        <v>102</v>
      </c>
      <c r="K2174" s="2" t="s">
        <v>97</v>
      </c>
    </row>
    <row r="2175" ht="15.75" customHeight="1">
      <c r="A2175" s="2">
        <v>787679.0</v>
      </c>
      <c r="B2175" s="2" t="s">
        <v>152</v>
      </c>
      <c r="C2175" s="2" t="s">
        <v>2187</v>
      </c>
      <c r="D2175" s="2" t="s">
        <v>5114</v>
      </c>
      <c r="E2175" s="2" t="s">
        <v>521</v>
      </c>
      <c r="F2175" s="2" t="s">
        <v>13</v>
      </c>
      <c r="G2175" s="2">
        <v>124.0</v>
      </c>
      <c r="H2175" s="3" t="str">
        <f>HYPERLINK("http://www.linkedin.com/pub/eduardo-carvalho/2B/4A8/B97","http://www.linkedin.com/pub/eduardo-carvalho/2B/4A8/B97")</f>
        <v>http://www.linkedin.com/pub/eduardo-carvalho/2B/4A8/B97</v>
      </c>
      <c r="I2175" s="2" t="s">
        <v>2443</v>
      </c>
      <c r="J2175" s="2" t="s">
        <v>34</v>
      </c>
      <c r="K2175" s="2" t="s">
        <v>35</v>
      </c>
    </row>
    <row r="2176" ht="15.75" customHeight="1">
      <c r="A2176" s="2">
        <v>788897.0</v>
      </c>
      <c r="B2176" s="2" t="s">
        <v>631</v>
      </c>
      <c r="C2176" s="2" t="s">
        <v>5115</v>
      </c>
      <c r="D2176" s="2" t="s">
        <v>5116</v>
      </c>
      <c r="E2176" s="2" t="s">
        <v>971</v>
      </c>
      <c r="F2176" s="2">
        <v>1.0</v>
      </c>
      <c r="G2176" s="2">
        <v>500.0</v>
      </c>
      <c r="H2176" s="3" t="str">
        <f>HYPERLINK("http://www.linkedin.com/pub/chris-maltby/7/122/410","http://www.linkedin.com/pub/chris-maltby/7/122/410")</f>
        <v>http://www.linkedin.com/pub/chris-maltby/7/122/410</v>
      </c>
      <c r="I2176" s="2" t="s">
        <v>579</v>
      </c>
      <c r="J2176" s="2" t="s">
        <v>102</v>
      </c>
      <c r="K2176" s="2" t="s">
        <v>97</v>
      </c>
    </row>
    <row r="2177" ht="15.75" customHeight="1">
      <c r="A2177" s="2">
        <v>790610.0</v>
      </c>
      <c r="B2177" s="2" t="s">
        <v>1076</v>
      </c>
      <c r="C2177" s="2" t="s">
        <v>5117</v>
      </c>
      <c r="D2177" s="2" t="s">
        <v>347</v>
      </c>
      <c r="E2177" s="2" t="s">
        <v>101</v>
      </c>
      <c r="F2177" s="2">
        <v>15.0</v>
      </c>
      <c r="G2177" s="2">
        <v>339.0</v>
      </c>
      <c r="H2177" s="3" t="str">
        <f>HYPERLINK("http://www.linkedin.com/pub/jennifer-walton/3/A36/869","http://www.linkedin.com/pub/jennifer-walton/3/A36/869")</f>
        <v>http://www.linkedin.com/pub/jennifer-walton/3/A36/869</v>
      </c>
      <c r="I2177" s="2" t="s">
        <v>48</v>
      </c>
      <c r="J2177" s="2" t="s">
        <v>102</v>
      </c>
      <c r="K2177" s="2" t="s">
        <v>35</v>
      </c>
    </row>
    <row r="2178" ht="15.75" customHeight="1">
      <c r="A2178" s="2">
        <v>790703.0</v>
      </c>
      <c r="B2178" s="2" t="s">
        <v>5118</v>
      </c>
      <c r="C2178" s="2" t="s">
        <v>5119</v>
      </c>
      <c r="D2178" s="2" t="s">
        <v>5120</v>
      </c>
      <c r="E2178" s="2" t="s">
        <v>716</v>
      </c>
      <c r="F2178" s="2" t="s">
        <v>13</v>
      </c>
      <c r="G2178" s="2">
        <v>174.0</v>
      </c>
      <c r="H2178" s="3" t="str">
        <f>HYPERLINK("http://in.linkedin.com/pub/jaun-rizvi/6/B74/499","http://in.linkedin.com/pub/jaun-rizvi/6/B74/499")</f>
        <v>http://in.linkedin.com/pub/jaun-rizvi/6/B74/499</v>
      </c>
      <c r="I2178" s="2" t="s">
        <v>1679</v>
      </c>
      <c r="J2178" s="2" t="s">
        <v>575</v>
      </c>
      <c r="K2178" s="2" t="s">
        <v>22</v>
      </c>
    </row>
    <row r="2179" ht="15.75" customHeight="1">
      <c r="A2179" s="2">
        <v>792183.0</v>
      </c>
      <c r="B2179" s="2" t="s">
        <v>5121</v>
      </c>
      <c r="C2179" s="2" t="s">
        <v>1456</v>
      </c>
      <c r="D2179" s="2" t="s">
        <v>13</v>
      </c>
      <c r="E2179" s="2" t="s">
        <v>5122</v>
      </c>
      <c r="F2179" s="2">
        <v>0.0</v>
      </c>
      <c r="G2179" s="2">
        <v>500.0</v>
      </c>
      <c r="H2179" s="3" t="str">
        <f>HYPERLINK("http://www.linkedin.com/in/leisaanderson100","http://www.linkedin.com/in/leisaanderson100")</f>
        <v>http://www.linkedin.com/in/leisaanderson100</v>
      </c>
      <c r="I2179" s="2" t="s">
        <v>105</v>
      </c>
      <c r="J2179" s="2" t="s">
        <v>102</v>
      </c>
      <c r="K2179" s="2" t="s">
        <v>58</v>
      </c>
    </row>
    <row r="2180" ht="15.75" customHeight="1">
      <c r="A2180" s="2">
        <v>792531.0</v>
      </c>
      <c r="B2180" s="2" t="s">
        <v>5123</v>
      </c>
      <c r="C2180" s="2" t="s">
        <v>399</v>
      </c>
      <c r="D2180" s="2" t="s">
        <v>5124</v>
      </c>
      <c r="E2180" s="2" t="s">
        <v>5125</v>
      </c>
      <c r="F2180" s="2">
        <v>1.0</v>
      </c>
      <c r="G2180" s="2">
        <v>500.0</v>
      </c>
      <c r="H2180" s="3" t="str">
        <f>HYPERLINK("http://www.linkedin.com/pub/s-arnie-johnson/4/74A/487","http://www.linkedin.com/pub/s-arnie-johnson/4/74A/487")</f>
        <v>http://www.linkedin.com/pub/s-arnie-johnson/4/74A/487</v>
      </c>
      <c r="I2180" s="2" t="s">
        <v>306</v>
      </c>
      <c r="J2180" s="2" t="s">
        <v>144</v>
      </c>
      <c r="K2180" s="2" t="s">
        <v>196</v>
      </c>
    </row>
    <row r="2181" ht="15.75" customHeight="1">
      <c r="A2181" s="2">
        <v>792794.0</v>
      </c>
      <c r="B2181" s="2" t="s">
        <v>5126</v>
      </c>
      <c r="C2181" s="2" t="s">
        <v>5127</v>
      </c>
      <c r="D2181" s="2" t="s">
        <v>13</v>
      </c>
      <c r="E2181" s="2" t="s">
        <v>39</v>
      </c>
      <c r="F2181" s="2">
        <v>0.0</v>
      </c>
      <c r="G2181" s="2">
        <v>500.0</v>
      </c>
      <c r="H2181" s="3" t="str">
        <f>HYPERLINK("http://www.linkedin.com/pub/paulocastanheira/32/2a5/995","http://www.linkedin.com/pub/paulocastanheira/32/2a5/995")</f>
        <v>http://www.linkedin.com/pub/paulocastanheira/32/2a5/995</v>
      </c>
      <c r="I2181" s="2" t="s">
        <v>475</v>
      </c>
      <c r="J2181" s="2" t="s">
        <v>34</v>
      </c>
      <c r="K2181" s="2" t="s">
        <v>58</v>
      </c>
    </row>
    <row r="2182" ht="15.75" customHeight="1">
      <c r="A2182" s="2">
        <v>792948.0</v>
      </c>
      <c r="B2182" s="2" t="s">
        <v>5128</v>
      </c>
      <c r="C2182" s="2" t="s">
        <v>5129</v>
      </c>
      <c r="D2182" s="2" t="s">
        <v>289</v>
      </c>
      <c r="E2182" s="2" t="s">
        <v>122</v>
      </c>
      <c r="F2182" s="2">
        <v>11.0</v>
      </c>
      <c r="G2182" s="2">
        <v>500.0</v>
      </c>
      <c r="H2182" s="3" t="str">
        <f>HYPERLINK("http://uk.linkedin.com/in/assedali","http://uk.linkedin.com/in/assedali")</f>
        <v>http://uk.linkedin.com/in/assedali</v>
      </c>
      <c r="I2182" s="2" t="s">
        <v>15</v>
      </c>
      <c r="J2182" s="2" t="s">
        <v>53</v>
      </c>
      <c r="K2182" s="2" t="s">
        <v>35</v>
      </c>
    </row>
    <row r="2183" ht="15.75" customHeight="1">
      <c r="A2183" s="2">
        <v>793329.0</v>
      </c>
      <c r="B2183" s="2" t="s">
        <v>1366</v>
      </c>
      <c r="C2183" s="2" t="s">
        <v>5130</v>
      </c>
      <c r="D2183" s="2" t="s">
        <v>959</v>
      </c>
      <c r="E2183" s="2" t="s">
        <v>931</v>
      </c>
      <c r="F2183" s="2">
        <v>7.0</v>
      </c>
      <c r="G2183" s="2">
        <v>500.0</v>
      </c>
      <c r="H2183" s="3" t="str">
        <f>HYPERLINK("http://au.linkedin.com/in/peterthomas73","http://au.linkedin.com/in/peterthomas73")</f>
        <v>http://au.linkedin.com/in/peterthomas73</v>
      </c>
      <c r="I2183" s="2" t="s">
        <v>15</v>
      </c>
      <c r="J2183" s="2" t="s">
        <v>53</v>
      </c>
      <c r="K2183" s="2" t="s">
        <v>35</v>
      </c>
    </row>
    <row r="2184" ht="15.75" customHeight="1">
      <c r="A2184" s="2">
        <v>793874.0</v>
      </c>
      <c r="B2184" s="2" t="s">
        <v>5131</v>
      </c>
      <c r="C2184" s="2" t="s">
        <v>3743</v>
      </c>
      <c r="D2184" s="2" t="s">
        <v>5132</v>
      </c>
      <c r="E2184" s="2" t="s">
        <v>3681</v>
      </c>
      <c r="F2184" s="2" t="s">
        <v>13</v>
      </c>
      <c r="G2184" s="2">
        <v>500.0</v>
      </c>
      <c r="H2184" s="3" t="str">
        <f>HYPERLINK("http://nl.linkedin.com/pub/ernst-jan-bergman/1/38A/243","http://nl.linkedin.com/pub/ernst-jan-bergman/1/38A/243")</f>
        <v>http://nl.linkedin.com/pub/ernst-jan-bergman/1/38A/243</v>
      </c>
      <c r="I2184" s="2" t="s">
        <v>15</v>
      </c>
      <c r="J2184" s="2" t="s">
        <v>837</v>
      </c>
      <c r="K2184" s="2" t="s">
        <v>35</v>
      </c>
    </row>
    <row r="2185" ht="15.75" customHeight="1">
      <c r="A2185" s="2">
        <v>795360.0</v>
      </c>
      <c r="B2185" s="2" t="s">
        <v>460</v>
      </c>
      <c r="C2185" s="2" t="s">
        <v>5133</v>
      </c>
      <c r="D2185" s="2" t="s">
        <v>5134</v>
      </c>
      <c r="E2185" s="2" t="s">
        <v>101</v>
      </c>
      <c r="F2185" s="2">
        <v>5.0</v>
      </c>
      <c r="G2185" s="2">
        <v>279.0</v>
      </c>
      <c r="H2185" s="3" t="str">
        <f>HYPERLINK("http://www.linkedin.com/pub/john-belville/3/B34/A3","http://www.linkedin.com/pub/john-belville/3/B34/A3")</f>
        <v>http://www.linkedin.com/pub/john-belville/3/B34/A3</v>
      </c>
      <c r="I2185" s="2" t="s">
        <v>77</v>
      </c>
      <c r="J2185" s="2" t="s">
        <v>102</v>
      </c>
      <c r="K2185" s="2" t="s">
        <v>97</v>
      </c>
    </row>
    <row r="2186" ht="15.75" customHeight="1">
      <c r="A2186" s="2">
        <v>796140.0</v>
      </c>
      <c r="B2186" s="2" t="s">
        <v>5135</v>
      </c>
      <c r="C2186" s="2" t="s">
        <v>5136</v>
      </c>
      <c r="D2186" s="2" t="s">
        <v>13</v>
      </c>
      <c r="E2186" s="2" t="s">
        <v>219</v>
      </c>
      <c r="F2186" s="2">
        <v>0.0</v>
      </c>
      <c r="G2186" s="2">
        <v>500.0</v>
      </c>
      <c r="H2186" s="3" t="str">
        <f>HYPERLINK("http://www.linkedin.com/pub/maria-jos%C3%A9-mayor-torres/23/374/394","http://www.linkedin.com/pub/maria-jos%C3%A9-mayor-torres/23/374/394")</f>
        <v>http://www.linkedin.com/pub/maria-jos%C3%A9-mayor-torres/23/374/394</v>
      </c>
      <c r="I2186" s="2" t="s">
        <v>69</v>
      </c>
      <c r="J2186" s="2" t="s">
        <v>220</v>
      </c>
      <c r="K2186" s="2" t="s">
        <v>58</v>
      </c>
    </row>
    <row r="2187" ht="15.75" customHeight="1">
      <c r="A2187" s="2">
        <v>796177.0</v>
      </c>
      <c r="B2187" s="2" t="s">
        <v>1617</v>
      </c>
      <c r="C2187" s="2" t="s">
        <v>5137</v>
      </c>
      <c r="D2187" s="2" t="s">
        <v>5138</v>
      </c>
      <c r="E2187" s="2" t="s">
        <v>1041</v>
      </c>
      <c r="F2187" s="2">
        <v>2.0</v>
      </c>
      <c r="G2187" s="2">
        <v>500.0</v>
      </c>
      <c r="H2187" s="3" t="str">
        <f>HYPERLINK("http://www.linkedin.com/pub/ryan-guynn/7/957/8B7","http://www.linkedin.com/pub/ryan-guynn/7/957/8B7")</f>
        <v>http://www.linkedin.com/pub/ryan-guynn/7/957/8B7</v>
      </c>
      <c r="I2187" s="2" t="s">
        <v>374</v>
      </c>
      <c r="J2187" s="2" t="s">
        <v>102</v>
      </c>
      <c r="K2187" s="2" t="s">
        <v>58</v>
      </c>
    </row>
    <row r="2188" ht="15.75" customHeight="1">
      <c r="A2188" s="2">
        <v>796613.0</v>
      </c>
      <c r="B2188" s="2" t="s">
        <v>3249</v>
      </c>
      <c r="C2188" s="2" t="s">
        <v>2215</v>
      </c>
      <c r="D2188" s="2" t="s">
        <v>5139</v>
      </c>
      <c r="E2188" s="2" t="s">
        <v>2058</v>
      </c>
      <c r="F2188" s="2">
        <v>5.0</v>
      </c>
      <c r="G2188" s="2">
        <v>122.0</v>
      </c>
      <c r="H2188" s="3" t="str">
        <f>HYPERLINK("http://www.linkedin.com/pub/walker-donna/A/213/A41","http://www.linkedin.com/pub/walker-donna/A/213/A41")</f>
        <v>http://www.linkedin.com/pub/walker-donna/A/213/A41</v>
      </c>
      <c r="I2188" s="2" t="s">
        <v>1679</v>
      </c>
      <c r="J2188" s="2" t="s">
        <v>102</v>
      </c>
      <c r="K2188" s="2" t="s">
        <v>1191</v>
      </c>
    </row>
    <row r="2189" ht="15.75" customHeight="1">
      <c r="A2189" s="2">
        <v>796729.0</v>
      </c>
      <c r="B2189" s="2" t="s">
        <v>5140</v>
      </c>
      <c r="C2189" s="2" t="s">
        <v>5141</v>
      </c>
      <c r="D2189" s="2" t="s">
        <v>1145</v>
      </c>
      <c r="E2189" s="2" t="s">
        <v>142</v>
      </c>
      <c r="F2189" s="2">
        <v>1.0</v>
      </c>
      <c r="G2189" s="2">
        <v>500.0</v>
      </c>
      <c r="H2189" s="3" t="str">
        <f>HYPERLINK("http://www.linkedin.com/in/sinbosier","http://www.linkedin.com/in/sinbosier")</f>
        <v>http://www.linkedin.com/in/sinbosier</v>
      </c>
      <c r="I2189" s="2" t="s">
        <v>137</v>
      </c>
      <c r="J2189" s="2" t="s">
        <v>144</v>
      </c>
      <c r="K2189" s="2" t="s">
        <v>357</v>
      </c>
    </row>
    <row r="2190" ht="15.75" customHeight="1">
      <c r="A2190" s="2">
        <v>796945.0</v>
      </c>
      <c r="B2190" s="2" t="s">
        <v>5142</v>
      </c>
      <c r="C2190" s="2" t="s">
        <v>3023</v>
      </c>
      <c r="D2190" s="2" t="s">
        <v>1780</v>
      </c>
      <c r="E2190" s="2" t="s">
        <v>301</v>
      </c>
      <c r="F2190" s="2" t="s">
        <v>13</v>
      </c>
      <c r="G2190" s="2">
        <v>500.0</v>
      </c>
      <c r="H2190" s="3" t="str">
        <f>HYPERLINK("http://www.linkedin.com/pub/pinak-mehta/B/50/301","http://www.linkedin.com/pub/pinak-mehta/B/50/301")</f>
        <v>http://www.linkedin.com/pub/pinak-mehta/B/50/301</v>
      </c>
      <c r="I2190" s="2" t="s">
        <v>15</v>
      </c>
      <c r="J2190" s="2" t="s">
        <v>102</v>
      </c>
      <c r="K2190" s="2" t="s">
        <v>35</v>
      </c>
    </row>
    <row r="2191" ht="15.75" customHeight="1">
      <c r="A2191" s="2">
        <v>797363.0</v>
      </c>
      <c r="B2191" s="2" t="s">
        <v>845</v>
      </c>
      <c r="C2191" s="2" t="s">
        <v>399</v>
      </c>
      <c r="D2191" s="2" t="s">
        <v>5143</v>
      </c>
      <c r="E2191" s="2" t="s">
        <v>5144</v>
      </c>
      <c r="F2191" s="2">
        <v>2.0</v>
      </c>
      <c r="G2191" s="2">
        <v>500.0</v>
      </c>
      <c r="H2191" s="3" t="str">
        <f>HYPERLINK("http://uk.linkedin.com/pub/david-johnson/23/450/B27","http://uk.linkedin.com/pub/david-johnson/23/450/B27")</f>
        <v>http://uk.linkedin.com/pub/david-johnson/23/450/B27</v>
      </c>
      <c r="I2191" s="2" t="s">
        <v>1679</v>
      </c>
      <c r="J2191" s="2" t="s">
        <v>337</v>
      </c>
      <c r="K2191" s="2" t="s">
        <v>35</v>
      </c>
    </row>
    <row r="2192" ht="15.75" customHeight="1">
      <c r="A2192" s="2">
        <v>797495.0</v>
      </c>
      <c r="B2192" s="2" t="s">
        <v>178</v>
      </c>
      <c r="C2192" s="2" t="s">
        <v>5145</v>
      </c>
      <c r="D2192" s="2" t="s">
        <v>5146</v>
      </c>
      <c r="E2192" s="2" t="s">
        <v>1041</v>
      </c>
      <c r="F2192" s="2">
        <v>2.0</v>
      </c>
      <c r="G2192" s="2">
        <v>500.0</v>
      </c>
      <c r="H2192" s="3" t="str">
        <f>HYPERLINK("http://www.linkedin.com/pub/joe-matz/7/B2B/800","http://www.linkedin.com/pub/joe-matz/7/B2B/800")</f>
        <v>http://www.linkedin.com/pub/joe-matz/7/B2B/800</v>
      </c>
      <c r="I2192" s="2" t="s">
        <v>57</v>
      </c>
      <c r="J2192" s="2" t="s">
        <v>102</v>
      </c>
      <c r="K2192" s="2" t="s">
        <v>58</v>
      </c>
    </row>
    <row r="2193" ht="15.75" customHeight="1">
      <c r="A2193" s="2">
        <v>797954.0</v>
      </c>
      <c r="B2193" s="2" t="s">
        <v>176</v>
      </c>
      <c r="C2193" s="2" t="s">
        <v>5147</v>
      </c>
      <c r="D2193" s="2" t="s">
        <v>5148</v>
      </c>
      <c r="E2193" s="2" t="s">
        <v>136</v>
      </c>
      <c r="F2193" s="2">
        <v>13.0</v>
      </c>
      <c r="G2193" s="2">
        <v>500.0</v>
      </c>
      <c r="H2193" s="3" t="str">
        <f>HYPERLINK("http://www.linkedin.com/in/arthurmanzi","http://www.linkedin.com/in/arthurmanzi")</f>
        <v>http://www.linkedin.com/in/arthurmanzi</v>
      </c>
      <c r="I2193" s="2" t="s">
        <v>2285</v>
      </c>
      <c r="J2193" s="2" t="s">
        <v>102</v>
      </c>
      <c r="K2193" s="2" t="s">
        <v>5149</v>
      </c>
    </row>
    <row r="2194" ht="15.75" customHeight="1">
      <c r="A2194" s="2">
        <v>798912.0</v>
      </c>
      <c r="B2194" s="2" t="s">
        <v>5150</v>
      </c>
      <c r="C2194" s="2" t="s">
        <v>5151</v>
      </c>
      <c r="D2194" s="2" t="s">
        <v>13</v>
      </c>
      <c r="E2194" s="2" t="s">
        <v>3746</v>
      </c>
      <c r="F2194" s="2">
        <v>0.0</v>
      </c>
      <c r="G2194" s="2">
        <v>500.0</v>
      </c>
      <c r="H2194" s="3" t="str">
        <f>HYPERLINK("http://www.linkedin.com/in/pierresavignac","http://www.linkedin.com/in/pierresavignac")</f>
        <v>http://www.linkedin.com/in/pierresavignac</v>
      </c>
      <c r="I2194" s="2" t="s">
        <v>15</v>
      </c>
      <c r="J2194" s="2" t="s">
        <v>44</v>
      </c>
      <c r="K2194" s="2" t="s">
        <v>58</v>
      </c>
    </row>
    <row r="2195" ht="15.75" customHeight="1">
      <c r="A2195" s="2">
        <v>798930.0</v>
      </c>
      <c r="B2195" s="2" t="s">
        <v>5152</v>
      </c>
      <c r="C2195" s="2" t="s">
        <v>5153</v>
      </c>
      <c r="D2195" s="2" t="s">
        <v>5154</v>
      </c>
      <c r="E2195" s="2" t="s">
        <v>1615</v>
      </c>
      <c r="F2195" s="2">
        <v>10.0</v>
      </c>
      <c r="G2195" s="2">
        <v>500.0</v>
      </c>
      <c r="H2195" s="3" t="str">
        <f>HYPERLINK("http://www.linkedin.com/pub/rod-brylawski-rbrylawski-lucasgroup-com/0/113/38A","http://www.linkedin.com/pub/rod-brylawski-rbrylawski-lucasgroup-com/0/113/38A")</f>
        <v>http://www.linkedin.com/pub/rod-brylawski-rbrylawski-lucasgroup-com/0/113/38A</v>
      </c>
      <c r="I2195" s="2" t="s">
        <v>15</v>
      </c>
      <c r="J2195" s="2" t="s">
        <v>102</v>
      </c>
      <c r="K2195" s="2" t="s">
        <v>35</v>
      </c>
    </row>
    <row r="2196" ht="15.75" customHeight="1">
      <c r="A2196" s="2">
        <v>799026.0</v>
      </c>
      <c r="B2196" s="2" t="s">
        <v>3190</v>
      </c>
      <c r="C2196" s="2" t="s">
        <v>5155</v>
      </c>
      <c r="D2196" s="2" t="s">
        <v>309</v>
      </c>
      <c r="E2196" s="2" t="s">
        <v>301</v>
      </c>
      <c r="F2196" s="2">
        <v>1.0</v>
      </c>
      <c r="G2196" s="2">
        <v>445.0</v>
      </c>
      <c r="H2196" s="3" t="str">
        <f>HYPERLINK("http://www.linkedin.com/pub/henry-bar-levav/0/12/67","http://www.linkedin.com/pub/henry-bar-levav/0/12/67")</f>
        <v>http://www.linkedin.com/pub/henry-bar-levav/0/12/67</v>
      </c>
      <c r="I2196" s="2" t="s">
        <v>160</v>
      </c>
      <c r="J2196" s="2" t="s">
        <v>102</v>
      </c>
      <c r="K2196" s="2" t="s">
        <v>97</v>
      </c>
    </row>
    <row r="2197" ht="15.75" customHeight="1">
      <c r="A2197" s="2">
        <v>799132.0</v>
      </c>
      <c r="B2197" s="2" t="s">
        <v>2014</v>
      </c>
      <c r="C2197" s="2" t="s">
        <v>5156</v>
      </c>
      <c r="D2197" s="2" t="s">
        <v>5157</v>
      </c>
      <c r="E2197" s="2" t="s">
        <v>5158</v>
      </c>
      <c r="F2197" s="2">
        <v>29.0</v>
      </c>
      <c r="G2197" s="2">
        <v>500.0</v>
      </c>
      <c r="H2197" s="3" t="str">
        <f>HYPERLINK("http://www.linkedin.com/in/kensteinberg","http://www.linkedin.com/in/kensteinberg")</f>
        <v>http://www.linkedin.com/in/kensteinberg</v>
      </c>
      <c r="I2197" s="2" t="s">
        <v>374</v>
      </c>
      <c r="J2197" s="2" t="s">
        <v>273</v>
      </c>
      <c r="K2197" s="2" t="s">
        <v>35</v>
      </c>
    </row>
    <row r="2198" ht="15.75" customHeight="1">
      <c r="A2198" s="2">
        <v>799182.0</v>
      </c>
      <c r="B2198" s="2" t="s">
        <v>511</v>
      </c>
      <c r="C2198" s="2" t="s">
        <v>5159</v>
      </c>
      <c r="D2198" s="2" t="s">
        <v>47</v>
      </c>
      <c r="E2198" s="2" t="s">
        <v>574</v>
      </c>
      <c r="F2198" s="2">
        <v>0.0</v>
      </c>
      <c r="G2198" s="2">
        <v>472.0</v>
      </c>
      <c r="H2198" s="3" t="str">
        <f>HYPERLINK("http://www.linkedin.com/pub/mike-kistner/0/150/338","http://www.linkedin.com/pub/mike-kistner/0/150/338")</f>
        <v>http://www.linkedin.com/pub/mike-kistner/0/150/338</v>
      </c>
      <c r="I2198" s="2" t="s">
        <v>15</v>
      </c>
      <c r="J2198" s="2" t="s">
        <v>575</v>
      </c>
      <c r="K2198" s="2" t="s">
        <v>22</v>
      </c>
    </row>
    <row r="2199" ht="15.75" customHeight="1">
      <c r="A2199" s="2">
        <v>799338.0</v>
      </c>
      <c r="B2199" s="2" t="s">
        <v>5160</v>
      </c>
      <c r="C2199" s="2" t="s">
        <v>5161</v>
      </c>
      <c r="D2199" s="2" t="s">
        <v>108</v>
      </c>
      <c r="E2199" s="2" t="s">
        <v>5162</v>
      </c>
      <c r="F2199" s="2" t="s">
        <v>13</v>
      </c>
      <c r="G2199" s="2">
        <v>500.0</v>
      </c>
      <c r="H2199" s="3" t="str">
        <f>HYPERLINK("http://au.linkedin.com/in/turkeychop","http://au.linkedin.com/in/turkeychop")</f>
        <v>http://au.linkedin.com/in/turkeychop</v>
      </c>
      <c r="I2199" s="2" t="s">
        <v>518</v>
      </c>
      <c r="J2199" s="2" t="s">
        <v>5163</v>
      </c>
      <c r="K2199" s="2" t="s">
        <v>58</v>
      </c>
    </row>
    <row r="2200" ht="15.75" customHeight="1">
      <c r="A2200" s="2">
        <v>799505.0</v>
      </c>
      <c r="B2200" s="2" t="s">
        <v>3165</v>
      </c>
      <c r="C2200" s="2" t="s">
        <v>5164</v>
      </c>
      <c r="D2200" s="2" t="s">
        <v>32</v>
      </c>
      <c r="E2200" s="2" t="s">
        <v>39</v>
      </c>
      <c r="F2200" s="2">
        <v>1.0</v>
      </c>
      <c r="G2200" s="2">
        <v>251.0</v>
      </c>
      <c r="H2200" s="3" t="str">
        <f>HYPERLINK("http://br.linkedin.com/pub/luciana-omae/0/2B1/334","http://br.linkedin.com/pub/luciana-omae/0/2B1/334")</f>
        <v>http://br.linkedin.com/pub/luciana-omae/0/2B1/334</v>
      </c>
      <c r="I2200" s="2" t="s">
        <v>15</v>
      </c>
      <c r="J2200" s="2" t="s">
        <v>34</v>
      </c>
      <c r="K2200" s="2" t="s">
        <v>35</v>
      </c>
    </row>
    <row r="2201" ht="15.75" customHeight="1">
      <c r="A2201" s="2">
        <v>799955.0</v>
      </c>
      <c r="B2201" s="2" t="s">
        <v>2120</v>
      </c>
      <c r="C2201" s="2" t="s">
        <v>5165</v>
      </c>
      <c r="D2201" s="2" t="s">
        <v>5166</v>
      </c>
      <c r="E2201" s="2" t="s">
        <v>136</v>
      </c>
      <c r="F2201" s="2" t="s">
        <v>13</v>
      </c>
      <c r="G2201" s="2">
        <v>330.0</v>
      </c>
      <c r="H2201" s="3" t="str">
        <f>HYPERLINK("http://www.linkedin.com/in/golwala","http://www.linkedin.com/in/golwala")</f>
        <v>http://www.linkedin.com/in/golwala</v>
      </c>
      <c r="I2201" s="2" t="s">
        <v>48</v>
      </c>
      <c r="J2201" s="2" t="s">
        <v>102</v>
      </c>
      <c r="K2201" s="2" t="s">
        <v>35</v>
      </c>
    </row>
    <row r="2202" ht="15.75" customHeight="1">
      <c r="A2202" s="2">
        <v>799957.0</v>
      </c>
      <c r="B2202" s="2" t="s">
        <v>1284</v>
      </c>
      <c r="C2202" s="2" t="s">
        <v>5167</v>
      </c>
      <c r="D2202" s="2" t="s">
        <v>13</v>
      </c>
      <c r="E2202" s="2" t="s">
        <v>181</v>
      </c>
      <c r="F2202" s="2">
        <v>0.0</v>
      </c>
      <c r="G2202" s="2">
        <v>500.0</v>
      </c>
      <c r="H2202" s="3" t="str">
        <f>HYPERLINK("https://www.linkedin.com/in/aastarita","https://www.linkedin.com/in/aastarita")</f>
        <v>https://www.linkedin.com/in/aastarita</v>
      </c>
      <c r="I2202" s="2" t="s">
        <v>69</v>
      </c>
      <c r="J2202" s="2" t="s">
        <v>102</v>
      </c>
      <c r="K2202" s="2" t="s">
        <v>35</v>
      </c>
    </row>
    <row r="2203" ht="15.75" customHeight="1">
      <c r="A2203" s="2">
        <v>799967.0</v>
      </c>
      <c r="B2203" s="2" t="s">
        <v>5168</v>
      </c>
      <c r="C2203" s="2" t="s">
        <v>3452</v>
      </c>
      <c r="D2203" s="2" t="s">
        <v>13</v>
      </c>
      <c r="E2203" s="2" t="s">
        <v>4258</v>
      </c>
      <c r="F2203" s="2">
        <v>0.0</v>
      </c>
      <c r="G2203" s="2">
        <v>500.0</v>
      </c>
      <c r="H2203" s="3" t="str">
        <f>HYPERLINK("http://www.linkedin.com/in/bradleyljones","http://www.linkedin.com/in/bradleyljones")</f>
        <v>http://www.linkedin.com/in/bradleyljones</v>
      </c>
      <c r="I2203" s="2" t="s">
        <v>15</v>
      </c>
      <c r="J2203" s="2" t="s">
        <v>102</v>
      </c>
      <c r="K2203" s="2" t="s">
        <v>35</v>
      </c>
    </row>
    <row r="2204" ht="15.75" customHeight="1">
      <c r="A2204" s="2">
        <v>799993.0</v>
      </c>
      <c r="B2204" s="2" t="s">
        <v>879</v>
      </c>
      <c r="C2204" s="2" t="s">
        <v>5169</v>
      </c>
      <c r="D2204" s="2" t="s">
        <v>1145</v>
      </c>
      <c r="E2204" s="2" t="s">
        <v>136</v>
      </c>
      <c r="F2204" s="2">
        <v>10.0</v>
      </c>
      <c r="G2204" s="2">
        <v>500.0</v>
      </c>
      <c r="H2204" s="3" t="str">
        <f>HYPERLINK("http://www.linkedin.com/pub/richard-maggiotto/0/230/8A6","http://www.linkedin.com/pub/richard-maggiotto/0/230/8A6")</f>
        <v>http://www.linkedin.com/pub/richard-maggiotto/0/230/8A6</v>
      </c>
      <c r="I2204" s="2" t="s">
        <v>326</v>
      </c>
      <c r="J2204" s="2" t="s">
        <v>102</v>
      </c>
      <c r="K2204" s="2" t="s">
        <v>58</v>
      </c>
    </row>
    <row r="2205" ht="15.75" customHeight="1">
      <c r="A2205" s="2">
        <v>799995.0</v>
      </c>
      <c r="B2205" s="2" t="s">
        <v>471</v>
      </c>
      <c r="C2205" s="2" t="s">
        <v>5170</v>
      </c>
      <c r="D2205" s="2" t="s">
        <v>47</v>
      </c>
      <c r="E2205" s="2" t="s">
        <v>39</v>
      </c>
      <c r="F2205" s="2" t="s">
        <v>13</v>
      </c>
      <c r="G2205" s="2">
        <v>500.0</v>
      </c>
      <c r="H2205" s="3" t="str">
        <f>HYPERLINK("http://br.linkedin.com/pub/dan-ioschpe/1/B34/21","http://br.linkedin.com/pub/dan-ioschpe/1/B34/21")</f>
        <v>http://br.linkedin.com/pub/dan-ioschpe/1/B34/21</v>
      </c>
      <c r="I2205" s="2" t="s">
        <v>2443</v>
      </c>
      <c r="J2205" s="2" t="s">
        <v>34</v>
      </c>
      <c r="K2205" s="2" t="s">
        <v>58</v>
      </c>
    </row>
    <row r="2206" ht="15.75" customHeight="1">
      <c r="A2206" s="2">
        <v>800004.0</v>
      </c>
      <c r="B2206" s="2" t="s">
        <v>5171</v>
      </c>
      <c r="C2206" s="2" t="s">
        <v>5172</v>
      </c>
      <c r="D2206" s="2"/>
      <c r="E2206" s="2" t="s">
        <v>748</v>
      </c>
      <c r="F2206" s="2">
        <v>0.0</v>
      </c>
      <c r="G2206" s="2">
        <v>225.0</v>
      </c>
      <c r="H2206" s="3" t="str">
        <f>HYPERLINK("http://www.linkedin.com/pub/suzanne-heinrichs/0/235/671","http://www.linkedin.com/pub/suzanne-heinrichs/0/235/671")</f>
        <v>http://www.linkedin.com/pub/suzanne-heinrichs/0/235/671</v>
      </c>
      <c r="I2206" s="2" t="s">
        <v>1496</v>
      </c>
      <c r="J2206" s="2" t="s">
        <v>28</v>
      </c>
      <c r="K2206" s="2" t="s">
        <v>35</v>
      </c>
    </row>
    <row r="2207" ht="15.75" customHeight="1">
      <c r="A2207" s="2">
        <v>800211.0</v>
      </c>
      <c r="B2207" s="2" t="s">
        <v>5173</v>
      </c>
      <c r="C2207" s="2" t="s">
        <v>5174</v>
      </c>
      <c r="D2207" s="2" t="s">
        <v>5175</v>
      </c>
      <c r="E2207" s="2" t="s">
        <v>5176</v>
      </c>
      <c r="F2207" s="2">
        <v>7.0</v>
      </c>
      <c r="G2207" s="2">
        <v>500.0</v>
      </c>
      <c r="H2207" s="3" t="str">
        <f>HYPERLINK("http://www.linkedin.com/in/richsauser","http://www.linkedin.com/in/richsauser")</f>
        <v>http://www.linkedin.com/in/richsauser</v>
      </c>
      <c r="I2207" s="2" t="s">
        <v>15</v>
      </c>
      <c r="J2207" s="2" t="s">
        <v>102</v>
      </c>
      <c r="K2207" s="2" t="s">
        <v>35</v>
      </c>
    </row>
    <row r="2208" ht="15.75" customHeight="1">
      <c r="A2208" s="2">
        <v>800598.0</v>
      </c>
      <c r="B2208" s="2" t="s">
        <v>2060</v>
      </c>
      <c r="C2208" s="2" t="s">
        <v>5177</v>
      </c>
      <c r="D2208" s="2" t="s">
        <v>5178</v>
      </c>
      <c r="E2208" s="2" t="s">
        <v>101</v>
      </c>
      <c r="F2208" s="2">
        <v>10.0</v>
      </c>
      <c r="G2208" s="2">
        <v>500.0</v>
      </c>
      <c r="H2208" s="3" t="str">
        <f>HYPERLINK("http://www.linkedin.com/in/russmcdonough","http://www.linkedin.com/in/russmcdonough")</f>
        <v>http://www.linkedin.com/in/russmcdonough</v>
      </c>
      <c r="I2208" s="2" t="s">
        <v>27</v>
      </c>
      <c r="J2208" s="2" t="s">
        <v>102</v>
      </c>
      <c r="K2208" s="2" t="s">
        <v>58</v>
      </c>
    </row>
    <row r="2209" ht="15.75" customHeight="1">
      <c r="A2209" s="2">
        <v>800638.0</v>
      </c>
      <c r="B2209" s="2" t="s">
        <v>460</v>
      </c>
      <c r="C2209" s="2" t="s">
        <v>5179</v>
      </c>
      <c r="D2209" s="2" t="s">
        <v>400</v>
      </c>
      <c r="E2209" s="2" t="s">
        <v>301</v>
      </c>
      <c r="F2209" s="2">
        <v>2.0</v>
      </c>
      <c r="G2209" s="2">
        <v>463.0</v>
      </c>
      <c r="H2209" s="3" t="str">
        <f>HYPERLINK("http://www.linkedin.com/pub/john-killcommons/0/362/AA9","http://www.linkedin.com/pub/john-killcommons/0/362/AA9")</f>
        <v>http://www.linkedin.com/pub/john-killcommons/0/362/AA9</v>
      </c>
      <c r="I2209" s="2" t="s">
        <v>172</v>
      </c>
      <c r="J2209" s="2" t="s">
        <v>102</v>
      </c>
      <c r="K2209" s="2" t="s">
        <v>58</v>
      </c>
    </row>
    <row r="2210" ht="15.75" customHeight="1">
      <c r="A2210" s="2">
        <v>801463.0</v>
      </c>
      <c r="B2210" s="2" t="s">
        <v>5180</v>
      </c>
      <c r="C2210" s="2" t="s">
        <v>3399</v>
      </c>
      <c r="D2210" s="2" t="s">
        <v>5181</v>
      </c>
      <c r="E2210" s="2" t="s">
        <v>971</v>
      </c>
      <c r="F2210" s="2">
        <v>7.0</v>
      </c>
      <c r="G2210" s="2">
        <v>500.0</v>
      </c>
      <c r="H2210" s="3" t="str">
        <f>HYPERLINK("http://www.linkedin.com/pub/jonyt-meyer/1/977/361","http://www.linkedin.com/pub/jonyt-meyer/1/977/361")</f>
        <v>http://www.linkedin.com/pub/jonyt-meyer/1/977/361</v>
      </c>
      <c r="I2210" s="2" t="s">
        <v>1728</v>
      </c>
      <c r="J2210" s="2" t="s">
        <v>102</v>
      </c>
      <c r="K2210" s="2" t="s">
        <v>58</v>
      </c>
    </row>
    <row r="2211" ht="15.75" customHeight="1">
      <c r="A2211" s="2">
        <v>802484.0</v>
      </c>
      <c r="B2211" s="2" t="s">
        <v>5182</v>
      </c>
      <c r="C2211" s="2" t="s">
        <v>1193</v>
      </c>
      <c r="D2211" s="2"/>
      <c r="E2211" s="2" t="s">
        <v>783</v>
      </c>
      <c r="F2211" s="2">
        <v>2.0</v>
      </c>
      <c r="G2211" s="2">
        <v>500.0</v>
      </c>
      <c r="H2211" s="3" t="str">
        <f>HYPERLINK("http://www.linkedin.com/in/shkumar07","http://www.linkedin.com/in/shkumar07")</f>
        <v>http://www.linkedin.com/in/shkumar07</v>
      </c>
      <c r="I2211" s="2" t="s">
        <v>48</v>
      </c>
      <c r="J2211" s="2" t="s">
        <v>575</v>
      </c>
      <c r="K2211" s="2" t="s">
        <v>22</v>
      </c>
    </row>
    <row r="2212" ht="15.75" customHeight="1">
      <c r="A2212" s="2">
        <v>802690.0</v>
      </c>
      <c r="B2212" s="2" t="s">
        <v>5183</v>
      </c>
      <c r="C2212" s="2" t="s">
        <v>5184</v>
      </c>
      <c r="D2212" s="2" t="s">
        <v>304</v>
      </c>
      <c r="E2212" s="2" t="s">
        <v>301</v>
      </c>
      <c r="F2212" s="2">
        <v>5.0</v>
      </c>
      <c r="G2212" s="2">
        <v>500.0</v>
      </c>
      <c r="H2212" s="3" t="str">
        <f>HYPERLINK("http://www.linkedin.com/in/tckong","http://www.linkedin.com/in/tckong")</f>
        <v>http://www.linkedin.com/in/tckong</v>
      </c>
      <c r="I2212" s="2" t="s">
        <v>252</v>
      </c>
      <c r="J2212" s="2" t="s">
        <v>102</v>
      </c>
      <c r="K2212" s="2" t="s">
        <v>35</v>
      </c>
    </row>
    <row r="2213" ht="15.75" customHeight="1">
      <c r="A2213" s="2">
        <v>803274.0</v>
      </c>
      <c r="B2213" s="2" t="s">
        <v>5185</v>
      </c>
      <c r="C2213" s="2" t="s">
        <v>5186</v>
      </c>
      <c r="D2213" s="2" t="s">
        <v>13</v>
      </c>
      <c r="E2213" s="2" t="s">
        <v>5187</v>
      </c>
      <c r="F2213" s="2">
        <v>16.0</v>
      </c>
      <c r="G2213" s="2">
        <v>500.0</v>
      </c>
      <c r="H2213" s="3" t="str">
        <f>HYPERLINK("http://www.linkedin.com/in/giulianostiglitz","http://www.linkedin.com/in/giulianostiglitz")</f>
        <v>http://www.linkedin.com/in/giulianostiglitz</v>
      </c>
      <c r="I2213" s="2" t="s">
        <v>326</v>
      </c>
      <c r="J2213" s="2" t="s">
        <v>102</v>
      </c>
      <c r="K2213" s="2" t="s">
        <v>58</v>
      </c>
    </row>
    <row r="2214" ht="15.75" customHeight="1">
      <c r="A2214" s="2">
        <v>803738.0</v>
      </c>
      <c r="B2214" s="2" t="s">
        <v>1932</v>
      </c>
      <c r="C2214" s="2" t="s">
        <v>5188</v>
      </c>
      <c r="D2214" s="2" t="s">
        <v>13</v>
      </c>
      <c r="E2214" s="2" t="s">
        <v>989</v>
      </c>
      <c r="F2214" s="2">
        <v>0.0</v>
      </c>
      <c r="G2214" s="2">
        <v>500.0</v>
      </c>
      <c r="H2214" s="3" t="str">
        <f>HYPERLINK("https://www.linkedin.com/in/michelleshummel","https://www.linkedin.com/in/michelleshummel")</f>
        <v>https://www.linkedin.com/in/michelleshummel</v>
      </c>
      <c r="I2214" s="2" t="s">
        <v>105</v>
      </c>
      <c r="J2214" s="2" t="s">
        <v>102</v>
      </c>
      <c r="K2214" s="2" t="s">
        <v>58</v>
      </c>
    </row>
    <row r="2215" ht="15.75" customHeight="1">
      <c r="A2215" s="2">
        <v>803872.0</v>
      </c>
      <c r="B2215" s="2" t="s">
        <v>1010</v>
      </c>
      <c r="C2215" s="2" t="s">
        <v>5189</v>
      </c>
      <c r="D2215" s="2" t="s">
        <v>4764</v>
      </c>
      <c r="E2215" s="2" t="s">
        <v>5190</v>
      </c>
      <c r="F2215" s="2">
        <v>4.0</v>
      </c>
      <c r="G2215" s="2">
        <v>279.0</v>
      </c>
      <c r="H2215" s="3" t="str">
        <f>HYPERLINK("http://www.linkedin.com/pub/raymond-val/1/121/70","http://www.linkedin.com/pub/raymond-val/1/121/70")</f>
        <v>http://www.linkedin.com/pub/raymond-val/1/121/70</v>
      </c>
      <c r="I2215" s="2" t="s">
        <v>873</v>
      </c>
      <c r="J2215" s="2" t="s">
        <v>16</v>
      </c>
      <c r="K2215" s="2" t="s">
        <v>522</v>
      </c>
    </row>
    <row r="2216" ht="15.75" customHeight="1">
      <c r="A2216" s="2">
        <v>803923.0</v>
      </c>
      <c r="B2216" s="2" t="s">
        <v>5191</v>
      </c>
      <c r="C2216" s="2" t="s">
        <v>5192</v>
      </c>
      <c r="D2216" s="2" t="s">
        <v>5193</v>
      </c>
      <c r="E2216" s="2" t="s">
        <v>136</v>
      </c>
      <c r="F2216" s="2">
        <v>33.0</v>
      </c>
      <c r="G2216" s="2">
        <v>500.0</v>
      </c>
      <c r="H2216" s="3" t="str">
        <f>HYPERLINK("http://www.linkedin.com/in/jakkiglivickygeiger","http://www.linkedin.com/in/jakkiglivickygeiger")</f>
        <v>http://www.linkedin.com/in/jakkiglivickygeiger</v>
      </c>
      <c r="I2216" s="2" t="s">
        <v>48</v>
      </c>
      <c r="J2216" s="2" t="s">
        <v>102</v>
      </c>
      <c r="K2216" s="2" t="s">
        <v>35</v>
      </c>
    </row>
    <row r="2217" ht="15.75" customHeight="1">
      <c r="A2217" s="2">
        <v>804803.0</v>
      </c>
      <c r="B2217" s="2" t="s">
        <v>5194</v>
      </c>
      <c r="C2217" s="2" t="s">
        <v>5195</v>
      </c>
      <c r="D2217" s="2" t="s">
        <v>5196</v>
      </c>
      <c r="E2217" s="2" t="s">
        <v>294</v>
      </c>
      <c r="F2217" s="2">
        <v>3.0</v>
      </c>
      <c r="G2217" s="2">
        <v>500.0</v>
      </c>
      <c r="H2217" s="3" t="str">
        <f>HYPERLINK("http://www.linkedin.com/in/coleenmosher","http://www.linkedin.com/in/coleenmosher")</f>
        <v>http://www.linkedin.com/in/coleenmosher</v>
      </c>
      <c r="I2217" s="2" t="s">
        <v>248</v>
      </c>
      <c r="J2217" s="2" t="s">
        <v>102</v>
      </c>
      <c r="K2217" s="2" t="s">
        <v>196</v>
      </c>
    </row>
    <row r="2218" ht="15.75" customHeight="1">
      <c r="A2218" s="2">
        <v>805267.0</v>
      </c>
      <c r="B2218" s="2" t="s">
        <v>5197</v>
      </c>
      <c r="C2218" s="2" t="s">
        <v>5198</v>
      </c>
      <c r="D2218" s="2" t="s">
        <v>42</v>
      </c>
      <c r="E2218" s="2" t="s">
        <v>783</v>
      </c>
      <c r="F2218" s="2" t="s">
        <v>13</v>
      </c>
      <c r="G2218" s="2">
        <v>500.0</v>
      </c>
      <c r="H2218" s="3" t="str">
        <f>HYPERLINK("http://uk.linkedin.com/in/praveen","http://uk.linkedin.com/in/praveen")</f>
        <v>http://uk.linkedin.com/in/praveen</v>
      </c>
      <c r="I2218" s="2" t="s">
        <v>57</v>
      </c>
      <c r="J2218" s="2" t="s">
        <v>575</v>
      </c>
      <c r="K2218" s="2" t="s">
        <v>35</v>
      </c>
    </row>
    <row r="2219" ht="15.75" customHeight="1">
      <c r="A2219" s="2">
        <v>805269.0</v>
      </c>
      <c r="B2219" s="2" t="s">
        <v>18</v>
      </c>
      <c r="C2219" s="2" t="s">
        <v>5199</v>
      </c>
      <c r="D2219" s="2" t="s">
        <v>47</v>
      </c>
      <c r="E2219" s="2" t="s">
        <v>4655</v>
      </c>
      <c r="F2219" s="2" t="s">
        <v>13</v>
      </c>
      <c r="G2219" s="2">
        <v>186.0</v>
      </c>
      <c r="H2219" s="3" t="str">
        <f>HYPERLINK("http://br.linkedin.com/in/mauricioodery","http://br.linkedin.com/in/mauricioodery")</f>
        <v>http://br.linkedin.com/in/mauricioodery</v>
      </c>
      <c r="I2219" s="2" t="s">
        <v>318</v>
      </c>
      <c r="J2219" s="2" t="s">
        <v>34</v>
      </c>
      <c r="K2219" s="2" t="s">
        <v>58</v>
      </c>
    </row>
    <row r="2220" ht="15.75" customHeight="1">
      <c r="A2220" s="2">
        <v>805532.0</v>
      </c>
      <c r="B2220" s="2" t="s">
        <v>5200</v>
      </c>
      <c r="C2220" s="2" t="s">
        <v>5201</v>
      </c>
      <c r="D2220" s="2" t="s">
        <v>5202</v>
      </c>
      <c r="E2220" s="2" t="s">
        <v>166</v>
      </c>
      <c r="F2220" s="2">
        <v>39.0</v>
      </c>
      <c r="G2220" s="2">
        <v>500.0</v>
      </c>
      <c r="H2220" s="3" t="str">
        <f>HYPERLINK("http://www.linkedin.com/pub/cynthia-wrasman/0/1B3/6B","http://www.linkedin.com/pub/cynthia-wrasman/0/1B3/6B")</f>
        <v>http://www.linkedin.com/pub/cynthia-wrasman/0/1B3/6B</v>
      </c>
      <c r="I2220" s="2" t="s">
        <v>475</v>
      </c>
      <c r="J2220" s="2" t="s">
        <v>102</v>
      </c>
      <c r="K2220" s="2" t="s">
        <v>58</v>
      </c>
    </row>
    <row r="2221" ht="15.75" customHeight="1">
      <c r="A2221" s="2">
        <v>805574.0</v>
      </c>
      <c r="B2221" s="2" t="s">
        <v>133</v>
      </c>
      <c r="C2221" s="2" t="s">
        <v>5203</v>
      </c>
      <c r="D2221" s="2" t="s">
        <v>1825</v>
      </c>
      <c r="E2221" s="2" t="s">
        <v>136</v>
      </c>
      <c r="F2221" s="2">
        <v>3.0</v>
      </c>
      <c r="G2221" s="2">
        <v>500.0</v>
      </c>
      <c r="H2221" s="3" t="str">
        <f>HYPERLINK("http://www.linkedin.com/in/michaelgriego","http://www.linkedin.com/in/michaelgriego")</f>
        <v>http://www.linkedin.com/in/michaelgriego</v>
      </c>
      <c r="I2221" s="2" t="s">
        <v>1390</v>
      </c>
      <c r="J2221" s="2" t="s">
        <v>102</v>
      </c>
      <c r="K2221" s="2" t="s">
        <v>58</v>
      </c>
    </row>
    <row r="2222" ht="15.75" customHeight="1">
      <c r="A2222" s="2">
        <v>805682.0</v>
      </c>
      <c r="B2222" s="2" t="s">
        <v>5204</v>
      </c>
      <c r="C2222" s="2" t="s">
        <v>5205</v>
      </c>
      <c r="D2222" s="2" t="s">
        <v>5206</v>
      </c>
      <c r="E2222" s="2" t="s">
        <v>136</v>
      </c>
      <c r="F2222" s="2">
        <v>2.0</v>
      </c>
      <c r="G2222" s="2">
        <v>500.0</v>
      </c>
      <c r="H2222" s="3" t="str">
        <f>HYPERLINK("http://www.linkedin.com/pub/aki-fujimura/4/365/B82","http://www.linkedin.com/pub/aki-fujimura/4/365/B82")</f>
        <v>http://www.linkedin.com/pub/aki-fujimura/4/365/B82</v>
      </c>
      <c r="I2222" s="2" t="s">
        <v>48</v>
      </c>
      <c r="J2222" s="2" t="s">
        <v>102</v>
      </c>
      <c r="K2222" s="2" t="s">
        <v>35</v>
      </c>
    </row>
    <row r="2223" ht="15.75" customHeight="1">
      <c r="A2223" s="2">
        <v>805878.0</v>
      </c>
      <c r="B2223" s="2" t="s">
        <v>5207</v>
      </c>
      <c r="C2223" s="2" t="s">
        <v>5208</v>
      </c>
      <c r="D2223" s="2" t="s">
        <v>13</v>
      </c>
      <c r="E2223" s="2" t="s">
        <v>181</v>
      </c>
      <c r="F2223" s="2">
        <v>2.0</v>
      </c>
      <c r="G2223" s="2">
        <v>500.0</v>
      </c>
      <c r="H2223" s="3" t="str">
        <f>HYPERLINK("http://www.linkedin.com/pub/renard-j-steele/6/26b/2a5","http://www.linkedin.com/pub/renard-j-steele/6/26b/2a5")</f>
        <v>http://www.linkedin.com/pub/renard-j-steele/6/26b/2a5</v>
      </c>
      <c r="I2223" s="2" t="s">
        <v>15</v>
      </c>
      <c r="J2223" s="2" t="s">
        <v>102</v>
      </c>
      <c r="K2223" s="2" t="s">
        <v>35</v>
      </c>
    </row>
    <row r="2224" ht="15.75" customHeight="1">
      <c r="A2224" s="2">
        <v>806096.0</v>
      </c>
      <c r="B2224" s="2" t="s">
        <v>5209</v>
      </c>
      <c r="C2224" s="2" t="s">
        <v>2039</v>
      </c>
      <c r="D2224" s="2" t="s">
        <v>400</v>
      </c>
      <c r="E2224" s="2" t="s">
        <v>325</v>
      </c>
      <c r="F2224" s="2">
        <v>9.0</v>
      </c>
      <c r="G2224" s="2">
        <v>500.0</v>
      </c>
      <c r="H2224" s="3" t="str">
        <f>HYPERLINK("http://www.linkedin.com/in/newvisionmedia","http://www.linkedin.com/in/newvisionmedia")</f>
        <v>http://www.linkedin.com/in/newvisionmedia</v>
      </c>
      <c r="I2224" s="2" t="s">
        <v>560</v>
      </c>
      <c r="J2224" s="2" t="s">
        <v>102</v>
      </c>
      <c r="K2224" s="2" t="s">
        <v>58</v>
      </c>
    </row>
    <row r="2225" ht="15.75" customHeight="1">
      <c r="A2225" s="2">
        <v>806109.0</v>
      </c>
      <c r="B2225" s="2" t="s">
        <v>460</v>
      </c>
      <c r="C2225" s="2" t="s">
        <v>5210</v>
      </c>
      <c r="D2225" s="2"/>
      <c r="E2225" s="2" t="s">
        <v>2447</v>
      </c>
      <c r="F2225" s="2">
        <v>0.0</v>
      </c>
      <c r="G2225" s="2">
        <v>154.0</v>
      </c>
      <c r="H2225" s="3" t="str">
        <f>HYPERLINK("http://www.linkedin.com/pub/john-guedes/0/33A/133","http://www.linkedin.com/pub/john-guedes/0/33A/133")</f>
        <v>http://www.linkedin.com/pub/john-guedes/0/33A/133</v>
      </c>
      <c r="I2225" s="2" t="s">
        <v>374</v>
      </c>
      <c r="J2225" s="2" t="s">
        <v>16</v>
      </c>
      <c r="K2225" s="2" t="s">
        <v>97</v>
      </c>
    </row>
    <row r="2226" ht="15.75" customHeight="1">
      <c r="A2226" s="2">
        <v>806352.0</v>
      </c>
      <c r="B2226" s="2" t="s">
        <v>2328</v>
      </c>
      <c r="C2226" s="2" t="s">
        <v>5211</v>
      </c>
      <c r="D2226" s="2" t="s">
        <v>5212</v>
      </c>
      <c r="E2226" s="2" t="s">
        <v>5213</v>
      </c>
      <c r="F2226" s="2">
        <v>2.0</v>
      </c>
      <c r="G2226" s="2">
        <v>500.0</v>
      </c>
      <c r="H2226" s="3" t="str">
        <f>HYPERLINK("http://www.linkedin.com/in/ethanbernstein","http://www.linkedin.com/in/ethanbernstein")</f>
        <v>http://www.linkedin.com/in/ethanbernstein</v>
      </c>
      <c r="I2226" s="2" t="s">
        <v>240</v>
      </c>
      <c r="J2226" s="2" t="s">
        <v>102</v>
      </c>
      <c r="K2226" s="2" t="s">
        <v>4831</v>
      </c>
    </row>
    <row r="2227" ht="15.75" customHeight="1">
      <c r="A2227" s="2">
        <v>806364.0</v>
      </c>
      <c r="B2227" s="2" t="s">
        <v>1289</v>
      </c>
      <c r="C2227" s="2" t="s">
        <v>5214</v>
      </c>
      <c r="D2227" s="2" t="s">
        <v>114</v>
      </c>
      <c r="E2227" s="2" t="s">
        <v>3865</v>
      </c>
      <c r="F2227" s="2" t="s">
        <v>13</v>
      </c>
      <c r="G2227" s="2">
        <v>500.0</v>
      </c>
      <c r="H2227" s="3" t="str">
        <f>HYPERLINK("http://www.linkedin.com/in/cliff4playerfinancial","http://www.linkedin.com/in/cliff4playerfinancial")</f>
        <v>http://www.linkedin.com/in/cliff4playerfinancial</v>
      </c>
      <c r="I2227" s="2" t="s">
        <v>248</v>
      </c>
      <c r="J2227" s="2" t="s">
        <v>102</v>
      </c>
      <c r="K2227" s="2" t="s">
        <v>196</v>
      </c>
    </row>
    <row r="2228" ht="15.75" customHeight="1">
      <c r="A2228" s="2">
        <v>806733.0</v>
      </c>
      <c r="B2228" s="2" t="s">
        <v>5215</v>
      </c>
      <c r="C2228" s="2" t="s">
        <v>1456</v>
      </c>
      <c r="D2228" s="2" t="s">
        <v>81</v>
      </c>
      <c r="E2228" s="2" t="s">
        <v>136</v>
      </c>
      <c r="F2228" s="2" t="s">
        <v>13</v>
      </c>
      <c r="G2228" s="2">
        <v>427.0</v>
      </c>
      <c r="H2228" s="3" t="str">
        <f>HYPERLINK("http://www.linkedin.com/in/gganderson","http://www.linkedin.com/in/gganderson")</f>
        <v>http://www.linkedin.com/in/gganderson</v>
      </c>
      <c r="I2228" s="2" t="s">
        <v>714</v>
      </c>
      <c r="J2228" s="2" t="s">
        <v>102</v>
      </c>
      <c r="K2228" s="2" t="s">
        <v>58</v>
      </c>
    </row>
    <row r="2229" ht="15.75" customHeight="1">
      <c r="A2229" s="2">
        <v>807284.0</v>
      </c>
      <c r="B2229" s="2" t="s">
        <v>1653</v>
      </c>
      <c r="C2229" s="2" t="s">
        <v>1417</v>
      </c>
      <c r="D2229" s="2" t="s">
        <v>1966</v>
      </c>
      <c r="E2229" s="2" t="s">
        <v>301</v>
      </c>
      <c r="F2229" s="2">
        <v>3.0</v>
      </c>
      <c r="G2229" s="2">
        <v>500.0</v>
      </c>
      <c r="H2229" s="3" t="str">
        <f>HYPERLINK("http://www.linkedin.com/in/douglastkirk","http://www.linkedin.com/in/douglastkirk")</f>
        <v>http://www.linkedin.com/in/douglastkirk</v>
      </c>
      <c r="I2229" s="2" t="s">
        <v>69</v>
      </c>
      <c r="J2229" s="2" t="s">
        <v>102</v>
      </c>
      <c r="K2229" s="2" t="s">
        <v>35</v>
      </c>
    </row>
    <row r="2230" ht="15.75" customHeight="1">
      <c r="A2230" s="2">
        <v>807422.0</v>
      </c>
      <c r="B2230" s="2" t="s">
        <v>1653</v>
      </c>
      <c r="C2230" s="2" t="s">
        <v>5216</v>
      </c>
      <c r="D2230" s="2" t="s">
        <v>5217</v>
      </c>
      <c r="E2230" s="2" t="s">
        <v>301</v>
      </c>
      <c r="F2230" s="2">
        <v>5.0</v>
      </c>
      <c r="G2230" s="2">
        <v>500.0</v>
      </c>
      <c r="H2230" s="3" t="str">
        <f>HYPERLINK("http://www.linkedin.com/in/dougeicher","http://www.linkedin.com/in/dougeicher")</f>
        <v>http://www.linkedin.com/in/dougeicher</v>
      </c>
      <c r="I2230" s="2" t="s">
        <v>48</v>
      </c>
      <c r="J2230" s="2" t="s">
        <v>102</v>
      </c>
      <c r="K2230" s="2" t="s">
        <v>35</v>
      </c>
    </row>
    <row r="2231" ht="15.75" customHeight="1">
      <c r="A2231" s="2">
        <v>807931.0</v>
      </c>
      <c r="B2231" s="2" t="s">
        <v>478</v>
      </c>
      <c r="C2231" s="2" t="s">
        <v>5218</v>
      </c>
      <c r="D2231" s="2" t="s">
        <v>5219</v>
      </c>
      <c r="E2231" s="2" t="s">
        <v>136</v>
      </c>
      <c r="F2231" s="2">
        <v>4.0</v>
      </c>
      <c r="G2231" s="2">
        <v>360.0</v>
      </c>
      <c r="H2231" s="3" t="str">
        <f>HYPERLINK("http://www.linkedin.com/in/karentraversikovaleski","http://www.linkedin.com/in/karentraversikovaleski")</f>
        <v>http://www.linkedin.com/in/karentraversikovaleski</v>
      </c>
      <c r="I2231" s="2" t="s">
        <v>105</v>
      </c>
      <c r="J2231" s="2" t="s">
        <v>102</v>
      </c>
      <c r="K2231" s="2" t="s">
        <v>58</v>
      </c>
    </row>
    <row r="2232" ht="15.75" customHeight="1">
      <c r="A2232" s="2">
        <v>808308.0</v>
      </c>
      <c r="B2232" s="2" t="s">
        <v>721</v>
      </c>
      <c r="C2232" s="2" t="s">
        <v>5220</v>
      </c>
      <c r="D2232" s="2" t="s">
        <v>13</v>
      </c>
      <c r="E2232" s="2" t="s">
        <v>1994</v>
      </c>
      <c r="F2232" s="2">
        <v>0.0</v>
      </c>
      <c r="G2232" s="2">
        <v>500.0</v>
      </c>
      <c r="H2232" s="3" t="str">
        <f>HYPERLINK("http://www.linkedin.com/in/andrewdodenhoff","http://www.linkedin.com/in/andrewdodenhoff")</f>
        <v>http://www.linkedin.com/in/andrewdodenhoff</v>
      </c>
      <c r="I2232" s="2" t="s">
        <v>69</v>
      </c>
      <c r="J2232" s="2" t="s">
        <v>102</v>
      </c>
      <c r="K2232" s="2" t="s">
        <v>35</v>
      </c>
    </row>
    <row r="2233" ht="15.75" customHeight="1">
      <c r="A2233" s="2">
        <v>808314.0</v>
      </c>
      <c r="B2233" s="2" t="s">
        <v>5221</v>
      </c>
      <c r="C2233" s="2" t="s">
        <v>1323</v>
      </c>
      <c r="D2233" s="2" t="s">
        <v>47</v>
      </c>
      <c r="E2233" s="2" t="s">
        <v>136</v>
      </c>
      <c r="F2233" s="2">
        <v>1.0</v>
      </c>
      <c r="G2233" s="2">
        <v>500.0</v>
      </c>
      <c r="H2233" s="3" t="str">
        <f>HYPERLINK("http://www.linkedin.com/pub/arvind-goel/0/564/9A0","http://www.linkedin.com/pub/arvind-goel/0/564/9A0")</f>
        <v>http://www.linkedin.com/pub/arvind-goel/0/564/9A0</v>
      </c>
      <c r="I2233" s="2" t="s">
        <v>69</v>
      </c>
      <c r="J2233" s="2" t="s">
        <v>102</v>
      </c>
      <c r="K2233" s="2" t="s">
        <v>35</v>
      </c>
    </row>
    <row r="2234" ht="15.75" customHeight="1">
      <c r="A2234" s="2">
        <v>808319.0</v>
      </c>
      <c r="B2234" s="2" t="s">
        <v>1369</v>
      </c>
      <c r="C2234" s="2" t="s">
        <v>5222</v>
      </c>
      <c r="D2234" s="2" t="s">
        <v>42</v>
      </c>
      <c r="E2234" s="2" t="s">
        <v>1041</v>
      </c>
      <c r="F2234" s="2" t="s">
        <v>13</v>
      </c>
      <c r="G2234" s="2">
        <v>489.0</v>
      </c>
      <c r="H2234" s="3" t="str">
        <f>HYPERLINK("http://www.linkedin.com/pub/hayden-lindsey/0/29B/985","http://www.linkedin.com/pub/hayden-lindsey/0/29B/985")</f>
        <v>http://www.linkedin.com/pub/hayden-lindsey/0/29B/985</v>
      </c>
      <c r="I2234" s="2" t="s">
        <v>48</v>
      </c>
      <c r="J2234" s="2" t="s">
        <v>102</v>
      </c>
      <c r="K2234" s="2" t="s">
        <v>35</v>
      </c>
    </row>
    <row r="2235" ht="15.75" customHeight="1">
      <c r="A2235" s="2">
        <v>808536.0</v>
      </c>
      <c r="B2235" s="2" t="s">
        <v>1593</v>
      </c>
      <c r="C2235" s="2" t="s">
        <v>1814</v>
      </c>
      <c r="D2235" s="2" t="s">
        <v>13</v>
      </c>
      <c r="E2235" s="2" t="s">
        <v>2246</v>
      </c>
      <c r="F2235" s="2">
        <v>3.0</v>
      </c>
      <c r="G2235" s="2">
        <v>500.0</v>
      </c>
      <c r="H2235" s="3" t="str">
        <f>HYPERLINK("http://www.linkedin.com/in/adamsingh","http://www.linkedin.com/in/adamsingh")</f>
        <v>http://www.linkedin.com/in/adamsingh</v>
      </c>
      <c r="I2235" s="2" t="s">
        <v>105</v>
      </c>
      <c r="J2235" s="2" t="s">
        <v>102</v>
      </c>
      <c r="K2235" s="2" t="s">
        <v>196</v>
      </c>
    </row>
    <row r="2236" ht="15.75" customHeight="1">
      <c r="A2236" s="2">
        <v>808565.0</v>
      </c>
      <c r="B2236" s="2" t="s">
        <v>178</v>
      </c>
      <c r="C2236" s="2" t="s">
        <v>4170</v>
      </c>
      <c r="D2236" s="2" t="s">
        <v>5223</v>
      </c>
      <c r="E2236" s="2" t="s">
        <v>808</v>
      </c>
      <c r="F2236" s="2" t="s">
        <v>13</v>
      </c>
      <c r="G2236" s="2">
        <v>131.0</v>
      </c>
      <c r="H2236" s="3" t="str">
        <f>HYPERLINK("http://www.linkedin.com/pub/joe-corey/6/881/A97","http://www.linkedin.com/pub/joe-corey/6/881/A97")</f>
        <v>http://www.linkedin.com/pub/joe-corey/6/881/A97</v>
      </c>
      <c r="I2236" s="2" t="s">
        <v>57</v>
      </c>
      <c r="J2236" s="2" t="s">
        <v>102</v>
      </c>
      <c r="K2236" s="2" t="s">
        <v>58</v>
      </c>
    </row>
    <row r="2237" ht="15.75" customHeight="1">
      <c r="A2237" s="2">
        <v>808999.0</v>
      </c>
      <c r="B2237" s="2" t="s">
        <v>940</v>
      </c>
      <c r="C2237" s="2" t="s">
        <v>5224</v>
      </c>
      <c r="D2237" s="2" t="s">
        <v>3298</v>
      </c>
      <c r="E2237" s="2" t="s">
        <v>762</v>
      </c>
      <c r="F2237" s="2">
        <v>11.0</v>
      </c>
      <c r="G2237" s="2">
        <v>500.0</v>
      </c>
      <c r="H2237" s="3" t="str">
        <f>HYPERLINK("http://www.linkedin.com/pub/bob-livolsi/2/B69/193","http://www.linkedin.com/pub/bob-livolsi/2/B69/193")</f>
        <v>http://www.linkedin.com/pub/bob-livolsi/2/B69/193</v>
      </c>
      <c r="I2237" s="2" t="s">
        <v>69</v>
      </c>
      <c r="J2237" s="2" t="s">
        <v>102</v>
      </c>
      <c r="K2237" s="2" t="s">
        <v>35</v>
      </c>
    </row>
    <row r="2238" ht="15.75" customHeight="1">
      <c r="A2238" s="2">
        <v>809666.0</v>
      </c>
      <c r="B2238" s="2" t="s">
        <v>2247</v>
      </c>
      <c r="C2238" s="2" t="s">
        <v>5225</v>
      </c>
      <c r="D2238" s="2" t="s">
        <v>517</v>
      </c>
      <c r="E2238" s="2" t="s">
        <v>136</v>
      </c>
      <c r="F2238" s="2" t="s">
        <v>13</v>
      </c>
      <c r="G2238" s="2">
        <v>500.0</v>
      </c>
      <c r="H2238" s="3" t="str">
        <f>HYPERLINK("http://www.linkedin.com/in/habbott","http://www.linkedin.com/in/habbott")</f>
        <v>http://www.linkedin.com/in/habbott</v>
      </c>
      <c r="I2238" s="2" t="s">
        <v>96</v>
      </c>
      <c r="J2238" s="2" t="s">
        <v>102</v>
      </c>
      <c r="K2238" s="2" t="s">
        <v>58</v>
      </c>
    </row>
    <row r="2239" ht="15.75" customHeight="1">
      <c r="A2239" s="2">
        <v>809695.0</v>
      </c>
      <c r="B2239" s="2" t="s">
        <v>5226</v>
      </c>
      <c r="C2239" s="2" t="s">
        <v>5227</v>
      </c>
      <c r="D2239" s="2" t="s">
        <v>1674</v>
      </c>
      <c r="E2239" s="2" t="s">
        <v>1041</v>
      </c>
      <c r="F2239" s="2" t="s">
        <v>13</v>
      </c>
      <c r="G2239" s="2">
        <v>500.0</v>
      </c>
      <c r="H2239" s="3" t="str">
        <f>HYPERLINK("http://www.linkedin.com/in/potuluri","http://www.linkedin.com/in/potuluri")</f>
        <v>http://www.linkedin.com/in/potuluri</v>
      </c>
      <c r="I2239" s="2" t="s">
        <v>5228</v>
      </c>
      <c r="J2239" s="2" t="s">
        <v>102</v>
      </c>
      <c r="K2239" s="2" t="s">
        <v>58</v>
      </c>
    </row>
    <row r="2240" ht="15.75" customHeight="1">
      <c r="A2240" s="2">
        <v>810087.0</v>
      </c>
      <c r="B2240" s="2" t="s">
        <v>5229</v>
      </c>
      <c r="C2240" s="2" t="s">
        <v>5230</v>
      </c>
      <c r="D2240" s="2" t="s">
        <v>5231</v>
      </c>
      <c r="E2240" s="2" t="s">
        <v>301</v>
      </c>
      <c r="F2240" s="2" t="s">
        <v>13</v>
      </c>
      <c r="G2240" s="2">
        <v>362.0</v>
      </c>
      <c r="H2240" s="3" t="str">
        <f>HYPERLINK("http://www.linkedin.com/pub/henning-seip/0/114/957","http://www.linkedin.com/pub/henning-seip/0/114/957")</f>
        <v>http://www.linkedin.com/pub/henning-seip/0/114/957</v>
      </c>
      <c r="I2240" s="2" t="s">
        <v>458</v>
      </c>
      <c r="J2240" s="2" t="s">
        <v>102</v>
      </c>
      <c r="K2240" s="2" t="s">
        <v>58</v>
      </c>
    </row>
    <row r="2241" ht="15.75" customHeight="1">
      <c r="A2241" s="2">
        <v>810091.0</v>
      </c>
      <c r="B2241" s="2" t="s">
        <v>5232</v>
      </c>
      <c r="C2241" s="2" t="s">
        <v>5233</v>
      </c>
      <c r="D2241" s="2" t="s">
        <v>5234</v>
      </c>
      <c r="E2241" s="2" t="s">
        <v>301</v>
      </c>
      <c r="F2241" s="2" t="s">
        <v>13</v>
      </c>
      <c r="G2241" s="2">
        <v>443.0</v>
      </c>
      <c r="H2241" s="3" t="str">
        <f>HYPERLINK("http://www.linkedin.com/pub/issa-g-yattassaye/1/904/A39","http://www.linkedin.com/pub/issa-g-yattassaye/1/904/A39")</f>
        <v>http://www.linkedin.com/pub/issa-g-yattassaye/1/904/A39</v>
      </c>
      <c r="I2241" s="2" t="s">
        <v>15</v>
      </c>
      <c r="J2241" s="2" t="s">
        <v>102</v>
      </c>
      <c r="K2241" s="2" t="s">
        <v>35</v>
      </c>
    </row>
    <row r="2242" ht="15.75" customHeight="1">
      <c r="A2242" s="2">
        <v>810331.0</v>
      </c>
      <c r="B2242" s="2" t="s">
        <v>5235</v>
      </c>
      <c r="C2242" s="2" t="s">
        <v>5236</v>
      </c>
      <c r="D2242" s="2" t="s">
        <v>5237</v>
      </c>
      <c r="E2242" s="2" t="s">
        <v>166</v>
      </c>
      <c r="F2242" s="2">
        <v>7.0</v>
      </c>
      <c r="G2242" s="2">
        <v>500.0</v>
      </c>
      <c r="H2242" s="3" t="str">
        <f>HYPERLINK("http://www.linkedin.com/pub/daniel-oakes/0/960/7B2","http://www.linkedin.com/pub/daniel-oakes/0/960/7B2")</f>
        <v>http://www.linkedin.com/pub/daniel-oakes/0/960/7B2</v>
      </c>
      <c r="I2242" s="2" t="s">
        <v>248</v>
      </c>
      <c r="J2242" s="2" t="s">
        <v>102</v>
      </c>
      <c r="K2242" s="2" t="s">
        <v>196</v>
      </c>
    </row>
    <row r="2243" ht="15.75" customHeight="1">
      <c r="A2243" s="2">
        <v>810376.0</v>
      </c>
      <c r="B2243" s="2" t="s">
        <v>5238</v>
      </c>
      <c r="C2243" s="2" t="s">
        <v>5239</v>
      </c>
      <c r="D2243" s="2" t="s">
        <v>13</v>
      </c>
      <c r="E2243" s="2" t="s">
        <v>836</v>
      </c>
      <c r="F2243" s="2">
        <v>0.0</v>
      </c>
      <c r="G2243" s="2">
        <v>500.0</v>
      </c>
      <c r="H2243" s="3" t="str">
        <f>HYPERLINK("http://www.linkedin.com/in/arjenjpront","http://www.linkedin.com/in/arjenjpront")</f>
        <v>http://www.linkedin.com/in/arjenjpront</v>
      </c>
      <c r="I2243" s="2" t="s">
        <v>48</v>
      </c>
      <c r="J2243" s="2" t="s">
        <v>837</v>
      </c>
      <c r="K2243" s="2" t="s">
        <v>35</v>
      </c>
    </row>
    <row r="2244" ht="15.75" customHeight="1">
      <c r="A2244" s="2">
        <v>810392.0</v>
      </c>
      <c r="B2244" s="2" t="s">
        <v>601</v>
      </c>
      <c r="C2244" s="2" t="s">
        <v>5240</v>
      </c>
      <c r="D2244" s="2" t="s">
        <v>5231</v>
      </c>
      <c r="E2244" s="2" t="s">
        <v>259</v>
      </c>
      <c r="F2244" s="2">
        <v>5.0</v>
      </c>
      <c r="G2244" s="2">
        <v>351.0</v>
      </c>
      <c r="H2244" s="3" t="str">
        <f>HYPERLINK("http://www.linkedin.com/pub/leslie-cumming/0/20A/769","http://www.linkedin.com/pub/leslie-cumming/0/20A/769")</f>
        <v>http://www.linkedin.com/pub/leslie-cumming/0/20A/769</v>
      </c>
      <c r="I2244" s="2" t="s">
        <v>105</v>
      </c>
      <c r="J2244" s="2" t="s">
        <v>144</v>
      </c>
      <c r="K2244" s="2" t="s">
        <v>29</v>
      </c>
    </row>
    <row r="2245" ht="15.75" customHeight="1">
      <c r="A2245" s="2">
        <v>811352.0</v>
      </c>
      <c r="B2245" s="2" t="s">
        <v>2109</v>
      </c>
      <c r="C2245" s="2" t="s">
        <v>5241</v>
      </c>
      <c r="D2245" s="2" t="s">
        <v>400</v>
      </c>
      <c r="E2245" s="2" t="s">
        <v>2730</v>
      </c>
      <c r="F2245" s="2">
        <v>10.0</v>
      </c>
      <c r="G2245" s="2">
        <v>500.0</v>
      </c>
      <c r="H2245" s="3" t="str">
        <f>HYPERLINK("http://www.linkedin.com/in/robbykowski","http://www.linkedin.com/in/robbykowski")</f>
        <v>http://www.linkedin.com/in/robbykowski</v>
      </c>
      <c r="I2245" s="2" t="s">
        <v>15</v>
      </c>
      <c r="J2245" s="2" t="s">
        <v>102</v>
      </c>
      <c r="K2245" s="2" t="s">
        <v>35</v>
      </c>
    </row>
    <row r="2246" ht="15.75" customHeight="1">
      <c r="A2246" s="2">
        <v>811385.0</v>
      </c>
      <c r="B2246" s="2" t="s">
        <v>2646</v>
      </c>
      <c r="C2246" s="2" t="s">
        <v>5242</v>
      </c>
      <c r="D2246" s="2" t="s">
        <v>5243</v>
      </c>
      <c r="E2246" s="2" t="s">
        <v>259</v>
      </c>
      <c r="F2246" s="2">
        <v>2.0</v>
      </c>
      <c r="G2246" s="2">
        <v>481.0</v>
      </c>
      <c r="H2246" s="3" t="str">
        <f>HYPERLINK("http://www.linkedin.com/in/justinmlewis","http://www.linkedin.com/in/justinmlewis")</f>
        <v>http://www.linkedin.com/in/justinmlewis</v>
      </c>
      <c r="I2246" s="2" t="s">
        <v>105</v>
      </c>
      <c r="J2246" s="2" t="s">
        <v>144</v>
      </c>
      <c r="K2246" s="2" t="s">
        <v>138</v>
      </c>
    </row>
    <row r="2247" ht="15.75" customHeight="1">
      <c r="A2247" s="2">
        <v>811432.0</v>
      </c>
      <c r="B2247" s="2" t="s">
        <v>5244</v>
      </c>
      <c r="C2247" s="2" t="s">
        <v>5245</v>
      </c>
      <c r="D2247" s="2" t="s">
        <v>47</v>
      </c>
      <c r="E2247" s="2" t="s">
        <v>5246</v>
      </c>
      <c r="F2247" s="2">
        <v>2.0</v>
      </c>
      <c r="G2247" s="2">
        <v>500.0</v>
      </c>
      <c r="H2247" s="3" t="str">
        <f>HYPERLINK("http://nl.linkedin.com/pub/dick-hoogland/0/2B7/599","http://nl.linkedin.com/pub/dick-hoogland/0/2B7/599")</f>
        <v>http://nl.linkedin.com/pub/dick-hoogland/0/2B7/599</v>
      </c>
      <c r="I2247" s="2" t="s">
        <v>15</v>
      </c>
      <c r="J2247" s="2" t="s">
        <v>837</v>
      </c>
      <c r="K2247" s="2" t="s">
        <v>35</v>
      </c>
    </row>
    <row r="2248" ht="15.75" customHeight="1">
      <c r="A2248" s="2">
        <v>812098.0</v>
      </c>
      <c r="B2248" s="2" t="s">
        <v>460</v>
      </c>
      <c r="C2248" s="2" t="s">
        <v>5161</v>
      </c>
      <c r="D2248" s="2" t="s">
        <v>13</v>
      </c>
      <c r="E2248" s="2" t="s">
        <v>181</v>
      </c>
      <c r="F2248" s="2">
        <v>0.0</v>
      </c>
      <c r="G2248" s="2">
        <v>500.0</v>
      </c>
      <c r="H2248" s="3" t="str">
        <f>HYPERLINK("https://www.linkedin.com/in/johnmatthews","https://www.linkedin.com/in/johnmatthews")</f>
        <v>https://www.linkedin.com/in/johnmatthews</v>
      </c>
      <c r="I2248" s="2" t="s">
        <v>326</v>
      </c>
      <c r="J2248" s="2" t="s">
        <v>102</v>
      </c>
      <c r="K2248" s="2" t="s">
        <v>58</v>
      </c>
    </row>
    <row r="2249" ht="15.75" customHeight="1">
      <c r="A2249" s="2">
        <v>813202.0</v>
      </c>
      <c r="B2249" s="2" t="s">
        <v>5247</v>
      </c>
      <c r="C2249" s="2" t="s">
        <v>5248</v>
      </c>
      <c r="D2249" s="2" t="s">
        <v>5249</v>
      </c>
      <c r="E2249" s="2" t="s">
        <v>1407</v>
      </c>
      <c r="F2249" s="2">
        <v>5.0</v>
      </c>
      <c r="G2249" s="2">
        <v>179.0</v>
      </c>
      <c r="H2249" s="3" t="str">
        <f>HYPERLINK("http://www.linkedin.com/pub/ruth-heffler/3/931/A45","http://www.linkedin.com/pub/ruth-heffler/3/931/A45")</f>
        <v>http://www.linkedin.com/pub/ruth-heffler/3/931/A45</v>
      </c>
      <c r="I2249" s="2" t="s">
        <v>240</v>
      </c>
      <c r="J2249" s="2" t="s">
        <v>102</v>
      </c>
      <c r="K2249" s="2" t="s">
        <v>183</v>
      </c>
    </row>
    <row r="2250" ht="15.75" customHeight="1">
      <c r="A2250" s="2">
        <v>813403.0</v>
      </c>
      <c r="B2250" s="2" t="s">
        <v>752</v>
      </c>
      <c r="C2250" s="2" t="s">
        <v>5250</v>
      </c>
      <c r="D2250" s="2" t="s">
        <v>5251</v>
      </c>
      <c r="E2250" s="2" t="s">
        <v>971</v>
      </c>
      <c r="F2250" s="2" t="s">
        <v>13</v>
      </c>
      <c r="G2250" s="2">
        <v>435.0</v>
      </c>
      <c r="H2250" s="3" t="str">
        <f>HYPERLINK("http://www.linkedin.com/pub/jim-duke/2/734/B94","http://www.linkedin.com/pub/jim-duke/2/734/B94")</f>
        <v>http://www.linkedin.com/pub/jim-duke/2/734/B94</v>
      </c>
      <c r="I2250" s="2" t="s">
        <v>1679</v>
      </c>
      <c r="J2250" s="2" t="s">
        <v>102</v>
      </c>
      <c r="K2250" s="2" t="s">
        <v>58</v>
      </c>
    </row>
    <row r="2251" ht="15.75" customHeight="1">
      <c r="A2251" s="2">
        <v>813514.0</v>
      </c>
      <c r="B2251" s="2" t="s">
        <v>940</v>
      </c>
      <c r="C2251" s="2" t="s">
        <v>5252</v>
      </c>
      <c r="D2251" s="2" t="s">
        <v>5253</v>
      </c>
      <c r="E2251" s="2" t="s">
        <v>101</v>
      </c>
      <c r="F2251" s="2" t="s">
        <v>13</v>
      </c>
      <c r="G2251" s="2">
        <v>268.0</v>
      </c>
      <c r="H2251" s="3" t="str">
        <f>HYPERLINK("http://www.linkedin.com/pub/bob-costanza/1/24/951","http://www.linkedin.com/pub/bob-costanza/1/24/951")</f>
        <v>http://www.linkedin.com/pub/bob-costanza/1/24/951</v>
      </c>
      <c r="I2251" s="2" t="s">
        <v>105</v>
      </c>
      <c r="J2251" s="2" t="s">
        <v>102</v>
      </c>
      <c r="K2251" s="2" t="s">
        <v>58</v>
      </c>
    </row>
    <row r="2252" ht="15.75" customHeight="1">
      <c r="A2252" s="2">
        <v>813809.0</v>
      </c>
      <c r="B2252" s="2" t="s">
        <v>1096</v>
      </c>
      <c r="C2252" s="2" t="s">
        <v>5254</v>
      </c>
      <c r="D2252" s="2" t="s">
        <v>5255</v>
      </c>
      <c r="E2252" s="2" t="s">
        <v>450</v>
      </c>
      <c r="F2252" s="2">
        <v>2.0</v>
      </c>
      <c r="G2252" s="2">
        <v>197.0</v>
      </c>
      <c r="H2252" s="3" t="str">
        <f>HYPERLINK("http://www.linkedin.com/in/tonygillespie","http://www.linkedin.com/in/tonygillespie")</f>
        <v>http://www.linkedin.com/in/tonygillespie</v>
      </c>
      <c r="I2252" s="2" t="s">
        <v>374</v>
      </c>
      <c r="J2252" s="2" t="s">
        <v>273</v>
      </c>
      <c r="K2252" s="2" t="s">
        <v>35</v>
      </c>
    </row>
    <row r="2253" ht="15.75" customHeight="1">
      <c r="A2253" s="2">
        <v>814077.0</v>
      </c>
      <c r="B2253" s="2" t="s">
        <v>784</v>
      </c>
      <c r="C2253" s="2" t="s">
        <v>292</v>
      </c>
      <c r="D2253" s="2" t="s">
        <v>42</v>
      </c>
      <c r="E2253" s="2" t="s">
        <v>5256</v>
      </c>
      <c r="F2253" s="2" t="s">
        <v>13</v>
      </c>
      <c r="G2253" s="2">
        <v>500.0</v>
      </c>
      <c r="H2253" s="3" t="str">
        <f>HYPERLINK("http://www.linkedin.com/in/jeffsmithandassociates","http://www.linkedin.com/in/jeffsmithandassociates")</f>
        <v>http://www.linkedin.com/in/jeffsmithandassociates</v>
      </c>
      <c r="I2253" s="2" t="s">
        <v>248</v>
      </c>
      <c r="J2253" s="2" t="s">
        <v>102</v>
      </c>
      <c r="K2253" s="2" t="s">
        <v>196</v>
      </c>
    </row>
    <row r="2254" ht="15.75" customHeight="1">
      <c r="A2254" s="2">
        <v>814129.0</v>
      </c>
      <c r="B2254" s="2" t="s">
        <v>752</v>
      </c>
      <c r="C2254" s="2" t="s">
        <v>5257</v>
      </c>
      <c r="D2254" s="2" t="s">
        <v>47</v>
      </c>
      <c r="E2254" s="2" t="s">
        <v>101</v>
      </c>
      <c r="F2254" s="2">
        <v>3.0</v>
      </c>
      <c r="G2254" s="2">
        <v>500.0</v>
      </c>
      <c r="H2254" s="3" t="str">
        <f>HYPERLINK("http://www.linkedin.com/pub/jim-heitner/0/353/774","http://www.linkedin.com/pub/jim-heitner/0/353/774")</f>
        <v>http://www.linkedin.com/pub/jim-heitner/0/353/774</v>
      </c>
      <c r="I2254" s="2" t="s">
        <v>57</v>
      </c>
      <c r="J2254" s="2" t="s">
        <v>102</v>
      </c>
      <c r="K2254" s="2" t="s">
        <v>58</v>
      </c>
    </row>
    <row r="2255" ht="15.75" customHeight="1">
      <c r="A2255" s="2">
        <v>814838.0</v>
      </c>
      <c r="B2255" s="2" t="s">
        <v>1228</v>
      </c>
      <c r="C2255" s="2" t="s">
        <v>2405</v>
      </c>
      <c r="D2255" s="2" t="s">
        <v>13</v>
      </c>
      <c r="E2255" s="2" t="s">
        <v>3746</v>
      </c>
      <c r="F2255" s="2">
        <v>0.0</v>
      </c>
      <c r="G2255" s="2">
        <v>500.0</v>
      </c>
      <c r="H2255" s="3" t="str">
        <f>HYPERLINK("http://www.linkedin.com/in/philippegauvin","http://www.linkedin.com/in/philippegauvin")</f>
        <v>http://www.linkedin.com/in/philippegauvin</v>
      </c>
      <c r="I2255" s="2" t="s">
        <v>105</v>
      </c>
      <c r="J2255" s="2" t="s">
        <v>44</v>
      </c>
      <c r="K2255" s="2" t="s">
        <v>58</v>
      </c>
    </row>
    <row r="2256" ht="15.75" customHeight="1">
      <c r="A2256" s="2">
        <v>814905.0</v>
      </c>
      <c r="B2256" s="2" t="s">
        <v>5258</v>
      </c>
      <c r="C2256" s="2" t="s">
        <v>5259</v>
      </c>
      <c r="D2256" s="2" t="s">
        <v>47</v>
      </c>
      <c r="E2256" s="2" t="s">
        <v>417</v>
      </c>
      <c r="F2256" s="2" t="s">
        <v>13</v>
      </c>
      <c r="G2256" s="2">
        <v>500.0</v>
      </c>
      <c r="H2256" s="3" t="str">
        <f>HYPERLINK("http://www.linkedin.com/pub/devon-wylie/0/3AA/432","http://www.linkedin.com/pub/devon-wylie/0/3AA/432")</f>
        <v>http://www.linkedin.com/pub/devon-wylie/0/3AA/432</v>
      </c>
      <c r="I2256" s="2" t="s">
        <v>105</v>
      </c>
      <c r="J2256" s="2" t="s">
        <v>102</v>
      </c>
      <c r="K2256" s="2" t="s">
        <v>58</v>
      </c>
    </row>
    <row r="2257" ht="15.75" customHeight="1">
      <c r="A2257" s="2">
        <v>814941.0</v>
      </c>
      <c r="B2257" s="2" t="s">
        <v>1475</v>
      </c>
      <c r="C2257" s="2" t="s">
        <v>5208</v>
      </c>
      <c r="D2257" s="2" t="s">
        <v>4854</v>
      </c>
      <c r="E2257" s="2" t="s">
        <v>765</v>
      </c>
      <c r="F2257" s="2">
        <v>2.0</v>
      </c>
      <c r="G2257" s="2">
        <v>449.0</v>
      </c>
      <c r="H2257" s="3" t="str">
        <f>HYPERLINK("http://www.linkedin.com/in/lisahsteele","http://www.linkedin.com/in/lisahsteele")</f>
        <v>http://www.linkedin.com/in/lisahsteele</v>
      </c>
      <c r="I2257" s="2" t="s">
        <v>3857</v>
      </c>
      <c r="J2257" s="2" t="s">
        <v>144</v>
      </c>
      <c r="K2257" s="2" t="s">
        <v>97</v>
      </c>
    </row>
    <row r="2258" ht="15.75" customHeight="1">
      <c r="A2258" s="2">
        <v>815088.0</v>
      </c>
      <c r="B2258" s="2" t="s">
        <v>5260</v>
      </c>
      <c r="C2258" s="2" t="s">
        <v>1986</v>
      </c>
      <c r="D2258" s="2" t="s">
        <v>81</v>
      </c>
      <c r="E2258" s="2" t="s">
        <v>259</v>
      </c>
      <c r="F2258" s="2">
        <v>7.0</v>
      </c>
      <c r="G2258" s="2">
        <v>500.0</v>
      </c>
      <c r="H2258" s="3" t="str">
        <f>HYPERLINK("http://www.linkedin.com/in/frankadvice","http://www.linkedin.com/in/frankadvice")</f>
        <v>http://www.linkedin.com/in/frankadvice</v>
      </c>
      <c r="I2258" s="2" t="s">
        <v>105</v>
      </c>
      <c r="J2258" s="2" t="s">
        <v>144</v>
      </c>
      <c r="K2258" s="2" t="s">
        <v>35</v>
      </c>
    </row>
    <row r="2259" ht="15.75" customHeight="1">
      <c r="A2259" s="2">
        <v>815747.0</v>
      </c>
      <c r="B2259" s="2" t="s">
        <v>5200</v>
      </c>
      <c r="C2259" s="2" t="s">
        <v>5261</v>
      </c>
      <c r="D2259" s="2" t="s">
        <v>5262</v>
      </c>
      <c r="E2259" s="2" t="s">
        <v>301</v>
      </c>
      <c r="F2259" s="2" t="s">
        <v>13</v>
      </c>
      <c r="G2259" s="2">
        <v>500.0</v>
      </c>
      <c r="H2259" s="3" t="str">
        <f>HYPERLINK("http://www.linkedin.com/pub/cynthia-flood/1/722/566","http://www.linkedin.com/pub/cynthia-flood/1/722/566")</f>
        <v>http://www.linkedin.com/pub/cynthia-flood/1/722/566</v>
      </c>
      <c r="I2259" s="2" t="s">
        <v>1679</v>
      </c>
      <c r="J2259" s="2" t="s">
        <v>102</v>
      </c>
      <c r="K2259" s="2" t="s">
        <v>58</v>
      </c>
    </row>
    <row r="2260" ht="15.75" customHeight="1">
      <c r="A2260" s="2">
        <v>816452.0</v>
      </c>
      <c r="B2260" s="2" t="s">
        <v>5263</v>
      </c>
      <c r="C2260" s="2" t="s">
        <v>5264</v>
      </c>
      <c r="D2260" s="2" t="s">
        <v>13</v>
      </c>
      <c r="E2260" s="2" t="s">
        <v>713</v>
      </c>
      <c r="F2260" s="2">
        <v>0.0</v>
      </c>
      <c r="G2260" s="2">
        <v>392.0</v>
      </c>
      <c r="H2260" s="3" t="str">
        <f>HYPERLINK("http://www.linkedin.com/pub/t-j-oslund/7/906/355","http://www.linkedin.com/pub/t-j-oslund/7/906/355")</f>
        <v>http://www.linkedin.com/pub/t-j-oslund/7/906/355</v>
      </c>
      <c r="I2260" s="2" t="s">
        <v>2268</v>
      </c>
      <c r="J2260" s="2" t="s">
        <v>102</v>
      </c>
      <c r="K2260" s="2" t="s">
        <v>522</v>
      </c>
    </row>
    <row r="2261" ht="15.75" customHeight="1">
      <c r="A2261" s="2">
        <v>816708.0</v>
      </c>
      <c r="B2261" s="2" t="s">
        <v>5265</v>
      </c>
      <c r="C2261" s="2" t="s">
        <v>1103</v>
      </c>
      <c r="D2261" s="2" t="s">
        <v>1674</v>
      </c>
      <c r="E2261" s="2" t="s">
        <v>505</v>
      </c>
      <c r="F2261" s="2" t="s">
        <v>13</v>
      </c>
      <c r="G2261" s="2">
        <v>500.0</v>
      </c>
      <c r="H2261" s="3" t="str">
        <f>HYPERLINK("http://www.linkedin.com/in/lancehillprofile","http://www.linkedin.com/in/lancehillprofile")</f>
        <v>http://www.linkedin.com/in/lancehillprofile</v>
      </c>
      <c r="I2261" s="2" t="s">
        <v>69</v>
      </c>
      <c r="J2261" s="2" t="s">
        <v>102</v>
      </c>
      <c r="K2261" s="2" t="s">
        <v>35</v>
      </c>
    </row>
    <row r="2262" ht="15.75" customHeight="1">
      <c r="A2262" s="2">
        <v>816776.0</v>
      </c>
      <c r="B2262" s="2" t="s">
        <v>275</v>
      </c>
      <c r="C2262" s="2" t="s">
        <v>5266</v>
      </c>
      <c r="D2262" s="2" t="s">
        <v>642</v>
      </c>
      <c r="E2262" s="2" t="s">
        <v>762</v>
      </c>
      <c r="F2262" s="2">
        <v>17.0</v>
      </c>
      <c r="G2262" s="2">
        <v>500.0</v>
      </c>
      <c r="H2262" s="3" t="str">
        <f>HYPERLINK("http://www.linkedin.com/pub/mark-wolf/1/767/B58","http://www.linkedin.com/pub/mark-wolf/1/767/B58")</f>
        <v>http://www.linkedin.com/pub/mark-wolf/1/767/B58</v>
      </c>
      <c r="I2262" s="2" t="s">
        <v>48</v>
      </c>
      <c r="J2262" s="2" t="s">
        <v>102</v>
      </c>
      <c r="K2262" s="2" t="s">
        <v>35</v>
      </c>
    </row>
    <row r="2263" ht="15.75" customHeight="1">
      <c r="A2263" s="2">
        <v>817415.0</v>
      </c>
      <c r="B2263" s="2" t="s">
        <v>5267</v>
      </c>
      <c r="C2263" s="2" t="s">
        <v>369</v>
      </c>
      <c r="D2263" s="2" t="s">
        <v>75</v>
      </c>
      <c r="E2263" s="2" t="s">
        <v>301</v>
      </c>
      <c r="F2263" s="2">
        <v>2.0</v>
      </c>
      <c r="G2263" s="2">
        <v>500.0</v>
      </c>
      <c r="H2263" s="3" t="str">
        <f>HYPERLINK("http://www.linkedin.com/pub/crs-sharma/5/B2/B09","http://www.linkedin.com/pub/crs-sharma/5/B2/B09")</f>
        <v>http://www.linkedin.com/pub/crs-sharma/5/B2/B09</v>
      </c>
      <c r="I2263" s="2" t="s">
        <v>15</v>
      </c>
      <c r="J2263" s="2" t="s">
        <v>102</v>
      </c>
      <c r="K2263" s="2" t="s">
        <v>35</v>
      </c>
    </row>
    <row r="2264" ht="15.75" customHeight="1">
      <c r="A2264" s="2">
        <v>817481.0</v>
      </c>
      <c r="B2264" s="2" t="s">
        <v>3165</v>
      </c>
      <c r="C2264" s="2" t="s">
        <v>5268</v>
      </c>
      <c r="D2264" s="2" t="s">
        <v>13</v>
      </c>
      <c r="E2264" s="2" t="s">
        <v>4655</v>
      </c>
      <c r="F2264" s="2">
        <v>0.0</v>
      </c>
      <c r="G2264" s="2">
        <v>500.0</v>
      </c>
      <c r="H2264" s="3" t="str">
        <f>HYPERLINK("http://br.linkedin.com/in/lucianapanzera","http://br.linkedin.com/in/lucianapanzera")</f>
        <v>http://br.linkedin.com/in/lucianapanzera</v>
      </c>
      <c r="I2264" s="2" t="s">
        <v>15</v>
      </c>
      <c r="J2264" s="2" t="s">
        <v>34</v>
      </c>
      <c r="K2264" s="2" t="s">
        <v>35</v>
      </c>
    </row>
    <row r="2265" ht="15.75" customHeight="1">
      <c r="A2265" s="2">
        <v>817625.0</v>
      </c>
      <c r="B2265" s="2" t="s">
        <v>59</v>
      </c>
      <c r="C2265" s="2" t="s">
        <v>5269</v>
      </c>
      <c r="D2265" s="2" t="s">
        <v>5270</v>
      </c>
      <c r="E2265" s="2" t="s">
        <v>325</v>
      </c>
      <c r="F2265" s="2" t="s">
        <v>13</v>
      </c>
      <c r="G2265" s="2">
        <v>500.0</v>
      </c>
      <c r="H2265" s="3" t="str">
        <f>HYPERLINK("http://www.linkedin.com/in/themainman","http://www.linkedin.com/in/themainman")</f>
        <v>http://www.linkedin.com/in/themainman</v>
      </c>
      <c r="I2265" s="2" t="s">
        <v>612</v>
      </c>
      <c r="J2265" s="2" t="s">
        <v>102</v>
      </c>
      <c r="K2265" s="2" t="s">
        <v>58</v>
      </c>
    </row>
    <row r="2266" ht="15.75" customHeight="1">
      <c r="A2266" s="2">
        <v>818066.0</v>
      </c>
      <c r="B2266" s="2" t="s">
        <v>5271</v>
      </c>
      <c r="C2266" s="2" t="s">
        <v>5272</v>
      </c>
      <c r="D2266" s="2"/>
      <c r="E2266" s="2" t="s">
        <v>1832</v>
      </c>
      <c r="F2266" s="2">
        <v>0.0</v>
      </c>
      <c r="G2266" s="2">
        <v>109.0</v>
      </c>
      <c r="H2266" s="3" t="str">
        <f>HYPERLINK("http://www.linkedin.com/in/kristinroycestancato","http://www.linkedin.com/in/kristinroycestancato")</f>
        <v>http://www.linkedin.com/in/kristinroycestancato</v>
      </c>
      <c r="I2266" s="2" t="s">
        <v>69</v>
      </c>
      <c r="J2266" s="2" t="s">
        <v>102</v>
      </c>
      <c r="K2266" s="2" t="s">
        <v>22</v>
      </c>
    </row>
    <row r="2267" ht="15.75" customHeight="1">
      <c r="A2267" s="2">
        <v>818348.0</v>
      </c>
      <c r="B2267" s="2" t="s">
        <v>5273</v>
      </c>
      <c r="C2267" s="2" t="s">
        <v>5274</v>
      </c>
      <c r="D2267" s="2" t="s">
        <v>5275</v>
      </c>
      <c r="E2267" s="2" t="s">
        <v>5276</v>
      </c>
      <c r="F2267" s="2">
        <v>17.0</v>
      </c>
      <c r="G2267" s="2">
        <v>500.0</v>
      </c>
      <c r="H2267" s="3" t="str">
        <f>HYPERLINK("http://in.linkedin.com/in/jyotirmoydutta","http://in.linkedin.com/in/jyotirmoydutta")</f>
        <v>http://in.linkedin.com/in/jyotirmoydutta</v>
      </c>
      <c r="I2267" s="2" t="s">
        <v>15</v>
      </c>
      <c r="J2267" s="2" t="s">
        <v>102</v>
      </c>
      <c r="K2267" s="2" t="s">
        <v>35</v>
      </c>
    </row>
    <row r="2268" ht="15.75" customHeight="1">
      <c r="A2268" s="2">
        <v>818576.0</v>
      </c>
      <c r="B2268" s="2" t="s">
        <v>511</v>
      </c>
      <c r="C2268" s="2" t="s">
        <v>5277</v>
      </c>
      <c r="D2268" s="2" t="s">
        <v>47</v>
      </c>
      <c r="E2268" s="2" t="s">
        <v>5278</v>
      </c>
      <c r="F2268" s="2" t="s">
        <v>13</v>
      </c>
      <c r="G2268" s="2">
        <v>500.0</v>
      </c>
      <c r="H2268" s="3" t="str">
        <f>HYPERLINK("http://uk.linkedin.com/in/mikeanthonyedwards","http://uk.linkedin.com/in/mikeanthonyedwards")</f>
        <v>http://uk.linkedin.com/in/mikeanthonyedwards</v>
      </c>
      <c r="I2268" s="2" t="s">
        <v>248</v>
      </c>
      <c r="J2268" s="2" t="s">
        <v>53</v>
      </c>
      <c r="K2268" s="2" t="s">
        <v>196</v>
      </c>
    </row>
    <row r="2269" ht="15.75" customHeight="1">
      <c r="A2269" s="2">
        <v>819360.0</v>
      </c>
      <c r="B2269" s="2" t="s">
        <v>4855</v>
      </c>
      <c r="C2269" s="2" t="s">
        <v>5279</v>
      </c>
      <c r="D2269" s="2" t="s">
        <v>5280</v>
      </c>
      <c r="E2269" s="2" t="s">
        <v>4405</v>
      </c>
      <c r="F2269" s="2" t="s">
        <v>13</v>
      </c>
      <c r="G2269" s="2">
        <v>500.0</v>
      </c>
      <c r="H2269" s="3" t="str">
        <f>HYPERLINK("http://it.linkedin.com/in/gpalleschi","http://it.linkedin.com/in/gpalleschi")</f>
        <v>http://it.linkedin.com/in/gpalleschi</v>
      </c>
      <c r="I2269" s="2" t="s">
        <v>77</v>
      </c>
      <c r="J2269" s="2" t="s">
        <v>2258</v>
      </c>
      <c r="K2269" s="2" t="s">
        <v>97</v>
      </c>
    </row>
    <row r="2270" ht="15.75" customHeight="1">
      <c r="A2270" s="2">
        <v>819725.0</v>
      </c>
      <c r="B2270" s="2" t="s">
        <v>5281</v>
      </c>
      <c r="C2270" s="2" t="s">
        <v>5282</v>
      </c>
      <c r="D2270" s="2" t="s">
        <v>5283</v>
      </c>
      <c r="E2270" s="2" t="s">
        <v>783</v>
      </c>
      <c r="F2270" s="2">
        <v>2.0</v>
      </c>
      <c r="G2270" s="2">
        <v>326.0</v>
      </c>
      <c r="H2270" s="3" t="str">
        <f>HYPERLINK("http://www.linkedin.com/pub/nisha-kurien/3/347/645","http://www.linkedin.com/pub/nisha-kurien/3/347/645")</f>
        <v>http://www.linkedin.com/pub/nisha-kurien/3/347/645</v>
      </c>
      <c r="I2270" s="2" t="s">
        <v>15</v>
      </c>
      <c r="J2270" s="2" t="s">
        <v>575</v>
      </c>
      <c r="K2270" s="2" t="s">
        <v>22</v>
      </c>
    </row>
    <row r="2271" ht="15.75" customHeight="1">
      <c r="A2271" s="2">
        <v>820034.0</v>
      </c>
      <c r="B2271" s="2" t="s">
        <v>5284</v>
      </c>
      <c r="C2271" s="2" t="s">
        <v>5285</v>
      </c>
      <c r="D2271" s="2" t="s">
        <v>5286</v>
      </c>
      <c r="E2271" s="2" t="s">
        <v>628</v>
      </c>
      <c r="F2271" s="2">
        <v>4.0</v>
      </c>
      <c r="G2271" s="2">
        <v>500.0</v>
      </c>
      <c r="H2271" s="3" t="str">
        <f>HYPERLINK("http://www.linkedin.com/pub/miaoqi-zhu/6/5A0/21A","http://www.linkedin.com/pub/miaoqi-zhu/6/5A0/21A")</f>
        <v>http://www.linkedin.com/pub/miaoqi-zhu/6/5A0/21A</v>
      </c>
      <c r="I2271" s="2" t="s">
        <v>240</v>
      </c>
      <c r="J2271" s="2" t="s">
        <v>102</v>
      </c>
      <c r="K2271" s="2" t="s">
        <v>183</v>
      </c>
    </row>
    <row r="2272" ht="15.75" customHeight="1">
      <c r="A2272" s="2">
        <v>820319.0</v>
      </c>
      <c r="B2272" s="2" t="s">
        <v>5287</v>
      </c>
      <c r="C2272" s="2" t="s">
        <v>5288</v>
      </c>
      <c r="D2272" s="2" t="s">
        <v>5289</v>
      </c>
      <c r="E2272" s="2" t="s">
        <v>1182</v>
      </c>
      <c r="F2272" s="2" t="s">
        <v>13</v>
      </c>
      <c r="G2272" s="2">
        <v>500.0</v>
      </c>
      <c r="H2272" s="3" t="str">
        <f>HYPERLINK("http://sg.linkedin.com/pub/kireina-tay/2/614/A94","http://sg.linkedin.com/pub/kireina-tay/2/614/A94")</f>
        <v>http://sg.linkedin.com/pub/kireina-tay/2/614/A94</v>
      </c>
      <c r="I2272" s="2" t="s">
        <v>15</v>
      </c>
      <c r="J2272" s="2" t="s">
        <v>1184</v>
      </c>
      <c r="K2272" s="2" t="s">
        <v>35</v>
      </c>
    </row>
    <row r="2273" ht="15.75" customHeight="1">
      <c r="A2273" s="2">
        <v>820323.0</v>
      </c>
      <c r="B2273" s="2" t="s">
        <v>460</v>
      </c>
      <c r="C2273" s="2" t="s">
        <v>5290</v>
      </c>
      <c r="D2273" s="2" t="s">
        <v>13</v>
      </c>
      <c r="E2273" s="2" t="s">
        <v>5291</v>
      </c>
      <c r="F2273" s="2">
        <v>0.0</v>
      </c>
      <c r="G2273" s="2">
        <v>500.0</v>
      </c>
      <c r="H2273" s="3" t="str">
        <f>HYPERLINK("http://www.linkedin.com/in/johnrouthier","http://www.linkedin.com/in/johnrouthier")</f>
        <v>http://www.linkedin.com/in/johnrouthier</v>
      </c>
      <c r="I2273" s="2" t="s">
        <v>48</v>
      </c>
      <c r="J2273" s="2" t="s">
        <v>102</v>
      </c>
      <c r="K2273" s="2" t="s">
        <v>35</v>
      </c>
    </row>
    <row r="2274" ht="15.75" customHeight="1">
      <c r="A2274" s="2">
        <v>820589.0</v>
      </c>
      <c r="B2274" s="2" t="s">
        <v>478</v>
      </c>
      <c r="C2274" s="2" t="s">
        <v>5292</v>
      </c>
      <c r="D2274" s="2" t="s">
        <v>5293</v>
      </c>
      <c r="E2274" s="2" t="s">
        <v>5294</v>
      </c>
      <c r="F2274" s="2" t="s">
        <v>13</v>
      </c>
      <c r="G2274" s="2">
        <v>372.0</v>
      </c>
      <c r="H2274" s="3" t="str">
        <f>HYPERLINK("http://www.linkedin.com/in/kpierannunzi","http://www.linkedin.com/in/kpierannunzi")</f>
        <v>http://www.linkedin.com/in/kpierannunzi</v>
      </c>
      <c r="I2274" s="2" t="s">
        <v>15</v>
      </c>
      <c r="J2274" s="2" t="s">
        <v>102</v>
      </c>
      <c r="K2274" s="2" t="s">
        <v>35</v>
      </c>
    </row>
    <row r="2275" ht="15.75" customHeight="1">
      <c r="A2275" s="2">
        <v>820681.0</v>
      </c>
      <c r="B2275" s="2" t="s">
        <v>845</v>
      </c>
      <c r="C2275" s="2" t="s">
        <v>5295</v>
      </c>
      <c r="D2275" s="2" t="s">
        <v>114</v>
      </c>
      <c r="E2275" s="2" t="s">
        <v>301</v>
      </c>
      <c r="F2275" s="2" t="s">
        <v>13</v>
      </c>
      <c r="G2275" s="2">
        <v>500.0</v>
      </c>
      <c r="H2275" s="3" t="str">
        <f>HYPERLINK("http://www.linkedin.com/pub/david-goldner/3/8/718","http://www.linkedin.com/pub/david-goldner/3/8/718")</f>
        <v>http://www.linkedin.com/pub/david-goldner/3/8/718</v>
      </c>
      <c r="I2275" s="2" t="s">
        <v>248</v>
      </c>
      <c r="J2275" s="2" t="s">
        <v>102</v>
      </c>
      <c r="K2275" s="2" t="s">
        <v>196</v>
      </c>
    </row>
    <row r="2276" ht="15.75" customHeight="1">
      <c r="A2276" s="2">
        <v>821035.0</v>
      </c>
      <c r="B2276" s="2" t="s">
        <v>543</v>
      </c>
      <c r="C2276" s="2" t="s">
        <v>5296</v>
      </c>
      <c r="D2276" s="2" t="s">
        <v>5297</v>
      </c>
      <c r="E2276" s="2" t="s">
        <v>101</v>
      </c>
      <c r="F2276" s="2">
        <v>4.0</v>
      </c>
      <c r="G2276" s="2">
        <v>500.0</v>
      </c>
      <c r="H2276" s="3" t="str">
        <f>HYPERLINK("http://www.linkedin.com/pub/cesar-abadia/5/925/751","http://www.linkedin.com/pub/cesar-abadia/5/925/751")</f>
        <v>http://www.linkedin.com/pub/cesar-abadia/5/925/751</v>
      </c>
      <c r="I2276" s="2" t="s">
        <v>1679</v>
      </c>
      <c r="J2276" s="2" t="s">
        <v>102</v>
      </c>
      <c r="K2276" s="2" t="s">
        <v>58</v>
      </c>
    </row>
    <row r="2277" ht="15.75" customHeight="1">
      <c r="A2277" s="2">
        <v>821210.0</v>
      </c>
      <c r="B2277" s="2" t="s">
        <v>5298</v>
      </c>
      <c r="C2277" s="2" t="s">
        <v>5299</v>
      </c>
      <c r="D2277" s="2" t="s">
        <v>5300</v>
      </c>
      <c r="E2277" s="2" t="s">
        <v>3681</v>
      </c>
      <c r="F2277" s="2">
        <v>4.0</v>
      </c>
      <c r="G2277" s="2">
        <v>500.0</v>
      </c>
      <c r="H2277" s="3" t="str">
        <f>HYPERLINK("http://nl.linkedin.com/pub/reza-ahmadi/0/B77/84","http://nl.linkedin.com/pub/reza-ahmadi/0/B77/84")</f>
        <v>http://nl.linkedin.com/pub/reza-ahmadi/0/B77/84</v>
      </c>
      <c r="I2277" s="2" t="s">
        <v>15</v>
      </c>
      <c r="J2277" s="2" t="s">
        <v>837</v>
      </c>
      <c r="K2277" s="2" t="s">
        <v>35</v>
      </c>
    </row>
    <row r="2278" ht="15.75" customHeight="1">
      <c r="A2278" s="2">
        <v>821456.0</v>
      </c>
      <c r="B2278" s="2" t="s">
        <v>5301</v>
      </c>
      <c r="C2278" s="2" t="s">
        <v>5302</v>
      </c>
      <c r="D2278" s="2" t="s">
        <v>5303</v>
      </c>
      <c r="E2278" s="2" t="s">
        <v>521</v>
      </c>
      <c r="F2278" s="2">
        <v>25.0</v>
      </c>
      <c r="G2278" s="2">
        <v>408.0</v>
      </c>
      <c r="H2278" s="3" t="str">
        <f>HYPERLINK("http://www.linkedin.com/pub/raphael-mestieri/24/198/703","http://www.linkedin.com/pub/raphael-mestieri/24/198/703")</f>
        <v>http://www.linkedin.com/pub/raphael-mestieri/24/198/703</v>
      </c>
      <c r="I2278" s="2" t="s">
        <v>374</v>
      </c>
      <c r="J2278" s="2" t="s">
        <v>34</v>
      </c>
      <c r="K2278" s="2" t="s">
        <v>22</v>
      </c>
    </row>
    <row r="2279" ht="15.75" customHeight="1">
      <c r="A2279" s="2">
        <v>822165.0</v>
      </c>
      <c r="B2279" s="2" t="s">
        <v>5304</v>
      </c>
      <c r="C2279" s="2" t="s">
        <v>5305</v>
      </c>
      <c r="D2279" s="2" t="s">
        <v>2123</v>
      </c>
      <c r="E2279" s="2" t="s">
        <v>909</v>
      </c>
      <c r="F2279" s="2">
        <v>10.0</v>
      </c>
      <c r="G2279" s="2">
        <v>500.0</v>
      </c>
      <c r="H2279" s="3" t="str">
        <f>HYPERLINK("http://www.linkedin.com/in/hardeeprandhava","http://www.linkedin.com/in/hardeeprandhava")</f>
        <v>http://www.linkedin.com/in/hardeeprandhava</v>
      </c>
      <c r="I2279" s="2" t="s">
        <v>248</v>
      </c>
      <c r="J2279" s="2" t="s">
        <v>273</v>
      </c>
      <c r="K2279" s="2" t="s">
        <v>22</v>
      </c>
    </row>
    <row r="2280" ht="15.75" customHeight="1">
      <c r="A2280" s="2">
        <v>823117.0</v>
      </c>
      <c r="B2280" s="2" t="s">
        <v>5306</v>
      </c>
      <c r="C2280" s="2" t="s">
        <v>5307</v>
      </c>
      <c r="D2280" s="2" t="s">
        <v>5308</v>
      </c>
      <c r="E2280" s="2" t="s">
        <v>5309</v>
      </c>
      <c r="F2280" s="2">
        <v>3.0</v>
      </c>
      <c r="G2280" s="2">
        <v>500.0</v>
      </c>
      <c r="H2280" s="3" t="str">
        <f>HYPERLINK("http://www.linkedin.com/in/akennedytd","http://www.linkedin.com/in/akennedytd")</f>
        <v>http://www.linkedin.com/in/akennedytd</v>
      </c>
      <c r="I2280" s="2" t="s">
        <v>1012</v>
      </c>
      <c r="J2280" s="2" t="s">
        <v>273</v>
      </c>
      <c r="K2280" s="2" t="s">
        <v>97</v>
      </c>
    </row>
    <row r="2281" ht="15.75" customHeight="1">
      <c r="A2281" s="2">
        <v>823470.0</v>
      </c>
      <c r="B2281" s="2" t="s">
        <v>5310</v>
      </c>
      <c r="C2281" s="2" t="s">
        <v>5311</v>
      </c>
      <c r="D2281" s="2" t="s">
        <v>13</v>
      </c>
      <c r="E2281" s="2" t="s">
        <v>5312</v>
      </c>
      <c r="F2281" s="2">
        <v>3.0</v>
      </c>
      <c r="G2281" s="2">
        <v>500.0</v>
      </c>
      <c r="H2281" s="3" t="str">
        <f>HYPERLINK("http://www.linkedin.com/pub/dustin-hufford-chcio/2/35/ba7","http://www.linkedin.com/pub/dustin-hufford-chcio/2/35/ba7")</f>
        <v>http://www.linkedin.com/pub/dustin-hufford-chcio/2/35/ba7</v>
      </c>
      <c r="I2281" s="2" t="s">
        <v>172</v>
      </c>
      <c r="J2281" s="2" t="s">
        <v>102</v>
      </c>
      <c r="K2281" s="2" t="s">
        <v>58</v>
      </c>
    </row>
    <row r="2282" ht="15.75" customHeight="1">
      <c r="A2282" s="2">
        <v>823980.0</v>
      </c>
      <c r="B2282" s="2" t="s">
        <v>133</v>
      </c>
      <c r="C2282" s="2" t="s">
        <v>675</v>
      </c>
      <c r="D2282" s="2" t="s">
        <v>5313</v>
      </c>
      <c r="E2282" s="2" t="s">
        <v>5314</v>
      </c>
      <c r="F2282" s="2" t="s">
        <v>13</v>
      </c>
      <c r="G2282" s="2">
        <v>441.0</v>
      </c>
      <c r="H2282" s="3" t="str">
        <f>HYPERLINK("http://www.linkedin.com/in/michaelctorres","http://www.linkedin.com/in/michaelctorres")</f>
        <v>http://www.linkedin.com/in/michaelctorres</v>
      </c>
      <c r="I2282" s="2" t="s">
        <v>268</v>
      </c>
      <c r="J2282" s="2" t="s">
        <v>273</v>
      </c>
      <c r="K2282" s="2" t="s">
        <v>35</v>
      </c>
    </row>
    <row r="2283" ht="15.75" customHeight="1">
      <c r="A2283" s="2">
        <v>824136.0</v>
      </c>
      <c r="B2283" s="2" t="s">
        <v>1767</v>
      </c>
      <c r="C2283" s="2" t="s">
        <v>5315</v>
      </c>
      <c r="D2283" s="2" t="s">
        <v>100</v>
      </c>
      <c r="E2283" s="2" t="s">
        <v>142</v>
      </c>
      <c r="F2283" s="2">
        <v>13.0</v>
      </c>
      <c r="G2283" s="2">
        <v>500.0</v>
      </c>
      <c r="H2283" s="3" t="str">
        <f>HYPERLINK("http://www.linkedin.com/in/erikclausen","http://www.linkedin.com/in/erikclausen")</f>
        <v>http://www.linkedin.com/in/erikclausen</v>
      </c>
      <c r="I2283" s="2" t="s">
        <v>105</v>
      </c>
      <c r="J2283" s="2" t="s">
        <v>144</v>
      </c>
      <c r="K2283" s="2" t="s">
        <v>196</v>
      </c>
    </row>
    <row r="2284" ht="15.75" customHeight="1">
      <c r="A2284" s="2">
        <v>825518.0</v>
      </c>
      <c r="B2284" s="2" t="s">
        <v>133</v>
      </c>
      <c r="C2284" s="2" t="s">
        <v>5316</v>
      </c>
      <c r="D2284" s="2" t="s">
        <v>5317</v>
      </c>
      <c r="E2284" s="2" t="s">
        <v>301</v>
      </c>
      <c r="F2284" s="2" t="s">
        <v>13</v>
      </c>
      <c r="G2284" s="2">
        <v>500.0</v>
      </c>
      <c r="H2284" s="3" t="str">
        <f>HYPERLINK("http://www.linkedin.com/in/bigeatobandito","http://www.linkedin.com/in/bigeatobandito")</f>
        <v>http://www.linkedin.com/in/bigeatobandito</v>
      </c>
      <c r="I2284" s="2" t="s">
        <v>248</v>
      </c>
      <c r="J2284" s="2" t="s">
        <v>102</v>
      </c>
      <c r="K2284" s="2" t="s">
        <v>196</v>
      </c>
    </row>
    <row r="2285" ht="15.75" customHeight="1">
      <c r="A2285" s="2">
        <v>825778.0</v>
      </c>
      <c r="B2285" s="2" t="s">
        <v>5318</v>
      </c>
      <c r="C2285" s="2" t="s">
        <v>5319</v>
      </c>
      <c r="D2285" s="2" t="s">
        <v>289</v>
      </c>
      <c r="E2285" s="2" t="s">
        <v>1414</v>
      </c>
      <c r="F2285" s="2">
        <v>39.0</v>
      </c>
      <c r="G2285" s="2">
        <v>500.0</v>
      </c>
      <c r="H2285" s="3" t="str">
        <f>HYPERLINK("http://hk.linkedin.com/in/pieterbedaux","http://hk.linkedin.com/in/pieterbedaux")</f>
        <v>http://hk.linkedin.com/in/pieterbedaux</v>
      </c>
      <c r="I2285" s="2" t="s">
        <v>248</v>
      </c>
      <c r="J2285" s="2" t="s">
        <v>1047</v>
      </c>
      <c r="K2285" s="2" t="s">
        <v>97</v>
      </c>
    </row>
    <row r="2286" ht="15.75" customHeight="1">
      <c r="A2286" s="2">
        <v>826037.0</v>
      </c>
      <c r="B2286" s="2" t="s">
        <v>5171</v>
      </c>
      <c r="C2286" s="2" t="s">
        <v>3075</v>
      </c>
      <c r="D2286" s="2" t="s">
        <v>5320</v>
      </c>
      <c r="E2286" s="2" t="s">
        <v>5321</v>
      </c>
      <c r="F2286" s="2">
        <v>7.0</v>
      </c>
      <c r="G2286" s="2">
        <v>500.0</v>
      </c>
      <c r="H2286" s="3" t="str">
        <f>HYPERLINK("http://www.linkedin.com/pub/suzanne-morgan/1/534/A09","http://www.linkedin.com/pub/suzanne-morgan/1/534/A09")</f>
        <v>http://www.linkedin.com/pub/suzanne-morgan/1/534/A09</v>
      </c>
      <c r="I2286" s="2" t="s">
        <v>374</v>
      </c>
      <c r="J2286" s="2" t="s">
        <v>273</v>
      </c>
      <c r="K2286" s="2" t="s">
        <v>35</v>
      </c>
    </row>
    <row r="2287" ht="15.75" customHeight="1">
      <c r="A2287" s="2">
        <v>826375.0</v>
      </c>
      <c r="B2287" s="2" t="s">
        <v>5322</v>
      </c>
      <c r="C2287" s="2" t="s">
        <v>5323</v>
      </c>
      <c r="D2287" s="2" t="s">
        <v>42</v>
      </c>
      <c r="E2287" s="2" t="s">
        <v>101</v>
      </c>
      <c r="F2287" s="2">
        <v>5.0</v>
      </c>
      <c r="G2287" s="2">
        <v>307.0</v>
      </c>
      <c r="H2287" s="3" t="str">
        <f>HYPERLINK("http://www.linkedin.com/in/amberschoepp","http://www.linkedin.com/in/amberschoepp")</f>
        <v>http://www.linkedin.com/in/amberschoepp</v>
      </c>
      <c r="I2287" s="2" t="s">
        <v>105</v>
      </c>
      <c r="J2287" s="2" t="s">
        <v>102</v>
      </c>
      <c r="K2287" s="2" t="s">
        <v>138</v>
      </c>
    </row>
    <row r="2288" ht="15.75" customHeight="1">
      <c r="A2288" s="2">
        <v>826654.0</v>
      </c>
      <c r="B2288" s="2" t="s">
        <v>2014</v>
      </c>
      <c r="C2288" s="2" t="s">
        <v>5324</v>
      </c>
      <c r="D2288" s="2" t="s">
        <v>5325</v>
      </c>
      <c r="E2288" s="2" t="s">
        <v>301</v>
      </c>
      <c r="F2288" s="2">
        <v>5.0</v>
      </c>
      <c r="G2288" s="2">
        <v>500.0</v>
      </c>
      <c r="H2288" s="3" t="str">
        <f>HYPERLINK("http://www.linkedin.com/in/kenobermeierattheforumgroup","http://www.linkedin.com/in/kenobermeierattheforumgroup")</f>
        <v>http://www.linkedin.com/in/kenobermeierattheforumgroup</v>
      </c>
      <c r="I2288" s="2" t="s">
        <v>248</v>
      </c>
      <c r="J2288" s="2" t="s">
        <v>102</v>
      </c>
      <c r="K2288" s="2" t="s">
        <v>196</v>
      </c>
    </row>
    <row r="2289" ht="15.75" customHeight="1">
      <c r="A2289" s="2">
        <v>826950.0</v>
      </c>
      <c r="B2289" s="2" t="s">
        <v>5326</v>
      </c>
      <c r="C2289" s="2" t="s">
        <v>5327</v>
      </c>
      <c r="D2289" s="2" t="s">
        <v>5328</v>
      </c>
      <c r="E2289" s="2" t="s">
        <v>142</v>
      </c>
      <c r="F2289" s="2">
        <v>14.0</v>
      </c>
      <c r="G2289" s="2">
        <v>500.0</v>
      </c>
      <c r="H2289" s="3" t="str">
        <f>HYPERLINK("http://www.linkedin.com/pub/bheem-reedy-t/7/598/571","http://www.linkedin.com/pub/bheem-reedy-t/7/598/571")</f>
        <v>http://www.linkedin.com/pub/bheem-reedy-t/7/598/571</v>
      </c>
      <c r="I2289" s="2" t="s">
        <v>15</v>
      </c>
      <c r="J2289" s="2" t="s">
        <v>144</v>
      </c>
      <c r="K2289" s="2" t="s">
        <v>646</v>
      </c>
    </row>
    <row r="2290" ht="15.75" customHeight="1">
      <c r="A2290" s="2">
        <v>827679.0</v>
      </c>
      <c r="B2290" s="2" t="s">
        <v>5329</v>
      </c>
      <c r="C2290" s="2" t="s">
        <v>2907</v>
      </c>
      <c r="D2290" s="2" t="s">
        <v>5330</v>
      </c>
      <c r="E2290" s="2" t="s">
        <v>3922</v>
      </c>
      <c r="F2290" s="2">
        <v>14.0</v>
      </c>
      <c r="G2290" s="2">
        <v>500.0</v>
      </c>
      <c r="H2290" s="3" t="str">
        <f>HYPERLINK("http://www.linkedin.com/in/analesecompliancelegal","http://www.linkedin.com/in/analesecompliancelegal")</f>
        <v>http://www.linkedin.com/in/analesecompliancelegal</v>
      </c>
      <c r="I2290" s="2" t="s">
        <v>248</v>
      </c>
      <c r="J2290" s="2" t="s">
        <v>273</v>
      </c>
      <c r="K2290" s="2" t="s">
        <v>5331</v>
      </c>
    </row>
    <row r="2291" ht="15.75" customHeight="1">
      <c r="A2291" s="2">
        <v>827771.0</v>
      </c>
      <c r="B2291" s="2" t="s">
        <v>5332</v>
      </c>
      <c r="C2291" s="2" t="s">
        <v>4981</v>
      </c>
      <c r="D2291" s="2" t="s">
        <v>5333</v>
      </c>
      <c r="E2291" s="2" t="s">
        <v>5334</v>
      </c>
      <c r="F2291" s="2">
        <v>3.0</v>
      </c>
      <c r="G2291" s="2">
        <v>500.0</v>
      </c>
      <c r="H2291" s="3" t="str">
        <f>HYPERLINK("http://www.linkedin.com/pub/mercedes-harrison/6/3AB/860","http://www.linkedin.com/pub/mercedes-harrison/6/3AB/860")</f>
        <v>http://www.linkedin.com/pub/mercedes-harrison/6/3AB/860</v>
      </c>
      <c r="I2291" s="2" t="s">
        <v>248</v>
      </c>
      <c r="J2291" s="2" t="s">
        <v>273</v>
      </c>
      <c r="K2291" s="2" t="s">
        <v>22</v>
      </c>
    </row>
    <row r="2292" ht="15.75" customHeight="1">
      <c r="A2292" s="2">
        <v>827822.0</v>
      </c>
      <c r="B2292" s="2" t="s">
        <v>940</v>
      </c>
      <c r="C2292" s="2" t="s">
        <v>5335</v>
      </c>
      <c r="D2292" s="2" t="s">
        <v>5336</v>
      </c>
      <c r="E2292" s="2" t="s">
        <v>278</v>
      </c>
      <c r="F2292" s="2">
        <v>3.0</v>
      </c>
      <c r="G2292" s="2">
        <v>172.0</v>
      </c>
      <c r="H2292" s="3" t="str">
        <f>HYPERLINK("http://www.linkedin.com/pub/bob-harris/3/5B9/350","http://www.linkedin.com/pub/bob-harris/3/5B9/350")</f>
        <v>http://www.linkedin.com/pub/bob-harris/3/5B9/350</v>
      </c>
      <c r="I2292" s="2" t="s">
        <v>560</v>
      </c>
      <c r="J2292" s="2" t="s">
        <v>28</v>
      </c>
      <c r="K2292" s="2" t="s">
        <v>196</v>
      </c>
    </row>
    <row r="2293" ht="15.75" customHeight="1">
      <c r="A2293" s="2">
        <v>827873.0</v>
      </c>
      <c r="B2293" s="2" t="s">
        <v>5337</v>
      </c>
      <c r="C2293" s="2" t="s">
        <v>5338</v>
      </c>
      <c r="D2293" s="2" t="s">
        <v>13</v>
      </c>
      <c r="E2293" s="2" t="s">
        <v>403</v>
      </c>
      <c r="F2293" s="2">
        <v>0.0</v>
      </c>
      <c r="G2293" s="2">
        <v>500.0</v>
      </c>
      <c r="H2293" s="3" t="str">
        <f>HYPERLINK("http://www.linkedin.com/pub/brent-belzberg/6/48b/756","http://www.linkedin.com/pub/brent-belzberg/6/48b/756")</f>
        <v>http://www.linkedin.com/pub/brent-belzberg/6/48b/756</v>
      </c>
      <c r="I2293" s="2" t="s">
        <v>3562</v>
      </c>
      <c r="J2293" s="2" t="s">
        <v>44</v>
      </c>
      <c r="K2293" s="2" t="s">
        <v>58</v>
      </c>
    </row>
    <row r="2294" ht="15.75" customHeight="1">
      <c r="A2294" s="2">
        <v>828584.0</v>
      </c>
      <c r="B2294" s="2" t="s">
        <v>133</v>
      </c>
      <c r="C2294" s="2" t="s">
        <v>1218</v>
      </c>
      <c r="D2294" s="2" t="s">
        <v>5339</v>
      </c>
      <c r="E2294" s="2" t="s">
        <v>2963</v>
      </c>
      <c r="F2294" s="2">
        <v>1.0</v>
      </c>
      <c r="G2294" s="2">
        <v>500.0</v>
      </c>
      <c r="H2294" s="3" t="str">
        <f>HYPERLINK("http://www.linkedin.com/pub/michael-murphy/1/43B/BB9","http://www.linkedin.com/pub/michael-murphy/1/43B/BB9")</f>
        <v>http://www.linkedin.com/pub/michael-murphy/1/43B/BB9</v>
      </c>
      <c r="I2294" s="2" t="s">
        <v>15</v>
      </c>
      <c r="J2294" s="2" t="s">
        <v>102</v>
      </c>
      <c r="K2294" s="2" t="s">
        <v>35</v>
      </c>
    </row>
    <row r="2295" ht="15.75" customHeight="1">
      <c r="A2295" s="2">
        <v>829449.0</v>
      </c>
      <c r="B2295" s="2" t="s">
        <v>1816</v>
      </c>
      <c r="C2295" s="2" t="s">
        <v>5340</v>
      </c>
      <c r="D2295" s="2" t="s">
        <v>114</v>
      </c>
      <c r="E2295" s="2" t="s">
        <v>301</v>
      </c>
      <c r="F2295" s="2">
        <v>2.0</v>
      </c>
      <c r="G2295" s="2">
        <v>456.0</v>
      </c>
      <c r="H2295" s="3" t="str">
        <f>HYPERLINK("http://www.linkedin.com/pub/jeffrey-davidson/8/B39/531","http://www.linkedin.com/pub/jeffrey-davidson/8/B39/531")</f>
        <v>http://www.linkedin.com/pub/jeffrey-davidson/8/B39/531</v>
      </c>
      <c r="I2295" s="2" t="s">
        <v>1948</v>
      </c>
      <c r="J2295" s="2" t="s">
        <v>102</v>
      </c>
      <c r="K2295" s="2" t="s">
        <v>58</v>
      </c>
    </row>
    <row r="2296" ht="15.75" customHeight="1">
      <c r="A2296" s="2">
        <v>829684.0</v>
      </c>
      <c r="B2296" s="2" t="s">
        <v>631</v>
      </c>
      <c r="C2296" s="2" t="s">
        <v>292</v>
      </c>
      <c r="D2296" s="2" t="s">
        <v>5341</v>
      </c>
      <c r="E2296" s="2" t="s">
        <v>690</v>
      </c>
      <c r="F2296" s="2">
        <v>0.0</v>
      </c>
      <c r="G2296" s="2">
        <v>500.0</v>
      </c>
      <c r="H2296" s="3" t="str">
        <f>HYPERLINK("http://www.linkedin.com/pub/chris-j-smith/9/922/424","http://www.linkedin.com/pub/chris-j-smith/9/922/424")</f>
        <v>http://www.linkedin.com/pub/chris-j-smith/9/922/424</v>
      </c>
      <c r="I2296" s="2" t="s">
        <v>1107</v>
      </c>
      <c r="J2296" s="2" t="s">
        <v>691</v>
      </c>
      <c r="K2296" s="2" t="s">
        <v>1945</v>
      </c>
    </row>
    <row r="2297" ht="15.75" customHeight="1">
      <c r="A2297" s="2">
        <v>829713.0</v>
      </c>
      <c r="B2297" s="2" t="s">
        <v>295</v>
      </c>
      <c r="C2297" s="2" t="s">
        <v>5342</v>
      </c>
      <c r="D2297" s="2" t="s">
        <v>13</v>
      </c>
      <c r="E2297" s="2" t="s">
        <v>2246</v>
      </c>
      <c r="F2297" s="2">
        <v>2.0</v>
      </c>
      <c r="G2297" s="2">
        <v>500.0</v>
      </c>
      <c r="H2297" s="3" t="str">
        <f>HYPERLINK("http://www.linkedin.com/pub/sean-hamilton-pmp-itil-sfc-a/5/b9a/37b","http://www.linkedin.com/pub/sean-hamilton-pmp-itil-sfc-a/5/b9a/37b")</f>
        <v>http://www.linkedin.com/pub/sean-hamilton-pmp-itil-sfc-a/5/b9a/37b</v>
      </c>
      <c r="I2297" s="2" t="s">
        <v>15</v>
      </c>
      <c r="J2297" s="2" t="s">
        <v>102</v>
      </c>
      <c r="K2297" s="2" t="s">
        <v>35</v>
      </c>
    </row>
    <row r="2298" ht="15.75" customHeight="1">
      <c r="A2298" s="2">
        <v>830027.0</v>
      </c>
      <c r="B2298" s="2" t="s">
        <v>2648</v>
      </c>
      <c r="C2298" s="2" t="s">
        <v>3864</v>
      </c>
      <c r="D2298" s="2" t="s">
        <v>5343</v>
      </c>
      <c r="E2298" s="2" t="s">
        <v>142</v>
      </c>
      <c r="F2298" s="2">
        <v>0.0</v>
      </c>
      <c r="G2298" s="2">
        <v>500.0</v>
      </c>
      <c r="H2298" s="3" t="str">
        <f>HYPERLINK("http://www.linkedin.com/pub/norman-bishop/1/455/B2B","http://www.linkedin.com/pub/norman-bishop/1/455/B2B")</f>
        <v>http://www.linkedin.com/pub/norman-bishop/1/455/B2B</v>
      </c>
      <c r="I2298" s="2" t="s">
        <v>15</v>
      </c>
      <c r="J2298" s="2" t="s">
        <v>144</v>
      </c>
      <c r="K2298" s="2" t="s">
        <v>58</v>
      </c>
    </row>
    <row r="2299" ht="15.75" customHeight="1">
      <c r="A2299" s="2">
        <v>830133.0</v>
      </c>
      <c r="B2299" s="2" t="s">
        <v>1545</v>
      </c>
      <c r="C2299" s="2" t="s">
        <v>5344</v>
      </c>
      <c r="D2299" s="2" t="s">
        <v>1062</v>
      </c>
      <c r="E2299" s="2" t="s">
        <v>301</v>
      </c>
      <c r="F2299" s="2">
        <v>18.0</v>
      </c>
      <c r="G2299" s="2">
        <v>500.0</v>
      </c>
      <c r="H2299" s="3" t="str">
        <f>HYPERLINK("http://www.linkedin.com/in/berzinski","http://www.linkedin.com/in/berzinski")</f>
        <v>http://www.linkedin.com/in/berzinski</v>
      </c>
      <c r="I2299" s="2" t="s">
        <v>844</v>
      </c>
      <c r="J2299" s="2" t="s">
        <v>102</v>
      </c>
      <c r="K2299" s="2" t="s">
        <v>58</v>
      </c>
    </row>
    <row r="2300" ht="15.75" customHeight="1">
      <c r="A2300" s="2">
        <v>830141.0</v>
      </c>
      <c r="B2300" s="2" t="s">
        <v>5345</v>
      </c>
      <c r="C2300" s="2" t="s">
        <v>5346</v>
      </c>
      <c r="D2300" s="2" t="s">
        <v>5347</v>
      </c>
      <c r="E2300" s="2" t="s">
        <v>1630</v>
      </c>
      <c r="F2300" s="2">
        <v>14.0</v>
      </c>
      <c r="G2300" s="2">
        <v>500.0</v>
      </c>
      <c r="H2300" s="3" t="str">
        <f>HYPERLINK("http://ca.linkedin.com/in/ostapyshyn","http://ca.linkedin.com/in/ostapyshyn")</f>
        <v>http://ca.linkedin.com/in/ostapyshyn</v>
      </c>
      <c r="I2300" s="2" t="s">
        <v>15</v>
      </c>
      <c r="J2300" s="2" t="s">
        <v>44</v>
      </c>
      <c r="K2300" s="2" t="s">
        <v>35</v>
      </c>
    </row>
    <row r="2301" ht="15.75" customHeight="1">
      <c r="A2301" s="2">
        <v>830416.0</v>
      </c>
      <c r="B2301" s="2" t="s">
        <v>460</v>
      </c>
      <c r="C2301" s="2" t="s">
        <v>5348</v>
      </c>
      <c r="D2301" s="2" t="s">
        <v>5349</v>
      </c>
      <c r="E2301" s="2" t="s">
        <v>142</v>
      </c>
      <c r="F2301" s="2">
        <v>5.0</v>
      </c>
      <c r="G2301" s="2">
        <v>500.0</v>
      </c>
      <c r="H2301" s="3" t="str">
        <f>HYPERLINK("http://www.linkedin.com/in/johnloughlin","http://www.linkedin.com/in/johnloughlin")</f>
        <v>http://www.linkedin.com/in/johnloughlin</v>
      </c>
      <c r="I2301" s="2" t="s">
        <v>1237</v>
      </c>
      <c r="J2301" s="2" t="s">
        <v>144</v>
      </c>
      <c r="K2301" s="2" t="s">
        <v>522</v>
      </c>
    </row>
    <row r="2302" ht="15.75" customHeight="1">
      <c r="A2302" s="2">
        <v>830582.0</v>
      </c>
      <c r="B2302" s="2" t="s">
        <v>1617</v>
      </c>
      <c r="C2302" s="2" t="s">
        <v>5350</v>
      </c>
      <c r="D2302" s="2" t="s">
        <v>5351</v>
      </c>
      <c r="E2302" s="2" t="s">
        <v>136</v>
      </c>
      <c r="F2302" s="2">
        <v>27.0</v>
      </c>
      <c r="G2302" s="2">
        <v>500.0</v>
      </c>
      <c r="H2302" s="3" t="str">
        <f>HYPERLINK("http://www.linkedin.com/in/ryanrecruits","http://www.linkedin.com/in/ryanrecruits")</f>
        <v>http://www.linkedin.com/in/ryanrecruits</v>
      </c>
      <c r="I2302" s="2" t="s">
        <v>248</v>
      </c>
      <c r="J2302" s="2" t="s">
        <v>102</v>
      </c>
      <c r="K2302" s="2" t="s">
        <v>196</v>
      </c>
    </row>
    <row r="2303" ht="15.75" customHeight="1">
      <c r="A2303" s="2">
        <v>830615.0</v>
      </c>
      <c r="B2303" s="2" t="s">
        <v>1004</v>
      </c>
      <c r="C2303" s="2" t="s">
        <v>5352</v>
      </c>
      <c r="D2303" s="2" t="s">
        <v>5353</v>
      </c>
      <c r="E2303" s="2" t="s">
        <v>5354</v>
      </c>
      <c r="F2303" s="2">
        <v>6.0</v>
      </c>
      <c r="G2303" s="2">
        <v>500.0</v>
      </c>
      <c r="H2303" s="3" t="str">
        <f>HYPERLINK("http://www.linkedin.com/in/scottdeloach","http://www.linkedin.com/in/scottdeloach")</f>
        <v>http://www.linkedin.com/in/scottdeloach</v>
      </c>
      <c r="I2303" s="2" t="s">
        <v>15</v>
      </c>
      <c r="J2303" s="2" t="s">
        <v>102</v>
      </c>
      <c r="K2303" s="2" t="s">
        <v>35</v>
      </c>
    </row>
    <row r="2304" ht="15.75" customHeight="1">
      <c r="A2304" s="2">
        <v>830816.0</v>
      </c>
      <c r="B2304" s="2" t="s">
        <v>5355</v>
      </c>
      <c r="C2304" s="2" t="s">
        <v>5356</v>
      </c>
      <c r="D2304" s="2" t="s">
        <v>347</v>
      </c>
      <c r="E2304" s="2" t="s">
        <v>4576</v>
      </c>
      <c r="F2304" s="2" t="s">
        <v>13</v>
      </c>
      <c r="G2304" s="2">
        <v>134.0</v>
      </c>
      <c r="H2304" s="3" t="str">
        <f>HYPERLINK("http://it.linkedin.com/pub/pietro-marino/0/82/99A","http://it.linkedin.com/pub/pietro-marino/0/82/99A")</f>
        <v>http://it.linkedin.com/pub/pietro-marino/0/82/99A</v>
      </c>
      <c r="I2304" s="2" t="s">
        <v>15</v>
      </c>
      <c r="J2304" s="2" t="s">
        <v>2258</v>
      </c>
      <c r="K2304" s="2" t="s">
        <v>35</v>
      </c>
    </row>
    <row r="2305" ht="15.75" customHeight="1">
      <c r="A2305" s="2">
        <v>831224.0</v>
      </c>
      <c r="B2305" s="2" t="s">
        <v>471</v>
      </c>
      <c r="C2305" s="2" t="s">
        <v>2417</v>
      </c>
      <c r="D2305" s="2" t="s">
        <v>3989</v>
      </c>
      <c r="E2305" s="2" t="s">
        <v>5357</v>
      </c>
      <c r="F2305" s="2">
        <v>25.0</v>
      </c>
      <c r="G2305" s="2">
        <v>500.0</v>
      </c>
      <c r="H2305" s="3" t="str">
        <f>HYPERLINK("http://www.linkedin.com/in/danpritchett","http://www.linkedin.com/in/danpritchett")</f>
        <v>http://www.linkedin.com/in/danpritchett</v>
      </c>
      <c r="I2305" s="2" t="s">
        <v>48</v>
      </c>
      <c r="J2305" s="2" t="s">
        <v>102</v>
      </c>
      <c r="K2305" s="2" t="s">
        <v>35</v>
      </c>
    </row>
    <row r="2306" ht="15.75" customHeight="1">
      <c r="A2306" s="2">
        <v>831298.0</v>
      </c>
      <c r="B2306" s="2" t="s">
        <v>2508</v>
      </c>
      <c r="C2306" s="2" t="s">
        <v>5358</v>
      </c>
      <c r="D2306" s="2" t="s">
        <v>835</v>
      </c>
      <c r="E2306" s="2" t="s">
        <v>971</v>
      </c>
      <c r="F2306" s="2" t="s">
        <v>13</v>
      </c>
      <c r="G2306" s="2">
        <v>153.0</v>
      </c>
      <c r="H2306" s="3" t="str">
        <f>HYPERLINK("http://www.linkedin.com/pub/leo-knapp/0/5AB/705","http://www.linkedin.com/pub/leo-knapp/0/5AB/705")</f>
        <v>http://www.linkedin.com/pub/leo-knapp/0/5AB/705</v>
      </c>
      <c r="I2306" s="2" t="s">
        <v>48</v>
      </c>
      <c r="J2306" s="2" t="s">
        <v>102</v>
      </c>
      <c r="K2306" s="2" t="s">
        <v>35</v>
      </c>
    </row>
    <row r="2307" ht="15.75" customHeight="1">
      <c r="A2307" s="2">
        <v>831419.0</v>
      </c>
      <c r="B2307" s="2" t="s">
        <v>275</v>
      </c>
      <c r="C2307" s="2" t="s">
        <v>5359</v>
      </c>
      <c r="D2307" s="2" t="s">
        <v>2302</v>
      </c>
      <c r="E2307" s="2" t="s">
        <v>136</v>
      </c>
      <c r="F2307" s="2" t="s">
        <v>13</v>
      </c>
      <c r="G2307" s="2">
        <v>500.0</v>
      </c>
      <c r="H2307" s="3" t="str">
        <f>HYPERLINK("http://www.linkedin.com/pub/mark-settle/0/B5/293","http://www.linkedin.com/pub/mark-settle/0/B5/293")</f>
        <v>http://www.linkedin.com/pub/mark-settle/0/B5/293</v>
      </c>
      <c r="I2307" s="2" t="s">
        <v>15</v>
      </c>
      <c r="J2307" s="2" t="s">
        <v>102</v>
      </c>
      <c r="K2307" s="2" t="s">
        <v>35</v>
      </c>
    </row>
    <row r="2308" ht="15.75" customHeight="1">
      <c r="A2308" s="2">
        <v>831568.0</v>
      </c>
      <c r="B2308" s="2" t="s">
        <v>414</v>
      </c>
      <c r="C2308" s="2" t="s">
        <v>5360</v>
      </c>
      <c r="D2308" s="2" t="s">
        <v>42</v>
      </c>
      <c r="E2308" s="2" t="s">
        <v>5361</v>
      </c>
      <c r="F2308" s="2">
        <v>0.0</v>
      </c>
      <c r="G2308" s="2">
        <v>40.0</v>
      </c>
      <c r="H2308" s="3" t="str">
        <f>HYPERLINK("http://www.linkedin.com/in/tomhartje","http://www.linkedin.com/in/tomhartje")</f>
        <v>http://www.linkedin.com/in/tomhartje</v>
      </c>
      <c r="I2308" s="2" t="s">
        <v>279</v>
      </c>
      <c r="J2308" s="2" t="s">
        <v>102</v>
      </c>
      <c r="K2308" s="2" t="s">
        <v>522</v>
      </c>
    </row>
    <row r="2309" ht="15.75" customHeight="1">
      <c r="A2309" s="2">
        <v>831723.0</v>
      </c>
      <c r="B2309" s="2" t="s">
        <v>5362</v>
      </c>
      <c r="C2309" s="2" t="s">
        <v>5363</v>
      </c>
      <c r="D2309" s="2" t="s">
        <v>108</v>
      </c>
      <c r="E2309" s="2" t="s">
        <v>301</v>
      </c>
      <c r="F2309" s="2" t="s">
        <v>13</v>
      </c>
      <c r="G2309" s="2">
        <v>238.0</v>
      </c>
      <c r="H2309" s="3" t="str">
        <f>HYPERLINK("http://www.linkedin.com/pub/jayanth-kygonhalli/0/643/7AB","http://www.linkedin.com/pub/jayanth-kygonhalli/0/643/7AB")</f>
        <v>http://www.linkedin.com/pub/jayanth-kygonhalli/0/643/7AB</v>
      </c>
      <c r="I2309" s="2" t="s">
        <v>167</v>
      </c>
      <c r="J2309" s="2" t="s">
        <v>102</v>
      </c>
      <c r="K2309" s="2" t="s">
        <v>58</v>
      </c>
    </row>
    <row r="2310" ht="15.75" customHeight="1">
      <c r="A2310" s="2">
        <v>832008.0</v>
      </c>
      <c r="B2310" s="2" t="s">
        <v>1296</v>
      </c>
      <c r="C2310" s="2" t="s">
        <v>5364</v>
      </c>
      <c r="D2310" s="2" t="s">
        <v>13</v>
      </c>
      <c r="E2310" s="2" t="s">
        <v>5365</v>
      </c>
      <c r="F2310" s="2">
        <v>0.0</v>
      </c>
      <c r="G2310" s="2">
        <v>500.0</v>
      </c>
      <c r="H2310" s="3" t="str">
        <f>HYPERLINK("http://www.linkedin.com/in/andreadibenedetto","http://www.linkedin.com/in/andreadibenedetto")</f>
        <v>http://www.linkedin.com/in/andreadibenedetto</v>
      </c>
      <c r="I2310" s="2" t="s">
        <v>15</v>
      </c>
      <c r="J2310" s="2" t="s">
        <v>2258</v>
      </c>
      <c r="K2310" s="2" t="s">
        <v>35</v>
      </c>
    </row>
    <row r="2311" ht="15.75" customHeight="1">
      <c r="A2311" s="2">
        <v>832152.0</v>
      </c>
      <c r="B2311" s="2" t="s">
        <v>5366</v>
      </c>
      <c r="C2311" s="2" t="s">
        <v>1458</v>
      </c>
      <c r="D2311" s="2" t="s">
        <v>536</v>
      </c>
      <c r="E2311" s="2" t="s">
        <v>765</v>
      </c>
      <c r="F2311" s="2">
        <v>27.0</v>
      </c>
      <c r="G2311" s="2">
        <v>500.0</v>
      </c>
      <c r="H2311" s="3" t="str">
        <f>HYPERLINK("http://www.linkedin.com/in/realjtodd","http://www.linkedin.com/in/realjtodd")</f>
        <v>http://www.linkedin.com/in/realjtodd</v>
      </c>
      <c r="I2311" s="2" t="s">
        <v>1740</v>
      </c>
      <c r="J2311" s="2" t="s">
        <v>144</v>
      </c>
      <c r="K2311" s="2" t="s">
        <v>29</v>
      </c>
    </row>
    <row r="2312" ht="15.75" customHeight="1">
      <c r="A2312" s="2">
        <v>832319.0</v>
      </c>
      <c r="B2312" s="2" t="s">
        <v>5367</v>
      </c>
      <c r="C2312" s="2" t="s">
        <v>1280</v>
      </c>
      <c r="D2312" s="2" t="s">
        <v>47</v>
      </c>
      <c r="E2312" s="2" t="s">
        <v>1155</v>
      </c>
      <c r="F2312" s="2" t="s">
        <v>13</v>
      </c>
      <c r="G2312" s="2">
        <v>500.0</v>
      </c>
      <c r="H2312" s="3" t="str">
        <f>HYPERLINK("http://www.linkedin.com/in/zcarman","http://www.linkedin.com/in/zcarman")</f>
        <v>http://www.linkedin.com/in/zcarman</v>
      </c>
      <c r="I2312" s="2" t="s">
        <v>69</v>
      </c>
      <c r="J2312" s="2" t="s">
        <v>102</v>
      </c>
      <c r="K2312" s="2" t="s">
        <v>35</v>
      </c>
    </row>
    <row r="2313" ht="15.75" customHeight="1">
      <c r="A2313" s="2">
        <v>832495.0</v>
      </c>
      <c r="B2313" s="2" t="s">
        <v>133</v>
      </c>
      <c r="C2313" s="2" t="s">
        <v>820</v>
      </c>
      <c r="D2313" s="2" t="s">
        <v>1145</v>
      </c>
      <c r="E2313" s="2" t="s">
        <v>407</v>
      </c>
      <c r="F2313" s="2">
        <v>4.0</v>
      </c>
      <c r="G2313" s="2">
        <v>500.0</v>
      </c>
      <c r="H2313" s="3" t="str">
        <f>HYPERLINK("http://www.linkedin.com/in/michaelcmoore","http://www.linkedin.com/in/michaelcmoore")</f>
        <v>http://www.linkedin.com/in/michaelcmoore</v>
      </c>
      <c r="I2313" s="2" t="s">
        <v>248</v>
      </c>
      <c r="J2313" s="2" t="s">
        <v>102</v>
      </c>
      <c r="K2313" s="2" t="s">
        <v>196</v>
      </c>
    </row>
    <row r="2314" ht="15.75" customHeight="1">
      <c r="A2314" s="2">
        <v>833023.0</v>
      </c>
      <c r="B2314" s="2" t="s">
        <v>3443</v>
      </c>
      <c r="C2314" s="2" t="s">
        <v>5368</v>
      </c>
      <c r="D2314" s="2" t="s">
        <v>5369</v>
      </c>
      <c r="E2314" s="2" t="s">
        <v>301</v>
      </c>
      <c r="F2314" s="2">
        <v>4.0</v>
      </c>
      <c r="G2314" s="2">
        <v>500.0</v>
      </c>
      <c r="H2314" s="3" t="str">
        <f>HYPERLINK("http://www.linkedin.com/in/dianedubovybenke","http://www.linkedin.com/in/dianedubovybenke")</f>
        <v>http://www.linkedin.com/in/dianedubovybenke</v>
      </c>
      <c r="I2314" s="2" t="s">
        <v>57</v>
      </c>
      <c r="J2314" s="2" t="s">
        <v>102</v>
      </c>
      <c r="K2314" s="2" t="s">
        <v>58</v>
      </c>
    </row>
    <row r="2315" ht="15.75" customHeight="1">
      <c r="A2315" s="2">
        <v>833114.0</v>
      </c>
      <c r="B2315" s="2" t="s">
        <v>2198</v>
      </c>
      <c r="C2315" s="2" t="s">
        <v>5370</v>
      </c>
      <c r="D2315" s="2" t="s">
        <v>47</v>
      </c>
      <c r="E2315" s="2" t="s">
        <v>294</v>
      </c>
      <c r="F2315" s="2" t="s">
        <v>13</v>
      </c>
      <c r="G2315" s="2">
        <v>121.0</v>
      </c>
      <c r="H2315" s="3" t="str">
        <f>HYPERLINK("http://www.linkedin.com/pub/neil-livingston/0/2A7/81","http://www.linkedin.com/pub/neil-livingston/0/2A7/81")</f>
        <v>http://www.linkedin.com/pub/neil-livingston/0/2A7/81</v>
      </c>
      <c r="I2315" s="2" t="s">
        <v>306</v>
      </c>
      <c r="J2315" s="2" t="s">
        <v>102</v>
      </c>
      <c r="K2315" s="2" t="s">
        <v>58</v>
      </c>
    </row>
    <row r="2316" ht="15.75" customHeight="1">
      <c r="A2316" s="2">
        <v>833639.0</v>
      </c>
      <c r="B2316" s="2" t="s">
        <v>341</v>
      </c>
      <c r="C2316" s="2" t="s">
        <v>5371</v>
      </c>
      <c r="D2316" s="2" t="s">
        <v>289</v>
      </c>
      <c r="E2316" s="2" t="s">
        <v>3005</v>
      </c>
      <c r="F2316" s="2" t="s">
        <v>13</v>
      </c>
      <c r="G2316" s="2">
        <v>500.0</v>
      </c>
      <c r="H2316" s="3" t="str">
        <f>HYPERLINK("http://www.linkedin.com/pub/kevin-curry/0/363/30A","http://www.linkedin.com/pub/kevin-curry/0/363/30A")</f>
        <v>http://www.linkedin.com/pub/kevin-curry/0/363/30A</v>
      </c>
      <c r="I2316" s="2" t="s">
        <v>1237</v>
      </c>
      <c r="J2316" s="2" t="s">
        <v>102</v>
      </c>
      <c r="K2316" s="2" t="s">
        <v>29</v>
      </c>
    </row>
    <row r="2317" ht="15.75" customHeight="1">
      <c r="A2317" s="2">
        <v>833819.0</v>
      </c>
      <c r="B2317" s="2" t="s">
        <v>5372</v>
      </c>
      <c r="C2317" s="2" t="s">
        <v>5373</v>
      </c>
      <c r="D2317" s="2" t="s">
        <v>5374</v>
      </c>
      <c r="E2317" s="2" t="s">
        <v>1041</v>
      </c>
      <c r="F2317" s="2" t="s">
        <v>13</v>
      </c>
      <c r="G2317" s="2">
        <v>500.0</v>
      </c>
      <c r="H2317" s="3" t="str">
        <f>HYPERLINK("http://www.linkedin.com/pub/saif-islam/0/5B4/757","http://www.linkedin.com/pub/saif-islam/0/5B4/757")</f>
        <v>http://www.linkedin.com/pub/saif-islam/0/5B4/757</v>
      </c>
      <c r="I2317" s="2" t="s">
        <v>48</v>
      </c>
      <c r="J2317" s="2" t="s">
        <v>102</v>
      </c>
      <c r="K2317" s="2" t="s">
        <v>35</v>
      </c>
    </row>
    <row r="2318" ht="15.75" customHeight="1">
      <c r="A2318" s="2">
        <v>834176.0</v>
      </c>
      <c r="B2318" s="2" t="s">
        <v>5375</v>
      </c>
      <c r="C2318" s="2" t="s">
        <v>5376</v>
      </c>
      <c r="D2318" s="2" t="s">
        <v>2274</v>
      </c>
      <c r="E2318" s="2" t="s">
        <v>748</v>
      </c>
      <c r="F2318" s="2">
        <v>0.0</v>
      </c>
      <c r="G2318" s="2">
        <v>478.0</v>
      </c>
      <c r="H2318" s="3" t="str">
        <f>HYPERLINK("http://www.linkedin.com/in/gongszeto","http://www.linkedin.com/in/gongszeto")</f>
        <v>http://www.linkedin.com/in/gongszeto</v>
      </c>
      <c r="I2318" s="2" t="s">
        <v>2268</v>
      </c>
      <c r="J2318" s="2" t="s">
        <v>28</v>
      </c>
      <c r="K2318" s="2" t="s">
        <v>97</v>
      </c>
    </row>
    <row r="2319" ht="15.75" customHeight="1">
      <c r="A2319" s="2">
        <v>834354.0</v>
      </c>
      <c r="B2319" s="2" t="s">
        <v>5377</v>
      </c>
      <c r="C2319" s="2" t="s">
        <v>5378</v>
      </c>
      <c r="D2319" s="2" t="s">
        <v>5379</v>
      </c>
      <c r="E2319" s="2" t="s">
        <v>3560</v>
      </c>
      <c r="F2319" s="2">
        <v>9.0</v>
      </c>
      <c r="G2319" s="2">
        <v>391.0</v>
      </c>
      <c r="H2319" s="3" t="str">
        <f>HYPERLINK("http://www.linkedin.com/in/gretawebgirl","http://www.linkedin.com/in/gretawebgirl")</f>
        <v>http://www.linkedin.com/in/gretawebgirl</v>
      </c>
      <c r="I2319" s="2" t="s">
        <v>681</v>
      </c>
      <c r="J2319" s="2" t="s">
        <v>28</v>
      </c>
      <c r="K2319" s="2" t="s">
        <v>168</v>
      </c>
    </row>
    <row r="2320" ht="15.75" customHeight="1">
      <c r="A2320" s="2">
        <v>834492.0</v>
      </c>
      <c r="B2320" s="2" t="s">
        <v>313</v>
      </c>
      <c r="C2320" s="2" t="s">
        <v>5380</v>
      </c>
      <c r="D2320" s="2" t="s">
        <v>835</v>
      </c>
      <c r="E2320" s="2" t="s">
        <v>5381</v>
      </c>
      <c r="F2320" s="2">
        <v>13.0</v>
      </c>
      <c r="G2320" s="2">
        <v>500.0</v>
      </c>
      <c r="H2320" s="3" t="str">
        <f>HYPERLINK("http://uk.linkedin.com/in/enacontractrecruitment","http://uk.linkedin.com/in/enacontractrecruitment")</f>
        <v>http://uk.linkedin.com/in/enacontractrecruitment</v>
      </c>
      <c r="I2320" s="2" t="s">
        <v>77</v>
      </c>
      <c r="J2320" s="2" t="s">
        <v>53</v>
      </c>
      <c r="K2320" s="2" t="s">
        <v>97</v>
      </c>
    </row>
    <row r="2321" ht="15.75" customHeight="1">
      <c r="A2321" s="2">
        <v>834750.0</v>
      </c>
      <c r="B2321" s="2" t="s">
        <v>5382</v>
      </c>
      <c r="C2321" s="2" t="s">
        <v>5383</v>
      </c>
      <c r="D2321" s="2" t="s">
        <v>2416</v>
      </c>
      <c r="E2321" s="2" t="s">
        <v>278</v>
      </c>
      <c r="F2321" s="2" t="s">
        <v>13</v>
      </c>
      <c r="G2321" s="2">
        <v>500.0</v>
      </c>
      <c r="H2321" s="3" t="str">
        <f>HYPERLINK("http://www.linkedin.com/pub/karen-m-perrow-mcmains/5/6B/8A5","http://www.linkedin.com/pub/karen-m-perrow-mcmains/5/6B/8A5")</f>
        <v>http://www.linkedin.com/pub/karen-m-perrow-mcmains/5/6B/8A5</v>
      </c>
      <c r="I2321" s="2" t="s">
        <v>15</v>
      </c>
      <c r="J2321" s="2" t="s">
        <v>28</v>
      </c>
      <c r="K2321" s="2" t="s">
        <v>1733</v>
      </c>
    </row>
    <row r="2322" ht="15.75" customHeight="1">
      <c r="A2322" s="2">
        <v>834965.0</v>
      </c>
      <c r="B2322" s="2" t="s">
        <v>845</v>
      </c>
      <c r="C2322" s="2" t="s">
        <v>5384</v>
      </c>
      <c r="D2322" s="2" t="s">
        <v>5385</v>
      </c>
      <c r="E2322" s="2" t="s">
        <v>235</v>
      </c>
      <c r="F2322" s="2" t="s">
        <v>13</v>
      </c>
      <c r="G2322" s="2">
        <v>462.0</v>
      </c>
      <c r="H2322" s="3" t="str">
        <f>HYPERLINK("http://www.linkedin.com/pub/david-ulepic/0/527/6AA","http://www.linkedin.com/pub/david-ulepic/0/527/6AA")</f>
        <v>http://www.linkedin.com/pub/david-ulepic/0/527/6AA</v>
      </c>
      <c r="I2322" s="2" t="s">
        <v>15</v>
      </c>
      <c r="J2322" s="2" t="s">
        <v>102</v>
      </c>
      <c r="K2322" s="2" t="s">
        <v>35</v>
      </c>
    </row>
    <row r="2323" ht="15.75" customHeight="1">
      <c r="A2323" s="2">
        <v>834993.0</v>
      </c>
      <c r="B2323" s="2" t="s">
        <v>5386</v>
      </c>
      <c r="C2323" s="2" t="s">
        <v>935</v>
      </c>
      <c r="D2323" s="2" t="s">
        <v>114</v>
      </c>
      <c r="E2323" s="2" t="s">
        <v>5387</v>
      </c>
      <c r="F2323" s="2" t="s">
        <v>13</v>
      </c>
      <c r="G2323" s="2">
        <v>500.0</v>
      </c>
      <c r="H2323" s="3" t="str">
        <f>HYPERLINK("http://www.linkedin.com/in/otbelcher","http://www.linkedin.com/in/otbelcher")</f>
        <v>http://www.linkedin.com/in/otbelcher</v>
      </c>
      <c r="I2323" s="2" t="s">
        <v>4238</v>
      </c>
      <c r="J2323" s="2" t="s">
        <v>102</v>
      </c>
      <c r="K2323" s="2" t="s">
        <v>58</v>
      </c>
    </row>
    <row r="2324" ht="15.75" customHeight="1">
      <c r="A2324" s="2">
        <v>835234.0</v>
      </c>
      <c r="B2324" s="2" t="s">
        <v>5173</v>
      </c>
      <c r="C2324" s="2" t="s">
        <v>5388</v>
      </c>
      <c r="D2324" s="2" t="s">
        <v>42</v>
      </c>
      <c r="E2324" s="2" t="s">
        <v>1473</v>
      </c>
      <c r="F2324" s="2">
        <v>3.0</v>
      </c>
      <c r="G2324" s="2">
        <v>500.0</v>
      </c>
      <c r="H2324" s="3" t="str">
        <f>HYPERLINK("http://www.linkedin.com/in/richodato","http://www.linkedin.com/in/richodato")</f>
        <v>http://www.linkedin.com/in/richodato</v>
      </c>
      <c r="I2324" s="2" t="s">
        <v>105</v>
      </c>
      <c r="J2324" s="2" t="s">
        <v>102</v>
      </c>
      <c r="K2324" s="2" t="s">
        <v>58</v>
      </c>
    </row>
    <row r="2325" ht="15.75" customHeight="1">
      <c r="A2325" s="2">
        <v>836639.0</v>
      </c>
      <c r="B2325" s="2" t="s">
        <v>5389</v>
      </c>
      <c r="C2325" s="2" t="s">
        <v>5390</v>
      </c>
      <c r="D2325" s="2" t="s">
        <v>114</v>
      </c>
      <c r="E2325" s="2" t="s">
        <v>181</v>
      </c>
      <c r="F2325" s="2">
        <v>6.0</v>
      </c>
      <c r="G2325" s="2">
        <v>500.0</v>
      </c>
      <c r="H2325" s="3" t="str">
        <f>HYPERLINK("http://www.linkedin.com/in/paulacaligiuri","http://www.linkedin.com/in/paulacaligiuri")</f>
        <v>http://www.linkedin.com/in/paulacaligiuri</v>
      </c>
      <c r="I2325" s="2" t="s">
        <v>240</v>
      </c>
      <c r="J2325" s="2" t="s">
        <v>102</v>
      </c>
      <c r="K2325" s="2" t="s">
        <v>5391</v>
      </c>
    </row>
    <row r="2326" ht="15.75" customHeight="1">
      <c r="A2326" s="2">
        <v>838581.0</v>
      </c>
      <c r="B2326" s="2" t="s">
        <v>5392</v>
      </c>
      <c r="C2326" s="2" t="s">
        <v>308</v>
      </c>
      <c r="D2326" s="2" t="s">
        <v>47</v>
      </c>
      <c r="E2326" s="2" t="s">
        <v>155</v>
      </c>
      <c r="F2326" s="2">
        <v>7.0</v>
      </c>
      <c r="G2326" s="2">
        <v>500.0</v>
      </c>
      <c r="H2326" s="3" t="str">
        <f>HYPERLINK("http://in.linkedin.com/in/sangam","http://in.linkedin.com/in/sangam")</f>
        <v>http://in.linkedin.com/in/sangam</v>
      </c>
      <c r="I2326" s="2" t="s">
        <v>143</v>
      </c>
      <c r="J2326" s="2" t="s">
        <v>102</v>
      </c>
      <c r="K2326" s="2" t="s">
        <v>35</v>
      </c>
    </row>
    <row r="2327" ht="15.75" customHeight="1">
      <c r="A2327" s="2">
        <v>838980.0</v>
      </c>
      <c r="B2327" s="2" t="s">
        <v>592</v>
      </c>
      <c r="C2327" s="2" t="s">
        <v>5393</v>
      </c>
      <c r="D2327" s="2" t="s">
        <v>5394</v>
      </c>
      <c r="E2327" s="2" t="s">
        <v>301</v>
      </c>
      <c r="F2327" s="2">
        <v>2.0</v>
      </c>
      <c r="G2327" s="2">
        <v>500.0</v>
      </c>
      <c r="H2327" s="3" t="str">
        <f>HYPERLINK("http://www.linkedin.com/in/barrykessler","http://www.linkedin.com/in/barrykessler")</f>
        <v>http://www.linkedin.com/in/barrykessler</v>
      </c>
      <c r="I2327" s="2" t="s">
        <v>279</v>
      </c>
      <c r="J2327" s="2" t="s">
        <v>102</v>
      </c>
      <c r="K2327" s="2" t="s">
        <v>58</v>
      </c>
    </row>
    <row r="2328" ht="15.75" customHeight="1">
      <c r="A2328" s="2">
        <v>840055.0</v>
      </c>
      <c r="B2328" s="2" t="s">
        <v>625</v>
      </c>
      <c r="C2328" s="2" t="s">
        <v>4990</v>
      </c>
      <c r="D2328" s="2" t="s">
        <v>5395</v>
      </c>
      <c r="E2328" s="2" t="s">
        <v>5396</v>
      </c>
      <c r="F2328" s="2">
        <v>0.0</v>
      </c>
      <c r="G2328" s="2">
        <v>500.0</v>
      </c>
      <c r="H2328" s="3" t="str">
        <f>HYPERLINK("http://www.linkedin.com/pub/tim-green/9/355/27A","http://www.linkedin.com/pub/tim-green/9/355/27A")</f>
        <v>http://www.linkedin.com/pub/tim-green/9/355/27A</v>
      </c>
      <c r="I2328" s="2" t="s">
        <v>57</v>
      </c>
      <c r="J2328" s="2" t="s">
        <v>102</v>
      </c>
      <c r="K2328" s="2" t="s">
        <v>35</v>
      </c>
    </row>
    <row r="2329" ht="15.75" customHeight="1">
      <c r="A2329" s="2">
        <v>840437.0</v>
      </c>
      <c r="B2329" s="2" t="s">
        <v>412</v>
      </c>
      <c r="C2329" s="2" t="s">
        <v>5397</v>
      </c>
      <c r="D2329" s="2" t="s">
        <v>4224</v>
      </c>
      <c r="E2329" s="2" t="s">
        <v>301</v>
      </c>
      <c r="F2329" s="2">
        <v>8.0</v>
      </c>
      <c r="G2329" s="2">
        <v>500.0</v>
      </c>
      <c r="H2329" s="3" t="str">
        <f>HYPERLINK("http://www.linkedin.com/in/rmkaplan","http://www.linkedin.com/in/rmkaplan")</f>
        <v>http://www.linkedin.com/in/rmkaplan</v>
      </c>
      <c r="I2329" s="2" t="s">
        <v>15</v>
      </c>
      <c r="J2329" s="2" t="s">
        <v>102</v>
      </c>
      <c r="K2329" s="2" t="s">
        <v>35</v>
      </c>
    </row>
    <row r="2330" ht="15.75" customHeight="1">
      <c r="A2330" s="2">
        <v>840558.0</v>
      </c>
      <c r="B2330" s="2" t="s">
        <v>3477</v>
      </c>
      <c r="C2330" s="2" t="s">
        <v>5398</v>
      </c>
      <c r="D2330" s="2" t="s">
        <v>47</v>
      </c>
      <c r="E2330" s="2" t="s">
        <v>142</v>
      </c>
      <c r="F2330" s="2">
        <v>25.0</v>
      </c>
      <c r="G2330" s="2">
        <v>500.0</v>
      </c>
      <c r="H2330" s="3" t="str">
        <f>HYPERLINK("http://www.linkedin.com/in/joshwexelbaum","http://www.linkedin.com/in/joshwexelbaum")</f>
        <v>http://www.linkedin.com/in/joshwexelbaum</v>
      </c>
      <c r="I2330" s="2" t="s">
        <v>326</v>
      </c>
      <c r="J2330" s="2" t="s">
        <v>144</v>
      </c>
      <c r="K2330" s="2" t="s">
        <v>357</v>
      </c>
    </row>
    <row r="2331" ht="15.75" customHeight="1">
      <c r="A2331" s="2">
        <v>841180.0</v>
      </c>
      <c r="B2331" s="2" t="s">
        <v>5399</v>
      </c>
      <c r="C2331" s="2" t="s">
        <v>5400</v>
      </c>
      <c r="D2331" s="2" t="s">
        <v>3136</v>
      </c>
      <c r="E2331" s="2" t="s">
        <v>762</v>
      </c>
      <c r="F2331" s="2">
        <v>3.0</v>
      </c>
      <c r="G2331" s="2">
        <v>500.0</v>
      </c>
      <c r="H2331" s="3" t="str">
        <f>HYPERLINK("http://www.linkedin.com/in/jrdenny","http://www.linkedin.com/in/jrdenny")</f>
        <v>http://www.linkedin.com/in/jrdenny</v>
      </c>
      <c r="I2331" s="2" t="s">
        <v>2603</v>
      </c>
      <c r="J2331" s="2" t="s">
        <v>102</v>
      </c>
      <c r="K2331" s="2" t="s">
        <v>357</v>
      </c>
    </row>
    <row r="2332" ht="15.75" customHeight="1">
      <c r="A2332" s="2">
        <v>841240.0</v>
      </c>
      <c r="B2332" s="2" t="s">
        <v>2049</v>
      </c>
      <c r="C2332" s="2" t="s">
        <v>399</v>
      </c>
      <c r="D2332" s="2" t="s">
        <v>5401</v>
      </c>
      <c r="E2332" s="2" t="s">
        <v>971</v>
      </c>
      <c r="F2332" s="2" t="s">
        <v>13</v>
      </c>
      <c r="G2332" s="2">
        <v>500.0</v>
      </c>
      <c r="H2332" s="3" t="str">
        <f>HYPERLINK("http://www.linkedin.com/in/stephaniejohnsoncpc","http://www.linkedin.com/in/stephaniejohnsoncpc")</f>
        <v>http://www.linkedin.com/in/stephaniejohnsoncpc</v>
      </c>
      <c r="I2332" s="2" t="s">
        <v>579</v>
      </c>
      <c r="J2332" s="2" t="s">
        <v>102</v>
      </c>
      <c r="K2332" s="2" t="s">
        <v>97</v>
      </c>
    </row>
    <row r="2333" ht="15.75" customHeight="1">
      <c r="A2333" s="2">
        <v>841349.0</v>
      </c>
      <c r="B2333" s="2" t="s">
        <v>710</v>
      </c>
      <c r="C2333" s="2" t="s">
        <v>5402</v>
      </c>
      <c r="D2333" s="2" t="s">
        <v>5403</v>
      </c>
      <c r="E2333" s="2" t="s">
        <v>294</v>
      </c>
      <c r="F2333" s="2" t="s">
        <v>13</v>
      </c>
      <c r="G2333" s="2">
        <v>119.0</v>
      </c>
      <c r="H2333" s="3" t="str">
        <f>HYPERLINK("http://www.linkedin.com/in/jasonwlogsdon","http://www.linkedin.com/in/jasonwlogsdon")</f>
        <v>http://www.linkedin.com/in/jasonwlogsdon</v>
      </c>
      <c r="I2333" s="2" t="s">
        <v>69</v>
      </c>
      <c r="J2333" s="2" t="s">
        <v>102</v>
      </c>
      <c r="K2333" s="2" t="s">
        <v>35</v>
      </c>
    </row>
    <row r="2334" ht="15.75" customHeight="1">
      <c r="A2334" s="2">
        <v>842806.0</v>
      </c>
      <c r="B2334" s="2" t="s">
        <v>1593</v>
      </c>
      <c r="C2334" s="2" t="s">
        <v>5404</v>
      </c>
      <c r="D2334" s="2" t="s">
        <v>13</v>
      </c>
      <c r="E2334" s="2" t="s">
        <v>136</v>
      </c>
      <c r="F2334" s="2">
        <v>0.0</v>
      </c>
      <c r="G2334" s="2">
        <v>500.0</v>
      </c>
      <c r="H2334" s="3" t="str">
        <f>HYPERLINK("https://www.linkedin.com/in/adamrneary","https://www.linkedin.com/in/adamrneary")</f>
        <v>https://www.linkedin.com/in/adamrneary</v>
      </c>
      <c r="I2334" s="2" t="s">
        <v>48</v>
      </c>
      <c r="J2334" s="2" t="s">
        <v>102</v>
      </c>
      <c r="K2334" s="2" t="s">
        <v>58</v>
      </c>
    </row>
    <row r="2335" ht="15.75" customHeight="1">
      <c r="A2335" s="2">
        <v>844290.0</v>
      </c>
      <c r="B2335" s="2" t="s">
        <v>5405</v>
      </c>
      <c r="C2335" s="2" t="s">
        <v>5406</v>
      </c>
      <c r="D2335" s="2" t="s">
        <v>5407</v>
      </c>
      <c r="E2335" s="2" t="s">
        <v>305</v>
      </c>
      <c r="F2335" s="2">
        <v>14.0</v>
      </c>
      <c r="G2335" s="2">
        <v>500.0</v>
      </c>
      <c r="H2335" s="3" t="str">
        <f>HYPERLINK("http://www.linkedin.com/pub/bart-childers/3/A05/1B3","http://www.linkedin.com/pub/bart-childers/3/A05/1B3")</f>
        <v>http://www.linkedin.com/pub/bart-childers/3/A05/1B3</v>
      </c>
      <c r="I2335" s="2" t="s">
        <v>15</v>
      </c>
      <c r="J2335" s="2" t="s">
        <v>102</v>
      </c>
      <c r="K2335" s="2" t="s">
        <v>35</v>
      </c>
    </row>
    <row r="2336" ht="15.75" customHeight="1">
      <c r="A2336" s="2">
        <v>845078.0</v>
      </c>
      <c r="B2336" s="2" t="s">
        <v>5408</v>
      </c>
      <c r="C2336" s="2" t="s">
        <v>5409</v>
      </c>
      <c r="D2336" s="2" t="s">
        <v>5410</v>
      </c>
      <c r="E2336" s="2" t="s">
        <v>2730</v>
      </c>
      <c r="F2336" s="2">
        <v>9.0</v>
      </c>
      <c r="G2336" s="2">
        <v>500.0</v>
      </c>
      <c r="H2336" s="3" t="str">
        <f>HYPERLINK("http://www.linkedin.com/in/acathey","http://www.linkedin.com/in/acathey")</f>
        <v>http://www.linkedin.com/in/acathey</v>
      </c>
      <c r="I2336" s="2" t="s">
        <v>105</v>
      </c>
      <c r="J2336" s="2" t="s">
        <v>102</v>
      </c>
      <c r="K2336" s="2" t="s">
        <v>29</v>
      </c>
    </row>
    <row r="2337" ht="15.75" customHeight="1">
      <c r="A2337" s="2">
        <v>845238.0</v>
      </c>
      <c r="B2337" s="2" t="s">
        <v>3443</v>
      </c>
      <c r="C2337" s="2" t="s">
        <v>5411</v>
      </c>
      <c r="D2337" s="2" t="s">
        <v>5412</v>
      </c>
      <c r="E2337" s="2" t="s">
        <v>914</v>
      </c>
      <c r="F2337" s="2">
        <v>1.0</v>
      </c>
      <c r="G2337" s="2">
        <v>500.0</v>
      </c>
      <c r="H2337" s="3" t="str">
        <f>HYPERLINK("http://www.linkedin.com/in/dianesetness","http://www.linkedin.com/in/dianesetness")</f>
        <v>http://www.linkedin.com/in/dianesetness</v>
      </c>
      <c r="I2337" s="2" t="s">
        <v>105</v>
      </c>
      <c r="J2337" s="2" t="s">
        <v>102</v>
      </c>
      <c r="K2337" s="2" t="s">
        <v>35</v>
      </c>
    </row>
    <row r="2338" ht="15.75" customHeight="1">
      <c r="A2338" s="2">
        <v>845321.0</v>
      </c>
      <c r="B2338" s="2" t="s">
        <v>5413</v>
      </c>
      <c r="C2338" s="2" t="s">
        <v>5414</v>
      </c>
      <c r="D2338" s="2"/>
      <c r="E2338" s="2" t="s">
        <v>1866</v>
      </c>
      <c r="F2338" s="2">
        <v>2.0</v>
      </c>
      <c r="G2338" s="2">
        <v>500.0</v>
      </c>
      <c r="H2338" s="3" t="str">
        <f>HYPERLINK("http://www.linkedin.com/pub/sharon-hart/2/54/228","http://www.linkedin.com/pub/sharon-hart/2/54/228")</f>
        <v>http://www.linkedin.com/pub/sharon-hart/2/54/228</v>
      </c>
      <c r="I2338" s="2" t="s">
        <v>248</v>
      </c>
      <c r="J2338" s="2" t="s">
        <v>1867</v>
      </c>
      <c r="K2338" s="2" t="s">
        <v>138</v>
      </c>
    </row>
    <row r="2339" ht="15.75" customHeight="1">
      <c r="A2339" s="2">
        <v>845382.0</v>
      </c>
      <c r="B2339" s="2" t="s">
        <v>5415</v>
      </c>
      <c r="C2339" s="2" t="s">
        <v>5416</v>
      </c>
      <c r="D2339" s="2" t="s">
        <v>5417</v>
      </c>
      <c r="E2339" s="2" t="s">
        <v>5418</v>
      </c>
      <c r="F2339" s="2">
        <v>3.0</v>
      </c>
      <c r="G2339" s="2">
        <v>500.0</v>
      </c>
      <c r="H2339" s="3" t="str">
        <f>HYPERLINK("http://uk.linkedin.com/pub/cristian-maties/1/653/943","http://uk.linkedin.com/pub/cristian-maties/1/653/943")</f>
        <v>http://uk.linkedin.com/pub/cristian-maties/1/653/943</v>
      </c>
      <c r="I2339" s="2" t="s">
        <v>48</v>
      </c>
      <c r="J2339" s="2" t="s">
        <v>5419</v>
      </c>
      <c r="K2339" s="2" t="s">
        <v>97</v>
      </c>
    </row>
    <row r="2340" ht="15.75" customHeight="1">
      <c r="A2340" s="2">
        <v>845572.0</v>
      </c>
      <c r="B2340" s="2" t="s">
        <v>45</v>
      </c>
      <c r="C2340" s="2" t="s">
        <v>5420</v>
      </c>
      <c r="D2340" s="2" t="s">
        <v>5421</v>
      </c>
      <c r="E2340" s="2" t="s">
        <v>491</v>
      </c>
      <c r="F2340" s="2" t="s">
        <v>13</v>
      </c>
      <c r="G2340" s="2">
        <v>500.0</v>
      </c>
      <c r="H2340" s="3" t="str">
        <f>HYPERLINK("http://es.linkedin.com/pub/carlos-villacastin/4/458/993","http://es.linkedin.com/pub/carlos-villacastin/4/458/993")</f>
        <v>http://es.linkedin.com/pub/carlos-villacastin/4/458/993</v>
      </c>
      <c r="I2340" s="2" t="s">
        <v>119</v>
      </c>
      <c r="J2340" s="2" t="s">
        <v>220</v>
      </c>
      <c r="K2340" s="2" t="s">
        <v>97</v>
      </c>
    </row>
    <row r="2341" ht="15.75" customHeight="1">
      <c r="A2341" s="2">
        <v>846380.0</v>
      </c>
      <c r="B2341" s="2" t="s">
        <v>710</v>
      </c>
      <c r="C2341" s="2" t="s">
        <v>5422</v>
      </c>
      <c r="D2341" s="2" t="s">
        <v>304</v>
      </c>
      <c r="E2341" s="2" t="s">
        <v>2454</v>
      </c>
      <c r="F2341" s="2">
        <v>5.0</v>
      </c>
      <c r="G2341" s="2">
        <v>500.0</v>
      </c>
      <c r="H2341" s="3" t="str">
        <f>HYPERLINK("http://www.linkedin.com/in/jasonbreault","http://www.linkedin.com/in/jasonbreault")</f>
        <v>http://www.linkedin.com/in/jasonbreault</v>
      </c>
      <c r="I2341" s="2" t="s">
        <v>231</v>
      </c>
      <c r="J2341" s="2" t="s">
        <v>102</v>
      </c>
      <c r="K2341" s="2" t="s">
        <v>58</v>
      </c>
    </row>
    <row r="2342" ht="15.75" customHeight="1">
      <c r="A2342" s="2">
        <v>846870.0</v>
      </c>
      <c r="B2342" s="2" t="s">
        <v>5423</v>
      </c>
      <c r="C2342" s="2" t="s">
        <v>2631</v>
      </c>
      <c r="D2342" s="2" t="s">
        <v>5424</v>
      </c>
      <c r="E2342" s="2" t="s">
        <v>3902</v>
      </c>
      <c r="F2342" s="2">
        <v>17.0</v>
      </c>
      <c r="G2342" s="2">
        <v>500.0</v>
      </c>
      <c r="H2342" s="3" t="str">
        <f>HYPERLINK("http://www.linkedin.com/in/warrenmason","http://www.linkedin.com/in/warrenmason")</f>
        <v>http://www.linkedin.com/in/warrenmason</v>
      </c>
      <c r="I2342" s="2" t="s">
        <v>612</v>
      </c>
      <c r="J2342" s="2" t="s">
        <v>102</v>
      </c>
      <c r="K2342" s="2" t="s">
        <v>35</v>
      </c>
    </row>
    <row r="2343" ht="15.75" customHeight="1">
      <c r="A2343" s="2">
        <v>847060.0</v>
      </c>
      <c r="B2343" s="2" t="s">
        <v>1475</v>
      </c>
      <c r="C2343" s="2" t="s">
        <v>5425</v>
      </c>
      <c r="D2343" s="2" t="s">
        <v>5426</v>
      </c>
      <c r="E2343" s="2" t="s">
        <v>259</v>
      </c>
      <c r="F2343" s="2">
        <v>21.0</v>
      </c>
      <c r="G2343" s="2">
        <v>500.0</v>
      </c>
      <c r="H2343" s="3" t="str">
        <f>HYPERLINK("http://www.linkedin.com/in/lisavandyke","http://www.linkedin.com/in/lisavandyke")</f>
        <v>http://www.linkedin.com/in/lisavandyke</v>
      </c>
      <c r="I2343" s="2" t="s">
        <v>15</v>
      </c>
      <c r="J2343" s="2" t="s">
        <v>144</v>
      </c>
      <c r="K2343" s="2" t="s">
        <v>196</v>
      </c>
    </row>
    <row r="2344" ht="15.75" customHeight="1">
      <c r="A2344" s="2">
        <v>847464.0</v>
      </c>
      <c r="B2344" s="2" t="s">
        <v>2457</v>
      </c>
      <c r="C2344" s="2" t="s">
        <v>2021</v>
      </c>
      <c r="D2344" s="2" t="s">
        <v>5427</v>
      </c>
      <c r="E2344" s="2" t="s">
        <v>882</v>
      </c>
      <c r="F2344" s="2" t="s">
        <v>13</v>
      </c>
      <c r="G2344" s="2">
        <v>500.0</v>
      </c>
      <c r="H2344" s="3" t="str">
        <f>HYPERLINK("http://www.linkedin.com/pub/stephen-bailey/4/514/7BB","http://www.linkedin.com/pub/stephen-bailey/4/514/7BB")</f>
        <v>http://www.linkedin.com/pub/stephen-bailey/4/514/7BB</v>
      </c>
      <c r="I2344" s="2" t="s">
        <v>440</v>
      </c>
      <c r="J2344" s="2" t="s">
        <v>102</v>
      </c>
      <c r="K2344" s="2" t="s">
        <v>29</v>
      </c>
    </row>
    <row r="2345" ht="15.75" customHeight="1">
      <c r="A2345" s="2">
        <v>847927.0</v>
      </c>
      <c r="B2345" s="2" t="s">
        <v>1087</v>
      </c>
      <c r="C2345" s="2" t="s">
        <v>5428</v>
      </c>
      <c r="D2345" s="2" t="s">
        <v>42</v>
      </c>
      <c r="E2345" s="2" t="s">
        <v>5429</v>
      </c>
      <c r="F2345" s="2">
        <v>1.0</v>
      </c>
      <c r="G2345" s="2">
        <v>500.0</v>
      </c>
      <c r="H2345" s="3" t="str">
        <f>HYPERLINK("http://www.linkedin.com/pub/james-hostetter/2/470/3A5","http://www.linkedin.com/pub/james-hostetter/2/470/3A5")</f>
        <v>http://www.linkedin.com/pub/james-hostetter/2/470/3A5</v>
      </c>
      <c r="I2345" s="2" t="s">
        <v>1237</v>
      </c>
      <c r="J2345" s="2" t="s">
        <v>102</v>
      </c>
      <c r="K2345" s="2" t="s">
        <v>29</v>
      </c>
    </row>
    <row r="2346" ht="15.75" customHeight="1">
      <c r="A2346" s="2">
        <v>848073.0</v>
      </c>
      <c r="B2346" s="2" t="s">
        <v>5430</v>
      </c>
      <c r="C2346" s="2" t="s">
        <v>1843</v>
      </c>
      <c r="D2346" s="2" t="s">
        <v>517</v>
      </c>
      <c r="E2346" s="2" t="s">
        <v>136</v>
      </c>
      <c r="F2346" s="2">
        <v>24.0</v>
      </c>
      <c r="G2346" s="2">
        <v>500.0</v>
      </c>
      <c r="H2346" s="3" t="str">
        <f>HYPERLINK("http://www.linkedin.com/pub/shilpa-shah/1/320/468","http://www.linkedin.com/pub/shilpa-shah/1/320/468")</f>
        <v>http://www.linkedin.com/pub/shilpa-shah/1/320/468</v>
      </c>
      <c r="I2346" s="2" t="s">
        <v>2268</v>
      </c>
      <c r="J2346" s="2" t="s">
        <v>102</v>
      </c>
      <c r="K2346" s="2" t="s">
        <v>58</v>
      </c>
    </row>
    <row r="2347" ht="15.75" customHeight="1">
      <c r="A2347" s="2">
        <v>848250.0</v>
      </c>
      <c r="B2347" s="2" t="s">
        <v>2824</v>
      </c>
      <c r="C2347" s="2" t="s">
        <v>80</v>
      </c>
      <c r="D2347" s="2" t="s">
        <v>5431</v>
      </c>
      <c r="E2347" s="2" t="s">
        <v>1251</v>
      </c>
      <c r="F2347" s="2" t="s">
        <v>13</v>
      </c>
      <c r="G2347" s="2">
        <v>125.0</v>
      </c>
      <c r="H2347" s="3" t="str">
        <f>HYPERLINK("http://pt.linkedin.com/pub/davide-duarte/6/862/96","http://pt.linkedin.com/pub/davide-duarte/6/862/96")</f>
        <v>http://pt.linkedin.com/pub/davide-duarte/6/862/96</v>
      </c>
      <c r="I2347" s="2" t="s">
        <v>48</v>
      </c>
      <c r="J2347" s="2" t="s">
        <v>670</v>
      </c>
      <c r="K2347" s="2" t="s">
        <v>35</v>
      </c>
    </row>
    <row r="2348" ht="15.75" customHeight="1">
      <c r="A2348" s="2">
        <v>849033.0</v>
      </c>
      <c r="B2348" s="2" t="s">
        <v>2215</v>
      </c>
      <c r="C2348" s="2" t="s">
        <v>5432</v>
      </c>
      <c r="D2348" s="2" t="s">
        <v>1059</v>
      </c>
      <c r="E2348" s="2" t="s">
        <v>5433</v>
      </c>
      <c r="F2348" s="2" t="s">
        <v>13</v>
      </c>
      <c r="G2348" s="2">
        <v>500.0</v>
      </c>
      <c r="H2348" s="3" t="str">
        <f>HYPERLINK("http://www.linkedin.com/pub/donna-farmer/2/655/825","http://www.linkedin.com/pub/donna-farmer/2/655/825")</f>
        <v>http://www.linkedin.com/pub/donna-farmer/2/655/825</v>
      </c>
      <c r="I2348" s="2" t="s">
        <v>15</v>
      </c>
      <c r="J2348" s="2" t="s">
        <v>102</v>
      </c>
      <c r="K2348" s="2" t="s">
        <v>35</v>
      </c>
    </row>
    <row r="2349" ht="15.75" customHeight="1">
      <c r="A2349" s="2">
        <v>849516.0</v>
      </c>
      <c r="B2349" s="2" t="s">
        <v>5434</v>
      </c>
      <c r="C2349" s="2" t="s">
        <v>5435</v>
      </c>
      <c r="D2349" s="2" t="s">
        <v>5436</v>
      </c>
      <c r="E2349" s="2" t="s">
        <v>808</v>
      </c>
      <c r="F2349" s="2">
        <v>8.0</v>
      </c>
      <c r="G2349" s="2">
        <v>88.0</v>
      </c>
      <c r="H2349" s="3" t="str">
        <f>HYPERLINK("http://www.linkedin.com/pub/injae-jeong/1/456/A3","http://www.linkedin.com/pub/injae-jeong/1/456/A3")</f>
        <v>http://www.linkedin.com/pub/injae-jeong/1/456/A3</v>
      </c>
      <c r="I2349" s="2" t="s">
        <v>48</v>
      </c>
      <c r="J2349" s="2" t="s">
        <v>102</v>
      </c>
      <c r="K2349" s="2" t="s">
        <v>138</v>
      </c>
    </row>
    <row r="2350" ht="15.75" customHeight="1">
      <c r="A2350" s="2">
        <v>849906.0</v>
      </c>
      <c r="B2350" s="2" t="s">
        <v>1743</v>
      </c>
      <c r="C2350" s="2" t="s">
        <v>5437</v>
      </c>
      <c r="D2350" s="2" t="s">
        <v>5438</v>
      </c>
      <c r="E2350" s="2" t="s">
        <v>2058</v>
      </c>
      <c r="F2350" s="2">
        <v>5.0</v>
      </c>
      <c r="G2350" s="2">
        <v>355.0</v>
      </c>
      <c r="H2350" s="3" t="str">
        <f>HYPERLINK("http://www.linkedin.com/pub/megan-madge/4/299/870","http://www.linkedin.com/pub/megan-madge/4/299/870")</f>
        <v>http://www.linkedin.com/pub/megan-madge/4/299/870</v>
      </c>
      <c r="I2350" s="2" t="s">
        <v>172</v>
      </c>
      <c r="J2350" s="2" t="s">
        <v>102</v>
      </c>
      <c r="K2350" s="2" t="s">
        <v>5439</v>
      </c>
    </row>
    <row r="2351" ht="15.75" customHeight="1">
      <c r="A2351" s="2">
        <v>850086.0</v>
      </c>
      <c r="B2351" s="2" t="s">
        <v>2329</v>
      </c>
      <c r="C2351" s="2" t="s">
        <v>3563</v>
      </c>
      <c r="D2351" s="2" t="s">
        <v>47</v>
      </c>
      <c r="E2351" s="2" t="s">
        <v>1873</v>
      </c>
      <c r="F2351" s="2" t="s">
        <v>13</v>
      </c>
      <c r="G2351" s="2">
        <v>500.0</v>
      </c>
      <c r="H2351" s="3" t="str">
        <f>HYPERLINK("http://br.linkedin.com/pub/paulo-manuel/17/B0/BA5","http://br.linkedin.com/pub/paulo-manuel/17/B0/BA5")</f>
        <v>http://br.linkedin.com/pub/paulo-manuel/17/B0/BA5</v>
      </c>
      <c r="I2351" s="2" t="s">
        <v>48</v>
      </c>
      <c r="J2351" s="2" t="s">
        <v>34</v>
      </c>
      <c r="K2351" s="2" t="s">
        <v>35</v>
      </c>
    </row>
    <row r="2352" ht="15.75" customHeight="1">
      <c r="A2352" s="2">
        <v>850203.0</v>
      </c>
      <c r="B2352" s="2" t="s">
        <v>5440</v>
      </c>
      <c r="C2352" s="2" t="s">
        <v>5441</v>
      </c>
      <c r="D2352" s="2" t="s">
        <v>13</v>
      </c>
      <c r="E2352" s="2" t="s">
        <v>181</v>
      </c>
      <c r="F2352" s="2">
        <v>0.0</v>
      </c>
      <c r="G2352" s="2">
        <v>500.0</v>
      </c>
      <c r="H2352" s="3" t="str">
        <f>HYPERLINK("http://www.linkedin.com/in/dagliodden","http://www.linkedin.com/in/dagliodden")</f>
        <v>http://www.linkedin.com/in/dagliodden</v>
      </c>
      <c r="I2352" s="2" t="s">
        <v>105</v>
      </c>
      <c r="J2352" s="2" t="s">
        <v>102</v>
      </c>
      <c r="K2352" s="2" t="s">
        <v>58</v>
      </c>
    </row>
    <row r="2353" ht="15.75" customHeight="1">
      <c r="A2353" s="2">
        <v>850223.0</v>
      </c>
      <c r="B2353" s="2" t="s">
        <v>1362</v>
      </c>
      <c r="C2353" s="2" t="s">
        <v>5442</v>
      </c>
      <c r="D2353" s="2" t="s">
        <v>42</v>
      </c>
      <c r="E2353" s="2" t="s">
        <v>3500</v>
      </c>
      <c r="F2353" s="2" t="s">
        <v>13</v>
      </c>
      <c r="G2353" s="2">
        <v>500.0</v>
      </c>
      <c r="H2353" s="3" t="str">
        <f>HYPERLINK("http://www.linkedin.com/in/williamhooverconsulting","http://www.linkedin.com/in/williamhooverconsulting")</f>
        <v>http://www.linkedin.com/in/williamhooverconsulting</v>
      </c>
      <c r="I2353" s="2" t="s">
        <v>865</v>
      </c>
      <c r="J2353" s="2" t="s">
        <v>102</v>
      </c>
      <c r="K2353" s="2" t="s">
        <v>58</v>
      </c>
    </row>
    <row r="2354" ht="15.75" customHeight="1">
      <c r="A2354" s="2">
        <v>850537.0</v>
      </c>
      <c r="B2354" s="2" t="s">
        <v>5443</v>
      </c>
      <c r="C2354" s="2" t="s">
        <v>5444</v>
      </c>
      <c r="D2354" s="2" t="s">
        <v>5445</v>
      </c>
      <c r="E2354" s="2" t="s">
        <v>321</v>
      </c>
      <c r="F2354" s="2">
        <v>3.0</v>
      </c>
      <c r="G2354" s="2">
        <v>269.0</v>
      </c>
      <c r="H2354" s="3" t="str">
        <f>HYPERLINK("http://www.linkedin.com/in/successcoachforwomen","http://www.linkedin.com/in/successcoachforwomen")</f>
        <v>http://www.linkedin.com/in/successcoachforwomen</v>
      </c>
      <c r="I2354" s="2" t="s">
        <v>1390</v>
      </c>
      <c r="J2354" s="2" t="s">
        <v>102</v>
      </c>
      <c r="K2354" s="2" t="s">
        <v>29</v>
      </c>
    </row>
    <row r="2355" ht="15.75" customHeight="1">
      <c r="A2355" s="2">
        <v>850758.0</v>
      </c>
      <c r="B2355" s="2" t="s">
        <v>5446</v>
      </c>
      <c r="C2355" s="2" t="s">
        <v>5447</v>
      </c>
      <c r="D2355" s="2" t="s">
        <v>410</v>
      </c>
      <c r="E2355" s="2" t="s">
        <v>136</v>
      </c>
      <c r="F2355" s="2" t="s">
        <v>13</v>
      </c>
      <c r="G2355" s="2">
        <v>500.0</v>
      </c>
      <c r="H2355" s="3" t="str">
        <f>HYPERLINK("http://www.linkedin.com/pub/trevor-b-adey/1/3AA/957","http://www.linkedin.com/pub/trevor-b-adey/1/3AA/957")</f>
        <v>http://www.linkedin.com/pub/trevor-b-adey/1/3AA/957</v>
      </c>
      <c r="I2355" s="2" t="s">
        <v>1496</v>
      </c>
      <c r="J2355" s="2" t="s">
        <v>102</v>
      </c>
      <c r="K2355" s="2" t="s">
        <v>97</v>
      </c>
    </row>
    <row r="2356" ht="15.75" customHeight="1">
      <c r="A2356" s="2">
        <v>850777.0</v>
      </c>
      <c r="B2356" s="2" t="s">
        <v>11</v>
      </c>
      <c r="C2356" s="2" t="s">
        <v>5448</v>
      </c>
      <c r="D2356" s="2" t="s">
        <v>114</v>
      </c>
      <c r="E2356" s="2" t="s">
        <v>136</v>
      </c>
      <c r="F2356" s="2">
        <v>19.0</v>
      </c>
      <c r="G2356" s="2">
        <v>500.0</v>
      </c>
      <c r="H2356" s="3" t="str">
        <f>HYPERLINK("http://www.linkedin.com/in/roshitsh","http://www.linkedin.com/in/roshitsh")</f>
        <v>http://www.linkedin.com/in/roshitsh</v>
      </c>
      <c r="I2356" s="2" t="s">
        <v>48</v>
      </c>
      <c r="J2356" s="2" t="s">
        <v>102</v>
      </c>
      <c r="K2356" s="2" t="s">
        <v>35</v>
      </c>
    </row>
    <row r="2357" ht="15.75" customHeight="1">
      <c r="A2357" s="2">
        <v>850940.0</v>
      </c>
      <c r="B2357" s="2" t="s">
        <v>2609</v>
      </c>
      <c r="C2357" s="2" t="s">
        <v>5449</v>
      </c>
      <c r="D2357" s="2" t="s">
        <v>1706</v>
      </c>
      <c r="E2357" s="2" t="s">
        <v>3560</v>
      </c>
      <c r="F2357" s="2">
        <v>5.0</v>
      </c>
      <c r="G2357" s="2">
        <v>500.0</v>
      </c>
      <c r="H2357" s="3" t="str">
        <f>HYPERLINK("http://www.linkedin.com/in/carlguseastcorporation","http://www.linkedin.com/in/carlguseastcorporation")</f>
        <v>http://www.linkedin.com/in/carlguseastcorporation</v>
      </c>
      <c r="I2357" s="2" t="s">
        <v>458</v>
      </c>
      <c r="J2357" s="2" t="s">
        <v>28</v>
      </c>
      <c r="K2357" s="2" t="s">
        <v>35</v>
      </c>
    </row>
    <row r="2358" ht="15.75" customHeight="1">
      <c r="A2358" s="2">
        <v>851202.0</v>
      </c>
      <c r="B2358" s="2" t="s">
        <v>5450</v>
      </c>
      <c r="C2358" s="2" t="s">
        <v>5451</v>
      </c>
      <c r="D2358" s="2" t="s">
        <v>13</v>
      </c>
      <c r="E2358" s="2" t="s">
        <v>891</v>
      </c>
      <c r="F2358" s="2">
        <v>4.0</v>
      </c>
      <c r="G2358" s="2">
        <v>324.0</v>
      </c>
      <c r="H2358" s="3" t="str">
        <f>HYPERLINK("http://www.linkedin.com/pub/scott-d-saslow/0/20/466","http://www.linkedin.com/pub/scott-d-saslow/0/20/466")</f>
        <v>http://www.linkedin.com/pub/scott-d-saslow/0/20/466</v>
      </c>
      <c r="I2358" s="2" t="s">
        <v>458</v>
      </c>
      <c r="J2358" s="2" t="s">
        <v>102</v>
      </c>
      <c r="K2358" s="2" t="s">
        <v>58</v>
      </c>
    </row>
    <row r="2359" ht="15.75" customHeight="1">
      <c r="A2359" s="2">
        <v>851236.0</v>
      </c>
      <c r="B2359" s="2" t="s">
        <v>275</v>
      </c>
      <c r="C2359" s="2" t="s">
        <v>5452</v>
      </c>
      <c r="D2359" s="2" t="s">
        <v>304</v>
      </c>
      <c r="E2359" s="2" t="s">
        <v>5453</v>
      </c>
      <c r="F2359" s="2" t="s">
        <v>13</v>
      </c>
      <c r="G2359" s="2">
        <v>352.0</v>
      </c>
      <c r="H2359" s="3" t="str">
        <f>HYPERLINK("http://www.linkedin.com/pub/mark-conry/0/722/689","http://www.linkedin.com/pub/mark-conry/0/722/689")</f>
        <v>http://www.linkedin.com/pub/mark-conry/0/722/689</v>
      </c>
      <c r="I2359" s="2" t="s">
        <v>48</v>
      </c>
      <c r="J2359" s="2" t="s">
        <v>102</v>
      </c>
      <c r="K2359" s="2" t="s">
        <v>35</v>
      </c>
    </row>
    <row r="2360" ht="15.75" customHeight="1">
      <c r="A2360" s="2">
        <v>851316.0</v>
      </c>
      <c r="B2360" s="2" t="s">
        <v>754</v>
      </c>
      <c r="C2360" s="2" t="s">
        <v>5454</v>
      </c>
      <c r="D2360" s="2" t="s">
        <v>1145</v>
      </c>
      <c r="E2360" s="2" t="s">
        <v>235</v>
      </c>
      <c r="F2360" s="2" t="s">
        <v>13</v>
      </c>
      <c r="G2360" s="2">
        <v>500.0</v>
      </c>
      <c r="H2360" s="3" t="str">
        <f>HYPERLINK("http://www.linkedin.com/pub/greg-vigrass/0/A3B/7A9","http://www.linkedin.com/pub/greg-vigrass/0/A3B/7A9")</f>
        <v>http://www.linkedin.com/pub/greg-vigrass/0/A3B/7A9</v>
      </c>
      <c r="I2360" s="2" t="s">
        <v>279</v>
      </c>
      <c r="J2360" s="2" t="s">
        <v>102</v>
      </c>
      <c r="K2360" s="2" t="s">
        <v>58</v>
      </c>
    </row>
    <row r="2361" ht="15.75" customHeight="1">
      <c r="A2361" s="2">
        <v>851581.0</v>
      </c>
      <c r="B2361" s="2" t="s">
        <v>1364</v>
      </c>
      <c r="C2361" s="2" t="s">
        <v>5455</v>
      </c>
      <c r="D2361" s="2" t="s">
        <v>400</v>
      </c>
      <c r="E2361" s="2" t="s">
        <v>1234</v>
      </c>
      <c r="F2361" s="2">
        <v>1.0</v>
      </c>
      <c r="G2361" s="2">
        <v>500.0</v>
      </c>
      <c r="H2361" s="3" t="str">
        <f>HYPERLINK("http://www.linkedin.com/in/dennispape","http://www.linkedin.com/in/dennispape")</f>
        <v>http://www.linkedin.com/in/dennispape</v>
      </c>
      <c r="I2361" s="2" t="s">
        <v>709</v>
      </c>
      <c r="J2361" s="2" t="s">
        <v>102</v>
      </c>
      <c r="K2361" s="2" t="s">
        <v>58</v>
      </c>
    </row>
    <row r="2362" ht="15.75" customHeight="1">
      <c r="A2362" s="2">
        <v>851585.0</v>
      </c>
      <c r="B2362" s="2" t="s">
        <v>5456</v>
      </c>
      <c r="C2362" s="2" t="s">
        <v>740</v>
      </c>
      <c r="D2362" s="2" t="s">
        <v>5457</v>
      </c>
      <c r="E2362" s="2" t="s">
        <v>72</v>
      </c>
      <c r="F2362" s="2">
        <v>2.0</v>
      </c>
      <c r="G2362" s="2">
        <v>500.0</v>
      </c>
      <c r="H2362" s="3" t="str">
        <f>HYPERLINK("http://br.linkedin.com/in/wendelsilva","http://br.linkedin.com/in/wendelsilva")</f>
        <v>http://br.linkedin.com/in/wendelsilva</v>
      </c>
      <c r="I2362" s="2" t="s">
        <v>344</v>
      </c>
      <c r="J2362" s="2" t="s">
        <v>34</v>
      </c>
      <c r="K2362" s="2" t="s">
        <v>58</v>
      </c>
    </row>
    <row r="2363" ht="15.75" customHeight="1">
      <c r="A2363" s="2">
        <v>851744.0</v>
      </c>
      <c r="B2363" s="2" t="s">
        <v>5458</v>
      </c>
      <c r="C2363" s="2" t="s">
        <v>5459</v>
      </c>
      <c r="D2363" s="2" t="s">
        <v>5460</v>
      </c>
      <c r="E2363" s="2" t="s">
        <v>1329</v>
      </c>
      <c r="F2363" s="2">
        <v>12.0</v>
      </c>
      <c r="G2363" s="2">
        <v>500.0</v>
      </c>
      <c r="H2363" s="3" t="str">
        <f>HYPERLINK("http://www.linkedin.com/in/vensonkuchipudi","http://www.linkedin.com/in/vensonkuchipudi")</f>
        <v>http://www.linkedin.com/in/vensonkuchipudi</v>
      </c>
      <c r="I2363" s="2" t="s">
        <v>69</v>
      </c>
      <c r="J2363" s="2" t="s">
        <v>102</v>
      </c>
      <c r="K2363" s="2" t="s">
        <v>35</v>
      </c>
    </row>
    <row r="2364" ht="15.75" customHeight="1">
      <c r="A2364" s="2">
        <v>852156.0</v>
      </c>
      <c r="B2364" s="2" t="s">
        <v>287</v>
      </c>
      <c r="C2364" s="2" t="s">
        <v>5461</v>
      </c>
      <c r="D2364" s="2" t="s">
        <v>47</v>
      </c>
      <c r="E2364" s="2" t="s">
        <v>136</v>
      </c>
      <c r="F2364" s="2" t="s">
        <v>13</v>
      </c>
      <c r="G2364" s="2">
        <v>500.0</v>
      </c>
      <c r="H2364" s="3" t="str">
        <f>HYPERLINK("http://www.linkedin.com/pub/paul-edmondson/0/36/505","http://www.linkedin.com/pub/paul-edmondson/0/36/505")</f>
        <v>http://www.linkedin.com/pub/paul-edmondson/0/36/505</v>
      </c>
      <c r="I2364" s="2" t="s">
        <v>69</v>
      </c>
      <c r="J2364" s="2" t="s">
        <v>102</v>
      </c>
      <c r="K2364" s="2" t="s">
        <v>35</v>
      </c>
    </row>
    <row r="2365" ht="15.75" customHeight="1">
      <c r="A2365" s="2">
        <v>852709.0</v>
      </c>
      <c r="B2365" s="2" t="s">
        <v>5462</v>
      </c>
      <c r="C2365" s="2" t="s">
        <v>3247</v>
      </c>
      <c r="D2365" s="2" t="s">
        <v>835</v>
      </c>
      <c r="E2365" s="2" t="s">
        <v>5463</v>
      </c>
      <c r="F2365" s="2">
        <v>0.0</v>
      </c>
      <c r="G2365" s="2">
        <v>294.0</v>
      </c>
      <c r="H2365" s="3" t="str">
        <f>HYPERLINK("http://www.linkedin.com/pub/reuven-goldberg/6/B93/A6","http://www.linkedin.com/pub/reuven-goldberg/6/B93/A6")</f>
        <v>http://www.linkedin.com/pub/reuven-goldberg/6/B93/A6</v>
      </c>
      <c r="I2365" s="2" t="s">
        <v>470</v>
      </c>
      <c r="J2365" s="2" t="s">
        <v>273</v>
      </c>
      <c r="K2365" s="2" t="s">
        <v>35</v>
      </c>
    </row>
    <row r="2366" ht="15.75" customHeight="1">
      <c r="A2366" s="2">
        <v>853811.0</v>
      </c>
      <c r="B2366" s="2" t="s">
        <v>5464</v>
      </c>
      <c r="C2366" s="2" t="s">
        <v>5465</v>
      </c>
      <c r="D2366" s="2" t="s">
        <v>5466</v>
      </c>
      <c r="E2366" s="2" t="s">
        <v>122</v>
      </c>
      <c r="F2366" s="2">
        <v>1.0</v>
      </c>
      <c r="G2366" s="2">
        <v>500.0</v>
      </c>
      <c r="H2366" s="3" t="str">
        <f>HYPERLINK("http://uk.linkedin.com/pub/fabrizio-sicilia/4/599/B07","http://uk.linkedin.com/pub/fabrizio-sicilia/4/599/B07")</f>
        <v>http://uk.linkedin.com/pub/fabrizio-sicilia/4/599/B07</v>
      </c>
      <c r="I2366" s="2" t="s">
        <v>1679</v>
      </c>
      <c r="J2366" s="2" t="s">
        <v>53</v>
      </c>
      <c r="K2366" s="2" t="s">
        <v>168</v>
      </c>
    </row>
    <row r="2367" ht="15.75" customHeight="1">
      <c r="A2367" s="2">
        <v>853905.0</v>
      </c>
      <c r="B2367" s="2" t="s">
        <v>1015</v>
      </c>
      <c r="C2367" s="2" t="s">
        <v>5467</v>
      </c>
      <c r="D2367" s="2" t="s">
        <v>304</v>
      </c>
      <c r="E2367" s="2" t="s">
        <v>301</v>
      </c>
      <c r="F2367" s="2" t="s">
        <v>13</v>
      </c>
      <c r="G2367" s="2">
        <v>500.0</v>
      </c>
      <c r="H2367" s="3" t="str">
        <f>HYPERLINK("http://www.linkedin.com/in/briankazan","http://www.linkedin.com/in/briankazan")</f>
        <v>http://www.linkedin.com/in/briankazan</v>
      </c>
      <c r="I2367" s="2" t="s">
        <v>248</v>
      </c>
      <c r="J2367" s="2" t="s">
        <v>102</v>
      </c>
      <c r="K2367" s="2" t="s">
        <v>196</v>
      </c>
    </row>
    <row r="2368" ht="15.75" customHeight="1">
      <c r="A2368" s="2">
        <v>853958.0</v>
      </c>
      <c r="B2368" s="2" t="s">
        <v>460</v>
      </c>
      <c r="C2368" s="2" t="s">
        <v>5468</v>
      </c>
      <c r="D2368" s="2" t="s">
        <v>400</v>
      </c>
      <c r="E2368" s="2" t="s">
        <v>804</v>
      </c>
      <c r="F2368" s="2">
        <v>17.0</v>
      </c>
      <c r="G2368" s="2">
        <v>500.0</v>
      </c>
      <c r="H2368" s="3" t="str">
        <f>HYPERLINK("http://www.linkedin.com/pub/john-starling/0/66/60A","http://www.linkedin.com/pub/john-starling/0/66/60A")</f>
        <v>http://www.linkedin.com/pub/john-starling/0/66/60A</v>
      </c>
      <c r="I2368" s="2" t="s">
        <v>57</v>
      </c>
      <c r="J2368" s="2" t="s">
        <v>102</v>
      </c>
      <c r="K2368" s="2" t="s">
        <v>58</v>
      </c>
    </row>
    <row r="2369" ht="15.75" customHeight="1">
      <c r="A2369" s="2">
        <v>854080.0</v>
      </c>
      <c r="B2369" s="2" t="s">
        <v>5469</v>
      </c>
      <c r="C2369" s="2" t="s">
        <v>5470</v>
      </c>
      <c r="D2369" s="2" t="s">
        <v>114</v>
      </c>
      <c r="E2369" s="2" t="s">
        <v>5471</v>
      </c>
      <c r="F2369" s="2" t="s">
        <v>13</v>
      </c>
      <c r="G2369" s="2">
        <v>172.0</v>
      </c>
      <c r="H2369" s="3" t="str">
        <f>HYPERLINK("http://www.linkedin.com/in/glensurles","http://www.linkedin.com/in/glensurles")</f>
        <v>http://www.linkedin.com/in/glensurles</v>
      </c>
      <c r="I2369" s="2" t="s">
        <v>57</v>
      </c>
      <c r="J2369" s="2" t="s">
        <v>102</v>
      </c>
      <c r="K2369" s="2" t="s">
        <v>58</v>
      </c>
    </row>
    <row r="2370" ht="15.75" customHeight="1">
      <c r="A2370" s="2">
        <v>854165.0</v>
      </c>
      <c r="B2370" s="2" t="s">
        <v>5472</v>
      </c>
      <c r="C2370" s="2" t="s">
        <v>5473</v>
      </c>
      <c r="D2370" s="2" t="s">
        <v>5474</v>
      </c>
      <c r="E2370" s="2" t="s">
        <v>3713</v>
      </c>
      <c r="F2370" s="2">
        <v>8.0</v>
      </c>
      <c r="G2370" s="2">
        <v>500.0</v>
      </c>
      <c r="H2370" s="3" t="str">
        <f>HYPERLINK("http://www.linkedin.com/pub/aksana-navumenka/6/206/895","http://www.linkedin.com/pub/aksana-navumenka/6/206/895")</f>
        <v>http://www.linkedin.com/pub/aksana-navumenka/6/206/895</v>
      </c>
      <c r="I2370" s="2" t="s">
        <v>15</v>
      </c>
      <c r="J2370" s="2" t="s">
        <v>1703</v>
      </c>
      <c r="K2370" s="2" t="s">
        <v>766</v>
      </c>
    </row>
    <row r="2371" ht="15.75" customHeight="1">
      <c r="A2371" s="2">
        <v>854231.0</v>
      </c>
      <c r="B2371" s="2" t="s">
        <v>4241</v>
      </c>
      <c r="C2371" s="2" t="s">
        <v>2445</v>
      </c>
      <c r="D2371" s="2" t="s">
        <v>2331</v>
      </c>
      <c r="E2371" s="2" t="s">
        <v>122</v>
      </c>
      <c r="F2371" s="2" t="s">
        <v>13</v>
      </c>
      <c r="G2371" s="2">
        <v>423.0</v>
      </c>
      <c r="H2371" s="3" t="str">
        <f>HYPERLINK("http://uk.linkedin.com/in/thierrysequeira","http://uk.linkedin.com/in/thierrysequeira")</f>
        <v>http://uk.linkedin.com/in/thierrysequeira</v>
      </c>
      <c r="I2371" s="2" t="s">
        <v>15</v>
      </c>
      <c r="J2371" s="2" t="s">
        <v>53</v>
      </c>
      <c r="K2371" s="2" t="s">
        <v>35</v>
      </c>
    </row>
    <row r="2372" ht="15.75" customHeight="1">
      <c r="A2372" s="2">
        <v>854500.0</v>
      </c>
      <c r="B2372" s="2" t="s">
        <v>1071</v>
      </c>
      <c r="C2372" s="2" t="s">
        <v>5475</v>
      </c>
      <c r="D2372" s="2"/>
      <c r="E2372" s="2" t="s">
        <v>783</v>
      </c>
      <c r="F2372" s="2">
        <v>0.0</v>
      </c>
      <c r="G2372" s="2">
        <v>500.0</v>
      </c>
      <c r="H2372" s="3" t="str">
        <f>HYPERLINK("http://www.linkedin.com/pub/eric-sall/0/139/677","http://www.linkedin.com/pub/eric-sall/0/139/677")</f>
        <v>http://www.linkedin.com/pub/eric-sall/0/139/677</v>
      </c>
      <c r="I2372" s="2" t="s">
        <v>48</v>
      </c>
      <c r="J2372" s="2" t="s">
        <v>575</v>
      </c>
      <c r="K2372" s="2" t="s">
        <v>22</v>
      </c>
    </row>
    <row r="2373" ht="15.75" customHeight="1">
      <c r="A2373" s="2">
        <v>854815.0</v>
      </c>
      <c r="B2373" s="2" t="s">
        <v>5476</v>
      </c>
      <c r="C2373" s="2" t="s">
        <v>5477</v>
      </c>
      <c r="D2373" s="2" t="s">
        <v>47</v>
      </c>
      <c r="E2373" s="2" t="s">
        <v>235</v>
      </c>
      <c r="F2373" s="2">
        <v>1.0</v>
      </c>
      <c r="G2373" s="2">
        <v>500.0</v>
      </c>
      <c r="H2373" s="3" t="str">
        <f>HYPERLINK("http://www.linkedin.com/in/carolpoliti","http://www.linkedin.com/in/carolpoliti")</f>
        <v>http://www.linkedin.com/in/carolpoliti</v>
      </c>
      <c r="I2373" s="2" t="s">
        <v>1496</v>
      </c>
      <c r="J2373" s="2" t="s">
        <v>102</v>
      </c>
      <c r="K2373" s="2" t="s">
        <v>97</v>
      </c>
    </row>
    <row r="2374" ht="15.75" customHeight="1">
      <c r="A2374" s="2">
        <v>855232.0</v>
      </c>
      <c r="B2374" s="2" t="s">
        <v>5478</v>
      </c>
      <c r="C2374" s="2" t="s">
        <v>5479</v>
      </c>
      <c r="D2374" s="2" t="s">
        <v>2274</v>
      </c>
      <c r="E2374" s="2" t="s">
        <v>5480</v>
      </c>
      <c r="F2374" s="2">
        <v>0.0</v>
      </c>
      <c r="G2374" s="2">
        <v>500.0</v>
      </c>
      <c r="H2374" s="3" t="str">
        <f>HYPERLINK("http://www.linkedin.com/in/dllra","http://www.linkedin.com/in/dllra")</f>
        <v>http://www.linkedin.com/in/dllra</v>
      </c>
      <c r="I2374" s="2" t="s">
        <v>268</v>
      </c>
      <c r="J2374" s="2" t="s">
        <v>273</v>
      </c>
      <c r="K2374" s="2" t="s">
        <v>1895</v>
      </c>
    </row>
    <row r="2375" ht="15.75" customHeight="1">
      <c r="A2375" s="2">
        <v>855328.0</v>
      </c>
      <c r="B2375" s="2" t="s">
        <v>784</v>
      </c>
      <c r="C2375" s="2" t="s">
        <v>5481</v>
      </c>
      <c r="D2375" s="2" t="s">
        <v>5482</v>
      </c>
      <c r="E2375" s="2" t="s">
        <v>101</v>
      </c>
      <c r="F2375" s="2">
        <v>4.0</v>
      </c>
      <c r="G2375" s="2">
        <v>500.0</v>
      </c>
      <c r="H2375" s="3" t="str">
        <f>HYPERLINK("http://www.linkedin.com/pub/jeff-pool/2/858/569","http://www.linkedin.com/pub/jeff-pool/2/858/569")</f>
        <v>http://www.linkedin.com/pub/jeff-pool/2/858/569</v>
      </c>
      <c r="I2375" s="2" t="s">
        <v>15</v>
      </c>
      <c r="J2375" s="2" t="s">
        <v>102</v>
      </c>
      <c r="K2375" s="2" t="s">
        <v>35</v>
      </c>
    </row>
    <row r="2376" ht="15.75" customHeight="1">
      <c r="A2376" s="2">
        <v>855562.0</v>
      </c>
      <c r="B2376" s="2" t="s">
        <v>5483</v>
      </c>
      <c r="C2376" s="2" t="s">
        <v>5484</v>
      </c>
      <c r="D2376" s="2" t="s">
        <v>536</v>
      </c>
      <c r="E2376" s="2" t="s">
        <v>351</v>
      </c>
      <c r="F2376" s="2" t="s">
        <v>13</v>
      </c>
      <c r="G2376" s="2">
        <v>500.0</v>
      </c>
      <c r="H2376" s="3" t="str">
        <f>HYPERLINK("http://dk.linkedin.com/in/anibaldamiao","http://dk.linkedin.com/in/anibaldamiao")</f>
        <v>http://dk.linkedin.com/in/anibaldamiao</v>
      </c>
      <c r="I2376" s="2" t="s">
        <v>69</v>
      </c>
      <c r="J2376" s="2" t="s">
        <v>352</v>
      </c>
      <c r="K2376" s="2" t="s">
        <v>35</v>
      </c>
    </row>
    <row r="2377" ht="15.75" customHeight="1">
      <c r="A2377" s="2">
        <v>855664.0</v>
      </c>
      <c r="B2377" s="2" t="s">
        <v>5485</v>
      </c>
      <c r="C2377" s="2" t="s">
        <v>5486</v>
      </c>
      <c r="D2377" s="2" t="s">
        <v>13</v>
      </c>
      <c r="E2377" s="2" t="s">
        <v>1547</v>
      </c>
      <c r="F2377" s="2">
        <v>0.0</v>
      </c>
      <c r="G2377" s="2">
        <v>500.0</v>
      </c>
      <c r="H2377" s="3" t="str">
        <f>HYPERLINK("http://www.linkedin.com/pub/trisha-morris-tmorris-at-braxtoncooper-com/1/240/476","http://www.linkedin.com/pub/trisha-morris-tmorris-at-braxtoncooper-com/1/240/476")</f>
        <v>http://www.linkedin.com/pub/trisha-morris-tmorris-at-braxtoncooper-com/1/240/476</v>
      </c>
      <c r="I2377" s="2" t="s">
        <v>248</v>
      </c>
      <c r="J2377" s="2" t="s">
        <v>102</v>
      </c>
      <c r="K2377" s="2" t="s">
        <v>196</v>
      </c>
    </row>
    <row r="2378" ht="15.75" customHeight="1">
      <c r="A2378" s="2">
        <v>855705.0</v>
      </c>
      <c r="B2378" s="2" t="s">
        <v>784</v>
      </c>
      <c r="C2378" s="2" t="s">
        <v>5487</v>
      </c>
      <c r="D2378" s="2" t="s">
        <v>400</v>
      </c>
      <c r="E2378" s="2" t="s">
        <v>882</v>
      </c>
      <c r="F2378" s="2">
        <v>8.0</v>
      </c>
      <c r="G2378" s="2">
        <v>500.0</v>
      </c>
      <c r="H2378" s="3" t="str">
        <f>HYPERLINK("http://www.linkedin.com/in/jeffnovich","http://www.linkedin.com/in/jeffnovich")</f>
        <v>http://www.linkedin.com/in/jeffnovich</v>
      </c>
      <c r="I2378" s="2" t="s">
        <v>1237</v>
      </c>
      <c r="J2378" s="2" t="s">
        <v>102</v>
      </c>
      <c r="K2378" s="2" t="s">
        <v>58</v>
      </c>
    </row>
    <row r="2379" ht="15.75" customHeight="1">
      <c r="A2379" s="2">
        <v>855749.0</v>
      </c>
      <c r="B2379" s="2" t="s">
        <v>1289</v>
      </c>
      <c r="C2379" s="2" t="s">
        <v>5488</v>
      </c>
      <c r="D2379" s="2" t="s">
        <v>42</v>
      </c>
      <c r="E2379" s="2" t="s">
        <v>748</v>
      </c>
      <c r="F2379" s="2" t="s">
        <v>13</v>
      </c>
      <c r="G2379" s="2">
        <v>500.0</v>
      </c>
      <c r="H2379" s="3" t="str">
        <f>HYPERLINK("http://www.linkedin.com/pub/cliff-feigenbaum/0/191/608","http://www.linkedin.com/pub/cliff-feigenbaum/0/191/608")</f>
        <v>http://www.linkedin.com/pub/cliff-feigenbaum/0/191/608</v>
      </c>
      <c r="I2379" s="2" t="s">
        <v>2285</v>
      </c>
      <c r="J2379" s="2" t="s">
        <v>28</v>
      </c>
      <c r="K2379" s="2" t="s">
        <v>29</v>
      </c>
    </row>
    <row r="2380" ht="15.75" customHeight="1">
      <c r="A2380" s="2">
        <v>856248.0</v>
      </c>
      <c r="B2380" s="2" t="s">
        <v>2202</v>
      </c>
      <c r="C2380" s="2" t="s">
        <v>5489</v>
      </c>
      <c r="D2380" s="2" t="s">
        <v>2262</v>
      </c>
      <c r="E2380" s="2" t="s">
        <v>142</v>
      </c>
      <c r="F2380" s="2">
        <v>8.0</v>
      </c>
      <c r="G2380" s="2">
        <v>500.0</v>
      </c>
      <c r="H2380" s="3" t="str">
        <f>HYPERLINK("http://www.linkedin.com/in/arunshantharam","http://www.linkedin.com/in/arunshantharam")</f>
        <v>http://www.linkedin.com/in/arunshantharam</v>
      </c>
      <c r="I2380" s="2" t="s">
        <v>77</v>
      </c>
      <c r="J2380" s="2" t="s">
        <v>144</v>
      </c>
      <c r="K2380" s="2" t="s">
        <v>2062</v>
      </c>
    </row>
    <row r="2381" ht="15.75" customHeight="1">
      <c r="A2381" s="2">
        <v>856554.0</v>
      </c>
      <c r="B2381" s="2" t="s">
        <v>5490</v>
      </c>
      <c r="C2381" s="2" t="s">
        <v>5491</v>
      </c>
      <c r="D2381" s="2" t="s">
        <v>47</v>
      </c>
      <c r="E2381" s="2" t="s">
        <v>882</v>
      </c>
      <c r="F2381" s="2">
        <v>9.0</v>
      </c>
      <c r="G2381" s="2">
        <v>500.0</v>
      </c>
      <c r="H2381" s="3" t="str">
        <f>HYPERLINK("http://lu.linkedin.com/in/bassemdaher","http://lu.linkedin.com/in/bassemdaher")</f>
        <v>http://lu.linkedin.com/in/bassemdaher</v>
      </c>
      <c r="I2381" s="2" t="s">
        <v>279</v>
      </c>
      <c r="J2381" s="2" t="s">
        <v>102</v>
      </c>
      <c r="K2381" s="2" t="s">
        <v>58</v>
      </c>
    </row>
    <row r="2382" ht="15.75" customHeight="1">
      <c r="A2382" s="2">
        <v>856982.0</v>
      </c>
      <c r="B2382" s="2" t="s">
        <v>5492</v>
      </c>
      <c r="C2382" s="2" t="s">
        <v>5493</v>
      </c>
      <c r="D2382" s="2" t="s">
        <v>42</v>
      </c>
      <c r="E2382" s="2" t="s">
        <v>259</v>
      </c>
      <c r="F2382" s="2" t="s">
        <v>13</v>
      </c>
      <c r="G2382" s="2">
        <v>472.0</v>
      </c>
      <c r="H2382" s="3" t="str">
        <f>HYPERLINK("http://www.linkedin.com/pub/sally-franz/3/99A/7B1","http://www.linkedin.com/pub/sally-franz/3/99A/7B1")</f>
        <v>http://www.linkedin.com/pub/sally-franz/3/99A/7B1</v>
      </c>
      <c r="I2382" s="2" t="s">
        <v>1390</v>
      </c>
      <c r="J2382" s="2" t="s">
        <v>144</v>
      </c>
      <c r="K2382" s="2" t="s">
        <v>138</v>
      </c>
    </row>
    <row r="2383" ht="15.75" customHeight="1">
      <c r="A2383" s="2">
        <v>858148.0</v>
      </c>
      <c r="B2383" s="2" t="s">
        <v>5494</v>
      </c>
      <c r="C2383" s="2" t="s">
        <v>292</v>
      </c>
      <c r="D2383" s="2" t="s">
        <v>517</v>
      </c>
      <c r="E2383" s="2" t="s">
        <v>882</v>
      </c>
      <c r="F2383" s="2" t="s">
        <v>13</v>
      </c>
      <c r="G2383" s="2">
        <v>500.0</v>
      </c>
      <c r="H2383" s="3" t="str">
        <f>HYPERLINK("http://www.linkedin.com/in/noahjsmith","http://www.linkedin.com/in/noahjsmith")</f>
        <v>http://www.linkedin.com/in/noahjsmith</v>
      </c>
      <c r="I2383" s="2" t="s">
        <v>69</v>
      </c>
      <c r="J2383" s="2" t="s">
        <v>102</v>
      </c>
      <c r="K2383" s="2" t="s">
        <v>35</v>
      </c>
    </row>
    <row r="2384" ht="15.75" customHeight="1">
      <c r="A2384" s="2">
        <v>858265.0</v>
      </c>
      <c r="B2384" s="2" t="s">
        <v>5495</v>
      </c>
      <c r="C2384" s="2" t="s">
        <v>5496</v>
      </c>
      <c r="D2384" s="2" t="s">
        <v>347</v>
      </c>
      <c r="E2384" s="2" t="s">
        <v>91</v>
      </c>
      <c r="F2384" s="2">
        <v>18.0</v>
      </c>
      <c r="G2384" s="2">
        <v>500.0</v>
      </c>
      <c r="H2384" s="3" t="str">
        <f>HYPERLINK("http://br.linkedin.com/in/fabioishii","http://br.linkedin.com/in/fabioishii")</f>
        <v>http://br.linkedin.com/in/fabioishii</v>
      </c>
      <c r="I2384" s="2" t="s">
        <v>15</v>
      </c>
      <c r="J2384" s="2" t="s">
        <v>34</v>
      </c>
      <c r="K2384" s="2" t="s">
        <v>35</v>
      </c>
    </row>
    <row r="2385" ht="15.75" customHeight="1">
      <c r="A2385" s="2">
        <v>858642.0</v>
      </c>
      <c r="B2385" s="2" t="s">
        <v>5497</v>
      </c>
      <c r="C2385" s="2" t="s">
        <v>5498</v>
      </c>
      <c r="D2385" s="2" t="s">
        <v>5499</v>
      </c>
      <c r="E2385" s="2" t="s">
        <v>3681</v>
      </c>
      <c r="F2385" s="2" t="s">
        <v>13</v>
      </c>
      <c r="G2385" s="2">
        <v>500.0</v>
      </c>
      <c r="H2385" s="3" t="str">
        <f>HYPERLINK("http://nl.linkedin.com/in/floristoth","http://nl.linkedin.com/in/floristoth")</f>
        <v>http://nl.linkedin.com/in/floristoth</v>
      </c>
      <c r="I2385" s="2" t="s">
        <v>2725</v>
      </c>
      <c r="J2385" s="2" t="s">
        <v>837</v>
      </c>
      <c r="K2385" s="2" t="s">
        <v>35</v>
      </c>
    </row>
    <row r="2386" ht="15.75" customHeight="1">
      <c r="A2386" s="2">
        <v>858646.0</v>
      </c>
      <c r="B2386" s="2" t="s">
        <v>5500</v>
      </c>
      <c r="C2386" s="2" t="s">
        <v>5501</v>
      </c>
      <c r="D2386" s="2" t="s">
        <v>5502</v>
      </c>
      <c r="E2386" s="2" t="s">
        <v>5503</v>
      </c>
      <c r="F2386" s="2">
        <v>9.0</v>
      </c>
      <c r="G2386" s="2">
        <v>500.0</v>
      </c>
      <c r="H2386" s="3" t="str">
        <f>HYPERLINK("http://www.linkedin.com/in/melvinnelson","http://www.linkedin.com/in/melvinnelson")</f>
        <v>http://www.linkedin.com/in/melvinnelson</v>
      </c>
      <c r="I2386" s="2" t="s">
        <v>696</v>
      </c>
      <c r="J2386" s="2" t="s">
        <v>102</v>
      </c>
      <c r="K2386" s="2" t="s">
        <v>766</v>
      </c>
    </row>
    <row r="2387" ht="15.75" customHeight="1">
      <c r="A2387" s="2">
        <v>859125.0</v>
      </c>
      <c r="B2387" s="2" t="s">
        <v>275</v>
      </c>
      <c r="C2387" s="2" t="s">
        <v>5504</v>
      </c>
      <c r="D2387" s="2" t="s">
        <v>13</v>
      </c>
      <c r="E2387" s="2" t="s">
        <v>181</v>
      </c>
      <c r="F2387" s="2">
        <v>0.0</v>
      </c>
      <c r="G2387" s="2">
        <v>500.0</v>
      </c>
      <c r="H2387" s="3" t="str">
        <f>HYPERLINK("http://www.linkedin.com/pub/mark-sanor/0/484/17","http://www.linkedin.com/pub/mark-sanor/0/484/17")</f>
        <v>http://www.linkedin.com/pub/mark-sanor/0/484/17</v>
      </c>
      <c r="I2387" s="2" t="s">
        <v>709</v>
      </c>
      <c r="J2387" s="2" t="s">
        <v>102</v>
      </c>
      <c r="K2387" s="2" t="s">
        <v>58</v>
      </c>
    </row>
    <row r="2388" ht="15.75" customHeight="1">
      <c r="A2388" s="2">
        <v>859161.0</v>
      </c>
      <c r="B2388" s="2" t="s">
        <v>3190</v>
      </c>
      <c r="C2388" s="2" t="s">
        <v>5505</v>
      </c>
      <c r="D2388" s="2" t="s">
        <v>13</v>
      </c>
      <c r="E2388" s="2" t="s">
        <v>136</v>
      </c>
      <c r="F2388" s="2">
        <v>8.0</v>
      </c>
      <c r="G2388" s="2">
        <v>500.0</v>
      </c>
      <c r="H2388" s="3" t="str">
        <f>HYPERLINK("http://www.linkedin.com/pub/henry-tirri/0/82/564","http://www.linkedin.com/pub/henry-tirri/0/82/564")</f>
        <v>http://www.linkedin.com/pub/henry-tirri/0/82/564</v>
      </c>
      <c r="I2388" s="2" t="s">
        <v>15</v>
      </c>
      <c r="J2388" s="2" t="s">
        <v>102</v>
      </c>
      <c r="K2388" s="2" t="s">
        <v>35</v>
      </c>
    </row>
    <row r="2389" ht="15.75" customHeight="1">
      <c r="A2389" s="2">
        <v>862097.0</v>
      </c>
      <c r="B2389" s="2" t="s">
        <v>1027</v>
      </c>
      <c r="C2389" s="2" t="s">
        <v>5506</v>
      </c>
      <c r="D2389" s="2" t="s">
        <v>536</v>
      </c>
      <c r="E2389" s="2" t="s">
        <v>301</v>
      </c>
      <c r="F2389" s="2">
        <v>2.0</v>
      </c>
      <c r="G2389" s="2">
        <v>500.0</v>
      </c>
      <c r="H2389" s="3" t="str">
        <f>HYPERLINK("http://www.linkedin.com/in/georgeeid","http://www.linkedin.com/in/georgeeid")</f>
        <v>http://www.linkedin.com/in/georgeeid</v>
      </c>
      <c r="I2389" s="2" t="s">
        <v>69</v>
      </c>
      <c r="J2389" s="2" t="s">
        <v>102</v>
      </c>
      <c r="K2389" s="2" t="s">
        <v>35</v>
      </c>
    </row>
    <row r="2390" ht="15.75" customHeight="1">
      <c r="A2390" s="2">
        <v>862605.0</v>
      </c>
      <c r="B2390" s="2" t="s">
        <v>1585</v>
      </c>
      <c r="C2390" s="2" t="s">
        <v>5507</v>
      </c>
      <c r="D2390" s="2" t="s">
        <v>5508</v>
      </c>
      <c r="E2390" s="2" t="s">
        <v>2011</v>
      </c>
      <c r="F2390" s="2">
        <v>0.0</v>
      </c>
      <c r="G2390" s="2">
        <v>500.0</v>
      </c>
      <c r="H2390" s="3" t="str">
        <f>HYPERLINK("http://www.linkedin.com/pub/thomas-thorp/7/871/A77","http://www.linkedin.com/pub/thomas-thorp/7/871/A77")</f>
        <v>http://www.linkedin.com/pub/thomas-thorp/7/871/A77</v>
      </c>
      <c r="I2390" s="2" t="s">
        <v>374</v>
      </c>
      <c r="J2390" s="2" t="s">
        <v>16</v>
      </c>
      <c r="K2390" s="2" t="s">
        <v>97</v>
      </c>
    </row>
    <row r="2391" ht="15.75" customHeight="1">
      <c r="A2391" s="2">
        <v>862838.0</v>
      </c>
      <c r="B2391" s="2" t="s">
        <v>845</v>
      </c>
      <c r="C2391" s="2" t="s">
        <v>5509</v>
      </c>
      <c r="D2391" s="2" t="s">
        <v>1196</v>
      </c>
      <c r="E2391" s="2" t="s">
        <v>5510</v>
      </c>
      <c r="F2391" s="2">
        <v>7.0</v>
      </c>
      <c r="G2391" s="2">
        <v>500.0</v>
      </c>
      <c r="H2391" s="3" t="str">
        <f>HYPERLINK("http://www.linkedin.com/in/dchippsmith","http://www.linkedin.com/in/dchippsmith")</f>
        <v>http://www.linkedin.com/in/dchippsmith</v>
      </c>
      <c r="I2391" s="2" t="s">
        <v>1948</v>
      </c>
      <c r="J2391" s="2" t="s">
        <v>44</v>
      </c>
      <c r="K2391" s="2" t="s">
        <v>35</v>
      </c>
    </row>
    <row r="2392" ht="15.75" customHeight="1">
      <c r="A2392" s="2">
        <v>863231.0</v>
      </c>
      <c r="B2392" s="2" t="s">
        <v>460</v>
      </c>
      <c r="C2392" s="2" t="s">
        <v>5511</v>
      </c>
      <c r="D2392" s="2" t="s">
        <v>5512</v>
      </c>
      <c r="E2392" s="2" t="s">
        <v>1605</v>
      </c>
      <c r="F2392" s="2">
        <v>6.0</v>
      </c>
      <c r="G2392" s="2">
        <v>500.0</v>
      </c>
      <c r="H2392" s="3" t="str">
        <f>HYPERLINK("http://ca.linkedin.com/in/johnlohnes","http://ca.linkedin.com/in/johnlohnes")</f>
        <v>http://ca.linkedin.com/in/johnlohnes</v>
      </c>
      <c r="I2392" s="2" t="s">
        <v>458</v>
      </c>
      <c r="J2392" s="2" t="s">
        <v>44</v>
      </c>
      <c r="K2392" s="2" t="s">
        <v>97</v>
      </c>
    </row>
    <row r="2393" ht="15.75" customHeight="1">
      <c r="A2393" s="2">
        <v>863681.0</v>
      </c>
      <c r="B2393" s="2" t="s">
        <v>631</v>
      </c>
      <c r="C2393" s="2" t="s">
        <v>5513</v>
      </c>
      <c r="D2393" s="2" t="s">
        <v>5514</v>
      </c>
      <c r="E2393" s="2" t="s">
        <v>301</v>
      </c>
      <c r="F2393" s="2">
        <v>14.0</v>
      </c>
      <c r="G2393" s="2">
        <v>500.0</v>
      </c>
      <c r="H2393" s="3" t="str">
        <f>HYPERLINK("http://www.linkedin.com/in/chrisniccolls","http://www.linkedin.com/in/chrisniccolls")</f>
        <v>http://www.linkedin.com/in/chrisniccolls</v>
      </c>
      <c r="I2393" s="2" t="s">
        <v>57</v>
      </c>
      <c r="J2393" s="2" t="s">
        <v>102</v>
      </c>
      <c r="K2393" s="2" t="s">
        <v>58</v>
      </c>
    </row>
    <row r="2394" ht="15.75" customHeight="1">
      <c r="A2394" s="2">
        <v>864117.0</v>
      </c>
      <c r="B2394" s="2" t="s">
        <v>5515</v>
      </c>
      <c r="C2394" s="2" t="s">
        <v>5516</v>
      </c>
      <c r="D2394" s="2" t="s">
        <v>5517</v>
      </c>
      <c r="E2394" s="2" t="s">
        <v>628</v>
      </c>
      <c r="F2394" s="2">
        <v>0.0</v>
      </c>
      <c r="G2394" s="2">
        <v>132.0</v>
      </c>
      <c r="H2394" s="3" t="str">
        <f>HYPERLINK("http://www.linkedin.com/pub/priyanka-pawar/A/74A/A97","http://www.linkedin.com/pub/priyanka-pawar/A/74A/A97")</f>
        <v>http://www.linkedin.com/pub/priyanka-pawar/A/74A/A97</v>
      </c>
      <c r="I2394" s="2" t="s">
        <v>15</v>
      </c>
      <c r="J2394" s="2" t="s">
        <v>102</v>
      </c>
      <c r="K2394" s="2" t="s">
        <v>22</v>
      </c>
    </row>
    <row r="2395" ht="15.75" customHeight="1">
      <c r="A2395" s="2">
        <v>864250.0</v>
      </c>
      <c r="B2395" s="2" t="s">
        <v>4541</v>
      </c>
      <c r="C2395" s="2" t="s">
        <v>5518</v>
      </c>
      <c r="D2395" s="2" t="s">
        <v>13</v>
      </c>
      <c r="E2395" s="2" t="s">
        <v>403</v>
      </c>
      <c r="F2395" s="2">
        <v>0.0</v>
      </c>
      <c r="G2395" s="2">
        <v>500.0</v>
      </c>
      <c r="H2395" s="3" t="str">
        <f>HYPERLINK("http://www.linkedin.com/pub/robyn-croll/8/376/2ba","http://www.linkedin.com/pub/robyn-croll/8/376/2ba")</f>
        <v>http://www.linkedin.com/pub/robyn-croll/8/376/2ba</v>
      </c>
      <c r="I2395" s="2" t="s">
        <v>105</v>
      </c>
      <c r="J2395" s="2" t="s">
        <v>44</v>
      </c>
      <c r="K2395" s="2" t="s">
        <v>58</v>
      </c>
    </row>
    <row r="2396" ht="15.75" customHeight="1">
      <c r="A2396" s="2">
        <v>864867.0</v>
      </c>
      <c r="B2396" s="2" t="s">
        <v>788</v>
      </c>
      <c r="C2396" s="2" t="s">
        <v>5519</v>
      </c>
      <c r="D2396" s="2" t="s">
        <v>5520</v>
      </c>
      <c r="E2396" s="2" t="s">
        <v>3115</v>
      </c>
      <c r="F2396" s="2">
        <v>0.0</v>
      </c>
      <c r="G2396" s="2">
        <v>23.0</v>
      </c>
      <c r="H2396" s="3" t="str">
        <f>HYPERLINK("http://www.linkedin.com/pub/sam-ko/9/658/B15","http://www.linkedin.com/pub/sam-ko/9/658/B15")</f>
        <v>http://www.linkedin.com/pub/sam-ko/9/658/B15</v>
      </c>
      <c r="I2396" s="2" t="s">
        <v>268</v>
      </c>
      <c r="J2396" s="2" t="s">
        <v>273</v>
      </c>
      <c r="K2396" s="2" t="s">
        <v>97</v>
      </c>
    </row>
    <row r="2397" ht="15.75" customHeight="1">
      <c r="A2397" s="2">
        <v>864947.0</v>
      </c>
      <c r="B2397" s="2" t="s">
        <v>5073</v>
      </c>
      <c r="C2397" s="2" t="s">
        <v>5521</v>
      </c>
      <c r="D2397" s="2" t="s">
        <v>13</v>
      </c>
      <c r="E2397" s="2" t="s">
        <v>1130</v>
      </c>
      <c r="F2397" s="2">
        <v>0.0</v>
      </c>
      <c r="G2397" s="2">
        <v>500.0</v>
      </c>
      <c r="H2397" s="3" t="str">
        <f>HYPERLINK("https://www.linkedin.com/in/dbernardini","https://www.linkedin.com/in/dbernardini")</f>
        <v>https://www.linkedin.com/in/dbernardini</v>
      </c>
      <c r="I2397" s="2" t="s">
        <v>15</v>
      </c>
      <c r="J2397" s="2" t="s">
        <v>926</v>
      </c>
      <c r="K2397" s="2" t="s">
        <v>35</v>
      </c>
    </row>
    <row r="2398" ht="15.75" customHeight="1">
      <c r="A2398" s="2">
        <v>865274.0</v>
      </c>
      <c r="B2398" s="2" t="s">
        <v>5522</v>
      </c>
      <c r="C2398" s="2" t="s">
        <v>5523</v>
      </c>
      <c r="D2398" s="2" t="s">
        <v>47</v>
      </c>
      <c r="E2398" s="2" t="s">
        <v>1806</v>
      </c>
      <c r="F2398" s="2">
        <v>1.0</v>
      </c>
      <c r="G2398" s="2">
        <v>500.0</v>
      </c>
      <c r="H2398" s="3" t="str">
        <f>HYPERLINK("http://www.linkedin.com/in/gwendrake","http://www.linkedin.com/in/gwendrake")</f>
        <v>http://www.linkedin.com/in/gwendrake</v>
      </c>
      <c r="I2398" s="2" t="s">
        <v>105</v>
      </c>
      <c r="J2398" s="2" t="s">
        <v>102</v>
      </c>
      <c r="K2398" s="2" t="s">
        <v>58</v>
      </c>
    </row>
    <row r="2399" ht="15.75" customHeight="1">
      <c r="A2399" s="2">
        <v>866337.0</v>
      </c>
      <c r="B2399" s="2" t="s">
        <v>5524</v>
      </c>
      <c r="C2399" s="2" t="s">
        <v>5525</v>
      </c>
      <c r="D2399" s="2" t="s">
        <v>42</v>
      </c>
      <c r="E2399" s="2" t="s">
        <v>744</v>
      </c>
      <c r="F2399" s="2">
        <v>3.0</v>
      </c>
      <c r="G2399" s="2">
        <v>500.0</v>
      </c>
      <c r="H2399" s="3" t="str">
        <f>HYPERLINK("http://www.linkedin.com/pub/darrin-skinner/1/346/38B","http://www.linkedin.com/pub/darrin-skinner/1/346/38B")</f>
        <v>http://www.linkedin.com/pub/darrin-skinner/1/346/38B</v>
      </c>
      <c r="I2399" s="2" t="s">
        <v>172</v>
      </c>
      <c r="J2399" s="2" t="s">
        <v>102</v>
      </c>
      <c r="K2399" s="2" t="s">
        <v>58</v>
      </c>
    </row>
    <row r="2400" ht="15.75" customHeight="1">
      <c r="A2400" s="2">
        <v>866530.0</v>
      </c>
      <c r="B2400" s="2" t="s">
        <v>291</v>
      </c>
      <c r="C2400" s="2" t="s">
        <v>5526</v>
      </c>
      <c r="D2400" s="2" t="s">
        <v>5527</v>
      </c>
      <c r="E2400" s="2" t="s">
        <v>457</v>
      </c>
      <c r="F2400" s="2">
        <v>1.0</v>
      </c>
      <c r="G2400" s="2">
        <v>252.0</v>
      </c>
      <c r="H2400" s="3" t="str">
        <f>HYPERLINK("http://www.linkedin.com/in/garyoverbeck","http://www.linkedin.com/in/garyoverbeck")</f>
        <v>http://www.linkedin.com/in/garyoverbeck</v>
      </c>
      <c r="I2400" s="2" t="s">
        <v>696</v>
      </c>
      <c r="J2400" s="2" t="s">
        <v>102</v>
      </c>
      <c r="K2400" s="2" t="s">
        <v>2373</v>
      </c>
    </row>
    <row r="2401" ht="15.75" customHeight="1">
      <c r="A2401" s="2">
        <v>866726.0</v>
      </c>
      <c r="B2401" s="2" t="s">
        <v>1618</v>
      </c>
      <c r="C2401" s="2" t="s">
        <v>369</v>
      </c>
      <c r="D2401" s="2" t="s">
        <v>5528</v>
      </c>
      <c r="E2401" s="2" t="s">
        <v>2251</v>
      </c>
      <c r="F2401" s="2">
        <v>4.0</v>
      </c>
      <c r="G2401" s="2">
        <v>500.0</v>
      </c>
      <c r="H2401" s="3" t="str">
        <f>HYPERLINK("http://www.linkedin.com/pub/rahul-sharma/A/788/A06","http://www.linkedin.com/pub/rahul-sharma/A/788/A06")</f>
        <v>http://www.linkedin.com/pub/rahul-sharma/A/788/A06</v>
      </c>
      <c r="I2401" s="2" t="s">
        <v>15</v>
      </c>
      <c r="J2401" s="2" t="s">
        <v>87</v>
      </c>
      <c r="K2401" s="2" t="s">
        <v>17</v>
      </c>
    </row>
    <row r="2402" ht="15.75" customHeight="1">
      <c r="A2402" s="2">
        <v>868070.0</v>
      </c>
      <c r="B2402" s="2" t="s">
        <v>2457</v>
      </c>
      <c r="C2402" s="2" t="s">
        <v>5529</v>
      </c>
      <c r="D2402" s="2" t="s">
        <v>5530</v>
      </c>
      <c r="E2402" s="2" t="s">
        <v>748</v>
      </c>
      <c r="F2402" s="2" t="s">
        <v>13</v>
      </c>
      <c r="G2402" s="2">
        <v>500.0</v>
      </c>
      <c r="H2402" s="3" t="str">
        <f>HYPERLINK("http://www.linkedin.com/in/stephenklimczuk","http://www.linkedin.com/in/stephenklimczuk")</f>
        <v>http://www.linkedin.com/in/stephenklimczuk</v>
      </c>
      <c r="I2402" s="2" t="s">
        <v>57</v>
      </c>
      <c r="J2402" s="2" t="s">
        <v>28</v>
      </c>
      <c r="K2402" s="2" t="s">
        <v>168</v>
      </c>
    </row>
    <row r="2403" ht="15.75" customHeight="1">
      <c r="A2403" s="2">
        <v>868338.0</v>
      </c>
      <c r="B2403" s="2" t="s">
        <v>460</v>
      </c>
      <c r="C2403" s="2" t="s">
        <v>5531</v>
      </c>
      <c r="D2403" s="2" t="s">
        <v>4245</v>
      </c>
      <c r="E2403" s="2" t="s">
        <v>713</v>
      </c>
      <c r="F2403" s="2">
        <v>1.0</v>
      </c>
      <c r="G2403" s="2">
        <v>170.0</v>
      </c>
      <c r="H2403" s="3" t="str">
        <f>HYPERLINK("http://www.linkedin.com/pub/john-baillieul/10/68A/264","http://www.linkedin.com/pub/john-baillieul/10/68A/264")</f>
        <v>http://www.linkedin.com/pub/john-baillieul/10/68A/264</v>
      </c>
      <c r="I2403" s="2" t="s">
        <v>240</v>
      </c>
      <c r="J2403" s="2" t="s">
        <v>102</v>
      </c>
      <c r="K2403" s="2" t="s">
        <v>183</v>
      </c>
    </row>
    <row r="2404" ht="15.75" customHeight="1">
      <c r="A2404" s="2">
        <v>868720.0</v>
      </c>
      <c r="B2404" s="2" t="s">
        <v>1284</v>
      </c>
      <c r="C2404" s="2" t="s">
        <v>820</v>
      </c>
      <c r="D2404" s="2" t="s">
        <v>5532</v>
      </c>
      <c r="E2404" s="2" t="s">
        <v>1305</v>
      </c>
      <c r="F2404" s="2" t="s">
        <v>13</v>
      </c>
      <c r="G2404" s="2">
        <v>359.0</v>
      </c>
      <c r="H2404" s="3" t="str">
        <f>HYPERLINK("http://www.linkedin.com/pub/anthony-moore/10/716/966","http://www.linkedin.com/pub/anthony-moore/10/716/966")</f>
        <v>http://www.linkedin.com/pub/anthony-moore/10/716/966</v>
      </c>
      <c r="I2404" s="2" t="s">
        <v>865</v>
      </c>
      <c r="J2404" s="2" t="s">
        <v>273</v>
      </c>
      <c r="K2404" s="2" t="s">
        <v>22</v>
      </c>
    </row>
    <row r="2405" ht="15.75" customHeight="1">
      <c r="A2405" s="2">
        <v>868876.0</v>
      </c>
      <c r="B2405" s="2" t="s">
        <v>5533</v>
      </c>
      <c r="C2405" s="2" t="s">
        <v>5534</v>
      </c>
      <c r="D2405" s="2" t="s">
        <v>13</v>
      </c>
      <c r="E2405" s="2" t="s">
        <v>5535</v>
      </c>
      <c r="F2405" s="2">
        <v>0.0</v>
      </c>
      <c r="G2405" s="2">
        <v>500.0</v>
      </c>
      <c r="H2405" s="3" t="str">
        <f>HYPERLINK("http://www.linkedin.com/pub/maggie-macswiney/1/726/776","http://www.linkedin.com/pub/maggie-macswiney/1/726/776")</f>
        <v>http://www.linkedin.com/pub/maggie-macswiney/1/726/776</v>
      </c>
      <c r="I2405" s="2" t="s">
        <v>1237</v>
      </c>
      <c r="J2405" s="2" t="s">
        <v>53</v>
      </c>
      <c r="K2405" s="2" t="s">
        <v>29</v>
      </c>
    </row>
    <row r="2406" ht="15.75" customHeight="1">
      <c r="A2406" s="2">
        <v>868963.0</v>
      </c>
      <c r="B2406" s="2" t="s">
        <v>275</v>
      </c>
      <c r="C2406" s="2" t="s">
        <v>5536</v>
      </c>
      <c r="D2406" s="2" t="s">
        <v>416</v>
      </c>
      <c r="E2406" s="2" t="s">
        <v>235</v>
      </c>
      <c r="F2406" s="2" t="s">
        <v>13</v>
      </c>
      <c r="G2406" s="2">
        <v>255.0</v>
      </c>
      <c r="H2406" s="3" t="str">
        <f>HYPERLINK("http://www.linkedin.com/pub/mark-cosby/10/746/51A","http://www.linkedin.com/pub/mark-cosby/10/746/51A")</f>
        <v>http://www.linkedin.com/pub/mark-cosby/10/746/51A</v>
      </c>
      <c r="I2406" s="2" t="s">
        <v>15</v>
      </c>
      <c r="J2406" s="2" t="s">
        <v>102</v>
      </c>
      <c r="K2406" s="2" t="s">
        <v>35</v>
      </c>
    </row>
    <row r="2407" ht="15.75" customHeight="1">
      <c r="A2407" s="2">
        <v>869129.0</v>
      </c>
      <c r="B2407" s="2" t="s">
        <v>1486</v>
      </c>
      <c r="C2407" s="2" t="s">
        <v>5537</v>
      </c>
      <c r="D2407" s="2" t="s">
        <v>5538</v>
      </c>
      <c r="E2407" s="2" t="s">
        <v>5539</v>
      </c>
      <c r="F2407" s="2">
        <v>0.0</v>
      </c>
      <c r="G2407" s="2">
        <v>413.0</v>
      </c>
      <c r="H2407" s="3" t="str">
        <f>HYPERLINK("http://www.linkedin.com/pub/amit-khurana/A/BAB/B23","http://www.linkedin.com/pub/amit-khurana/A/BAB/B23")</f>
        <v>http://www.linkedin.com/pub/amit-khurana/A/BAB/B23</v>
      </c>
      <c r="I2407" s="2" t="s">
        <v>195</v>
      </c>
      <c r="J2407" s="2" t="s">
        <v>5540</v>
      </c>
      <c r="K2407" s="2" t="s">
        <v>138</v>
      </c>
    </row>
    <row r="2408" ht="15.75" customHeight="1">
      <c r="A2408" s="2">
        <v>869231.0</v>
      </c>
      <c r="B2408" s="2" t="s">
        <v>5541</v>
      </c>
      <c r="C2408" s="2" t="s">
        <v>1023</v>
      </c>
      <c r="D2408" s="2" t="s">
        <v>5542</v>
      </c>
      <c r="E2408" s="2" t="s">
        <v>821</v>
      </c>
      <c r="F2408" s="2">
        <v>3.0</v>
      </c>
      <c r="G2408" s="2">
        <v>243.0</v>
      </c>
      <c r="H2408" s="3" t="str">
        <f>HYPERLINK("http://uk.linkedin.com/in/ewencameron77","http://uk.linkedin.com/in/ewencameron77")</f>
        <v>http://uk.linkedin.com/in/ewencameron77</v>
      </c>
      <c r="I2408" s="2" t="s">
        <v>2603</v>
      </c>
      <c r="J2408" s="2" t="s">
        <v>575</v>
      </c>
      <c r="K2408" s="2" t="s">
        <v>97</v>
      </c>
    </row>
    <row r="2409" ht="15.75" customHeight="1">
      <c r="A2409" s="2">
        <v>869696.0</v>
      </c>
      <c r="B2409" s="2" t="s">
        <v>5543</v>
      </c>
      <c r="C2409" s="2" t="s">
        <v>5544</v>
      </c>
      <c r="D2409" s="2" t="s">
        <v>5545</v>
      </c>
      <c r="E2409" s="2" t="s">
        <v>5546</v>
      </c>
      <c r="F2409" s="2">
        <v>4.0</v>
      </c>
      <c r="G2409" s="2">
        <v>500.0</v>
      </c>
      <c r="H2409" s="3" t="str">
        <f>HYPERLINK("http://www.linkedin.com/in/jaclyncraddock","http://www.linkedin.com/in/jaclyncraddock")</f>
        <v>http://www.linkedin.com/in/jaclyncraddock</v>
      </c>
      <c r="I2409" s="2" t="s">
        <v>15</v>
      </c>
      <c r="J2409" s="2" t="s">
        <v>102</v>
      </c>
      <c r="K2409" s="2" t="s">
        <v>974</v>
      </c>
    </row>
    <row r="2410" ht="15.75" customHeight="1">
      <c r="A2410" s="2">
        <v>870452.0</v>
      </c>
      <c r="B2410" s="2" t="s">
        <v>5547</v>
      </c>
      <c r="C2410" s="2" t="s">
        <v>3869</v>
      </c>
      <c r="D2410" s="2" t="s">
        <v>5548</v>
      </c>
      <c r="E2410" s="2" t="s">
        <v>5549</v>
      </c>
      <c r="F2410" s="2">
        <v>0.0</v>
      </c>
      <c r="G2410" s="2">
        <v>500.0</v>
      </c>
      <c r="H2410" s="3" t="str">
        <f>HYPERLINK("http://www.linkedin.com/pub/daniel-l-williams/5/B40/AA0","http://www.linkedin.com/pub/daniel-l-williams/5/B40/AA0")</f>
        <v>http://www.linkedin.com/pub/daniel-l-williams/5/B40/AA0</v>
      </c>
      <c r="I2410" s="2" t="s">
        <v>470</v>
      </c>
      <c r="J2410" s="2" t="s">
        <v>102</v>
      </c>
      <c r="K2410" s="2" t="s">
        <v>1408</v>
      </c>
    </row>
    <row r="2411" ht="15.75" customHeight="1">
      <c r="A2411" s="2">
        <v>871590.0</v>
      </c>
      <c r="B2411" s="2" t="s">
        <v>2543</v>
      </c>
      <c r="C2411" s="2" t="s">
        <v>5550</v>
      </c>
      <c r="D2411" s="2" t="s">
        <v>47</v>
      </c>
      <c r="E2411" s="2" t="s">
        <v>3459</v>
      </c>
      <c r="F2411" s="2">
        <v>1.0</v>
      </c>
      <c r="G2411" s="2">
        <v>500.0</v>
      </c>
      <c r="H2411" s="3" t="str">
        <f>HYPERLINK("http://www.linkedin.com/in/dgschoen","http://www.linkedin.com/in/dgschoen")</f>
        <v>http://www.linkedin.com/in/dgschoen</v>
      </c>
      <c r="I2411" s="2" t="s">
        <v>48</v>
      </c>
      <c r="J2411" s="2" t="s">
        <v>102</v>
      </c>
      <c r="K2411" s="2" t="s">
        <v>35</v>
      </c>
    </row>
    <row r="2412" ht="15.75" customHeight="1">
      <c r="A2412" s="2">
        <v>871928.0</v>
      </c>
      <c r="B2412" s="2" t="s">
        <v>5551</v>
      </c>
      <c r="C2412" s="2" t="s">
        <v>5552</v>
      </c>
      <c r="D2412" s="2" t="s">
        <v>5553</v>
      </c>
      <c r="E2412" s="2" t="s">
        <v>574</v>
      </c>
      <c r="F2412" s="2">
        <v>3.0</v>
      </c>
      <c r="G2412" s="2">
        <v>500.0</v>
      </c>
      <c r="H2412" s="3" t="str">
        <f>HYPERLINK("http://www.linkedin.com/pub/ramesh-naidu-lolugu/1/bb7/554","http://www.linkedin.com/pub/ramesh-naidu-lolugu/1/bb7/554")</f>
        <v>http://www.linkedin.com/pub/ramesh-naidu-lolugu/1/bb7/554</v>
      </c>
      <c r="I2412" s="2" t="s">
        <v>77</v>
      </c>
      <c r="J2412" s="2" t="s">
        <v>575</v>
      </c>
      <c r="K2412" s="2" t="s">
        <v>111</v>
      </c>
    </row>
    <row r="2413" ht="15.75" customHeight="1">
      <c r="A2413" s="2">
        <v>872289.0</v>
      </c>
      <c r="B2413" s="2" t="s">
        <v>1015</v>
      </c>
      <c r="C2413" s="2" t="s">
        <v>5554</v>
      </c>
      <c r="D2413" s="2"/>
      <c r="E2413" s="2" t="s">
        <v>283</v>
      </c>
      <c r="F2413" s="2">
        <v>0.0</v>
      </c>
      <c r="G2413" s="2">
        <v>48.0</v>
      </c>
      <c r="H2413" s="3" t="str">
        <f>HYPERLINK("http://www.linkedin.com/pub/brian-gorczynski/2/BA9/B6B","http://www.linkedin.com/pub/brian-gorczynski/2/BA9/B6B")</f>
        <v>http://www.linkedin.com/pub/brian-gorczynski/2/BA9/B6B</v>
      </c>
      <c r="I2413" s="2" t="s">
        <v>1496</v>
      </c>
      <c r="J2413" s="2" t="s">
        <v>273</v>
      </c>
      <c r="K2413" s="2" t="s">
        <v>22</v>
      </c>
    </row>
    <row r="2414" ht="15.75" customHeight="1">
      <c r="A2414" s="2">
        <v>872432.0</v>
      </c>
      <c r="B2414" s="2" t="s">
        <v>433</v>
      </c>
      <c r="C2414" s="2" t="s">
        <v>2740</v>
      </c>
      <c r="D2414" s="2"/>
      <c r="E2414" s="2" t="s">
        <v>821</v>
      </c>
      <c r="F2414" s="2">
        <v>3.0</v>
      </c>
      <c r="G2414" s="2">
        <v>500.0</v>
      </c>
      <c r="H2414" s="3" t="str">
        <f>HYPERLINK("http://uk.linkedin.com/pub/andy-stewart/2/23/635","http://uk.linkedin.com/pub/andy-stewart/2/23/635")</f>
        <v>http://uk.linkedin.com/pub/andy-stewart/2/23/635</v>
      </c>
      <c r="I2414" s="2" t="s">
        <v>15</v>
      </c>
      <c r="J2414" s="2" t="s">
        <v>575</v>
      </c>
      <c r="K2414" s="2" t="s">
        <v>22</v>
      </c>
    </row>
    <row r="2415" ht="15.75" customHeight="1">
      <c r="A2415" s="2">
        <v>872508.0</v>
      </c>
      <c r="B2415" s="2" t="s">
        <v>1934</v>
      </c>
      <c r="C2415" s="2" t="s">
        <v>5555</v>
      </c>
      <c r="D2415" s="2" t="s">
        <v>5556</v>
      </c>
      <c r="E2415" s="2" t="s">
        <v>706</v>
      </c>
      <c r="F2415" s="2">
        <v>20.0</v>
      </c>
      <c r="G2415" s="2">
        <v>500.0</v>
      </c>
      <c r="H2415" s="3" t="str">
        <f>HYPERLINK("http://www.linkedin.com/pub/kelly-costa/23/116/6AA","http://www.linkedin.com/pub/kelly-costa/23/116/6AA")</f>
        <v>http://www.linkedin.com/pub/kelly-costa/23/116/6AA</v>
      </c>
      <c r="I2415" s="2" t="s">
        <v>612</v>
      </c>
      <c r="J2415" s="2" t="s">
        <v>34</v>
      </c>
      <c r="K2415" s="2" t="s">
        <v>35</v>
      </c>
    </row>
    <row r="2416" ht="15.75" customHeight="1">
      <c r="A2416" s="2">
        <v>872877.0</v>
      </c>
      <c r="B2416" s="2" t="s">
        <v>116</v>
      </c>
      <c r="C2416" s="2" t="s">
        <v>548</v>
      </c>
      <c r="D2416" s="2" t="s">
        <v>5557</v>
      </c>
      <c r="E2416" s="2" t="s">
        <v>136</v>
      </c>
      <c r="F2416" s="2">
        <v>7.0</v>
      </c>
      <c r="G2416" s="2">
        <v>500.0</v>
      </c>
      <c r="H2416" s="3" t="str">
        <f>HYPERLINK("http://www.linkedin.com/in/alexc4","http://www.linkedin.com/in/alexc4")</f>
        <v>http://www.linkedin.com/in/alexc4</v>
      </c>
      <c r="I2416" s="2" t="s">
        <v>15</v>
      </c>
      <c r="J2416" s="2" t="s">
        <v>102</v>
      </c>
      <c r="K2416" s="2" t="s">
        <v>35</v>
      </c>
    </row>
    <row r="2417" ht="15.75" customHeight="1">
      <c r="A2417" s="2">
        <v>872905.0</v>
      </c>
      <c r="B2417" s="2" t="s">
        <v>5558</v>
      </c>
      <c r="C2417" s="2" t="s">
        <v>664</v>
      </c>
      <c r="D2417" s="2" t="s">
        <v>114</v>
      </c>
      <c r="E2417" s="2" t="s">
        <v>136</v>
      </c>
      <c r="F2417" s="2">
        <v>10.0</v>
      </c>
      <c r="G2417" s="2">
        <v>500.0</v>
      </c>
      <c r="H2417" s="3" t="str">
        <f>HYPERLINK("http://www.linkedin.com/pub/pamela-gordon/0/1B4/95A","http://www.linkedin.com/pub/pamela-gordon/0/1B4/95A")</f>
        <v>http://www.linkedin.com/pub/pamela-gordon/0/1B4/95A</v>
      </c>
      <c r="I2417" s="2" t="s">
        <v>57</v>
      </c>
      <c r="J2417" s="2" t="s">
        <v>102</v>
      </c>
      <c r="K2417" s="2" t="s">
        <v>58</v>
      </c>
    </row>
    <row r="2418" ht="15.75" customHeight="1">
      <c r="A2418" s="2">
        <v>873144.0</v>
      </c>
      <c r="B2418" s="2" t="s">
        <v>5559</v>
      </c>
      <c r="C2418" s="2" t="s">
        <v>3422</v>
      </c>
      <c r="D2418" s="2" t="s">
        <v>5560</v>
      </c>
      <c r="E2418" s="2" t="s">
        <v>101</v>
      </c>
      <c r="F2418" s="2" t="s">
        <v>13</v>
      </c>
      <c r="G2418" s="2">
        <v>500.0</v>
      </c>
      <c r="H2418" s="3" t="str">
        <f>HYPERLINK("http://www.linkedin.com/pub/nagesh-murthy/0/1A/853","http://www.linkedin.com/pub/nagesh-murthy/0/1A/853")</f>
        <v>http://www.linkedin.com/pub/nagesh-murthy/0/1A/853</v>
      </c>
      <c r="I2418" s="2" t="s">
        <v>15</v>
      </c>
      <c r="J2418" s="2" t="s">
        <v>102</v>
      </c>
      <c r="K2418" s="2" t="s">
        <v>35</v>
      </c>
    </row>
    <row r="2419" ht="15.75" customHeight="1">
      <c r="A2419" s="2">
        <v>873203.0</v>
      </c>
      <c r="B2419" s="2" t="s">
        <v>784</v>
      </c>
      <c r="C2419" s="2" t="s">
        <v>5561</v>
      </c>
      <c r="D2419" s="2" t="s">
        <v>5562</v>
      </c>
      <c r="E2419" s="2" t="s">
        <v>5563</v>
      </c>
      <c r="F2419" s="2">
        <v>27.0</v>
      </c>
      <c r="G2419" s="2">
        <v>500.0</v>
      </c>
      <c r="H2419" s="3" t="str">
        <f>HYPERLINK("http://www.linkedin.com/in/jeffreade","http://www.linkedin.com/in/jeffreade")</f>
        <v>http://www.linkedin.com/in/jeffreade</v>
      </c>
      <c r="I2419" s="2" t="s">
        <v>48</v>
      </c>
      <c r="J2419" s="2" t="s">
        <v>144</v>
      </c>
      <c r="K2419" s="2" t="s">
        <v>766</v>
      </c>
    </row>
    <row r="2420" ht="15.75" customHeight="1">
      <c r="A2420" s="2">
        <v>873260.0</v>
      </c>
      <c r="B2420" s="2" t="s">
        <v>133</v>
      </c>
      <c r="C2420" s="2" t="s">
        <v>5564</v>
      </c>
      <c r="D2420" s="2" t="s">
        <v>5565</v>
      </c>
      <c r="E2420" s="2" t="s">
        <v>5503</v>
      </c>
      <c r="F2420" s="2">
        <v>8.0</v>
      </c>
      <c r="G2420" s="2">
        <v>457.0</v>
      </c>
      <c r="H2420" s="3" t="str">
        <f>HYPERLINK("http://www.linkedin.com/in/michaelbitter","http://www.linkedin.com/in/michaelbitter")</f>
        <v>http://www.linkedin.com/in/michaelbitter</v>
      </c>
      <c r="I2420" s="2" t="s">
        <v>57</v>
      </c>
      <c r="J2420" s="2" t="s">
        <v>102</v>
      </c>
      <c r="K2420" s="2" t="s">
        <v>35</v>
      </c>
    </row>
    <row r="2421" ht="15.75" customHeight="1">
      <c r="A2421" s="2">
        <v>873429.0</v>
      </c>
      <c r="B2421" s="2" t="s">
        <v>1076</v>
      </c>
      <c r="C2421" s="2" t="s">
        <v>5566</v>
      </c>
      <c r="D2421" s="2"/>
      <c r="E2421" s="2" t="s">
        <v>5567</v>
      </c>
      <c r="F2421" s="2">
        <v>0.0</v>
      </c>
      <c r="G2421" s="2">
        <v>331.0</v>
      </c>
      <c r="H2421" s="3" t="str">
        <f>HYPERLINK("http://www.linkedin.com/pub/jennifer-scharf/0/215/981","http://www.linkedin.com/pub/jennifer-scharf/0/215/981")</f>
        <v>http://www.linkedin.com/pub/jennifer-scharf/0/215/981</v>
      </c>
      <c r="I2421" s="2" t="s">
        <v>2046</v>
      </c>
      <c r="J2421" s="2" t="s">
        <v>273</v>
      </c>
      <c r="K2421" s="2" t="s">
        <v>97</v>
      </c>
    </row>
    <row r="2422" ht="15.75" customHeight="1">
      <c r="A2422" s="2">
        <v>874101.0</v>
      </c>
      <c r="B2422" s="2" t="s">
        <v>1004</v>
      </c>
      <c r="C2422" s="2" t="s">
        <v>5568</v>
      </c>
      <c r="D2422" s="2" t="s">
        <v>47</v>
      </c>
      <c r="E2422" s="2" t="s">
        <v>101</v>
      </c>
      <c r="F2422" s="2">
        <v>1.0</v>
      </c>
      <c r="G2422" s="2">
        <v>500.0</v>
      </c>
      <c r="H2422" s="3" t="str">
        <f>HYPERLINK("http://www.linkedin.com/pub/scott-lewin/0/3A2/638","http://www.linkedin.com/pub/scott-lewin/0/3A2/638")</f>
        <v>http://www.linkedin.com/pub/scott-lewin/0/3A2/638</v>
      </c>
      <c r="I2422" s="2" t="s">
        <v>48</v>
      </c>
      <c r="J2422" s="2" t="s">
        <v>102</v>
      </c>
      <c r="K2422" s="2" t="s">
        <v>35</v>
      </c>
    </row>
    <row r="2423" ht="15.75" customHeight="1">
      <c r="A2423" s="2">
        <v>874769.0</v>
      </c>
      <c r="B2423" s="2" t="s">
        <v>784</v>
      </c>
      <c r="C2423" s="2" t="s">
        <v>5569</v>
      </c>
      <c r="D2423" s="2" t="s">
        <v>5570</v>
      </c>
      <c r="E2423" s="2" t="s">
        <v>224</v>
      </c>
      <c r="F2423" s="2">
        <v>1.0</v>
      </c>
      <c r="G2423" s="2">
        <v>500.0</v>
      </c>
      <c r="H2423" s="3" t="str">
        <f>HYPERLINK("http://www.linkedin.com/in/jeffmerryman","http://www.linkedin.com/in/jeffmerryman")</f>
        <v>http://www.linkedin.com/in/jeffmerryman</v>
      </c>
      <c r="I2423" s="2" t="s">
        <v>696</v>
      </c>
      <c r="J2423" s="2" t="s">
        <v>16</v>
      </c>
      <c r="K2423" s="2" t="s">
        <v>2062</v>
      </c>
    </row>
    <row r="2424" ht="15.75" customHeight="1">
      <c r="A2424" s="2">
        <v>875143.0</v>
      </c>
      <c r="B2424" s="2" t="s">
        <v>1364</v>
      </c>
      <c r="C2424" s="2" t="s">
        <v>5571</v>
      </c>
      <c r="D2424" s="2" t="s">
        <v>1647</v>
      </c>
      <c r="E2424" s="2" t="s">
        <v>1630</v>
      </c>
      <c r="F2424" s="2">
        <v>4.0</v>
      </c>
      <c r="G2424" s="2">
        <v>500.0</v>
      </c>
      <c r="H2424" s="3" t="str">
        <f>HYPERLINK("http://www.linkedin.com/in/dennisnewel","http://www.linkedin.com/in/dennisnewel")</f>
        <v>http://www.linkedin.com/in/dennisnewel</v>
      </c>
      <c r="I2424" s="2" t="s">
        <v>15</v>
      </c>
      <c r="J2424" s="2" t="s">
        <v>44</v>
      </c>
      <c r="K2424" s="2" t="s">
        <v>35</v>
      </c>
    </row>
    <row r="2425" ht="15.75" customHeight="1">
      <c r="A2425" s="2">
        <v>875229.0</v>
      </c>
      <c r="B2425" s="2" t="s">
        <v>721</v>
      </c>
      <c r="C2425" s="2" t="s">
        <v>5572</v>
      </c>
      <c r="D2425" s="2" t="s">
        <v>309</v>
      </c>
      <c r="E2425" s="2" t="s">
        <v>136</v>
      </c>
      <c r="F2425" s="2" t="s">
        <v>13</v>
      </c>
      <c r="G2425" s="2">
        <v>260.0</v>
      </c>
      <c r="H2425" s="3" t="str">
        <f>HYPERLINK("http://www.linkedin.com/pub/andrew-frame/0/124/593","http://www.linkedin.com/pub/andrew-frame/0/124/593")</f>
        <v>http://www.linkedin.com/pub/andrew-frame/0/124/593</v>
      </c>
      <c r="I2425" s="2" t="s">
        <v>15</v>
      </c>
      <c r="J2425" s="2" t="s">
        <v>102</v>
      </c>
      <c r="K2425" s="2" t="s">
        <v>35</v>
      </c>
    </row>
    <row r="2426" ht="15.75" customHeight="1">
      <c r="A2426" s="2">
        <v>875494.0</v>
      </c>
      <c r="B2426" s="2" t="s">
        <v>253</v>
      </c>
      <c r="C2426" s="2" t="s">
        <v>5573</v>
      </c>
      <c r="D2426" s="2" t="s">
        <v>5574</v>
      </c>
      <c r="E2426" s="2" t="s">
        <v>5575</v>
      </c>
      <c r="F2426" s="2">
        <v>0.0</v>
      </c>
      <c r="G2426" s="2">
        <v>197.0</v>
      </c>
      <c r="H2426" s="3" t="str">
        <f>HYPERLINK("http://www.linkedin.com/pub/fernando-giampauli/21/9A2/1A4","http://www.linkedin.com/pub/fernando-giampauli/21/9A2/1A4")</f>
        <v>http://www.linkedin.com/pub/fernando-giampauli/21/9A2/1A4</v>
      </c>
      <c r="I2426" s="2" t="s">
        <v>2443</v>
      </c>
      <c r="J2426" s="2" t="s">
        <v>34</v>
      </c>
      <c r="K2426" s="2" t="s">
        <v>2116</v>
      </c>
    </row>
    <row r="2427" ht="15.75" customHeight="1">
      <c r="A2427" s="2">
        <v>875564.0</v>
      </c>
      <c r="B2427" s="2" t="s">
        <v>295</v>
      </c>
      <c r="C2427" s="2" t="s">
        <v>1284</v>
      </c>
      <c r="D2427" s="2" t="s">
        <v>5576</v>
      </c>
      <c r="E2427" s="2" t="s">
        <v>278</v>
      </c>
      <c r="F2427" s="2">
        <v>1.0</v>
      </c>
      <c r="G2427" s="2">
        <v>500.0</v>
      </c>
      <c r="H2427" s="3" t="str">
        <f>HYPERLINK("http://www.linkedin.com/in/osogrande7","http://www.linkedin.com/in/osogrande7")</f>
        <v>http://www.linkedin.com/in/osogrande7</v>
      </c>
      <c r="I2427" s="2" t="s">
        <v>248</v>
      </c>
      <c r="J2427" s="2" t="s">
        <v>28</v>
      </c>
      <c r="K2427" s="2" t="s">
        <v>3304</v>
      </c>
    </row>
    <row r="2428" ht="15.75" customHeight="1">
      <c r="A2428" s="2">
        <v>876082.0</v>
      </c>
      <c r="B2428" s="2" t="s">
        <v>5577</v>
      </c>
      <c r="C2428" s="2" t="s">
        <v>5578</v>
      </c>
      <c r="D2428" s="2" t="s">
        <v>5579</v>
      </c>
      <c r="E2428" s="2" t="s">
        <v>136</v>
      </c>
      <c r="F2428" s="2">
        <v>19.0</v>
      </c>
      <c r="G2428" s="2">
        <v>500.0</v>
      </c>
      <c r="H2428" s="3" t="str">
        <f>HYPERLINK("http://www.linkedin.com/in/karthikl","http://www.linkedin.com/in/karthikl")</f>
        <v>http://www.linkedin.com/in/karthikl</v>
      </c>
      <c r="I2428" s="2" t="s">
        <v>48</v>
      </c>
      <c r="J2428" s="2" t="s">
        <v>102</v>
      </c>
      <c r="K2428" s="2" t="s">
        <v>35</v>
      </c>
    </row>
    <row r="2429" ht="15.75" customHeight="1">
      <c r="A2429" s="2">
        <v>876322.0</v>
      </c>
      <c r="B2429" s="2" t="s">
        <v>1057</v>
      </c>
      <c r="C2429" s="2" t="s">
        <v>5580</v>
      </c>
      <c r="D2429" s="2" t="s">
        <v>5581</v>
      </c>
      <c r="E2429" s="2" t="s">
        <v>136</v>
      </c>
      <c r="F2429" s="2">
        <v>1.0</v>
      </c>
      <c r="G2429" s="2">
        <v>500.0</v>
      </c>
      <c r="H2429" s="3" t="str">
        <f>HYPERLINK("http://www.linkedin.com/pub/pradeep-shenoy/5/821/6A4","http://www.linkedin.com/pub/pradeep-shenoy/5/821/6A4")</f>
        <v>http://www.linkedin.com/pub/pradeep-shenoy/5/821/6A4</v>
      </c>
      <c r="I2429" s="2" t="s">
        <v>15</v>
      </c>
      <c r="J2429" s="2" t="s">
        <v>102</v>
      </c>
      <c r="K2429" s="2" t="s">
        <v>35</v>
      </c>
    </row>
    <row r="2430" ht="15.75" customHeight="1">
      <c r="A2430" s="2">
        <v>876341.0</v>
      </c>
      <c r="B2430" s="2" t="s">
        <v>5582</v>
      </c>
      <c r="C2430" s="2" t="s">
        <v>5583</v>
      </c>
      <c r="D2430" s="2" t="s">
        <v>2331</v>
      </c>
      <c r="E2430" s="2" t="s">
        <v>278</v>
      </c>
      <c r="F2430" s="2">
        <v>2.0</v>
      </c>
      <c r="G2430" s="2">
        <v>500.0</v>
      </c>
      <c r="H2430" s="3" t="str">
        <f>HYPERLINK("http://www.linkedin.com/in/recruitbankabq","http://www.linkedin.com/in/recruitbankabq")</f>
        <v>http://www.linkedin.com/in/recruitbankabq</v>
      </c>
      <c r="I2430" s="2" t="s">
        <v>57</v>
      </c>
      <c r="J2430" s="2" t="s">
        <v>28</v>
      </c>
      <c r="K2430" s="2" t="s">
        <v>2552</v>
      </c>
    </row>
    <row r="2431" ht="15.75" customHeight="1">
      <c r="A2431" s="2">
        <v>876391.0</v>
      </c>
      <c r="B2431" s="2" t="s">
        <v>483</v>
      </c>
      <c r="C2431" s="2" t="s">
        <v>1696</v>
      </c>
      <c r="D2431" s="2" t="s">
        <v>5584</v>
      </c>
      <c r="E2431" s="2" t="s">
        <v>5094</v>
      </c>
      <c r="F2431" s="2">
        <v>2.0</v>
      </c>
      <c r="G2431" s="2">
        <v>433.0</v>
      </c>
      <c r="H2431" s="3" t="str">
        <f>HYPERLINK("http://www.linkedin.com/pub/jairo-lopes/23/424/3A1","http://www.linkedin.com/pub/jairo-lopes/23/424/3A1")</f>
        <v>http://www.linkedin.com/pub/jairo-lopes/23/424/3A1</v>
      </c>
      <c r="I2431" s="2" t="s">
        <v>629</v>
      </c>
      <c r="J2431" s="2" t="s">
        <v>34</v>
      </c>
      <c r="K2431" s="2" t="s">
        <v>1883</v>
      </c>
    </row>
    <row r="2432" ht="15.75" customHeight="1">
      <c r="A2432" s="2">
        <v>876511.0</v>
      </c>
      <c r="B2432" s="2" t="s">
        <v>5585</v>
      </c>
      <c r="C2432" s="2" t="s">
        <v>5586</v>
      </c>
      <c r="D2432" s="2" t="s">
        <v>42</v>
      </c>
      <c r="E2432" s="2" t="s">
        <v>301</v>
      </c>
      <c r="F2432" s="2" t="s">
        <v>13</v>
      </c>
      <c r="G2432" s="2">
        <v>255.0</v>
      </c>
      <c r="H2432" s="3" t="str">
        <f>HYPERLINK("http://www.linkedin.com/pub/julie-swain/B/4A3/B56","http://www.linkedin.com/pub/julie-swain/B/4A3/B56")</f>
        <v>http://www.linkedin.com/pub/julie-swain/B/4A3/B56</v>
      </c>
      <c r="I2432" s="2" t="s">
        <v>69</v>
      </c>
      <c r="J2432" s="2" t="s">
        <v>102</v>
      </c>
      <c r="K2432" s="2" t="s">
        <v>35</v>
      </c>
    </row>
    <row r="2433" ht="15.75" customHeight="1">
      <c r="A2433" s="2">
        <v>876531.0</v>
      </c>
      <c r="B2433" s="2" t="s">
        <v>940</v>
      </c>
      <c r="C2433" s="2" t="s">
        <v>5587</v>
      </c>
      <c r="D2433" s="2" t="s">
        <v>5588</v>
      </c>
      <c r="E2433" s="2" t="s">
        <v>1234</v>
      </c>
      <c r="F2433" s="2">
        <v>2.0</v>
      </c>
      <c r="G2433" s="2">
        <v>500.0</v>
      </c>
      <c r="H2433" s="3" t="str">
        <f>HYPERLINK("http://www.linkedin.com/in/bobmcqueen","http://www.linkedin.com/in/bobmcqueen")</f>
        <v>http://www.linkedin.com/in/bobmcqueen</v>
      </c>
      <c r="I2433" s="2" t="s">
        <v>446</v>
      </c>
      <c r="J2433" s="2" t="s">
        <v>102</v>
      </c>
      <c r="K2433" s="2" t="s">
        <v>97</v>
      </c>
    </row>
    <row r="2434" ht="15.75" customHeight="1">
      <c r="A2434" s="2">
        <v>876860.0</v>
      </c>
      <c r="B2434" s="2" t="s">
        <v>1743</v>
      </c>
      <c r="C2434" s="2" t="s">
        <v>1817</v>
      </c>
      <c r="D2434" s="2" t="s">
        <v>13</v>
      </c>
      <c r="E2434" s="2" t="s">
        <v>5589</v>
      </c>
      <c r="F2434" s="2">
        <v>0.0</v>
      </c>
      <c r="G2434" s="2">
        <v>500.0</v>
      </c>
      <c r="H2434" s="3" t="str">
        <f>HYPERLINK("http://www.linkedin.com/in/meganpittsley","http://www.linkedin.com/in/meganpittsley")</f>
        <v>http://www.linkedin.com/in/meganpittsley</v>
      </c>
      <c r="I2434" s="2" t="s">
        <v>248</v>
      </c>
      <c r="J2434" s="2" t="s">
        <v>16</v>
      </c>
      <c r="K2434" s="2" t="s">
        <v>196</v>
      </c>
    </row>
    <row r="2435" ht="15.75" customHeight="1">
      <c r="A2435" s="2">
        <v>876976.0</v>
      </c>
      <c r="B2435" s="2" t="s">
        <v>1545</v>
      </c>
      <c r="C2435" s="2" t="s">
        <v>5590</v>
      </c>
      <c r="D2435" s="2" t="s">
        <v>5591</v>
      </c>
      <c r="E2435" s="2" t="s">
        <v>301</v>
      </c>
      <c r="F2435" s="2">
        <v>193.0</v>
      </c>
      <c r="G2435" s="2">
        <v>500.0</v>
      </c>
      <c r="H2435" s="3" t="str">
        <f>HYPERLINK("http://dk.linkedin.com/in/patrickblessinger","http://dk.linkedin.com/in/patrickblessinger")</f>
        <v>http://dk.linkedin.com/in/patrickblessinger</v>
      </c>
      <c r="I2435" s="2" t="s">
        <v>240</v>
      </c>
      <c r="J2435" s="2" t="s">
        <v>102</v>
      </c>
      <c r="K2435" s="2" t="s">
        <v>138</v>
      </c>
    </row>
    <row r="2436" ht="15.75" customHeight="1">
      <c r="A2436" s="2">
        <v>877971.0</v>
      </c>
      <c r="B2436" s="2" t="s">
        <v>5592</v>
      </c>
      <c r="C2436" s="2" t="s">
        <v>5593</v>
      </c>
      <c r="D2436" s="2" t="s">
        <v>5594</v>
      </c>
      <c r="E2436" s="2" t="s">
        <v>136</v>
      </c>
      <c r="F2436" s="2">
        <v>1.0</v>
      </c>
      <c r="G2436" s="2">
        <v>359.0</v>
      </c>
      <c r="H2436" s="3" t="str">
        <f>HYPERLINK("http://www.linkedin.com/in/enterpriseessentials","http://www.linkedin.com/in/enterpriseessentials")</f>
        <v>http://www.linkedin.com/in/enterpriseessentials</v>
      </c>
      <c r="I2436" s="2" t="s">
        <v>105</v>
      </c>
      <c r="J2436" s="2" t="s">
        <v>102</v>
      </c>
      <c r="K2436" s="2" t="s">
        <v>58</v>
      </c>
    </row>
    <row r="2437" ht="15.75" customHeight="1">
      <c r="A2437" s="2">
        <v>878162.0</v>
      </c>
      <c r="B2437" s="2" t="s">
        <v>1437</v>
      </c>
      <c r="C2437" s="2" t="s">
        <v>5595</v>
      </c>
      <c r="D2437" s="2" t="s">
        <v>13</v>
      </c>
      <c r="E2437" s="2" t="s">
        <v>136</v>
      </c>
      <c r="F2437" s="2">
        <v>0.0</v>
      </c>
      <c r="G2437" s="2">
        <v>500.0</v>
      </c>
      <c r="H2437" s="3" t="str">
        <f>HYPERLINK("https://www.linkedin.com/in/alsilverstein","https://www.linkedin.com/in/alsilverstein")</f>
        <v>https://www.linkedin.com/in/alsilverstein</v>
      </c>
      <c r="I2437" s="2" t="s">
        <v>69</v>
      </c>
      <c r="J2437" s="2" t="s">
        <v>102</v>
      </c>
      <c r="K2437" s="2" t="s">
        <v>35</v>
      </c>
    </row>
    <row r="2438" ht="15.75" customHeight="1">
      <c r="A2438" s="2">
        <v>878416.0</v>
      </c>
      <c r="B2438" s="2" t="s">
        <v>3927</v>
      </c>
      <c r="C2438" s="2" t="s">
        <v>5596</v>
      </c>
      <c r="D2438" s="2" t="s">
        <v>13</v>
      </c>
      <c r="E2438" s="2" t="s">
        <v>783</v>
      </c>
      <c r="F2438" s="2">
        <v>0.0</v>
      </c>
      <c r="G2438" s="2">
        <v>434.0</v>
      </c>
      <c r="H2438" s="3" t="str">
        <f>HYPERLINK("http://www.linkedin.com/pub/tina-mansukhani-pmp/b/394/263","http://www.linkedin.com/pub/tina-mansukhani-pmp/b/394/263")</f>
        <v>http://www.linkedin.com/pub/tina-mansukhani-pmp/b/394/263</v>
      </c>
      <c r="I2438" s="2" t="s">
        <v>15</v>
      </c>
      <c r="J2438" s="2" t="s">
        <v>575</v>
      </c>
      <c r="K2438" s="2" t="s">
        <v>22</v>
      </c>
    </row>
    <row r="2439" ht="15.75" customHeight="1">
      <c r="A2439" s="2">
        <v>878484.0</v>
      </c>
      <c r="B2439" s="2" t="s">
        <v>5597</v>
      </c>
      <c r="C2439" s="2" t="s">
        <v>5598</v>
      </c>
      <c r="D2439" s="2" t="s">
        <v>5599</v>
      </c>
      <c r="E2439" s="2" t="s">
        <v>5600</v>
      </c>
      <c r="F2439" s="2">
        <v>2.0</v>
      </c>
      <c r="G2439" s="2">
        <v>77.0</v>
      </c>
      <c r="H2439" s="3" t="str">
        <f>HYPERLINK("http://www.linkedin.com/pub/caroline-andressa/23/4A/1A4","http://www.linkedin.com/pub/caroline-andressa/23/4A/1A4")</f>
        <v>http://www.linkedin.com/pub/caroline-andressa/23/4A/1A4</v>
      </c>
      <c r="I2439" s="2" t="s">
        <v>5036</v>
      </c>
      <c r="J2439" s="2" t="s">
        <v>34</v>
      </c>
      <c r="K2439" s="2" t="s">
        <v>22</v>
      </c>
    </row>
    <row r="2440" ht="15.75" customHeight="1">
      <c r="A2440" s="2">
        <v>879649.0</v>
      </c>
      <c r="B2440" s="2" t="s">
        <v>527</v>
      </c>
      <c r="C2440" s="2" t="s">
        <v>5601</v>
      </c>
      <c r="D2440" s="2" t="s">
        <v>5602</v>
      </c>
      <c r="E2440" s="2" t="s">
        <v>136</v>
      </c>
      <c r="F2440" s="2">
        <v>8.0</v>
      </c>
      <c r="G2440" s="2">
        <v>500.0</v>
      </c>
      <c r="H2440" s="3" t="str">
        <f>HYPERLINK("http://in.linkedin.com/in/aalokjariwala","http://in.linkedin.com/in/aalokjariwala")</f>
        <v>http://in.linkedin.com/in/aalokjariwala</v>
      </c>
      <c r="I2440" s="2" t="s">
        <v>15</v>
      </c>
      <c r="J2440" s="2" t="s">
        <v>102</v>
      </c>
      <c r="K2440" s="2" t="s">
        <v>35</v>
      </c>
    </row>
    <row r="2441" ht="15.75" customHeight="1">
      <c r="A2441" s="2">
        <v>880174.0</v>
      </c>
      <c r="B2441" s="2" t="s">
        <v>2457</v>
      </c>
      <c r="C2441" s="2" t="s">
        <v>5603</v>
      </c>
      <c r="D2441" s="2" t="s">
        <v>5604</v>
      </c>
      <c r="E2441" s="2" t="s">
        <v>1434</v>
      </c>
      <c r="F2441" s="2">
        <v>0.0</v>
      </c>
      <c r="G2441" s="2">
        <v>4.0</v>
      </c>
      <c r="H2441" s="3" t="str">
        <f>HYPERLINK("http://www.linkedin.com/pub/stephen-lange/3/831/4B3","http://www.linkedin.com/pub/stephen-lange/3/831/4B3")</f>
        <v>http://www.linkedin.com/pub/stephen-lange/3/831/4B3</v>
      </c>
      <c r="I2441" s="2" t="s">
        <v>2285</v>
      </c>
      <c r="J2441" s="2" t="s">
        <v>28</v>
      </c>
      <c r="K2441" s="2" t="s">
        <v>58</v>
      </c>
    </row>
    <row r="2442" ht="15.75" customHeight="1">
      <c r="A2442" s="2">
        <v>880299.0</v>
      </c>
      <c r="B2442" s="2" t="s">
        <v>404</v>
      </c>
      <c r="C2442" s="2" t="s">
        <v>5605</v>
      </c>
      <c r="D2442" s="2" t="s">
        <v>5606</v>
      </c>
      <c r="E2442" s="2" t="s">
        <v>136</v>
      </c>
      <c r="F2442" s="2">
        <v>8.0</v>
      </c>
      <c r="G2442" s="2">
        <v>500.0</v>
      </c>
      <c r="H2442" s="3" t="str">
        <f>HYPERLINK("http://www.linkedin.com/pub/robin-s-liong/3/513/16B","http://www.linkedin.com/pub/robin-s-liong/3/513/16B")</f>
        <v>http://www.linkedin.com/pub/robin-s-liong/3/513/16B</v>
      </c>
      <c r="I2442" s="2" t="s">
        <v>48</v>
      </c>
      <c r="J2442" s="2" t="s">
        <v>102</v>
      </c>
      <c r="K2442" s="2" t="s">
        <v>35</v>
      </c>
    </row>
    <row r="2443" ht="15.75" customHeight="1">
      <c r="A2443" s="2">
        <v>880719.0</v>
      </c>
      <c r="B2443" s="2" t="s">
        <v>839</v>
      </c>
      <c r="C2443" s="2" t="s">
        <v>5607</v>
      </c>
      <c r="D2443" s="2" t="s">
        <v>5608</v>
      </c>
      <c r="E2443" s="2" t="s">
        <v>5609</v>
      </c>
      <c r="F2443" s="2" t="s">
        <v>13</v>
      </c>
      <c r="G2443" s="2">
        <v>500.0</v>
      </c>
      <c r="H2443" s="3" t="str">
        <f>HYPERLINK("http://uk.linkedin.com/pub/dave-picking/6/736/52","http://uk.linkedin.com/pub/dave-picking/6/736/52")</f>
        <v>http://uk.linkedin.com/pub/dave-picking/6/736/52</v>
      </c>
      <c r="I2443" s="2" t="s">
        <v>15</v>
      </c>
      <c r="J2443" s="2" t="s">
        <v>53</v>
      </c>
      <c r="K2443" s="2" t="s">
        <v>35</v>
      </c>
    </row>
    <row r="2444" ht="15.75" customHeight="1">
      <c r="A2444" s="2">
        <v>881546.0</v>
      </c>
      <c r="B2444" s="2" t="s">
        <v>5610</v>
      </c>
      <c r="C2444" s="2" t="s">
        <v>13</v>
      </c>
      <c r="D2444" s="2" t="s">
        <v>13</v>
      </c>
      <c r="E2444" s="2" t="s">
        <v>136</v>
      </c>
      <c r="F2444" s="2">
        <v>0.0</v>
      </c>
      <c r="G2444" s="2">
        <v>500.0</v>
      </c>
      <c r="H2444" s="3" t="str">
        <f>HYPERLINK("http://www.linkedin.com/in/christianorta/","http://www.linkedin.com/in/christianorta/")</f>
        <v>http://www.linkedin.com/in/christianorta/</v>
      </c>
      <c r="I2444" s="2" t="s">
        <v>69</v>
      </c>
      <c r="J2444" s="2" t="s">
        <v>102</v>
      </c>
      <c r="K2444" s="2" t="s">
        <v>35</v>
      </c>
    </row>
    <row r="2445" ht="15.75" customHeight="1">
      <c r="A2445" s="2">
        <v>881684.0</v>
      </c>
      <c r="B2445" s="2" t="s">
        <v>839</v>
      </c>
      <c r="C2445" s="2" t="s">
        <v>5611</v>
      </c>
      <c r="D2445" s="2" t="s">
        <v>5612</v>
      </c>
      <c r="E2445" s="2" t="s">
        <v>989</v>
      </c>
      <c r="F2445" s="2" t="s">
        <v>13</v>
      </c>
      <c r="G2445" s="2">
        <v>500.0</v>
      </c>
      <c r="H2445" s="3" t="str">
        <f>HYPERLINK("http://www.linkedin.com/in/davehankshr","http://www.linkedin.com/in/davehankshr")</f>
        <v>http://www.linkedin.com/in/davehankshr</v>
      </c>
      <c r="I2445" s="2" t="s">
        <v>1841</v>
      </c>
      <c r="J2445" s="2" t="s">
        <v>102</v>
      </c>
      <c r="K2445" s="2" t="s">
        <v>58</v>
      </c>
    </row>
    <row r="2446" ht="15.75" customHeight="1">
      <c r="A2446" s="2">
        <v>882219.0</v>
      </c>
      <c r="B2446" s="2" t="s">
        <v>5613</v>
      </c>
      <c r="C2446" s="2" t="s">
        <v>2033</v>
      </c>
      <c r="D2446" s="2" t="s">
        <v>2791</v>
      </c>
      <c r="E2446" s="2" t="s">
        <v>1046</v>
      </c>
      <c r="F2446" s="2">
        <v>11.0</v>
      </c>
      <c r="G2446" s="2">
        <v>500.0</v>
      </c>
      <c r="H2446" s="3" t="str">
        <f>HYPERLINK("http://www.linkedin.com/in/arun02k","http://www.linkedin.com/in/arun02k")</f>
        <v>http://www.linkedin.com/in/arun02k</v>
      </c>
      <c r="I2446" s="2" t="s">
        <v>15</v>
      </c>
      <c r="J2446" s="2" t="s">
        <v>1047</v>
      </c>
      <c r="K2446" s="2" t="s">
        <v>1048</v>
      </c>
    </row>
    <row r="2447" ht="15.75" customHeight="1">
      <c r="A2447" s="2">
        <v>882327.0</v>
      </c>
      <c r="B2447" s="2" t="s">
        <v>1112</v>
      </c>
      <c r="C2447" s="2" t="s">
        <v>5614</v>
      </c>
      <c r="D2447" s="2" t="s">
        <v>5615</v>
      </c>
      <c r="E2447" s="2" t="s">
        <v>301</v>
      </c>
      <c r="F2447" s="2">
        <v>6.0</v>
      </c>
      <c r="G2447" s="2">
        <v>500.0</v>
      </c>
      <c r="H2447" s="3" t="str">
        <f>HYPERLINK("http://www.linkedin.com/in/benschippers","http://www.linkedin.com/in/benschippers")</f>
        <v>http://www.linkedin.com/in/benschippers</v>
      </c>
      <c r="I2447" s="2" t="s">
        <v>48</v>
      </c>
      <c r="J2447" s="2" t="s">
        <v>102</v>
      </c>
      <c r="K2447" s="2" t="s">
        <v>35</v>
      </c>
    </row>
    <row r="2448" ht="15.75" customHeight="1">
      <c r="A2448" s="2">
        <v>882796.0</v>
      </c>
      <c r="B2448" s="2" t="s">
        <v>1599</v>
      </c>
      <c r="C2448" s="2" t="s">
        <v>5616</v>
      </c>
      <c r="D2448" s="2" t="s">
        <v>42</v>
      </c>
      <c r="E2448" s="2" t="s">
        <v>2647</v>
      </c>
      <c r="F2448" s="2" t="s">
        <v>13</v>
      </c>
      <c r="G2448" s="2">
        <v>500.0</v>
      </c>
      <c r="H2448" s="3" t="str">
        <f>HYPERLINK("http://www.linkedin.com/pub/oliver-d%C3%B6ring/7/91B/47","http://www.linkedin.com/pub/oliver-d%C3%B6ring/7/91B/47")</f>
        <v>http://www.linkedin.com/pub/oliver-d%C3%B6ring/7/91B/47</v>
      </c>
      <c r="I2448" s="2" t="s">
        <v>599</v>
      </c>
      <c r="J2448" s="2" t="s">
        <v>926</v>
      </c>
      <c r="K2448" s="2" t="s">
        <v>58</v>
      </c>
    </row>
    <row r="2449" ht="15.75" customHeight="1">
      <c r="A2449" s="2">
        <v>882873.0</v>
      </c>
      <c r="B2449" s="2" t="s">
        <v>511</v>
      </c>
      <c r="C2449" s="2" t="s">
        <v>5617</v>
      </c>
      <c r="D2449" s="2" t="s">
        <v>42</v>
      </c>
      <c r="E2449" s="2" t="s">
        <v>748</v>
      </c>
      <c r="F2449" s="2" t="s">
        <v>13</v>
      </c>
      <c r="G2449" s="2">
        <v>115.0</v>
      </c>
      <c r="H2449" s="3" t="str">
        <f>HYPERLINK("http://www.linkedin.com/pub/mike-agar/0/254/B16","http://www.linkedin.com/pub/mike-agar/0/254/B16")</f>
        <v>http://www.linkedin.com/pub/mike-agar/0/254/B16</v>
      </c>
      <c r="I2449" s="2" t="s">
        <v>225</v>
      </c>
      <c r="J2449" s="2" t="s">
        <v>28</v>
      </c>
      <c r="K2449" s="2" t="s">
        <v>35</v>
      </c>
    </row>
    <row r="2450" ht="15.75" customHeight="1">
      <c r="A2450" s="2">
        <v>883106.0</v>
      </c>
      <c r="B2450" s="2" t="s">
        <v>5618</v>
      </c>
      <c r="C2450" s="2" t="s">
        <v>5619</v>
      </c>
      <c r="D2450" s="2" t="s">
        <v>5620</v>
      </c>
      <c r="E2450" s="2" t="s">
        <v>1009</v>
      </c>
      <c r="F2450" s="2">
        <v>16.0</v>
      </c>
      <c r="G2450" s="2">
        <v>500.0</v>
      </c>
      <c r="H2450" s="3" t="str">
        <f>HYPERLINK("http://www.linkedin.com/in/michellekmillerprofile","http://www.linkedin.com/in/michellekmillerprofile")</f>
        <v>http://www.linkedin.com/in/michellekmillerprofile</v>
      </c>
      <c r="I2450" s="2" t="s">
        <v>57</v>
      </c>
      <c r="J2450" s="2" t="s">
        <v>87</v>
      </c>
      <c r="K2450" s="2" t="s">
        <v>29</v>
      </c>
    </row>
    <row r="2451" ht="15.75" customHeight="1">
      <c r="A2451" s="2">
        <v>883487.0</v>
      </c>
      <c r="B2451" s="2" t="s">
        <v>1173</v>
      </c>
      <c r="C2451" s="2" t="s">
        <v>5621</v>
      </c>
      <c r="D2451" s="2" t="s">
        <v>5622</v>
      </c>
      <c r="E2451" s="2" t="s">
        <v>272</v>
      </c>
      <c r="F2451" s="2">
        <v>6.0</v>
      </c>
      <c r="G2451" s="2">
        <v>500.0</v>
      </c>
      <c r="H2451" s="3" t="str">
        <f>HYPERLINK("http://in.linkedin.com/in/steve143","http://in.linkedin.com/in/steve143")</f>
        <v>http://in.linkedin.com/in/steve143</v>
      </c>
      <c r="I2451" s="2" t="s">
        <v>248</v>
      </c>
      <c r="J2451" s="2" t="s">
        <v>273</v>
      </c>
      <c r="K2451" s="2" t="s">
        <v>1306</v>
      </c>
    </row>
    <row r="2452" ht="15.75" customHeight="1">
      <c r="A2452" s="2">
        <v>884076.0</v>
      </c>
      <c r="B2452" s="2" t="s">
        <v>5623</v>
      </c>
      <c r="C2452" s="2" t="s">
        <v>5624</v>
      </c>
      <c r="D2452" s="2" t="s">
        <v>13</v>
      </c>
      <c r="E2452" s="2" t="s">
        <v>5625</v>
      </c>
      <c r="F2452" s="2">
        <v>3.0</v>
      </c>
      <c r="G2452" s="2">
        <v>500.0</v>
      </c>
      <c r="H2452" s="3" t="str">
        <f>HYPERLINK("http://www.linkedin.com/pub/maria-e-ferran/8/938/73","http://www.linkedin.com/pub/maria-e-ferran/8/938/73")</f>
        <v>http://www.linkedin.com/pub/maria-e-ferran/8/938/73</v>
      </c>
      <c r="I2452" s="2" t="s">
        <v>458</v>
      </c>
      <c r="J2452" s="2" t="s">
        <v>102</v>
      </c>
      <c r="K2452" s="2" t="s">
        <v>58</v>
      </c>
    </row>
    <row r="2453" ht="15.75" customHeight="1">
      <c r="A2453" s="2">
        <v>884153.0</v>
      </c>
      <c r="B2453" s="2" t="s">
        <v>5626</v>
      </c>
      <c r="C2453" s="2" t="s">
        <v>5627</v>
      </c>
      <c r="D2453" s="2" t="s">
        <v>5628</v>
      </c>
      <c r="E2453" s="2" t="s">
        <v>181</v>
      </c>
      <c r="F2453" s="2">
        <v>0.0</v>
      </c>
      <c r="G2453" s="2">
        <v>500.0</v>
      </c>
      <c r="H2453" s="3" t="str">
        <f>HYPERLINK("http://www.linkedin.com/in/hermannm","http://www.linkedin.com/in/hermannm")</f>
        <v>http://www.linkedin.com/in/hermannm</v>
      </c>
      <c r="I2453" s="2" t="s">
        <v>240</v>
      </c>
      <c r="J2453" s="2" t="s">
        <v>102</v>
      </c>
      <c r="K2453" s="2" t="s">
        <v>3795</v>
      </c>
    </row>
    <row r="2454" ht="15.75" customHeight="1">
      <c r="A2454" s="2">
        <v>884354.0</v>
      </c>
      <c r="B2454" s="2" t="s">
        <v>1618</v>
      </c>
      <c r="C2454" s="2" t="s">
        <v>5629</v>
      </c>
      <c r="D2454" s="2" t="s">
        <v>5630</v>
      </c>
      <c r="E2454" s="2" t="s">
        <v>1797</v>
      </c>
      <c r="F2454" s="2">
        <v>3.0</v>
      </c>
      <c r="G2454" s="2">
        <v>500.0</v>
      </c>
      <c r="H2454" s="3" t="str">
        <f>HYPERLINK("http://www.linkedin.com/pub/rahul-trivedi/B/6B1/B99","http://www.linkedin.com/pub/rahul-trivedi/B/6B1/B99")</f>
        <v>http://www.linkedin.com/pub/rahul-trivedi/B/6B1/B99</v>
      </c>
      <c r="I2454" s="2" t="s">
        <v>48</v>
      </c>
      <c r="J2454" s="2" t="s">
        <v>87</v>
      </c>
      <c r="K2454" s="2" t="s">
        <v>357</v>
      </c>
    </row>
    <row r="2455" ht="15.75" customHeight="1">
      <c r="A2455" s="2">
        <v>884454.0</v>
      </c>
      <c r="B2455" s="2" t="s">
        <v>4793</v>
      </c>
      <c r="C2455" s="2" t="s">
        <v>5631</v>
      </c>
      <c r="D2455" s="2" t="s">
        <v>5632</v>
      </c>
      <c r="E2455" s="2" t="s">
        <v>64</v>
      </c>
      <c r="F2455" s="2">
        <v>1.0</v>
      </c>
      <c r="G2455" s="2">
        <v>500.0</v>
      </c>
      <c r="H2455" s="3" t="str">
        <f>HYPERLINK("http://fr.linkedin.com/in/flaischaker","http://fr.linkedin.com/in/flaischaker")</f>
        <v>http://fr.linkedin.com/in/flaischaker</v>
      </c>
      <c r="I2455" s="2" t="s">
        <v>69</v>
      </c>
      <c r="J2455" s="2" t="s">
        <v>65</v>
      </c>
      <c r="K2455" s="2" t="s">
        <v>35</v>
      </c>
    </row>
    <row r="2456" ht="15.75" customHeight="1">
      <c r="A2456" s="2">
        <v>885882.0</v>
      </c>
      <c r="B2456" s="2" t="s">
        <v>5633</v>
      </c>
      <c r="C2456" s="2" t="s">
        <v>5634</v>
      </c>
      <c r="D2456" s="2" t="s">
        <v>5635</v>
      </c>
      <c r="E2456" s="2" t="s">
        <v>301</v>
      </c>
      <c r="F2456" s="2">
        <v>6.0</v>
      </c>
      <c r="G2456" s="2">
        <v>500.0</v>
      </c>
      <c r="H2456" s="3" t="str">
        <f>HYPERLINK("http://www.linkedin.com/pub/loren-pomerantz/0/15/385","http://www.linkedin.com/pub/loren-pomerantz/0/15/385")</f>
        <v>http://www.linkedin.com/pub/loren-pomerantz/0/15/385</v>
      </c>
      <c r="I2456" s="2" t="s">
        <v>844</v>
      </c>
      <c r="J2456" s="2" t="s">
        <v>102</v>
      </c>
      <c r="K2456" s="2" t="s">
        <v>58</v>
      </c>
    </row>
    <row r="2457" ht="15.75" customHeight="1">
      <c r="A2457" s="2">
        <v>885918.0</v>
      </c>
      <c r="B2457" s="2" t="s">
        <v>1019</v>
      </c>
      <c r="C2457" s="2" t="s">
        <v>1412</v>
      </c>
      <c r="D2457" s="2" t="s">
        <v>13</v>
      </c>
      <c r="E2457" s="2" t="s">
        <v>181</v>
      </c>
      <c r="F2457" s="2">
        <v>19.0</v>
      </c>
      <c r="G2457" s="2">
        <v>500.0</v>
      </c>
      <c r="H2457" s="3" t="str">
        <f>HYPERLINK("http://www.linkedin.com/in/failharder","http://www.linkedin.com/in/failharder")</f>
        <v>http://www.linkedin.com/in/failharder</v>
      </c>
      <c r="I2457" s="2" t="s">
        <v>96</v>
      </c>
      <c r="J2457" s="2" t="s">
        <v>102</v>
      </c>
      <c r="K2457" s="2" t="s">
        <v>58</v>
      </c>
    </row>
    <row r="2458" ht="15.75" customHeight="1">
      <c r="A2458" s="2">
        <v>886975.0</v>
      </c>
      <c r="B2458" s="2" t="s">
        <v>275</v>
      </c>
      <c r="C2458" s="2" t="s">
        <v>1325</v>
      </c>
      <c r="D2458" s="2"/>
      <c r="E2458" s="2" t="s">
        <v>748</v>
      </c>
      <c r="F2458" s="2">
        <v>0.0</v>
      </c>
      <c r="G2458" s="2">
        <v>260.0</v>
      </c>
      <c r="H2458" s="3" t="str">
        <f>HYPERLINK("http://www.linkedin.com/pub/mark-miller/0/23/98","http://www.linkedin.com/pub/mark-miller/0/23/98")</f>
        <v>http://www.linkedin.com/pub/mark-miller/0/23/98</v>
      </c>
      <c r="I2458" s="2" t="s">
        <v>1931</v>
      </c>
      <c r="J2458" s="2" t="s">
        <v>28</v>
      </c>
      <c r="K2458" s="2" t="s">
        <v>58</v>
      </c>
    </row>
    <row r="2459" ht="15.75" customHeight="1">
      <c r="A2459" s="2">
        <v>887263.0</v>
      </c>
      <c r="B2459" s="2" t="s">
        <v>754</v>
      </c>
      <c r="C2459" s="2" t="s">
        <v>5636</v>
      </c>
      <c r="D2459" s="2" t="s">
        <v>5637</v>
      </c>
      <c r="E2459" s="2" t="s">
        <v>136</v>
      </c>
      <c r="F2459" s="2" t="s">
        <v>13</v>
      </c>
      <c r="G2459" s="2">
        <v>231.0</v>
      </c>
      <c r="H2459" s="3" t="str">
        <f>HYPERLINK("http://www.linkedin.com/pub/greg-mcgregor/0/25/B3","http://www.linkedin.com/pub/greg-mcgregor/0/25/B3")</f>
        <v>http://www.linkedin.com/pub/greg-mcgregor/0/25/B3</v>
      </c>
      <c r="I2459" s="2" t="s">
        <v>48</v>
      </c>
      <c r="J2459" s="2" t="s">
        <v>102</v>
      </c>
      <c r="K2459" s="2" t="s">
        <v>35</v>
      </c>
    </row>
    <row r="2460" ht="15.75" customHeight="1">
      <c r="A2460" s="2">
        <v>887442.0</v>
      </c>
      <c r="B2460" s="2" t="s">
        <v>5638</v>
      </c>
      <c r="C2460" s="2" t="s">
        <v>5639</v>
      </c>
      <c r="D2460" s="2" t="s">
        <v>13</v>
      </c>
      <c r="E2460" s="2" t="s">
        <v>397</v>
      </c>
      <c r="F2460" s="2">
        <v>0.0</v>
      </c>
      <c r="G2460" s="2">
        <v>500.0</v>
      </c>
      <c r="H2460" s="3" t="str">
        <f>HYPERLINK("http://www.linkedin.com/in/rassulf","http://www.linkedin.com/in/rassulf")</f>
        <v>http://www.linkedin.com/in/rassulf</v>
      </c>
      <c r="I2460" s="2" t="s">
        <v>15</v>
      </c>
      <c r="J2460" s="2" t="s">
        <v>102</v>
      </c>
      <c r="K2460" s="2" t="s">
        <v>196</v>
      </c>
    </row>
    <row r="2461" ht="15.75" customHeight="1">
      <c r="A2461" s="2">
        <v>888396.0</v>
      </c>
      <c r="B2461" s="2" t="s">
        <v>5640</v>
      </c>
      <c r="C2461" s="2" t="s">
        <v>5641</v>
      </c>
      <c r="D2461" s="2" t="s">
        <v>5642</v>
      </c>
      <c r="E2461" s="2" t="s">
        <v>783</v>
      </c>
      <c r="F2461" s="2">
        <v>1.0</v>
      </c>
      <c r="G2461" s="2">
        <v>500.0</v>
      </c>
      <c r="H2461" s="3" t="str">
        <f>HYPERLINK("http://www.linkedin.com/in/ramakrishnamanchana","http://www.linkedin.com/in/ramakrishnamanchana")</f>
        <v>http://www.linkedin.com/in/ramakrishnamanchana</v>
      </c>
      <c r="I2461" s="2" t="s">
        <v>15</v>
      </c>
      <c r="J2461" s="2" t="s">
        <v>575</v>
      </c>
      <c r="K2461" s="2" t="s">
        <v>22</v>
      </c>
    </row>
    <row r="2462" ht="15.75" customHeight="1">
      <c r="A2462" s="2">
        <v>888453.0</v>
      </c>
      <c r="B2462" s="2" t="s">
        <v>1185</v>
      </c>
      <c r="C2462" s="2" t="s">
        <v>5643</v>
      </c>
      <c r="D2462" s="2" t="s">
        <v>47</v>
      </c>
      <c r="E2462" s="2" t="s">
        <v>136</v>
      </c>
      <c r="F2462" s="2">
        <v>1.0</v>
      </c>
      <c r="G2462" s="2">
        <v>500.0</v>
      </c>
      <c r="H2462" s="3" t="str">
        <f>HYPERLINK("http://www.linkedin.com/in/xavierdamman","http://www.linkedin.com/in/xavierdamman")</f>
        <v>http://www.linkedin.com/in/xavierdamman</v>
      </c>
      <c r="I2462" s="2" t="s">
        <v>15</v>
      </c>
      <c r="J2462" s="2" t="s">
        <v>102</v>
      </c>
      <c r="K2462" s="2" t="s">
        <v>35</v>
      </c>
    </row>
    <row r="2463" ht="15.75" customHeight="1">
      <c r="A2463" s="2">
        <v>889623.0</v>
      </c>
      <c r="B2463" s="2" t="s">
        <v>511</v>
      </c>
      <c r="C2463" s="2" t="s">
        <v>5644</v>
      </c>
      <c r="D2463" s="2" t="s">
        <v>47</v>
      </c>
      <c r="E2463" s="2" t="s">
        <v>136</v>
      </c>
      <c r="F2463" s="2">
        <v>5.0</v>
      </c>
      <c r="G2463" s="2">
        <v>500.0</v>
      </c>
      <c r="H2463" s="3" t="str">
        <f>HYPERLINK("http://www.linkedin.com/in/masyiek","http://www.linkedin.com/in/masyiek")</f>
        <v>http://www.linkedin.com/in/masyiek</v>
      </c>
      <c r="I2463" s="2" t="s">
        <v>119</v>
      </c>
      <c r="J2463" s="2" t="s">
        <v>102</v>
      </c>
      <c r="K2463" s="2" t="s">
        <v>97</v>
      </c>
    </row>
    <row r="2464" ht="15.75" customHeight="1">
      <c r="A2464" s="2">
        <v>889737.0</v>
      </c>
      <c r="B2464" s="2" t="s">
        <v>721</v>
      </c>
      <c r="C2464" s="2" t="s">
        <v>2095</v>
      </c>
      <c r="D2464" s="2" t="s">
        <v>5645</v>
      </c>
      <c r="E2464" s="2" t="s">
        <v>5646</v>
      </c>
      <c r="F2464" s="2">
        <v>8.0</v>
      </c>
      <c r="G2464" s="2">
        <v>480.0</v>
      </c>
      <c r="H2464" s="3" t="str">
        <f>HYPERLINK("http://www.linkedin.com/in/andrewreid13","http://www.linkedin.com/in/andrewreid13")</f>
        <v>http://www.linkedin.com/in/andrewreid13</v>
      </c>
      <c r="I2464" s="2" t="s">
        <v>15</v>
      </c>
      <c r="J2464" s="2" t="s">
        <v>273</v>
      </c>
      <c r="K2464" s="2" t="s">
        <v>2373</v>
      </c>
    </row>
    <row r="2465" ht="15.75" customHeight="1">
      <c r="A2465" s="2">
        <v>890026.0</v>
      </c>
      <c r="B2465" s="2" t="s">
        <v>3664</v>
      </c>
      <c r="C2465" s="2" t="s">
        <v>4234</v>
      </c>
      <c r="D2465" s="2" t="s">
        <v>5647</v>
      </c>
      <c r="E2465" s="2" t="s">
        <v>136</v>
      </c>
      <c r="F2465" s="2">
        <v>21.0</v>
      </c>
      <c r="G2465" s="2">
        <v>500.0</v>
      </c>
      <c r="H2465" s="3" t="str">
        <f>HYPERLINK("http://www.linkedin.com/in/christinehsu","http://www.linkedin.com/in/christinehsu")</f>
        <v>http://www.linkedin.com/in/christinehsu</v>
      </c>
      <c r="I2465" s="2" t="s">
        <v>475</v>
      </c>
      <c r="J2465" s="2" t="s">
        <v>102</v>
      </c>
      <c r="K2465" s="2" t="s">
        <v>58</v>
      </c>
    </row>
    <row r="2466" ht="15.75" customHeight="1">
      <c r="A2466" s="2">
        <v>891419.0</v>
      </c>
      <c r="B2466" s="2" t="s">
        <v>710</v>
      </c>
      <c r="C2466" s="2" t="s">
        <v>5648</v>
      </c>
      <c r="D2466" s="2" t="s">
        <v>5649</v>
      </c>
      <c r="E2466" s="2" t="s">
        <v>5650</v>
      </c>
      <c r="F2466" s="2">
        <v>0.0</v>
      </c>
      <c r="G2466" s="2">
        <v>313.0</v>
      </c>
      <c r="H2466" s="3" t="str">
        <f>HYPERLINK("http://www.linkedin.com/pub/jason-pethick/11/792/A9A","http://www.linkedin.com/pub/jason-pethick/11/792/A9A")</f>
        <v>http://www.linkedin.com/pub/jason-pethick/11/792/A9A</v>
      </c>
      <c r="I2466" s="2" t="s">
        <v>681</v>
      </c>
      <c r="J2466" s="2" t="s">
        <v>5651</v>
      </c>
      <c r="K2466" s="2" t="s">
        <v>22</v>
      </c>
    </row>
    <row r="2467" ht="15.75" customHeight="1">
      <c r="A2467" s="2">
        <v>891492.0</v>
      </c>
      <c r="B2467" s="2" t="s">
        <v>5652</v>
      </c>
      <c r="C2467" s="2" t="s">
        <v>5653</v>
      </c>
      <c r="D2467" s="2" t="s">
        <v>5654</v>
      </c>
      <c r="E2467" s="2" t="s">
        <v>748</v>
      </c>
      <c r="F2467" s="2">
        <v>3.0</v>
      </c>
      <c r="G2467" s="2">
        <v>54.0</v>
      </c>
      <c r="H2467" s="3" t="str">
        <f>HYPERLINK("http://www.linkedin.com/in/preciseedit","http://www.linkedin.com/in/preciseedit")</f>
        <v>http://www.linkedin.com/in/preciseedit</v>
      </c>
      <c r="I2467" s="2" t="s">
        <v>2285</v>
      </c>
      <c r="J2467" s="2" t="s">
        <v>28</v>
      </c>
      <c r="K2467" s="2" t="s">
        <v>29</v>
      </c>
    </row>
    <row r="2468" ht="15.75" customHeight="1">
      <c r="A2468" s="2">
        <v>891721.0</v>
      </c>
      <c r="B2468" s="2" t="s">
        <v>1173</v>
      </c>
      <c r="C2468" s="2" t="s">
        <v>5655</v>
      </c>
      <c r="D2468" s="2" t="s">
        <v>42</v>
      </c>
      <c r="E2468" s="2" t="s">
        <v>1009</v>
      </c>
      <c r="F2468" s="2">
        <v>2.0</v>
      </c>
      <c r="G2468" s="2">
        <v>500.0</v>
      </c>
      <c r="H2468" s="3" t="str">
        <f>HYPERLINK("http://www.linkedin.com/pub/steve-mougeotte/4/211/2A9","http://www.linkedin.com/pub/steve-mougeotte/4/211/2A9")</f>
        <v>http://www.linkedin.com/pub/steve-mougeotte/4/211/2A9</v>
      </c>
      <c r="I2468" s="2" t="s">
        <v>105</v>
      </c>
      <c r="J2468" s="2" t="s">
        <v>87</v>
      </c>
      <c r="K2468" s="2" t="s">
        <v>357</v>
      </c>
    </row>
    <row r="2469" ht="15.75" customHeight="1">
      <c r="A2469" s="2">
        <v>891810.0</v>
      </c>
      <c r="B2469" s="2" t="s">
        <v>1275</v>
      </c>
      <c r="C2469" s="2" t="s">
        <v>5656</v>
      </c>
      <c r="D2469" s="2" t="s">
        <v>517</v>
      </c>
      <c r="E2469" s="2" t="s">
        <v>5657</v>
      </c>
      <c r="F2469" s="2">
        <v>15.0</v>
      </c>
      <c r="G2469" s="2">
        <v>500.0</v>
      </c>
      <c r="H2469" s="3" t="str">
        <f>HYPERLINK("http://www.linkedin.com/pub/brad-hartenstein/B/377/B52","http://www.linkedin.com/pub/brad-hartenstein/B/377/B52")</f>
        <v>http://www.linkedin.com/pub/brad-hartenstein/B/377/B52</v>
      </c>
      <c r="I2469" s="2" t="s">
        <v>629</v>
      </c>
      <c r="J2469" s="2" t="s">
        <v>102</v>
      </c>
      <c r="K2469" s="2" t="s">
        <v>138</v>
      </c>
    </row>
    <row r="2470" ht="15.75" customHeight="1">
      <c r="A2470" s="2">
        <v>891956.0</v>
      </c>
      <c r="B2470" s="2" t="s">
        <v>5658</v>
      </c>
      <c r="C2470" s="2" t="s">
        <v>5659</v>
      </c>
      <c r="D2470" s="2" t="s">
        <v>13</v>
      </c>
      <c r="E2470" s="2" t="s">
        <v>5660</v>
      </c>
      <c r="F2470" s="2">
        <v>0.0</v>
      </c>
      <c r="G2470" s="2">
        <v>500.0</v>
      </c>
      <c r="H2470" s="3" t="str">
        <f>HYPERLINK("http://www.linkedin.com/pub/satish-matcha-itil%C2%AE-expert-pmp%C2%AE-csm/7/379/150","http://www.linkedin.com/pub/satish-matcha-itil%C2%AE-expert-pmp%C2%AE-csm/7/379/150")</f>
        <v>http://www.linkedin.com/pub/satish-matcha-itil%C2%AE-expert-pmp%C2%AE-csm/7/379/150</v>
      </c>
      <c r="I2470" s="2" t="s">
        <v>15</v>
      </c>
      <c r="J2470" s="2" t="s">
        <v>87</v>
      </c>
      <c r="K2470" s="2" t="s">
        <v>35</v>
      </c>
    </row>
    <row r="2471" ht="15.75" customHeight="1">
      <c r="A2471" s="2">
        <v>893954.0</v>
      </c>
      <c r="B2471" s="2" t="s">
        <v>471</v>
      </c>
      <c r="C2471" s="2" t="s">
        <v>1456</v>
      </c>
      <c r="D2471" s="2" t="s">
        <v>517</v>
      </c>
      <c r="E2471" s="2" t="s">
        <v>4084</v>
      </c>
      <c r="F2471" s="2">
        <v>2.0</v>
      </c>
      <c r="G2471" s="2">
        <v>500.0</v>
      </c>
      <c r="H2471" s="3" t="str">
        <f>HYPERLINK("http://www.linkedin.com/pub/dan-anderson/4/850/B1B","http://www.linkedin.com/pub/dan-anderson/4/850/B1B")</f>
        <v>http://www.linkedin.com/pub/dan-anderson/4/850/B1B</v>
      </c>
      <c r="I2471" s="2" t="s">
        <v>48</v>
      </c>
      <c r="J2471" s="2" t="s">
        <v>102</v>
      </c>
      <c r="K2471" s="2" t="s">
        <v>35</v>
      </c>
    </row>
    <row r="2472" ht="15.75" customHeight="1">
      <c r="A2472" s="2">
        <v>894610.0</v>
      </c>
      <c r="B2472" s="2" t="s">
        <v>842</v>
      </c>
      <c r="C2472" s="2" t="s">
        <v>5661</v>
      </c>
      <c r="D2472" s="2" t="s">
        <v>4709</v>
      </c>
      <c r="E2472" s="2" t="s">
        <v>301</v>
      </c>
      <c r="F2472" s="2">
        <v>4.0</v>
      </c>
      <c r="G2472" s="2">
        <v>417.0</v>
      </c>
      <c r="H2472" s="3" t="str">
        <f>HYPERLINK("http://www.linkedin.com/pub/stuart-baronofsky/3/506/914","http://www.linkedin.com/pub/stuart-baronofsky/3/506/914")</f>
        <v>http://www.linkedin.com/pub/stuart-baronofsky/3/506/914</v>
      </c>
      <c r="I2472" s="2" t="s">
        <v>1094</v>
      </c>
      <c r="J2472" s="2" t="s">
        <v>102</v>
      </c>
      <c r="K2472" s="2" t="s">
        <v>138</v>
      </c>
    </row>
    <row r="2473" ht="15.75" customHeight="1">
      <c r="A2473" s="2">
        <v>894750.0</v>
      </c>
      <c r="B2473" s="2" t="s">
        <v>1786</v>
      </c>
      <c r="C2473" s="2" t="s">
        <v>5662</v>
      </c>
      <c r="D2473" s="2" t="s">
        <v>5663</v>
      </c>
      <c r="E2473" s="2" t="s">
        <v>3148</v>
      </c>
      <c r="F2473" s="2" t="s">
        <v>13</v>
      </c>
      <c r="G2473" s="2">
        <v>500.0</v>
      </c>
      <c r="H2473" s="3" t="str">
        <f>HYPERLINK("http://www.linkedin.com/pub/marilyn-kail/10/13B/104","http://www.linkedin.com/pub/marilyn-kail/10/13B/104")</f>
        <v>http://www.linkedin.com/pub/marilyn-kail/10/13B/104</v>
      </c>
      <c r="I2473" s="2" t="s">
        <v>240</v>
      </c>
      <c r="J2473" s="2" t="s">
        <v>102</v>
      </c>
      <c r="K2473" s="2" t="s">
        <v>183</v>
      </c>
    </row>
    <row r="2474" ht="15.75" customHeight="1">
      <c r="A2474" s="2">
        <v>895214.0</v>
      </c>
      <c r="B2474" s="2" t="s">
        <v>5664</v>
      </c>
      <c r="C2474" s="2" t="s">
        <v>5665</v>
      </c>
      <c r="D2474" s="2" t="s">
        <v>5666</v>
      </c>
      <c r="E2474" s="2" t="s">
        <v>4030</v>
      </c>
      <c r="F2474" s="2">
        <v>4.0</v>
      </c>
      <c r="G2474" s="2">
        <v>500.0</v>
      </c>
      <c r="H2474" s="3" t="str">
        <f>HYPERLINK("http://www.linkedin.com/in/funbroker","http://www.linkedin.com/in/funbroker")</f>
        <v>http://www.linkedin.com/in/funbroker</v>
      </c>
      <c r="I2474" s="2" t="s">
        <v>1421</v>
      </c>
      <c r="J2474" s="2" t="s">
        <v>273</v>
      </c>
      <c r="K2474" s="2" t="s">
        <v>168</v>
      </c>
    </row>
    <row r="2475" ht="15.75" customHeight="1">
      <c r="A2475" s="2">
        <v>895558.0</v>
      </c>
      <c r="B2475" s="2" t="s">
        <v>2836</v>
      </c>
      <c r="C2475" s="2" t="s">
        <v>5667</v>
      </c>
      <c r="D2475" s="2" t="s">
        <v>5668</v>
      </c>
      <c r="E2475" s="2" t="s">
        <v>783</v>
      </c>
      <c r="F2475" s="2">
        <v>3.0</v>
      </c>
      <c r="G2475" s="2">
        <v>500.0</v>
      </c>
      <c r="H2475" s="3" t="str">
        <f>HYPERLINK("http://in.linkedin.com/in/santoshbc","http://in.linkedin.com/in/santoshbc")</f>
        <v>http://in.linkedin.com/in/santoshbc</v>
      </c>
      <c r="I2475" s="2" t="s">
        <v>132</v>
      </c>
      <c r="J2475" s="2" t="s">
        <v>575</v>
      </c>
      <c r="K2475" s="2" t="s">
        <v>5669</v>
      </c>
    </row>
    <row r="2476" ht="15.75" customHeight="1">
      <c r="A2476" s="2">
        <v>895741.0</v>
      </c>
      <c r="B2476" s="2" t="s">
        <v>1512</v>
      </c>
      <c r="C2476" s="2" t="s">
        <v>5670</v>
      </c>
      <c r="D2476" s="2" t="s">
        <v>5237</v>
      </c>
      <c r="E2476" s="2" t="s">
        <v>720</v>
      </c>
      <c r="F2476" s="2" t="s">
        <v>13</v>
      </c>
      <c r="G2476" s="2">
        <v>500.0</v>
      </c>
      <c r="H2476" s="3" t="str">
        <f>HYPERLINK("http://www.linkedin.com/pub/melissa-evarts-gardner/4/557/B95","http://www.linkedin.com/pub/melissa-evarts-gardner/4/557/B95")</f>
        <v>http://www.linkedin.com/pub/melissa-evarts-gardner/4/557/B95</v>
      </c>
      <c r="I2476" s="2" t="s">
        <v>681</v>
      </c>
      <c r="J2476" s="2" t="s">
        <v>102</v>
      </c>
      <c r="K2476" s="2" t="s">
        <v>58</v>
      </c>
    </row>
    <row r="2477" ht="15.75" customHeight="1">
      <c r="A2477" s="2">
        <v>896106.0</v>
      </c>
      <c r="B2477" s="2" t="s">
        <v>4946</v>
      </c>
      <c r="C2477" s="2" t="s">
        <v>5671</v>
      </c>
      <c r="D2477" s="2" t="s">
        <v>5672</v>
      </c>
      <c r="E2477" s="2" t="s">
        <v>713</v>
      </c>
      <c r="F2477" s="2">
        <v>6.0</v>
      </c>
      <c r="G2477" s="2">
        <v>134.0</v>
      </c>
      <c r="H2477" s="3" t="str">
        <f>HYPERLINK("http://www.linkedin.com/in/lauriedalden","http://www.linkedin.com/in/lauriedalden")</f>
        <v>http://www.linkedin.com/in/lauriedalden</v>
      </c>
      <c r="I2477" s="2" t="s">
        <v>240</v>
      </c>
      <c r="J2477" s="2" t="s">
        <v>102</v>
      </c>
      <c r="K2477" s="2" t="s">
        <v>1191</v>
      </c>
    </row>
    <row r="2478" ht="15.75" customHeight="1">
      <c r="A2478" s="2">
        <v>896190.0</v>
      </c>
      <c r="B2478" s="2" t="s">
        <v>460</v>
      </c>
      <c r="C2478" s="2" t="s">
        <v>5673</v>
      </c>
      <c r="D2478" s="2" t="s">
        <v>4688</v>
      </c>
      <c r="E2478" s="2" t="s">
        <v>5674</v>
      </c>
      <c r="F2478" s="2">
        <v>5.0</v>
      </c>
      <c r="G2478" s="2">
        <v>467.0</v>
      </c>
      <c r="H2478" s="3" t="str">
        <f>HYPERLINK("http://www.linkedin.com/pub/john-maldjian/4/599/696","http://www.linkedin.com/pub/john-maldjian/4/599/696")</f>
        <v>http://www.linkedin.com/pub/john-maldjian/4/599/696</v>
      </c>
      <c r="I2478" s="2" t="s">
        <v>182</v>
      </c>
      <c r="J2478" s="2" t="s">
        <v>273</v>
      </c>
      <c r="K2478" s="2" t="s">
        <v>3138</v>
      </c>
    </row>
    <row r="2479" ht="15.75" customHeight="1">
      <c r="A2479" s="2">
        <v>896290.0</v>
      </c>
      <c r="B2479" s="2" t="s">
        <v>5675</v>
      </c>
      <c r="C2479" s="2" t="s">
        <v>5676</v>
      </c>
      <c r="D2479" s="2" t="s">
        <v>13</v>
      </c>
      <c r="E2479" s="2" t="s">
        <v>2968</v>
      </c>
      <c r="F2479" s="2">
        <v>0.0</v>
      </c>
      <c r="G2479" s="2">
        <v>500.0</v>
      </c>
      <c r="H2479" s="3" t="str">
        <f>HYPERLINK("http://www.linkedin.com/in/elissaklaver","http://www.linkedin.com/in/elissaklaver")</f>
        <v>http://www.linkedin.com/in/elissaklaver</v>
      </c>
      <c r="I2479" s="2" t="s">
        <v>96</v>
      </c>
      <c r="J2479" s="2" t="s">
        <v>102</v>
      </c>
      <c r="K2479" s="2" t="s">
        <v>58</v>
      </c>
    </row>
    <row r="2480" ht="15.75" customHeight="1">
      <c r="A2480" s="2">
        <v>897195.0</v>
      </c>
      <c r="B2480" s="2" t="s">
        <v>5677</v>
      </c>
      <c r="C2480" s="2" t="s">
        <v>5678</v>
      </c>
      <c r="D2480" s="2" t="s">
        <v>304</v>
      </c>
      <c r="E2480" s="2" t="s">
        <v>301</v>
      </c>
      <c r="F2480" s="2">
        <v>3.0</v>
      </c>
      <c r="G2480" s="2">
        <v>500.0</v>
      </c>
      <c r="H2480" s="3" t="str">
        <f>HYPERLINK("http://www.linkedin.com/in/medquest","http://www.linkedin.com/in/medquest")</f>
        <v>http://www.linkedin.com/in/medquest</v>
      </c>
      <c r="I2480" s="2" t="s">
        <v>248</v>
      </c>
      <c r="J2480" s="2" t="s">
        <v>102</v>
      </c>
      <c r="K2480" s="2" t="s">
        <v>196</v>
      </c>
    </row>
    <row r="2481" ht="15.75" customHeight="1">
      <c r="A2481" s="2">
        <v>898080.0</v>
      </c>
      <c r="B2481" s="2" t="s">
        <v>4488</v>
      </c>
      <c r="C2481" s="2" t="s">
        <v>5679</v>
      </c>
      <c r="D2481" s="2" t="s">
        <v>5680</v>
      </c>
      <c r="E2481" s="2" t="s">
        <v>762</v>
      </c>
      <c r="F2481" s="2">
        <v>1.0</v>
      </c>
      <c r="G2481" s="2">
        <v>500.0</v>
      </c>
      <c r="H2481" s="3" t="str">
        <f>HYPERLINK("http://www.linkedin.com/pub/heather-hinton/1/191/973","http://www.linkedin.com/pub/heather-hinton/1/191/973")</f>
        <v>http://www.linkedin.com/pub/heather-hinton/1/191/973</v>
      </c>
      <c r="I2481" s="2" t="s">
        <v>15</v>
      </c>
      <c r="J2481" s="2" t="s">
        <v>102</v>
      </c>
      <c r="K2481" s="2" t="s">
        <v>35</v>
      </c>
    </row>
    <row r="2482" ht="15.75" customHeight="1">
      <c r="A2482" s="2">
        <v>898417.0</v>
      </c>
      <c r="B2482" s="2" t="s">
        <v>5681</v>
      </c>
      <c r="C2482" s="2" t="s">
        <v>292</v>
      </c>
      <c r="D2482" s="2" t="s">
        <v>5682</v>
      </c>
      <c r="E2482" s="2" t="s">
        <v>259</v>
      </c>
      <c r="F2482" s="2">
        <v>0.0</v>
      </c>
      <c r="G2482" s="2">
        <v>500.0</v>
      </c>
      <c r="H2482" s="3" t="str">
        <f>HYPERLINK("http://www.linkedin.com/in/damiandsmith","http://www.linkedin.com/in/damiandsmith")</f>
        <v>http://www.linkedin.com/in/damiandsmith</v>
      </c>
      <c r="I2482" s="2" t="s">
        <v>57</v>
      </c>
      <c r="J2482" s="2" t="s">
        <v>144</v>
      </c>
      <c r="K2482" s="2" t="s">
        <v>29</v>
      </c>
    </row>
    <row r="2483" ht="15.75" customHeight="1">
      <c r="A2483" s="2">
        <v>898697.0</v>
      </c>
      <c r="B2483" s="2" t="s">
        <v>721</v>
      </c>
      <c r="C2483" s="2" t="s">
        <v>5683</v>
      </c>
      <c r="D2483" s="2" t="s">
        <v>5684</v>
      </c>
      <c r="E2483" s="2" t="s">
        <v>136</v>
      </c>
      <c r="F2483" s="2" t="s">
        <v>13</v>
      </c>
      <c r="G2483" s="2">
        <v>500.0</v>
      </c>
      <c r="H2483" s="3" t="str">
        <f>HYPERLINK("http://www.linkedin.com/pub/andrew-housser/0/104/112","http://www.linkedin.com/pub/andrew-housser/0/104/112")</f>
        <v>http://www.linkedin.com/pub/andrew-housser/0/104/112</v>
      </c>
      <c r="I2483" s="2" t="s">
        <v>279</v>
      </c>
      <c r="J2483" s="2" t="s">
        <v>102</v>
      </c>
      <c r="K2483" s="2" t="s">
        <v>58</v>
      </c>
    </row>
    <row r="2484" ht="15.75" customHeight="1">
      <c r="A2484" s="2">
        <v>898967.0</v>
      </c>
      <c r="B2484" s="2" t="s">
        <v>5685</v>
      </c>
      <c r="C2484" s="2" t="s">
        <v>5686</v>
      </c>
      <c r="D2484" s="2" t="s">
        <v>5687</v>
      </c>
      <c r="E2484" s="2" t="s">
        <v>5688</v>
      </c>
      <c r="F2484" s="2">
        <v>0.0</v>
      </c>
      <c r="G2484" s="2">
        <v>500.0</v>
      </c>
      <c r="H2484" s="3" t="str">
        <f>HYPERLINK("http://www.linkedin.com/in/clydeleverett","http://www.linkedin.com/in/clydeleverett")</f>
        <v>http://www.linkedin.com/in/clydeleverett</v>
      </c>
      <c r="I2484" s="2" t="s">
        <v>279</v>
      </c>
      <c r="J2484" s="2" t="s">
        <v>16</v>
      </c>
      <c r="K2484" s="2" t="s">
        <v>522</v>
      </c>
    </row>
    <row r="2485" ht="15.75" customHeight="1">
      <c r="A2485" s="2">
        <v>899109.0</v>
      </c>
      <c r="B2485" s="2" t="s">
        <v>5689</v>
      </c>
      <c r="C2485" s="2" t="s">
        <v>5690</v>
      </c>
      <c r="D2485" s="2" t="s">
        <v>5691</v>
      </c>
      <c r="E2485" s="2" t="s">
        <v>491</v>
      </c>
      <c r="F2485" s="2" t="s">
        <v>13</v>
      </c>
      <c r="G2485" s="2">
        <v>429.0</v>
      </c>
      <c r="H2485" s="3" t="str">
        <f>HYPERLINK("http://es.linkedin.com/pub/crist%C3%B3bal-moreno-mart%C3%ADnez/1A/BA0/13B","http://es.linkedin.com/pub/crist%C3%B3bal-moreno-mart%C3%ADnez/1A/BA0/13B")</f>
        <v>http://es.linkedin.com/pub/crist%C3%B3bal-moreno-mart%C3%ADnez/1A/BA0/13B</v>
      </c>
      <c r="I2485" s="2" t="s">
        <v>15</v>
      </c>
      <c r="J2485" s="2" t="s">
        <v>220</v>
      </c>
      <c r="K2485" s="2" t="s">
        <v>35</v>
      </c>
    </row>
    <row r="2486" ht="15.75" customHeight="1">
      <c r="A2486" s="2">
        <v>899188.0</v>
      </c>
      <c r="B2486" s="2" t="s">
        <v>5692</v>
      </c>
      <c r="C2486" s="2" t="s">
        <v>5693</v>
      </c>
      <c r="D2486" s="2" t="s">
        <v>5694</v>
      </c>
      <c r="E2486" s="2" t="s">
        <v>713</v>
      </c>
      <c r="F2486" s="2">
        <v>3.0</v>
      </c>
      <c r="G2486" s="2">
        <v>500.0</v>
      </c>
      <c r="H2486" s="3" t="str">
        <f>HYPERLINK("http://www.linkedin.com/in/mpiskorski","http://www.linkedin.com/in/mpiskorski")</f>
        <v>http://www.linkedin.com/in/mpiskorski</v>
      </c>
      <c r="I2486" s="2" t="s">
        <v>240</v>
      </c>
      <c r="J2486" s="2" t="s">
        <v>102</v>
      </c>
      <c r="K2486" s="2" t="s">
        <v>183</v>
      </c>
    </row>
    <row r="2487" ht="15.75" customHeight="1">
      <c r="A2487" s="2">
        <v>899315.0</v>
      </c>
      <c r="B2487" s="2" t="s">
        <v>5695</v>
      </c>
      <c r="C2487" s="2" t="s">
        <v>1588</v>
      </c>
      <c r="D2487" s="2" t="s">
        <v>5696</v>
      </c>
      <c r="E2487" s="2" t="s">
        <v>1305</v>
      </c>
      <c r="F2487" s="2">
        <v>14.0</v>
      </c>
      <c r="G2487" s="2">
        <v>500.0</v>
      </c>
      <c r="H2487" s="3" t="str">
        <f>HYPERLINK("http://www.linkedin.com/in/phillipjbarnes","http://www.linkedin.com/in/phillipjbarnes")</f>
        <v>http://www.linkedin.com/in/phillipjbarnes</v>
      </c>
      <c r="I2487" s="2" t="s">
        <v>5697</v>
      </c>
      <c r="J2487" s="2" t="s">
        <v>273</v>
      </c>
      <c r="K2487" s="2" t="s">
        <v>1386</v>
      </c>
    </row>
    <row r="2488" ht="15.75" customHeight="1">
      <c r="A2488" s="2">
        <v>899325.0</v>
      </c>
      <c r="B2488" s="2" t="s">
        <v>4590</v>
      </c>
      <c r="C2488" s="2" t="s">
        <v>5698</v>
      </c>
      <c r="D2488" s="2"/>
      <c r="E2488" s="2" t="s">
        <v>748</v>
      </c>
      <c r="F2488" s="2">
        <v>1.0</v>
      </c>
      <c r="G2488" s="2">
        <v>119.0</v>
      </c>
      <c r="H2488" s="3" t="str">
        <f>HYPERLINK("http://www.linkedin.com/pub/eileen-gorman/0/29B/B3A","http://www.linkedin.com/pub/eileen-gorman/0/29B/B3A")</f>
        <v>http://www.linkedin.com/pub/eileen-gorman/0/29B/B3A</v>
      </c>
      <c r="I2488" s="2" t="s">
        <v>57</v>
      </c>
      <c r="J2488" s="2" t="s">
        <v>28</v>
      </c>
      <c r="K2488" s="2" t="s">
        <v>168</v>
      </c>
    </row>
    <row r="2489" ht="15.75" customHeight="1">
      <c r="A2489" s="2">
        <v>899786.0</v>
      </c>
      <c r="B2489" s="2" t="s">
        <v>839</v>
      </c>
      <c r="C2489" s="2" t="s">
        <v>5699</v>
      </c>
      <c r="D2489" s="2" t="s">
        <v>5700</v>
      </c>
      <c r="E2489" s="2" t="s">
        <v>136</v>
      </c>
      <c r="F2489" s="2" t="s">
        <v>13</v>
      </c>
      <c r="G2489" s="2">
        <v>500.0</v>
      </c>
      <c r="H2489" s="3" t="str">
        <f>HYPERLINK("http://www.linkedin.com/in/davefrechette","http://www.linkedin.com/in/davefrechette")</f>
        <v>http://www.linkedin.com/in/davefrechette</v>
      </c>
      <c r="I2489" s="2" t="s">
        <v>48</v>
      </c>
      <c r="J2489" s="2" t="s">
        <v>102</v>
      </c>
      <c r="K2489" s="2" t="s">
        <v>35</v>
      </c>
    </row>
    <row r="2490" ht="15.75" customHeight="1">
      <c r="A2490" s="2">
        <v>899893.0</v>
      </c>
      <c r="B2490" s="2" t="s">
        <v>5701</v>
      </c>
      <c r="C2490" s="2" t="s">
        <v>308</v>
      </c>
      <c r="D2490" s="2" t="s">
        <v>5702</v>
      </c>
      <c r="E2490" s="2" t="s">
        <v>2835</v>
      </c>
      <c r="F2490" s="2">
        <v>2.0</v>
      </c>
      <c r="G2490" s="2">
        <v>234.0</v>
      </c>
      <c r="H2490" s="3" t="str">
        <f>HYPERLINK("http://www.linkedin.com/in/shalugupta","http://www.linkedin.com/in/shalugupta")</f>
        <v>http://www.linkedin.com/in/shalugupta</v>
      </c>
      <c r="I2490" s="2" t="s">
        <v>225</v>
      </c>
      <c r="J2490" s="2" t="s">
        <v>273</v>
      </c>
      <c r="K2490" s="2" t="s">
        <v>2031</v>
      </c>
    </row>
    <row r="2491" ht="15.75" customHeight="1">
      <c r="A2491" s="2">
        <v>900068.0</v>
      </c>
      <c r="B2491" s="2" t="s">
        <v>460</v>
      </c>
      <c r="C2491" s="2" t="s">
        <v>5703</v>
      </c>
      <c r="D2491" s="2" t="s">
        <v>4915</v>
      </c>
      <c r="E2491" s="2" t="s">
        <v>5704</v>
      </c>
      <c r="F2491" s="2">
        <v>4.0</v>
      </c>
      <c r="G2491" s="2">
        <v>500.0</v>
      </c>
      <c r="H2491" s="3" t="str">
        <f>HYPERLINK("http://www.linkedin.com/pub/john-pelkonen/0/64A/A3","http://www.linkedin.com/pub/john-pelkonen/0/64A/A3")</f>
        <v>http://www.linkedin.com/pub/john-pelkonen/0/64A/A3</v>
      </c>
      <c r="I2491" s="2" t="s">
        <v>15</v>
      </c>
      <c r="J2491" s="2" t="s">
        <v>16</v>
      </c>
      <c r="K2491" s="2" t="s">
        <v>22</v>
      </c>
    </row>
    <row r="2492" ht="15.75" customHeight="1">
      <c r="A2492" s="2">
        <v>900434.0</v>
      </c>
      <c r="B2492" s="2" t="s">
        <v>5705</v>
      </c>
      <c r="C2492" s="2" t="s">
        <v>5706</v>
      </c>
      <c r="D2492" s="2" t="s">
        <v>1320</v>
      </c>
      <c r="E2492" s="2" t="s">
        <v>804</v>
      </c>
      <c r="F2492" s="2">
        <v>1.0</v>
      </c>
      <c r="G2492" s="2">
        <v>500.0</v>
      </c>
      <c r="H2492" s="3" t="str">
        <f>HYPERLINK("http://www.linkedin.com/in/kchopson","http://www.linkedin.com/in/kchopson")</f>
        <v>http://www.linkedin.com/in/kchopson</v>
      </c>
      <c r="I2492" s="2" t="s">
        <v>48</v>
      </c>
      <c r="J2492" s="2" t="s">
        <v>102</v>
      </c>
      <c r="K2492" s="2" t="s">
        <v>35</v>
      </c>
    </row>
    <row r="2493" ht="15.75" customHeight="1">
      <c r="A2493" s="2">
        <v>900566.0</v>
      </c>
      <c r="B2493" s="2" t="s">
        <v>404</v>
      </c>
      <c r="C2493" s="2" t="s">
        <v>5707</v>
      </c>
      <c r="D2493" s="2" t="s">
        <v>42</v>
      </c>
      <c r="E2493" s="2" t="s">
        <v>142</v>
      </c>
      <c r="F2493" s="2">
        <v>0.0</v>
      </c>
      <c r="G2493" s="2">
        <v>169.0</v>
      </c>
      <c r="H2493" s="3" t="str">
        <f>HYPERLINK("http://www.linkedin.com/pub/robin-hsueh/4/792/B56","http://www.linkedin.com/pub/robin-hsueh/4/792/B56")</f>
        <v>http://www.linkedin.com/pub/robin-hsueh/4/792/B56</v>
      </c>
      <c r="I2493" s="2" t="s">
        <v>48</v>
      </c>
      <c r="J2493" s="2" t="s">
        <v>144</v>
      </c>
      <c r="K2493" s="2" t="s">
        <v>29</v>
      </c>
    </row>
    <row r="2494" ht="15.75" customHeight="1">
      <c r="A2494" s="2">
        <v>901317.0</v>
      </c>
      <c r="B2494" s="2" t="s">
        <v>5708</v>
      </c>
      <c r="C2494" s="2" t="s">
        <v>5709</v>
      </c>
      <c r="D2494" s="2" t="s">
        <v>114</v>
      </c>
      <c r="E2494" s="2" t="s">
        <v>136</v>
      </c>
      <c r="F2494" s="2" t="s">
        <v>13</v>
      </c>
      <c r="G2494" s="2">
        <v>500.0</v>
      </c>
      <c r="H2494" s="3" t="str">
        <f>HYPERLINK("http://www.linkedin.com/in/karelindahl","http://www.linkedin.com/in/karelindahl")</f>
        <v>http://www.linkedin.com/in/karelindahl</v>
      </c>
      <c r="I2494" s="2" t="s">
        <v>873</v>
      </c>
      <c r="J2494" s="2" t="s">
        <v>102</v>
      </c>
      <c r="K2494" s="2" t="s">
        <v>58</v>
      </c>
    </row>
    <row r="2495" ht="15.75" customHeight="1">
      <c r="A2495" s="2">
        <v>901595.0</v>
      </c>
      <c r="B2495" s="2" t="s">
        <v>460</v>
      </c>
      <c r="C2495" s="2" t="s">
        <v>5710</v>
      </c>
      <c r="D2495" s="2" t="s">
        <v>1145</v>
      </c>
      <c r="E2495" s="2" t="s">
        <v>5711</v>
      </c>
      <c r="F2495" s="2">
        <v>3.0</v>
      </c>
      <c r="G2495" s="2">
        <v>500.0</v>
      </c>
      <c r="H2495" s="3" t="str">
        <f>HYPERLINK("http://www.linkedin.com/in/johnvandagriff","http://www.linkedin.com/in/johnvandagriff")</f>
        <v>http://www.linkedin.com/in/johnvandagriff</v>
      </c>
      <c r="I2495" s="2" t="s">
        <v>696</v>
      </c>
      <c r="J2495" s="2" t="s">
        <v>102</v>
      </c>
      <c r="K2495" s="2" t="s">
        <v>5712</v>
      </c>
    </row>
    <row r="2496" ht="15.75" customHeight="1">
      <c r="A2496" s="2">
        <v>902296.0</v>
      </c>
      <c r="B2496" s="2" t="s">
        <v>313</v>
      </c>
      <c r="C2496" s="2" t="s">
        <v>5713</v>
      </c>
      <c r="D2496" s="2" t="s">
        <v>13</v>
      </c>
      <c r="E2496" s="2" t="s">
        <v>4596</v>
      </c>
      <c r="F2496" s="2">
        <v>0.0</v>
      </c>
      <c r="G2496" s="2">
        <v>500.0</v>
      </c>
      <c r="H2496" s="3" t="str">
        <f>HYPERLINK("http://uk.linkedin.com/in/leecorbett","http://uk.linkedin.com/in/leecorbett")</f>
        <v>http://uk.linkedin.com/in/leecorbett</v>
      </c>
      <c r="I2496" s="2" t="s">
        <v>15</v>
      </c>
      <c r="J2496" s="2" t="s">
        <v>53</v>
      </c>
      <c r="K2496" s="2" t="s">
        <v>35</v>
      </c>
    </row>
    <row r="2497" ht="15.75" customHeight="1">
      <c r="A2497" s="2">
        <v>902654.0</v>
      </c>
      <c r="B2497" s="2" t="s">
        <v>5714</v>
      </c>
      <c r="C2497" s="2" t="s">
        <v>5715</v>
      </c>
      <c r="D2497" s="2" t="s">
        <v>100</v>
      </c>
      <c r="E2497" s="2" t="s">
        <v>5716</v>
      </c>
      <c r="F2497" s="2">
        <v>2.0</v>
      </c>
      <c r="G2497" s="2">
        <v>500.0</v>
      </c>
      <c r="H2497" s="3" t="str">
        <f>HYPERLINK("http://uk.linkedin.com/pub/arron-berry/14/3A8/368","http://uk.linkedin.com/pub/arron-berry/14/3A8/368")</f>
        <v>http://uk.linkedin.com/pub/arron-berry/14/3A8/368</v>
      </c>
      <c r="I2497" s="2" t="s">
        <v>248</v>
      </c>
      <c r="J2497" s="2" t="s">
        <v>53</v>
      </c>
      <c r="K2497" s="2" t="s">
        <v>3312</v>
      </c>
    </row>
    <row r="2498" ht="15.75" customHeight="1">
      <c r="A2498" s="2">
        <v>903745.0</v>
      </c>
      <c r="B2498" s="2" t="s">
        <v>5717</v>
      </c>
      <c r="C2498" s="2" t="s">
        <v>740</v>
      </c>
      <c r="D2498" s="2" t="s">
        <v>5718</v>
      </c>
      <c r="E2498" s="2" t="s">
        <v>5719</v>
      </c>
      <c r="F2498" s="2" t="s">
        <v>13</v>
      </c>
      <c r="G2498" s="2">
        <v>127.0</v>
      </c>
      <c r="H2498" s="3" t="str">
        <f>HYPERLINK("http://www.linkedin.com/pub/jailton-silva/24/19A/949","http://www.linkedin.com/pub/jailton-silva/24/19A/949")</f>
        <v>http://www.linkedin.com/pub/jailton-silva/24/19A/949</v>
      </c>
      <c r="I2498" s="2" t="s">
        <v>3890</v>
      </c>
      <c r="J2498" s="2" t="s">
        <v>34</v>
      </c>
      <c r="K2498" s="2" t="s">
        <v>22</v>
      </c>
    </row>
    <row r="2499" ht="15.75" customHeight="1">
      <c r="A2499" s="2">
        <v>903802.0</v>
      </c>
      <c r="B2499" s="2" t="s">
        <v>291</v>
      </c>
      <c r="C2499" s="2" t="s">
        <v>2736</v>
      </c>
      <c r="D2499" s="2"/>
      <c r="E2499" s="2" t="s">
        <v>821</v>
      </c>
      <c r="F2499" s="2">
        <v>13.0</v>
      </c>
      <c r="G2499" s="2">
        <v>500.0</v>
      </c>
      <c r="H2499" s="3" t="str">
        <f>HYPERLINK("http://uk.linkedin.com/in/garysimpson1","http://uk.linkedin.com/in/garysimpson1")</f>
        <v>http://uk.linkedin.com/in/garysimpson1</v>
      </c>
      <c r="I2499" s="2" t="s">
        <v>248</v>
      </c>
      <c r="J2499" s="2" t="s">
        <v>575</v>
      </c>
      <c r="K2499" s="2" t="s">
        <v>522</v>
      </c>
    </row>
    <row r="2500" ht="15.75" customHeight="1">
      <c r="A2500" s="2">
        <v>906302.0</v>
      </c>
      <c r="B2500" s="2" t="s">
        <v>341</v>
      </c>
      <c r="C2500" s="2" t="s">
        <v>5720</v>
      </c>
      <c r="D2500" s="2" t="s">
        <v>13</v>
      </c>
      <c r="E2500" s="2" t="s">
        <v>181</v>
      </c>
      <c r="F2500" s="2">
        <v>0.0</v>
      </c>
      <c r="G2500" s="2">
        <v>500.0</v>
      </c>
      <c r="H2500" s="3" t="str">
        <f>HYPERLINK("http://www.linkedin.com/pub/kevin-singleton/12/176/600","http://www.linkedin.com/pub/kevin-singleton/12/176/600")</f>
        <v>http://www.linkedin.com/pub/kevin-singleton/12/176/600</v>
      </c>
      <c r="I2500" s="2" t="s">
        <v>422</v>
      </c>
      <c r="J2500" s="2" t="s">
        <v>102</v>
      </c>
      <c r="K2500" s="2" t="s">
        <v>974</v>
      </c>
    </row>
    <row r="2501" ht="15.75" customHeight="1">
      <c r="A2501" s="2">
        <v>906439.0</v>
      </c>
      <c r="B2501" s="2" t="s">
        <v>5721</v>
      </c>
      <c r="C2501" s="2" t="s">
        <v>1247</v>
      </c>
      <c r="D2501" s="2" t="s">
        <v>5722</v>
      </c>
      <c r="E2501" s="2" t="s">
        <v>2308</v>
      </c>
      <c r="F2501" s="2">
        <v>4.0</v>
      </c>
      <c r="G2501" s="2">
        <v>500.0</v>
      </c>
      <c r="H2501" s="3" t="str">
        <f>HYPERLINK("http://www.linkedin.com/in/hashimkhan4u","http://www.linkedin.com/in/hashimkhan4u")</f>
        <v>http://www.linkedin.com/in/hashimkhan4u</v>
      </c>
      <c r="I2501" s="2" t="s">
        <v>15</v>
      </c>
      <c r="J2501" s="2" t="s">
        <v>273</v>
      </c>
      <c r="K2501" s="2" t="s">
        <v>1053</v>
      </c>
    </row>
    <row r="2502" ht="15.75" customHeight="1">
      <c r="A2502" s="2">
        <v>5945.0</v>
      </c>
      <c r="B2502" s="2" t="s">
        <v>5723</v>
      </c>
      <c r="C2502" s="2" t="s">
        <v>5724</v>
      </c>
      <c r="D2502" s="2" t="s">
        <v>13</v>
      </c>
      <c r="E2502" s="2" t="s">
        <v>20</v>
      </c>
      <c r="F2502" s="2">
        <v>0.0</v>
      </c>
      <c r="G2502" s="2">
        <v>500.0</v>
      </c>
      <c r="H2502" s="3" t="str">
        <f>HYPERLINK("http://www.linkedin.com/pub/pablo-kraan/4/324/563","http://www.linkedin.com/pub/pablo-kraan/4/324/563")</f>
        <v>http://www.linkedin.com/pub/pablo-kraan/4/324/563</v>
      </c>
      <c r="I2502" s="2" t="s">
        <v>48</v>
      </c>
      <c r="J2502" s="2" t="s">
        <v>21</v>
      </c>
      <c r="K2502" s="2" t="s">
        <v>5725</v>
      </c>
    </row>
    <row r="2503" ht="15.75" customHeight="1">
      <c r="A2503" s="2">
        <v>5983.0</v>
      </c>
      <c r="B2503" s="2" t="s">
        <v>238</v>
      </c>
      <c r="C2503" s="2" t="s">
        <v>5726</v>
      </c>
      <c r="D2503" s="2" t="s">
        <v>13</v>
      </c>
      <c r="E2503" s="2" t="s">
        <v>20</v>
      </c>
      <c r="F2503" s="2">
        <v>2.0</v>
      </c>
      <c r="G2503" s="2">
        <v>500.0</v>
      </c>
      <c r="H2503" s="3" t="str">
        <f>HYPERLINK("http://www.linkedin.com/pub/juan-umaran/0/b6b/b60","http://www.linkedin.com/pub/juan-umaran/0/b6b/b60")</f>
        <v>http://www.linkedin.com/pub/juan-umaran/0/b6b/b60</v>
      </c>
      <c r="I2503" s="2" t="s">
        <v>252</v>
      </c>
      <c r="J2503" s="2" t="s">
        <v>21</v>
      </c>
      <c r="K2503" s="2" t="s">
        <v>5727</v>
      </c>
    </row>
    <row r="2504" ht="15.75" customHeight="1">
      <c r="A2504" s="2">
        <v>6022.0</v>
      </c>
      <c r="B2504" s="2" t="s">
        <v>5728</v>
      </c>
      <c r="C2504" s="2" t="s">
        <v>5729</v>
      </c>
      <c r="D2504" s="2" t="s">
        <v>5730</v>
      </c>
      <c r="E2504" s="2" t="s">
        <v>20</v>
      </c>
      <c r="F2504" s="2">
        <v>2.0</v>
      </c>
      <c r="G2504" s="2">
        <v>217.0</v>
      </c>
      <c r="H2504" s="3" t="str">
        <f>HYPERLINK("http://ar.linkedin.com/pub/maximiliano-marasso/3/A78/6B9","http://ar.linkedin.com/pub/maximiliano-marasso/3/A78/6B9")</f>
        <v>http://ar.linkedin.com/pub/maximiliano-marasso/3/A78/6B9</v>
      </c>
      <c r="I2504" s="2" t="s">
        <v>77</v>
      </c>
      <c r="J2504" s="2" t="s">
        <v>21</v>
      </c>
      <c r="K2504" s="2" t="s">
        <v>5731</v>
      </c>
    </row>
    <row r="2505" ht="15.75" customHeight="1">
      <c r="A2505" s="2">
        <v>6060.0</v>
      </c>
      <c r="B2505" s="2" t="s">
        <v>5732</v>
      </c>
      <c r="C2505" s="2" t="s">
        <v>5733</v>
      </c>
      <c r="D2505" s="2" t="s">
        <v>347</v>
      </c>
      <c r="E2505" s="2" t="s">
        <v>20</v>
      </c>
      <c r="F2505" s="2">
        <v>7.0</v>
      </c>
      <c r="G2505" s="2">
        <v>253.0</v>
      </c>
      <c r="H2505" s="3" t="str">
        <f>HYPERLINK("http://ar.linkedin.com/pub/mart-n-herrero/5/BA0/A7A","http://ar.linkedin.com/pub/mart-n-herrero/5/BA0/A7A")</f>
        <v>http://ar.linkedin.com/pub/mart-n-herrero/5/BA0/A7A</v>
      </c>
      <c r="I2505" s="2" t="s">
        <v>2000</v>
      </c>
      <c r="J2505" s="2" t="s">
        <v>21</v>
      </c>
      <c r="K2505" s="2" t="s">
        <v>5734</v>
      </c>
    </row>
    <row r="2506" ht="15.75" customHeight="1">
      <c r="A2506" s="2">
        <v>6080.0</v>
      </c>
      <c r="B2506" s="2" t="s">
        <v>5735</v>
      </c>
      <c r="C2506" s="2" t="s">
        <v>4481</v>
      </c>
      <c r="D2506" s="2" t="s">
        <v>5736</v>
      </c>
      <c r="E2506" s="2" t="s">
        <v>20</v>
      </c>
      <c r="F2506" s="2">
        <v>2.0</v>
      </c>
      <c r="G2506" s="2">
        <v>165.0</v>
      </c>
      <c r="H2506" s="3" t="str">
        <f>HYPERLINK("http://ar.linkedin.com/pub/german-villar/B/187/B09","http://ar.linkedin.com/pub/german-villar/B/187/B09")</f>
        <v>http://ar.linkedin.com/pub/german-villar/B/187/B09</v>
      </c>
      <c r="I2506" s="2" t="s">
        <v>1698</v>
      </c>
      <c r="J2506" s="2" t="s">
        <v>21</v>
      </c>
      <c r="K2506" s="2" t="s">
        <v>5727</v>
      </c>
    </row>
    <row r="2507" ht="15.75" customHeight="1">
      <c r="A2507" s="2">
        <v>6081.0</v>
      </c>
      <c r="B2507" s="2" t="s">
        <v>5737</v>
      </c>
      <c r="C2507" s="2" t="s">
        <v>5738</v>
      </c>
      <c r="D2507" s="2" t="s">
        <v>5739</v>
      </c>
      <c r="E2507" s="2" t="s">
        <v>219</v>
      </c>
      <c r="F2507" s="2">
        <v>7.0</v>
      </c>
      <c r="G2507" s="2">
        <v>500.0</v>
      </c>
      <c r="H2507" s="3" t="str">
        <f>HYPERLINK("http://www.linkedin.com/in/mcastrofeijoo","http://www.linkedin.com/in/mcastrofeijoo")</f>
        <v>http://www.linkedin.com/in/mcastrofeijoo</v>
      </c>
      <c r="I2507" s="2" t="s">
        <v>458</v>
      </c>
      <c r="J2507" s="2" t="s">
        <v>220</v>
      </c>
      <c r="K2507" s="2" t="s">
        <v>5727</v>
      </c>
    </row>
    <row r="2508" ht="15.75" customHeight="1">
      <c r="A2508" s="2">
        <v>6113.0</v>
      </c>
      <c r="B2508" s="2" t="s">
        <v>5740</v>
      </c>
      <c r="C2508" s="2" t="s">
        <v>5741</v>
      </c>
      <c r="D2508" s="2" t="s">
        <v>5742</v>
      </c>
      <c r="E2508" s="2" t="s">
        <v>20</v>
      </c>
      <c r="F2508" s="2">
        <v>5.0</v>
      </c>
      <c r="G2508" s="2">
        <v>500.0</v>
      </c>
      <c r="H2508" s="3" t="str">
        <f>HYPERLINK("http://ar.linkedin.com/pub/alberto-sirvent/4/9A7/B37","http://ar.linkedin.com/pub/alberto-sirvent/4/9A7/B37")</f>
        <v>http://ar.linkedin.com/pub/alberto-sirvent/4/9A7/B37</v>
      </c>
      <c r="I2508" s="2" t="s">
        <v>1679</v>
      </c>
      <c r="J2508" s="2" t="s">
        <v>21</v>
      </c>
      <c r="K2508" s="2" t="s">
        <v>5743</v>
      </c>
    </row>
    <row r="2509" ht="15.75" customHeight="1">
      <c r="A2509" s="2">
        <v>6134.0</v>
      </c>
      <c r="B2509" s="2" t="s">
        <v>5744</v>
      </c>
      <c r="C2509" s="2" t="s">
        <v>5745</v>
      </c>
      <c r="D2509" s="2" t="s">
        <v>5746</v>
      </c>
      <c r="E2509" s="2" t="s">
        <v>20</v>
      </c>
      <c r="F2509" s="2">
        <v>31.0</v>
      </c>
      <c r="G2509" s="2">
        <v>500.0</v>
      </c>
      <c r="H2509" s="3" t="str">
        <f>HYPERLINK("http://ar.linkedin.com/in/diegoo","http://ar.linkedin.com/in/diegoo")</f>
        <v>http://ar.linkedin.com/in/diegoo</v>
      </c>
      <c r="I2509" s="2" t="s">
        <v>279</v>
      </c>
      <c r="J2509" s="2" t="s">
        <v>21</v>
      </c>
      <c r="K2509" s="2" t="s">
        <v>5747</v>
      </c>
    </row>
    <row r="2510" ht="15.75" customHeight="1">
      <c r="A2510" s="2">
        <v>6152.0</v>
      </c>
      <c r="B2510" s="2" t="s">
        <v>862</v>
      </c>
      <c r="C2510" s="2" t="s">
        <v>5748</v>
      </c>
      <c r="D2510" s="2" t="s">
        <v>5749</v>
      </c>
      <c r="E2510" s="2" t="s">
        <v>20</v>
      </c>
      <c r="F2510" s="2">
        <v>3.0</v>
      </c>
      <c r="G2510" s="2">
        <v>273.0</v>
      </c>
      <c r="H2510" s="3" t="str">
        <f>HYPERLINK("http://ar.linkedin.com/in/achtig","http://ar.linkedin.com/in/achtig")</f>
        <v>http://ar.linkedin.com/in/achtig</v>
      </c>
      <c r="I2510" s="2" t="s">
        <v>306</v>
      </c>
      <c r="J2510" s="2" t="s">
        <v>21</v>
      </c>
      <c r="K2510" s="2" t="s">
        <v>5727</v>
      </c>
    </row>
    <row r="2511" ht="15.75" customHeight="1">
      <c r="A2511" s="2">
        <v>6172.0</v>
      </c>
      <c r="B2511" s="2" t="s">
        <v>3550</v>
      </c>
      <c r="C2511" s="2" t="s">
        <v>5750</v>
      </c>
      <c r="D2511" s="2" t="s">
        <v>5751</v>
      </c>
      <c r="E2511" s="2" t="s">
        <v>20</v>
      </c>
      <c r="F2511" s="2">
        <v>2.0</v>
      </c>
      <c r="G2511" s="2">
        <v>89.0</v>
      </c>
      <c r="H2511" s="3" t="str">
        <f>HYPERLINK("http://ar.linkedin.com/pub/nicolas-capati/B/27B/277","http://ar.linkedin.com/pub/nicolas-capati/B/27B/277")</f>
        <v>http://ar.linkedin.com/pub/nicolas-capati/B/27B/277</v>
      </c>
      <c r="I2511" s="2" t="s">
        <v>579</v>
      </c>
      <c r="J2511" s="2" t="s">
        <v>21</v>
      </c>
      <c r="K2511" s="2" t="s">
        <v>5731</v>
      </c>
    </row>
    <row r="2512" ht="15.75" customHeight="1">
      <c r="A2512" s="2">
        <v>6186.0</v>
      </c>
      <c r="B2512" s="2" t="s">
        <v>45</v>
      </c>
      <c r="C2512" s="2" t="s">
        <v>5752</v>
      </c>
      <c r="D2512" s="2" t="s">
        <v>5753</v>
      </c>
      <c r="E2512" s="2" t="s">
        <v>20</v>
      </c>
      <c r="F2512" s="2">
        <v>2.0</v>
      </c>
      <c r="G2512" s="2">
        <v>259.0</v>
      </c>
      <c r="H2512" s="3" t="str">
        <f>HYPERLINK("http://ar.linkedin.com/pub/carlos-lobalzo/7/627/3AB","http://ar.linkedin.com/pub/carlos-lobalzo/7/627/3AB")</f>
        <v>http://ar.linkedin.com/pub/carlos-lobalzo/7/627/3AB</v>
      </c>
      <c r="I2512" s="2" t="s">
        <v>279</v>
      </c>
      <c r="J2512" s="2" t="s">
        <v>21</v>
      </c>
      <c r="K2512" s="2" t="s">
        <v>5727</v>
      </c>
    </row>
    <row r="2513" ht="15.75" customHeight="1">
      <c r="A2513" s="2">
        <v>6216.0</v>
      </c>
      <c r="B2513" s="2" t="s">
        <v>540</v>
      </c>
      <c r="C2513" s="2" t="s">
        <v>5754</v>
      </c>
      <c r="D2513" s="2" t="s">
        <v>2331</v>
      </c>
      <c r="E2513" s="2" t="s">
        <v>20</v>
      </c>
      <c r="F2513" s="2">
        <v>3.0</v>
      </c>
      <c r="G2513" s="2">
        <v>264.0</v>
      </c>
      <c r="H2513" s="3" t="str">
        <f>HYPERLINK("http://ar.linkedin.com/in/cmayle","http://ar.linkedin.com/in/cmayle")</f>
        <v>http://ar.linkedin.com/in/cmayle</v>
      </c>
      <c r="I2513" s="2" t="s">
        <v>132</v>
      </c>
      <c r="J2513" s="2" t="s">
        <v>21</v>
      </c>
      <c r="K2513" s="2" t="s">
        <v>5727</v>
      </c>
    </row>
    <row r="2514" ht="15.75" customHeight="1">
      <c r="A2514" s="2">
        <v>6223.0</v>
      </c>
      <c r="B2514" s="2" t="s">
        <v>5755</v>
      </c>
      <c r="C2514" s="2" t="s">
        <v>5756</v>
      </c>
      <c r="D2514" s="2" t="s">
        <v>5757</v>
      </c>
      <c r="E2514" s="2" t="s">
        <v>1288</v>
      </c>
      <c r="F2514" s="2">
        <v>6.0</v>
      </c>
      <c r="G2514" s="2">
        <v>500.0</v>
      </c>
      <c r="H2514" s="3" t="str">
        <f>HYPERLINK("http://ar.linkedin.com/pub/maria-eugenia-aldinio/3/94/42B","http://ar.linkedin.com/pub/maria-eugenia-aldinio/3/94/42B")</f>
        <v>http://ar.linkedin.com/pub/maria-eugenia-aldinio/3/94/42B</v>
      </c>
      <c r="I2514" s="2" t="s">
        <v>1421</v>
      </c>
      <c r="J2514" s="2" t="s">
        <v>53</v>
      </c>
      <c r="K2514" s="2" t="s">
        <v>5743</v>
      </c>
    </row>
    <row r="2515" ht="15.75" customHeight="1">
      <c r="A2515" s="2">
        <v>6237.0</v>
      </c>
      <c r="B2515" s="2" t="s">
        <v>358</v>
      </c>
      <c r="C2515" s="2" t="s">
        <v>5758</v>
      </c>
      <c r="D2515" s="2" t="s">
        <v>289</v>
      </c>
      <c r="E2515" s="2" t="s">
        <v>20</v>
      </c>
      <c r="F2515" s="2">
        <v>6.0</v>
      </c>
      <c r="G2515" s="2">
        <v>500.0</v>
      </c>
      <c r="H2515" s="3" t="str">
        <f>HYPERLINK("http://ar.linkedin.com/pub/marcelo-carbone/B/444/240","http://ar.linkedin.com/pub/marcelo-carbone/B/444/240")</f>
        <v>http://ar.linkedin.com/pub/marcelo-carbone/B/444/240</v>
      </c>
      <c r="I2515" s="2" t="s">
        <v>57</v>
      </c>
      <c r="J2515" s="2" t="s">
        <v>21</v>
      </c>
      <c r="K2515" s="2" t="s">
        <v>5727</v>
      </c>
    </row>
    <row r="2516" ht="15.75" customHeight="1">
      <c r="A2516" s="2">
        <v>6240.0</v>
      </c>
      <c r="B2516" s="2" t="s">
        <v>3072</v>
      </c>
      <c r="C2516" s="2" t="s">
        <v>5759</v>
      </c>
      <c r="D2516" s="2" t="s">
        <v>5760</v>
      </c>
      <c r="E2516" s="2" t="s">
        <v>20</v>
      </c>
      <c r="F2516" s="2">
        <v>9.0</v>
      </c>
      <c r="G2516" s="2">
        <v>313.0</v>
      </c>
      <c r="H2516" s="3" t="str">
        <f>HYPERLINK("http://ar.linkedin.com/in/borjalopezluis","http://ar.linkedin.com/in/borjalopezluis")</f>
        <v>http://ar.linkedin.com/in/borjalopezluis</v>
      </c>
      <c r="I2516" s="2" t="s">
        <v>669</v>
      </c>
      <c r="J2516" s="2" t="s">
        <v>21</v>
      </c>
      <c r="K2516" s="2" t="s">
        <v>5743</v>
      </c>
    </row>
    <row r="2517" ht="15.75" customHeight="1">
      <c r="A2517" s="2">
        <v>6271.0</v>
      </c>
      <c r="B2517" s="2" t="s">
        <v>5761</v>
      </c>
      <c r="C2517" s="2" t="s">
        <v>5762</v>
      </c>
      <c r="D2517" s="2" t="s">
        <v>13</v>
      </c>
      <c r="E2517" s="2" t="s">
        <v>20</v>
      </c>
      <c r="F2517" s="2">
        <v>0.0</v>
      </c>
      <c r="G2517" s="2">
        <v>464.0</v>
      </c>
      <c r="H2517" s="3" t="str">
        <f>HYPERLINK("http://www.linkedin.com/pub/maria-florencia-sardi/3/395/65a","http://www.linkedin.com/pub/maria-florencia-sardi/3/395/65a")</f>
        <v>http://www.linkedin.com/pub/maria-florencia-sardi/3/395/65a</v>
      </c>
      <c r="I2517" s="2" t="s">
        <v>48</v>
      </c>
      <c r="J2517" s="2" t="s">
        <v>21</v>
      </c>
      <c r="K2517" s="2" t="s">
        <v>5725</v>
      </c>
    </row>
    <row r="2518" ht="15.75" customHeight="1">
      <c r="A2518" s="2">
        <v>6307.0</v>
      </c>
      <c r="B2518" s="2" t="s">
        <v>5763</v>
      </c>
      <c r="C2518" s="2" t="s">
        <v>5764</v>
      </c>
      <c r="D2518" s="2" t="s">
        <v>5765</v>
      </c>
      <c r="E2518" s="2" t="s">
        <v>397</v>
      </c>
      <c r="F2518" s="2">
        <v>0.0</v>
      </c>
      <c r="G2518" s="2">
        <v>500.0</v>
      </c>
      <c r="H2518" s="3" t="str">
        <f>HYPERLINK("http://www.linkedin.com/in/revazquez","http://www.linkedin.com/in/revazquez")</f>
        <v>http://www.linkedin.com/in/revazquez</v>
      </c>
      <c r="I2518" s="2" t="s">
        <v>15</v>
      </c>
      <c r="J2518" s="2" t="s">
        <v>102</v>
      </c>
      <c r="K2518" s="2" t="s">
        <v>5725</v>
      </c>
    </row>
    <row r="2519" ht="15.75" customHeight="1">
      <c r="A2519" s="2">
        <v>6318.0</v>
      </c>
      <c r="B2519" s="2" t="s">
        <v>193</v>
      </c>
      <c r="C2519" s="2" t="s">
        <v>5766</v>
      </c>
      <c r="D2519" s="2" t="s">
        <v>5767</v>
      </c>
      <c r="E2519" s="2" t="s">
        <v>20</v>
      </c>
      <c r="F2519" s="2">
        <v>1.0</v>
      </c>
      <c r="G2519" s="2">
        <v>258.0</v>
      </c>
      <c r="H2519" s="3" t="str">
        <f>HYPERLINK("http://ar.linkedin.com/in/gschulman","http://ar.linkedin.com/in/gschulman")</f>
        <v>http://ar.linkedin.com/in/gschulman</v>
      </c>
      <c r="I2519" s="2" t="s">
        <v>48</v>
      </c>
      <c r="J2519" s="2" t="s">
        <v>21</v>
      </c>
      <c r="K2519" s="2" t="s">
        <v>5725</v>
      </c>
    </row>
    <row r="2520" ht="15.75" customHeight="1">
      <c r="A2520" s="2">
        <v>6319.0</v>
      </c>
      <c r="B2520" s="2" t="s">
        <v>152</v>
      </c>
      <c r="C2520" s="2" t="s">
        <v>5768</v>
      </c>
      <c r="D2520" s="2"/>
      <c r="E2520" s="2" t="s">
        <v>20</v>
      </c>
      <c r="F2520" s="2">
        <v>0.0</v>
      </c>
      <c r="G2520" s="2">
        <v>209.0</v>
      </c>
      <c r="H2520" s="3" t="str">
        <f>HYPERLINK("http://ar.linkedin.com/pub/eduardo-palliotto/0/258/A7","http://ar.linkedin.com/pub/eduardo-palliotto/0/258/A7")</f>
        <v>http://ar.linkedin.com/pub/eduardo-palliotto/0/258/A7</v>
      </c>
      <c r="I2520" s="2" t="s">
        <v>15</v>
      </c>
      <c r="J2520" s="2" t="s">
        <v>21</v>
      </c>
      <c r="K2520" s="2" t="s">
        <v>5725</v>
      </c>
    </row>
    <row r="2521" ht="15.75" customHeight="1">
      <c r="A2521" s="2">
        <v>6321.0</v>
      </c>
      <c r="B2521" s="2" t="s">
        <v>3223</v>
      </c>
      <c r="C2521" s="2" t="s">
        <v>5769</v>
      </c>
      <c r="D2521" s="2" t="s">
        <v>5770</v>
      </c>
      <c r="E2521" s="2" t="s">
        <v>20</v>
      </c>
      <c r="F2521" s="2">
        <v>1.0</v>
      </c>
      <c r="G2521" s="2">
        <v>247.0</v>
      </c>
      <c r="H2521" s="3" t="str">
        <f>HYPERLINK("http://ar.linkedin.com/in/laurarado","http://ar.linkedin.com/in/laurarado")</f>
        <v>http://ar.linkedin.com/in/laurarado</v>
      </c>
      <c r="I2521" s="2" t="s">
        <v>15</v>
      </c>
      <c r="J2521" s="2" t="s">
        <v>21</v>
      </c>
      <c r="K2521" s="2" t="s">
        <v>5725</v>
      </c>
    </row>
    <row r="2522" ht="15.75" customHeight="1">
      <c r="A2522" s="2">
        <v>6322.0</v>
      </c>
      <c r="B2522" s="2" t="s">
        <v>5723</v>
      </c>
      <c r="C2522" s="2" t="s">
        <v>5771</v>
      </c>
      <c r="D2522" s="2" t="s">
        <v>5772</v>
      </c>
      <c r="E2522" s="2" t="s">
        <v>20</v>
      </c>
      <c r="F2522" s="2">
        <v>2.0</v>
      </c>
      <c r="G2522" s="2">
        <v>111.0</v>
      </c>
      <c r="H2522" s="3" t="str">
        <f>HYPERLINK("http://ar.linkedin.com/in/pabloscalesciani","http://ar.linkedin.com/in/pabloscalesciani")</f>
        <v>http://ar.linkedin.com/in/pabloscalesciani</v>
      </c>
      <c r="I2522" s="2" t="s">
        <v>2443</v>
      </c>
      <c r="J2522" s="2" t="s">
        <v>21</v>
      </c>
      <c r="K2522" s="2" t="s">
        <v>5727</v>
      </c>
    </row>
    <row r="2523" ht="15.75" customHeight="1">
      <c r="A2523" s="2">
        <v>6420.0</v>
      </c>
      <c r="B2523" s="2" t="s">
        <v>371</v>
      </c>
      <c r="C2523" s="2" t="s">
        <v>5773</v>
      </c>
      <c r="D2523" s="2" t="s">
        <v>5774</v>
      </c>
      <c r="E2523" s="2" t="s">
        <v>20</v>
      </c>
      <c r="F2523" s="2">
        <v>22.0</v>
      </c>
      <c r="G2523" s="2">
        <v>500.0</v>
      </c>
      <c r="H2523" s="3" t="str">
        <f>HYPERLINK("http://ar.linkedin.com/in/crisoneto","http://ar.linkedin.com/in/crisoneto")</f>
        <v>http://ar.linkedin.com/in/crisoneto</v>
      </c>
      <c r="I2523" s="2" t="s">
        <v>458</v>
      </c>
      <c r="J2523" s="2" t="s">
        <v>21</v>
      </c>
      <c r="K2523" s="2" t="s">
        <v>5727</v>
      </c>
    </row>
    <row r="2524" ht="15.75" customHeight="1">
      <c r="A2524" s="2">
        <v>6436.0</v>
      </c>
      <c r="B2524" s="2" t="s">
        <v>647</v>
      </c>
      <c r="C2524" s="2" t="s">
        <v>5775</v>
      </c>
      <c r="D2524" s="2" t="s">
        <v>5776</v>
      </c>
      <c r="E2524" s="2" t="s">
        <v>20</v>
      </c>
      <c r="F2524" s="2">
        <v>11.0</v>
      </c>
      <c r="G2524" s="2">
        <v>186.0</v>
      </c>
      <c r="H2524" s="3" t="str">
        <f>HYPERLINK("http://ar.linkedin.com/pub/claudio-centeno/B/3A2/502","http://ar.linkedin.com/pub/claudio-centeno/B/3A2/502")</f>
        <v>http://ar.linkedin.com/pub/claudio-centeno/B/3A2/502</v>
      </c>
      <c r="I2524" s="2" t="s">
        <v>15</v>
      </c>
      <c r="J2524" s="2" t="s">
        <v>21</v>
      </c>
      <c r="K2524" s="2" t="s">
        <v>5777</v>
      </c>
    </row>
    <row r="2525" ht="15.75" customHeight="1">
      <c r="A2525" s="2">
        <v>6440.0</v>
      </c>
      <c r="B2525" s="2" t="s">
        <v>353</v>
      </c>
      <c r="C2525" s="2" t="s">
        <v>5778</v>
      </c>
      <c r="D2525" s="2" t="s">
        <v>5779</v>
      </c>
      <c r="E2525" s="2" t="s">
        <v>20</v>
      </c>
      <c r="F2525" s="2">
        <v>1.0</v>
      </c>
      <c r="G2525" s="2">
        <v>157.0</v>
      </c>
      <c r="H2525" s="3" t="str">
        <f>HYPERLINK("http://ar.linkedin.com/pub/alejandro-tous/7/A17/48B","http://ar.linkedin.com/pub/alejandro-tous/7/A17/48B")</f>
        <v>http://ar.linkedin.com/pub/alejandro-tous/7/A17/48B</v>
      </c>
      <c r="I2525" s="2" t="s">
        <v>279</v>
      </c>
      <c r="J2525" s="2" t="s">
        <v>21</v>
      </c>
      <c r="K2525" s="2" t="s">
        <v>5734</v>
      </c>
    </row>
    <row r="2526" ht="15.75" customHeight="1">
      <c r="A2526" s="2">
        <v>6443.0</v>
      </c>
      <c r="B2526" s="2" t="s">
        <v>70</v>
      </c>
      <c r="C2526" s="2" t="s">
        <v>5780</v>
      </c>
      <c r="D2526" s="2" t="s">
        <v>5781</v>
      </c>
      <c r="E2526" s="2" t="s">
        <v>20</v>
      </c>
      <c r="F2526" s="2">
        <v>3.0</v>
      </c>
      <c r="G2526" s="2">
        <v>226.0</v>
      </c>
      <c r="H2526" s="3" t="str">
        <f>HYPERLINK("http://ar.linkedin.com/pub/gustavo-villagra/3/576/355","http://ar.linkedin.com/pub/gustavo-villagra/3/576/355")</f>
        <v>http://ar.linkedin.com/pub/gustavo-villagra/3/576/355</v>
      </c>
      <c r="I2526" s="2" t="s">
        <v>77</v>
      </c>
      <c r="J2526" s="2" t="s">
        <v>21</v>
      </c>
      <c r="K2526" s="2" t="s">
        <v>5731</v>
      </c>
    </row>
    <row r="2527" ht="15.75" customHeight="1">
      <c r="A2527" s="2">
        <v>6511.0</v>
      </c>
      <c r="B2527" s="2" t="s">
        <v>3223</v>
      </c>
      <c r="C2527" s="2" t="s">
        <v>3735</v>
      </c>
      <c r="D2527" s="2" t="s">
        <v>5782</v>
      </c>
      <c r="E2527" s="2" t="s">
        <v>20</v>
      </c>
      <c r="F2527" s="2">
        <v>5.0</v>
      </c>
      <c r="G2527" s="2">
        <v>500.0</v>
      </c>
      <c r="H2527" s="3" t="str">
        <f>HYPERLINK("http://ar.linkedin.com/pub/laura-pereira/1/654/500","http://ar.linkedin.com/pub/laura-pereira/1/654/500")</f>
        <v>http://ar.linkedin.com/pub/laura-pereira/1/654/500</v>
      </c>
      <c r="I2527" s="2" t="s">
        <v>105</v>
      </c>
      <c r="J2527" s="2" t="s">
        <v>21</v>
      </c>
      <c r="K2527" s="2" t="s">
        <v>5727</v>
      </c>
    </row>
    <row r="2528" ht="15.75" customHeight="1">
      <c r="A2528" s="2">
        <v>6512.0</v>
      </c>
      <c r="B2528" s="2" t="s">
        <v>431</v>
      </c>
      <c r="C2528" s="2" t="s">
        <v>5783</v>
      </c>
      <c r="D2528" s="2" t="s">
        <v>5784</v>
      </c>
      <c r="E2528" s="2" t="s">
        <v>20</v>
      </c>
      <c r="F2528" s="2">
        <v>0.0</v>
      </c>
      <c r="G2528" s="2">
        <v>302.0</v>
      </c>
      <c r="H2528" s="3" t="str">
        <f>HYPERLINK("http://ar.linkedin.com/pub/rodrigo-goncalves/9/607/3A4","http://ar.linkedin.com/pub/rodrigo-goncalves/9/607/3A4")</f>
        <v>http://ar.linkedin.com/pub/rodrigo-goncalves/9/607/3A4</v>
      </c>
      <c r="I2528" s="2" t="s">
        <v>1931</v>
      </c>
      <c r="J2528" s="2" t="s">
        <v>21</v>
      </c>
      <c r="K2528" s="2" t="s">
        <v>5785</v>
      </c>
    </row>
    <row r="2529" ht="15.75" customHeight="1">
      <c r="A2529" s="2">
        <v>6523.0</v>
      </c>
      <c r="B2529" s="2" t="s">
        <v>253</v>
      </c>
      <c r="C2529" s="2" t="s">
        <v>5786</v>
      </c>
      <c r="D2529" s="2" t="s">
        <v>5787</v>
      </c>
      <c r="E2529" s="2" t="s">
        <v>91</v>
      </c>
      <c r="F2529" s="2">
        <v>5.0</v>
      </c>
      <c r="G2529" s="2">
        <v>500.0</v>
      </c>
      <c r="H2529" s="3" t="str">
        <f>HYPERLINK("http://www.linkedin.com/in/fernandodiazgonzalez","http://www.linkedin.com/in/fernandodiazgonzalez")</f>
        <v>http://www.linkedin.com/in/fernandodiazgonzalez</v>
      </c>
      <c r="I2529" s="2" t="s">
        <v>458</v>
      </c>
      <c r="J2529" s="2" t="s">
        <v>34</v>
      </c>
      <c r="K2529" s="2" t="s">
        <v>5727</v>
      </c>
    </row>
    <row r="2530" ht="15.75" customHeight="1">
      <c r="A2530" s="2">
        <v>6541.0</v>
      </c>
      <c r="B2530" s="2" t="s">
        <v>5788</v>
      </c>
      <c r="C2530" s="2" t="s">
        <v>5789</v>
      </c>
      <c r="D2530" s="2" t="s">
        <v>5790</v>
      </c>
      <c r="E2530" s="2" t="s">
        <v>20</v>
      </c>
      <c r="F2530" s="2">
        <v>1.0</v>
      </c>
      <c r="G2530" s="2">
        <v>477.0</v>
      </c>
      <c r="H2530" s="3" t="str">
        <f>HYPERLINK("http://ar.linkedin.com/pub/ahmed-fahmy/1/293/928","http://ar.linkedin.com/pub/ahmed-fahmy/1/293/928")</f>
        <v>http://ar.linkedin.com/pub/ahmed-fahmy/1/293/928</v>
      </c>
      <c r="I2530" s="2" t="s">
        <v>48</v>
      </c>
      <c r="J2530" s="2" t="s">
        <v>21</v>
      </c>
      <c r="K2530" s="2" t="s">
        <v>5725</v>
      </c>
    </row>
    <row r="2531" ht="15.75" customHeight="1">
      <c r="A2531" s="2">
        <v>6563.0</v>
      </c>
      <c r="B2531" s="2" t="s">
        <v>5791</v>
      </c>
      <c r="C2531" s="2" t="s">
        <v>5792</v>
      </c>
      <c r="D2531" s="2" t="s">
        <v>5793</v>
      </c>
      <c r="E2531" s="2" t="s">
        <v>20</v>
      </c>
      <c r="F2531" s="2">
        <v>0.0</v>
      </c>
      <c r="G2531" s="2">
        <v>225.0</v>
      </c>
      <c r="H2531" s="3" t="str">
        <f>HYPERLINK("http://ar.linkedin.com/in/cvmatiaslangellotti","http://ar.linkedin.com/in/cvmatiaslangellotti")</f>
        <v>http://ar.linkedin.com/in/cvmatiaslangellotti</v>
      </c>
      <c r="I2531" s="2" t="s">
        <v>57</v>
      </c>
      <c r="J2531" s="2" t="s">
        <v>21</v>
      </c>
      <c r="K2531" s="2" t="s">
        <v>5725</v>
      </c>
    </row>
    <row r="2532" ht="15.75" customHeight="1">
      <c r="A2532" s="2">
        <v>6586.0</v>
      </c>
      <c r="B2532" s="2" t="s">
        <v>5794</v>
      </c>
      <c r="C2532" s="2" t="s">
        <v>5795</v>
      </c>
      <c r="D2532" s="2" t="s">
        <v>5796</v>
      </c>
      <c r="E2532" s="2" t="s">
        <v>20</v>
      </c>
      <c r="F2532" s="2">
        <v>0.0</v>
      </c>
      <c r="G2532" s="2">
        <v>89.0</v>
      </c>
      <c r="H2532" s="3" t="str">
        <f>HYPERLINK("http://ar.linkedin.com/pub/silvina-el-barri/11/786/231","http://ar.linkedin.com/pub/silvina-el-barri/11/786/231")</f>
        <v>http://ar.linkedin.com/pub/silvina-el-barri/11/786/231</v>
      </c>
      <c r="I2532" s="2" t="s">
        <v>105</v>
      </c>
      <c r="J2532" s="2" t="s">
        <v>21</v>
      </c>
      <c r="K2532" s="2" t="s">
        <v>5725</v>
      </c>
    </row>
    <row r="2533" ht="15.75" customHeight="1">
      <c r="A2533" s="2">
        <v>6659.0</v>
      </c>
      <c r="B2533" s="2" t="s">
        <v>238</v>
      </c>
      <c r="C2533" s="2" t="s">
        <v>5797</v>
      </c>
      <c r="D2533" s="2" t="s">
        <v>5798</v>
      </c>
      <c r="E2533" s="2" t="s">
        <v>20</v>
      </c>
      <c r="F2533" s="2">
        <v>6.0</v>
      </c>
      <c r="G2533" s="2">
        <v>500.0</v>
      </c>
      <c r="H2533" s="3" t="str">
        <f>HYPERLINK("http://ar.linkedin.com/in/juanbosoms","http://ar.linkedin.com/in/juanbosoms")</f>
        <v>http://ar.linkedin.com/in/juanbosoms</v>
      </c>
      <c r="I2533" s="2" t="s">
        <v>160</v>
      </c>
      <c r="J2533" s="2" t="s">
        <v>21</v>
      </c>
      <c r="K2533" s="2" t="s">
        <v>5743</v>
      </c>
    </row>
    <row r="2534" ht="15.75" customHeight="1">
      <c r="A2534" s="2">
        <v>6717.0</v>
      </c>
      <c r="B2534" s="2" t="s">
        <v>5799</v>
      </c>
      <c r="C2534" s="2" t="s">
        <v>5800</v>
      </c>
      <c r="D2534" s="2" t="s">
        <v>5801</v>
      </c>
      <c r="E2534" s="2" t="s">
        <v>20</v>
      </c>
      <c r="F2534" s="2">
        <v>16.0</v>
      </c>
      <c r="G2534" s="2">
        <v>347.0</v>
      </c>
      <c r="H2534" s="3" t="str">
        <f>HYPERLINK("http://ar.linkedin.com/in/cmerolla","http://ar.linkedin.com/in/cmerolla")</f>
        <v>http://ar.linkedin.com/in/cmerolla</v>
      </c>
      <c r="I2534" s="2" t="s">
        <v>77</v>
      </c>
      <c r="J2534" s="2" t="s">
        <v>21</v>
      </c>
      <c r="K2534" s="2" t="s">
        <v>5743</v>
      </c>
    </row>
    <row r="2535" ht="15.75" customHeight="1">
      <c r="A2535" s="2">
        <v>6765.0</v>
      </c>
      <c r="B2535" s="2" t="s">
        <v>3143</v>
      </c>
      <c r="C2535" s="2" t="s">
        <v>5802</v>
      </c>
      <c r="D2535" s="2" t="s">
        <v>42</v>
      </c>
      <c r="E2535" s="2" t="s">
        <v>20</v>
      </c>
      <c r="F2535" s="2">
        <v>0.0</v>
      </c>
      <c r="G2535" s="2">
        <v>116.0</v>
      </c>
      <c r="H2535" s="3" t="str">
        <f>HYPERLINK("http://ar.linkedin.com/pub/miriam-vigna/4/5B6/297","http://ar.linkedin.com/pub/miriam-vigna/4/5B6/297")</f>
        <v>http://ar.linkedin.com/pub/miriam-vigna/4/5B6/297</v>
      </c>
      <c r="I2535" s="2" t="s">
        <v>48</v>
      </c>
      <c r="J2535" s="2" t="s">
        <v>21</v>
      </c>
      <c r="K2535" s="2" t="s">
        <v>5725</v>
      </c>
    </row>
    <row r="2536" ht="15.75" customHeight="1">
      <c r="A2536" s="2">
        <v>6797.0</v>
      </c>
      <c r="B2536" s="2" t="s">
        <v>5803</v>
      </c>
      <c r="C2536" s="2" t="s">
        <v>5804</v>
      </c>
      <c r="D2536" s="2" t="s">
        <v>5805</v>
      </c>
      <c r="E2536" s="2" t="s">
        <v>20</v>
      </c>
      <c r="F2536" s="2">
        <v>6.0</v>
      </c>
      <c r="G2536" s="2">
        <v>500.0</v>
      </c>
      <c r="H2536" s="3" t="str">
        <f>HYPERLINK("http://www.linkedin.com/in/marianososa","http://www.linkedin.com/in/marianososa")</f>
        <v>http://www.linkedin.com/in/marianososa</v>
      </c>
      <c r="I2536" s="2" t="s">
        <v>910</v>
      </c>
      <c r="J2536" s="2" t="s">
        <v>21</v>
      </c>
      <c r="K2536" s="2" t="s">
        <v>5727</v>
      </c>
    </row>
    <row r="2537" ht="15.75" customHeight="1">
      <c r="A2537" s="2">
        <v>6803.0</v>
      </c>
      <c r="B2537" s="2" t="s">
        <v>45</v>
      </c>
      <c r="C2537" s="2" t="s">
        <v>5806</v>
      </c>
      <c r="D2537" s="2" t="s">
        <v>5807</v>
      </c>
      <c r="E2537" s="2" t="s">
        <v>20</v>
      </c>
      <c r="F2537" s="2">
        <v>0.0</v>
      </c>
      <c r="G2537" s="2">
        <v>304.0</v>
      </c>
      <c r="H2537" s="3" t="str">
        <f>HYPERLINK("http://ar.linkedin.com/pub/carlos-del-boca/0/483/A94","http://ar.linkedin.com/pub/carlos-del-boca/0/483/A94")</f>
        <v>http://ar.linkedin.com/pub/carlos-del-boca/0/483/A94</v>
      </c>
      <c r="I2537" s="2" t="s">
        <v>15</v>
      </c>
      <c r="J2537" s="2" t="s">
        <v>21</v>
      </c>
      <c r="K2537" s="2" t="s">
        <v>5725</v>
      </c>
    </row>
    <row r="2538" ht="15.75" customHeight="1">
      <c r="A2538" s="2">
        <v>6808.0</v>
      </c>
      <c r="B2538" s="2" t="s">
        <v>5808</v>
      </c>
      <c r="C2538" s="2" t="s">
        <v>5809</v>
      </c>
      <c r="D2538" s="2" t="s">
        <v>347</v>
      </c>
      <c r="E2538" s="2" t="s">
        <v>20</v>
      </c>
      <c r="F2538" s="2">
        <v>7.0</v>
      </c>
      <c r="G2538" s="2">
        <v>494.0</v>
      </c>
      <c r="H2538" s="3" t="str">
        <f>HYPERLINK("http://ar.linkedin.com/pub/matias-pedretti/5/389/252","http://ar.linkedin.com/pub/matias-pedretti/5/389/252")</f>
        <v>http://ar.linkedin.com/pub/matias-pedretti/5/389/252</v>
      </c>
      <c r="I2538" s="2" t="s">
        <v>57</v>
      </c>
      <c r="J2538" s="2" t="s">
        <v>21</v>
      </c>
      <c r="K2538" s="2" t="s">
        <v>5734</v>
      </c>
    </row>
    <row r="2539" ht="15.75" customHeight="1">
      <c r="A2539" s="2">
        <v>7247.0</v>
      </c>
      <c r="B2539" s="2" t="s">
        <v>609</v>
      </c>
      <c r="C2539" s="2" t="s">
        <v>5810</v>
      </c>
      <c r="D2539" s="2" t="s">
        <v>5811</v>
      </c>
      <c r="E2539" s="2" t="s">
        <v>122</v>
      </c>
      <c r="F2539" s="2">
        <v>27.0</v>
      </c>
      <c r="G2539" s="2">
        <v>500.0</v>
      </c>
      <c r="H2539" s="3" t="str">
        <f>HYPERLINK("http://www.linkedin.com/in/moral","http://www.linkedin.com/in/moral")</f>
        <v>http://www.linkedin.com/in/moral</v>
      </c>
      <c r="I2539" s="2" t="s">
        <v>15</v>
      </c>
      <c r="J2539" s="2" t="s">
        <v>53</v>
      </c>
      <c r="K2539" s="2" t="s">
        <v>5812</v>
      </c>
    </row>
    <row r="2540" ht="15.75" customHeight="1">
      <c r="A2540" s="2">
        <v>7305.0</v>
      </c>
      <c r="B2540" s="2" t="s">
        <v>5813</v>
      </c>
      <c r="C2540" s="2" t="s">
        <v>5814</v>
      </c>
      <c r="D2540" s="2" t="s">
        <v>13</v>
      </c>
      <c r="E2540" s="2" t="s">
        <v>20</v>
      </c>
      <c r="F2540" s="2">
        <v>0.0</v>
      </c>
      <c r="G2540" s="2">
        <v>500.0</v>
      </c>
      <c r="H2540" s="3" t="str">
        <f>HYPERLINK("http://www.linkedin.com/pub/emanuel-carambia/11/a62/47b","http://www.linkedin.com/pub/emanuel-carambia/11/a62/47b")</f>
        <v>http://www.linkedin.com/pub/emanuel-carambia/11/a62/47b</v>
      </c>
      <c r="I2540" s="2" t="s">
        <v>15</v>
      </c>
      <c r="J2540" s="2" t="s">
        <v>21</v>
      </c>
      <c r="K2540" s="2" t="s">
        <v>5812</v>
      </c>
    </row>
    <row r="2541" ht="15.75" customHeight="1">
      <c r="A2541" s="2">
        <v>7326.0</v>
      </c>
      <c r="B2541" s="2" t="s">
        <v>5078</v>
      </c>
      <c r="C2541" s="2" t="s">
        <v>5815</v>
      </c>
      <c r="D2541" s="2" t="s">
        <v>5816</v>
      </c>
      <c r="E2541" s="2" t="s">
        <v>20</v>
      </c>
      <c r="F2541" s="2">
        <v>5.0</v>
      </c>
      <c r="G2541" s="2">
        <v>240.0</v>
      </c>
      <c r="H2541" s="3" t="str">
        <f>HYPERLINK("http://ar.linkedin.com/in/diegomuzio","http://ar.linkedin.com/in/diegomuzio")</f>
        <v>http://ar.linkedin.com/in/diegomuzio</v>
      </c>
      <c r="I2541" s="2" t="s">
        <v>579</v>
      </c>
      <c r="J2541" s="2" t="s">
        <v>21</v>
      </c>
      <c r="K2541" s="2" t="s">
        <v>5731</v>
      </c>
    </row>
    <row r="2542" ht="15.75" customHeight="1">
      <c r="A2542" s="2">
        <v>7341.0</v>
      </c>
      <c r="B2542" s="2" t="s">
        <v>647</v>
      </c>
      <c r="C2542" s="2" t="s">
        <v>5817</v>
      </c>
      <c r="D2542" s="2" t="s">
        <v>5818</v>
      </c>
      <c r="E2542" s="2" t="s">
        <v>20</v>
      </c>
      <c r="F2542" s="2">
        <v>0.0</v>
      </c>
      <c r="G2542" s="2">
        <v>95.0</v>
      </c>
      <c r="H2542" s="3" t="str">
        <f>HYPERLINK("http://ar.linkedin.com/pub/claudio-marchesano/B/299/943","http://ar.linkedin.com/pub/claudio-marchesano/B/299/943")</f>
        <v>http://ar.linkedin.com/pub/claudio-marchesano/B/299/943</v>
      </c>
      <c r="I2542" s="2" t="s">
        <v>579</v>
      </c>
      <c r="J2542" s="2" t="s">
        <v>21</v>
      </c>
      <c r="K2542" s="2" t="s">
        <v>5819</v>
      </c>
    </row>
    <row r="2543" ht="15.75" customHeight="1">
      <c r="A2543" s="2">
        <v>7354.0</v>
      </c>
      <c r="B2543" s="2" t="s">
        <v>5820</v>
      </c>
      <c r="C2543" s="2" t="s">
        <v>5821</v>
      </c>
      <c r="D2543" s="2" t="s">
        <v>5822</v>
      </c>
      <c r="E2543" s="2" t="s">
        <v>181</v>
      </c>
      <c r="F2543" s="2">
        <v>8.0</v>
      </c>
      <c r="G2543" s="2">
        <v>196.0</v>
      </c>
      <c r="H2543" s="3" t="str">
        <f>HYPERLINK("http://www.linkedin.com/pub/elena-tortorici/5/249/BB8","http://www.linkedin.com/pub/elena-tortorici/5/249/BB8")</f>
        <v>http://www.linkedin.com/pub/elena-tortorici/5/249/BB8</v>
      </c>
      <c r="I2543" s="2" t="s">
        <v>1237</v>
      </c>
      <c r="J2543" s="2" t="s">
        <v>102</v>
      </c>
      <c r="K2543" s="2" t="s">
        <v>5823</v>
      </c>
    </row>
    <row r="2544" ht="15.75" customHeight="1">
      <c r="A2544" s="2">
        <v>7389.0</v>
      </c>
      <c r="B2544" s="2" t="s">
        <v>5824</v>
      </c>
      <c r="C2544" s="2" t="s">
        <v>5825</v>
      </c>
      <c r="D2544" s="2" t="s">
        <v>13</v>
      </c>
      <c r="E2544" s="2" t="s">
        <v>20</v>
      </c>
      <c r="F2544" s="2">
        <v>0.0</v>
      </c>
      <c r="G2544" s="2">
        <v>207.0</v>
      </c>
      <c r="H2544" s="3" t="str">
        <f>HYPERLINK("http://www.linkedin.com/pub/alejandra-daiez/1/38b/935","http://www.linkedin.com/pub/alejandra-daiez/1/38b/935")</f>
        <v>http://www.linkedin.com/pub/alejandra-daiez/1/38b/935</v>
      </c>
      <c r="I2544" s="2" t="s">
        <v>279</v>
      </c>
      <c r="J2544" s="2" t="s">
        <v>21</v>
      </c>
      <c r="K2544" s="2" t="s">
        <v>5734</v>
      </c>
    </row>
    <row r="2545" ht="15.75" customHeight="1">
      <c r="A2545" s="2">
        <v>7390.0</v>
      </c>
      <c r="B2545" s="2" t="s">
        <v>5826</v>
      </c>
      <c r="C2545" s="2" t="s">
        <v>5827</v>
      </c>
      <c r="D2545" s="2" t="s">
        <v>13</v>
      </c>
      <c r="E2545" s="2" t="s">
        <v>20</v>
      </c>
      <c r="F2545" s="2">
        <v>1.0</v>
      </c>
      <c r="G2545" s="2">
        <v>330.0</v>
      </c>
      <c r="H2545" s="3" t="str">
        <f>HYPERLINK("http://www.linkedin.com/pub/maria-cecilia-collazo/2/608/345","http://www.linkedin.com/pub/maria-cecilia-collazo/2/608/345")</f>
        <v>http://www.linkedin.com/pub/maria-cecilia-collazo/2/608/345</v>
      </c>
      <c r="I2545" s="2" t="s">
        <v>15</v>
      </c>
      <c r="J2545" s="2" t="s">
        <v>21</v>
      </c>
      <c r="K2545" s="2" t="s">
        <v>5725</v>
      </c>
    </row>
    <row r="2546" ht="15.75" customHeight="1">
      <c r="A2546" s="2">
        <v>7399.0</v>
      </c>
      <c r="B2546" s="2" t="s">
        <v>5828</v>
      </c>
      <c r="C2546" s="2" t="s">
        <v>5829</v>
      </c>
      <c r="D2546" s="2" t="s">
        <v>3651</v>
      </c>
      <c r="E2546" s="2" t="s">
        <v>20</v>
      </c>
      <c r="F2546" s="2">
        <v>14.0</v>
      </c>
      <c r="G2546" s="2">
        <v>265.0</v>
      </c>
      <c r="H2546" s="3" t="str">
        <f>HYPERLINK("http://ar.linkedin.com/in/silviaandino","http://ar.linkedin.com/in/silviaandino")</f>
        <v>http://ar.linkedin.com/in/silviaandino</v>
      </c>
      <c r="I2546" s="2" t="s">
        <v>57</v>
      </c>
      <c r="J2546" s="2" t="s">
        <v>21</v>
      </c>
      <c r="K2546" s="2" t="s">
        <v>5727</v>
      </c>
    </row>
    <row r="2547" ht="15.75" customHeight="1">
      <c r="A2547" s="2">
        <v>7403.0</v>
      </c>
      <c r="B2547" s="2" t="s">
        <v>862</v>
      </c>
      <c r="C2547" s="2" t="s">
        <v>5830</v>
      </c>
      <c r="D2547" s="2" t="s">
        <v>5831</v>
      </c>
      <c r="E2547" s="2" t="s">
        <v>20</v>
      </c>
      <c r="F2547" s="2">
        <v>2.0</v>
      </c>
      <c r="G2547" s="2">
        <v>111.0</v>
      </c>
      <c r="H2547" s="3" t="str">
        <f>HYPERLINK("http://ar.linkedin.com/pub/gabriel-arrojo/5/3B9/626","http://ar.linkedin.com/pub/gabriel-arrojo/5/3B9/626")</f>
        <v>http://ar.linkedin.com/pub/gabriel-arrojo/5/3B9/626</v>
      </c>
      <c r="I2547" s="2" t="s">
        <v>279</v>
      </c>
      <c r="J2547" s="2" t="s">
        <v>21</v>
      </c>
      <c r="K2547" s="2" t="s">
        <v>5727</v>
      </c>
    </row>
    <row r="2548" ht="15.75" customHeight="1">
      <c r="A2548" s="2">
        <v>7428.0</v>
      </c>
      <c r="B2548" s="2" t="s">
        <v>5723</v>
      </c>
      <c r="C2548" s="2" t="s">
        <v>5832</v>
      </c>
      <c r="D2548" s="2" t="s">
        <v>5833</v>
      </c>
      <c r="E2548" s="2" t="s">
        <v>20</v>
      </c>
      <c r="F2548" s="2">
        <v>1.0</v>
      </c>
      <c r="G2548" s="2">
        <v>370.0</v>
      </c>
      <c r="H2548" s="3" t="str">
        <f>HYPERLINK("http://ar.linkedin.com/pub/pablo-pellegrini/1/A43/70A","http://ar.linkedin.com/pub/pablo-pellegrini/1/A43/70A")</f>
        <v>http://ar.linkedin.com/pub/pablo-pellegrini/1/A43/70A</v>
      </c>
      <c r="I2548" s="2" t="s">
        <v>57</v>
      </c>
      <c r="J2548" s="2" t="s">
        <v>21</v>
      </c>
      <c r="K2548" s="2" t="s">
        <v>5725</v>
      </c>
    </row>
    <row r="2549" ht="15.75" customHeight="1">
      <c r="A2549" s="2">
        <v>7451.0</v>
      </c>
      <c r="B2549" s="2" t="s">
        <v>5834</v>
      </c>
      <c r="C2549" s="2" t="s">
        <v>5835</v>
      </c>
      <c r="D2549" s="2" t="s">
        <v>5836</v>
      </c>
      <c r="E2549" s="2" t="s">
        <v>5837</v>
      </c>
      <c r="F2549" s="2">
        <v>7.0</v>
      </c>
      <c r="G2549" s="2">
        <v>266.0</v>
      </c>
      <c r="H2549" s="3" t="str">
        <f>HYPERLINK("http://www.linkedin.com/pub/flavia-de-miranda/0/292/34","http://www.linkedin.com/pub/flavia-de-miranda/0/292/34")</f>
        <v>http://www.linkedin.com/pub/flavia-de-miranda/0/292/34</v>
      </c>
      <c r="I2549" s="2" t="s">
        <v>48</v>
      </c>
      <c r="J2549" s="2" t="s">
        <v>34</v>
      </c>
      <c r="K2549" s="2" t="s">
        <v>5785</v>
      </c>
    </row>
    <row r="2550" ht="15.75" customHeight="1">
      <c r="A2550" s="2">
        <v>7516.0</v>
      </c>
      <c r="B2550" s="2" t="s">
        <v>5838</v>
      </c>
      <c r="C2550" s="2" t="s">
        <v>5839</v>
      </c>
      <c r="D2550" s="2" t="s">
        <v>5840</v>
      </c>
      <c r="E2550" s="2" t="s">
        <v>20</v>
      </c>
      <c r="F2550" s="2">
        <v>0.0</v>
      </c>
      <c r="G2550" s="2">
        <v>500.0</v>
      </c>
      <c r="H2550" s="3" t="str">
        <f>HYPERLINK("http://ar.linkedin.com/pub/marisa-viola/1/5A1/B11","http://ar.linkedin.com/pub/marisa-viola/1/5A1/B11")</f>
        <v>http://ar.linkedin.com/pub/marisa-viola/1/5A1/B11</v>
      </c>
      <c r="I2550" s="2" t="s">
        <v>458</v>
      </c>
      <c r="J2550" s="2" t="s">
        <v>21</v>
      </c>
      <c r="K2550" s="2" t="s">
        <v>5734</v>
      </c>
    </row>
    <row r="2551" ht="15.75" customHeight="1">
      <c r="A2551" s="2">
        <v>7539.0</v>
      </c>
      <c r="B2551" s="2" t="s">
        <v>59</v>
      </c>
      <c r="C2551" s="2" t="s">
        <v>5841</v>
      </c>
      <c r="D2551" s="2" t="s">
        <v>5842</v>
      </c>
      <c r="E2551" s="2" t="s">
        <v>20</v>
      </c>
      <c r="F2551" s="2">
        <v>0.0</v>
      </c>
      <c r="G2551" s="2">
        <v>279.0</v>
      </c>
      <c r="H2551" s="3" t="str">
        <f>HYPERLINK("http://ar.linkedin.com/pub/martin-chaia/1/A64/8B4","http://ar.linkedin.com/pub/martin-chaia/1/A64/8B4")</f>
        <v>http://ar.linkedin.com/pub/martin-chaia/1/A64/8B4</v>
      </c>
      <c r="I2551" s="2" t="s">
        <v>48</v>
      </c>
      <c r="J2551" s="2" t="s">
        <v>21</v>
      </c>
      <c r="K2551" s="2" t="s">
        <v>5725</v>
      </c>
    </row>
    <row r="2552" ht="15.75" customHeight="1">
      <c r="A2552" s="2">
        <v>7598.0</v>
      </c>
      <c r="B2552" s="2" t="s">
        <v>3692</v>
      </c>
      <c r="C2552" s="2" t="s">
        <v>5843</v>
      </c>
      <c r="D2552" s="2" t="s">
        <v>5844</v>
      </c>
      <c r="E2552" s="2" t="s">
        <v>20</v>
      </c>
      <c r="F2552" s="2">
        <v>14.0</v>
      </c>
      <c r="G2552" s="2">
        <v>321.0</v>
      </c>
      <c r="H2552" s="3" t="str">
        <f>HYPERLINK("http://ar.linkedin.com/in/fritzvw","http://ar.linkedin.com/in/fritzvw")</f>
        <v>http://ar.linkedin.com/in/fritzvw</v>
      </c>
      <c r="I2552" s="2" t="s">
        <v>160</v>
      </c>
      <c r="J2552" s="2" t="s">
        <v>21</v>
      </c>
      <c r="K2552" s="2" t="s">
        <v>5845</v>
      </c>
    </row>
    <row r="2553" ht="15.75" customHeight="1">
      <c r="A2553" s="2">
        <v>7607.0</v>
      </c>
      <c r="B2553" s="2" t="s">
        <v>5846</v>
      </c>
      <c r="C2553" s="2" t="s">
        <v>544</v>
      </c>
      <c r="D2553" s="2" t="s">
        <v>5847</v>
      </c>
      <c r="E2553" s="2" t="s">
        <v>20</v>
      </c>
      <c r="F2553" s="2">
        <v>0.0</v>
      </c>
      <c r="G2553" s="2">
        <v>33.0</v>
      </c>
      <c r="H2553" s="3" t="str">
        <f>HYPERLINK("http://ar.linkedin.com/pub/horacio-castillo/A/589/414","http://ar.linkedin.com/pub/horacio-castillo/A/589/414")</f>
        <v>http://ar.linkedin.com/pub/horacio-castillo/A/589/414</v>
      </c>
      <c r="I2553" s="2" t="s">
        <v>77</v>
      </c>
      <c r="J2553" s="2" t="s">
        <v>21</v>
      </c>
      <c r="K2553" s="2" t="s">
        <v>5848</v>
      </c>
    </row>
    <row r="2554" ht="15.75" customHeight="1">
      <c r="A2554" s="2">
        <v>7616.0</v>
      </c>
      <c r="B2554" s="2" t="s">
        <v>5849</v>
      </c>
      <c r="C2554" s="2" t="s">
        <v>5850</v>
      </c>
      <c r="D2554" s="2" t="s">
        <v>1871</v>
      </c>
      <c r="E2554" s="2" t="s">
        <v>20</v>
      </c>
      <c r="F2554" s="2">
        <v>4.0</v>
      </c>
      <c r="G2554" s="2">
        <v>500.0</v>
      </c>
      <c r="H2554" s="3" t="str">
        <f>HYPERLINK("http://ar.linkedin.com/in/facundobaez","http://ar.linkedin.com/in/facundobaez")</f>
        <v>http://ar.linkedin.com/in/facundobaez</v>
      </c>
      <c r="I2554" s="2" t="s">
        <v>681</v>
      </c>
      <c r="J2554" s="2" t="s">
        <v>21</v>
      </c>
      <c r="K2554" s="2" t="s">
        <v>5727</v>
      </c>
    </row>
    <row r="2555" ht="15.75" customHeight="1">
      <c r="A2555" s="2">
        <v>7639.0</v>
      </c>
      <c r="B2555" s="2" t="s">
        <v>3550</v>
      </c>
      <c r="C2555" s="2" t="s">
        <v>5851</v>
      </c>
      <c r="D2555" s="2" t="s">
        <v>5852</v>
      </c>
      <c r="E2555" s="2" t="s">
        <v>20</v>
      </c>
      <c r="F2555" s="2">
        <v>13.0</v>
      </c>
      <c r="G2555" s="2">
        <v>313.0</v>
      </c>
      <c r="H2555" s="3" t="str">
        <f>HYPERLINK("http://ar.linkedin.com/in/nicolasgraupen","http://ar.linkedin.com/in/nicolasgraupen")</f>
        <v>http://ar.linkedin.com/in/nicolasgraupen</v>
      </c>
      <c r="I2555" s="2" t="s">
        <v>172</v>
      </c>
      <c r="J2555" s="2" t="s">
        <v>21</v>
      </c>
      <c r="K2555" s="2" t="s">
        <v>5727</v>
      </c>
    </row>
    <row r="2556" ht="15.75" customHeight="1">
      <c r="A2556" s="2">
        <v>7661.0</v>
      </c>
      <c r="B2556" s="2" t="s">
        <v>3178</v>
      </c>
      <c r="C2556" s="2" t="s">
        <v>5853</v>
      </c>
      <c r="D2556" s="2" t="s">
        <v>5854</v>
      </c>
      <c r="E2556" s="2" t="s">
        <v>20</v>
      </c>
      <c r="F2556" s="2">
        <v>13.0</v>
      </c>
      <c r="G2556" s="2">
        <v>318.0</v>
      </c>
      <c r="H2556" s="3" t="str">
        <f>HYPERLINK("http://ar.linkedin.com/in/lucaspein","http://ar.linkedin.com/in/lucaspein")</f>
        <v>http://ar.linkedin.com/in/lucaspein</v>
      </c>
      <c r="I2556" s="2" t="s">
        <v>1398</v>
      </c>
      <c r="J2556" s="2" t="s">
        <v>21</v>
      </c>
      <c r="K2556" s="2" t="s">
        <v>5727</v>
      </c>
    </row>
    <row r="2557" ht="15.75" customHeight="1">
      <c r="A2557" s="2">
        <v>7684.0</v>
      </c>
      <c r="B2557" s="2" t="s">
        <v>18</v>
      </c>
      <c r="C2557" s="2" t="s">
        <v>5855</v>
      </c>
      <c r="D2557" s="2" t="s">
        <v>5856</v>
      </c>
      <c r="E2557" s="2" t="s">
        <v>20</v>
      </c>
      <c r="F2557" s="2">
        <v>0.0</v>
      </c>
      <c r="G2557" s="2">
        <v>115.0</v>
      </c>
      <c r="H2557" s="3" t="str">
        <f>HYPERLINK("http://ar.linkedin.com/pub/mauricio-carletti/9/834/887","http://ar.linkedin.com/pub/mauricio-carletti/9/834/887")</f>
        <v>http://ar.linkedin.com/pub/mauricio-carletti/9/834/887</v>
      </c>
      <c r="I2557" s="2" t="s">
        <v>57</v>
      </c>
      <c r="J2557" s="2" t="s">
        <v>21</v>
      </c>
      <c r="K2557" s="2" t="s">
        <v>5725</v>
      </c>
    </row>
    <row r="2558" ht="15.75" customHeight="1">
      <c r="A2558" s="2">
        <v>7711.0</v>
      </c>
      <c r="B2558" s="2" t="s">
        <v>5857</v>
      </c>
      <c r="C2558" s="2" t="s">
        <v>5858</v>
      </c>
      <c r="D2558" s="2" t="s">
        <v>5859</v>
      </c>
      <c r="E2558" s="2" t="s">
        <v>20</v>
      </c>
      <c r="F2558" s="2">
        <v>9.0</v>
      </c>
      <c r="G2558" s="2">
        <v>402.0</v>
      </c>
      <c r="H2558" s="3" t="str">
        <f>HYPERLINK("http://www.linkedin.com/in/santiagombustelo","http://www.linkedin.com/in/santiagombustelo")</f>
        <v>http://www.linkedin.com/in/santiagombustelo</v>
      </c>
      <c r="I2558" s="2" t="s">
        <v>1948</v>
      </c>
      <c r="J2558" s="2" t="s">
        <v>21</v>
      </c>
      <c r="K2558" s="2" t="s">
        <v>5727</v>
      </c>
    </row>
    <row r="2559" ht="15.75" customHeight="1">
      <c r="A2559" s="2">
        <v>7716.0</v>
      </c>
      <c r="B2559" s="2" t="s">
        <v>20</v>
      </c>
      <c r="C2559" s="2" t="s">
        <v>5860</v>
      </c>
      <c r="D2559" s="2" t="s">
        <v>5861</v>
      </c>
      <c r="E2559" s="2" t="s">
        <v>20</v>
      </c>
      <c r="F2559" s="2">
        <v>1.0</v>
      </c>
      <c r="G2559" s="2">
        <v>500.0</v>
      </c>
      <c r="H2559" s="3" t="str">
        <f>HYPERLINK("http://ar.linkedin.com/pub/argentina-mart%C3%ADnez/A/986/B59","http://ar.linkedin.com/pub/argentina-mart%C3%ADnez/A/986/B59")</f>
        <v>http://ar.linkedin.com/pub/argentina-mart%C3%ADnez/A/986/B59</v>
      </c>
      <c r="I2559" s="2" t="s">
        <v>458</v>
      </c>
      <c r="J2559" s="2" t="s">
        <v>21</v>
      </c>
      <c r="K2559" s="2" t="s">
        <v>5734</v>
      </c>
    </row>
    <row r="2560" ht="15.75" customHeight="1">
      <c r="A2560" s="2">
        <v>7745.0</v>
      </c>
      <c r="B2560" s="2" t="s">
        <v>358</v>
      </c>
      <c r="C2560" s="2" t="s">
        <v>5862</v>
      </c>
      <c r="D2560" s="2" t="s">
        <v>5863</v>
      </c>
      <c r="E2560" s="2" t="s">
        <v>20</v>
      </c>
      <c r="F2560" s="2">
        <v>0.0</v>
      </c>
      <c r="G2560" s="2">
        <v>200.0</v>
      </c>
      <c r="H2560" s="3" t="str">
        <f>HYPERLINK("http://ar.linkedin.com/pub/marcelo-candelieri/1/47/A8A","http://ar.linkedin.com/pub/marcelo-candelieri/1/47/A8A")</f>
        <v>http://ar.linkedin.com/pub/marcelo-candelieri/1/47/A8A</v>
      </c>
      <c r="I2560" s="2" t="s">
        <v>77</v>
      </c>
      <c r="J2560" s="2" t="s">
        <v>21</v>
      </c>
      <c r="K2560" s="2" t="s">
        <v>5785</v>
      </c>
    </row>
    <row r="2561" ht="15.75" customHeight="1">
      <c r="A2561" s="2">
        <v>7748.0</v>
      </c>
      <c r="B2561" s="2" t="s">
        <v>2436</v>
      </c>
      <c r="C2561" s="2" t="s">
        <v>5864</v>
      </c>
      <c r="D2561" s="2" t="s">
        <v>2302</v>
      </c>
      <c r="E2561" s="2" t="s">
        <v>20</v>
      </c>
      <c r="F2561" s="2">
        <v>0.0</v>
      </c>
      <c r="G2561" s="2">
        <v>302.0</v>
      </c>
      <c r="H2561" s="3" t="str">
        <f>HYPERLINK("http://ar.linkedin.com/pub/antonio-pages/10/696/835","http://ar.linkedin.com/pub/antonio-pages/10/696/835")</f>
        <v>http://ar.linkedin.com/pub/antonio-pages/10/696/835</v>
      </c>
      <c r="I2561" s="2" t="s">
        <v>195</v>
      </c>
      <c r="J2561" s="2" t="s">
        <v>21</v>
      </c>
      <c r="K2561" s="2" t="s">
        <v>5865</v>
      </c>
    </row>
    <row r="2562" ht="15.75" customHeight="1">
      <c r="A2562" s="2">
        <v>7756.0</v>
      </c>
      <c r="B2562" s="2" t="s">
        <v>5078</v>
      </c>
      <c r="C2562" s="2" t="s">
        <v>3943</v>
      </c>
      <c r="D2562" s="2" t="s">
        <v>5866</v>
      </c>
      <c r="E2562" s="2" t="s">
        <v>20</v>
      </c>
      <c r="F2562" s="2">
        <v>2.0</v>
      </c>
      <c r="G2562" s="2">
        <v>500.0</v>
      </c>
      <c r="H2562" s="3" t="str">
        <f>HYPERLINK("http://ar.linkedin.com/pub/diego-rodriguez/4/877/A86","http://ar.linkedin.com/pub/diego-rodriguez/4/877/A86")</f>
        <v>http://ar.linkedin.com/pub/diego-rodriguez/4/877/A86</v>
      </c>
      <c r="I2562" s="2" t="s">
        <v>77</v>
      </c>
      <c r="J2562" s="2" t="s">
        <v>21</v>
      </c>
      <c r="K2562" s="2" t="s">
        <v>5731</v>
      </c>
    </row>
    <row r="2563" ht="15.75" customHeight="1">
      <c r="A2563" s="2">
        <v>7772.0</v>
      </c>
      <c r="B2563" s="2" t="s">
        <v>70</v>
      </c>
      <c r="C2563" s="2" t="s">
        <v>5867</v>
      </c>
      <c r="D2563" s="2" t="s">
        <v>5868</v>
      </c>
      <c r="E2563" s="2" t="s">
        <v>20</v>
      </c>
      <c r="F2563" s="2">
        <v>41.0</v>
      </c>
      <c r="G2563" s="2">
        <v>493.0</v>
      </c>
      <c r="H2563" s="3" t="str">
        <f>HYPERLINK("http://ar.linkedin.com/pub/gustavo-jim-nez/1A/305/11A","http://ar.linkedin.com/pub/gustavo-jim-nez/1A/305/11A")</f>
        <v>http://ar.linkedin.com/pub/gustavo-jim-nez/1A/305/11A</v>
      </c>
      <c r="I2563" s="2" t="s">
        <v>910</v>
      </c>
      <c r="J2563" s="2" t="s">
        <v>21</v>
      </c>
      <c r="K2563" s="2" t="s">
        <v>5743</v>
      </c>
    </row>
    <row r="2564" ht="15.75" customHeight="1">
      <c r="A2564" s="2">
        <v>7784.0</v>
      </c>
      <c r="B2564" s="2" t="s">
        <v>70</v>
      </c>
      <c r="C2564" s="2" t="s">
        <v>5869</v>
      </c>
      <c r="D2564" s="2" t="s">
        <v>5870</v>
      </c>
      <c r="E2564" s="2" t="s">
        <v>20</v>
      </c>
      <c r="F2564" s="2">
        <v>0.0</v>
      </c>
      <c r="G2564" s="2">
        <v>202.0</v>
      </c>
      <c r="H2564" s="3" t="str">
        <f>HYPERLINK("http://ar.linkedin.com/pub/gustavo-ventre/3/34A/368","http://ar.linkedin.com/pub/gustavo-ventre/3/34A/368")</f>
        <v>http://ar.linkedin.com/pub/gustavo-ventre/3/34A/368</v>
      </c>
      <c r="I2564" s="2" t="s">
        <v>15</v>
      </c>
      <c r="J2564" s="2" t="s">
        <v>21</v>
      </c>
      <c r="K2564" s="2" t="s">
        <v>5725</v>
      </c>
    </row>
    <row r="2565" ht="15.75" customHeight="1">
      <c r="A2565" s="2">
        <v>7825.0</v>
      </c>
      <c r="B2565" s="2" t="s">
        <v>5871</v>
      </c>
      <c r="C2565" s="2" t="s">
        <v>5872</v>
      </c>
      <c r="D2565" s="2" t="s">
        <v>5873</v>
      </c>
      <c r="E2565" s="2" t="s">
        <v>20</v>
      </c>
      <c r="F2565" s="2">
        <v>2.0</v>
      </c>
      <c r="G2565" s="2">
        <v>500.0</v>
      </c>
      <c r="H2565" s="3" t="str">
        <f>HYPERLINK("http://ar.linkedin.com/in/sabrinanr","http://ar.linkedin.com/in/sabrinanr")</f>
        <v>http://ar.linkedin.com/in/sabrinanr</v>
      </c>
      <c r="I2565" s="2" t="s">
        <v>356</v>
      </c>
      <c r="J2565" s="2" t="s">
        <v>21</v>
      </c>
      <c r="K2565" s="2" t="s">
        <v>5727</v>
      </c>
    </row>
    <row r="2566" ht="15.75" customHeight="1">
      <c r="A2566" s="2">
        <v>7828.0</v>
      </c>
      <c r="B2566" s="2" t="s">
        <v>5874</v>
      </c>
      <c r="C2566" s="2" t="s">
        <v>5875</v>
      </c>
      <c r="D2566" s="2" t="s">
        <v>5876</v>
      </c>
      <c r="E2566" s="2" t="s">
        <v>20</v>
      </c>
      <c r="F2566" s="2">
        <v>33.0</v>
      </c>
      <c r="G2566" s="2">
        <v>500.0</v>
      </c>
      <c r="H2566" s="3" t="str">
        <f>HYPERLINK("http://ar.linkedin.com/in/jcgonzalez","http://ar.linkedin.com/in/jcgonzalez")</f>
        <v>http://ar.linkedin.com/in/jcgonzalez</v>
      </c>
      <c r="I2566" s="2" t="s">
        <v>57</v>
      </c>
      <c r="J2566" s="2" t="s">
        <v>21</v>
      </c>
      <c r="K2566" s="2" t="s">
        <v>5727</v>
      </c>
    </row>
    <row r="2567" ht="15.75" customHeight="1">
      <c r="A2567" s="2">
        <v>7845.0</v>
      </c>
      <c r="B2567" s="2" t="s">
        <v>362</v>
      </c>
      <c r="C2567" s="2" t="s">
        <v>5877</v>
      </c>
      <c r="D2567" s="2" t="s">
        <v>5878</v>
      </c>
      <c r="E2567" s="2" t="s">
        <v>20</v>
      </c>
      <c r="F2567" s="2">
        <v>14.0</v>
      </c>
      <c r="G2567" s="2">
        <v>500.0</v>
      </c>
      <c r="H2567" s="3" t="str">
        <f>HYPERLINK("http://ar.linkedin.com/in/jvannini","http://ar.linkedin.com/in/jvannini")</f>
        <v>http://ar.linkedin.com/in/jvannini</v>
      </c>
      <c r="I2567" s="2" t="s">
        <v>172</v>
      </c>
      <c r="J2567" s="2" t="s">
        <v>21</v>
      </c>
      <c r="K2567" s="2" t="s">
        <v>5727</v>
      </c>
    </row>
    <row r="2568" ht="15.75" customHeight="1">
      <c r="A2568" s="2">
        <v>7854.0</v>
      </c>
      <c r="B2568" s="2" t="s">
        <v>227</v>
      </c>
      <c r="C2568" s="2" t="s">
        <v>5879</v>
      </c>
      <c r="D2568" s="2" t="s">
        <v>5880</v>
      </c>
      <c r="E2568" s="2" t="s">
        <v>762</v>
      </c>
      <c r="F2568" s="2">
        <v>13.0</v>
      </c>
      <c r="G2568" s="2">
        <v>500.0</v>
      </c>
      <c r="H2568" s="3" t="str">
        <f>HYPERLINK("http://www.linkedin.com/pub/jorge-boria-jboria-liveware-com/0/52/B70","http://www.linkedin.com/pub/jorge-boria-jboria-liveware-com/0/52/B70")</f>
        <v>http://www.linkedin.com/pub/jorge-boria-jboria-liveware-com/0/52/B70</v>
      </c>
      <c r="I2568" s="2" t="s">
        <v>15</v>
      </c>
      <c r="J2568" s="2" t="s">
        <v>102</v>
      </c>
      <c r="K2568" s="2" t="s">
        <v>5812</v>
      </c>
    </row>
    <row r="2569" ht="15.75" customHeight="1">
      <c r="A2569" s="2">
        <v>7881.0</v>
      </c>
      <c r="B2569" s="2" t="s">
        <v>353</v>
      </c>
      <c r="C2569" s="2" t="s">
        <v>5881</v>
      </c>
      <c r="D2569" s="2" t="s">
        <v>5882</v>
      </c>
      <c r="E2569" s="2" t="s">
        <v>20</v>
      </c>
      <c r="F2569" s="2">
        <v>12.0</v>
      </c>
      <c r="G2569" s="2">
        <v>500.0</v>
      </c>
      <c r="H2569" s="3" t="str">
        <f>HYPERLINK("http://ar.linkedin.com/in/aleschiappa","http://ar.linkedin.com/in/aleschiappa")</f>
        <v>http://ar.linkedin.com/in/aleschiappa</v>
      </c>
      <c r="I2569" s="2" t="s">
        <v>910</v>
      </c>
      <c r="J2569" s="2" t="s">
        <v>21</v>
      </c>
      <c r="K2569" s="2" t="s">
        <v>5727</v>
      </c>
    </row>
    <row r="2570" ht="15.75" customHeight="1">
      <c r="A2570" s="2">
        <v>7902.0</v>
      </c>
      <c r="B2570" s="2" t="s">
        <v>5883</v>
      </c>
      <c r="C2570" s="2" t="s">
        <v>5884</v>
      </c>
      <c r="D2570" s="2" t="s">
        <v>5885</v>
      </c>
      <c r="E2570" s="2" t="s">
        <v>20</v>
      </c>
      <c r="F2570" s="2">
        <v>0.0</v>
      </c>
      <c r="G2570" s="2">
        <v>275.0</v>
      </c>
      <c r="H2570" s="3" t="str">
        <f>HYPERLINK("http://ar.linkedin.com/pub/ariel-giussani/1/442/A1A","http://ar.linkedin.com/pub/ariel-giussani/1/442/A1A")</f>
        <v>http://ar.linkedin.com/pub/ariel-giussani/1/442/A1A</v>
      </c>
      <c r="I2570" s="2" t="s">
        <v>48</v>
      </c>
      <c r="J2570" s="2" t="s">
        <v>21</v>
      </c>
      <c r="K2570" s="2" t="s">
        <v>5725</v>
      </c>
    </row>
    <row r="2571" ht="15.75" customHeight="1">
      <c r="A2571" s="2">
        <v>7906.0</v>
      </c>
      <c r="B2571" s="2" t="s">
        <v>5078</v>
      </c>
      <c r="C2571" s="2" t="s">
        <v>5886</v>
      </c>
      <c r="D2571" s="2" t="s">
        <v>1196</v>
      </c>
      <c r="E2571" s="2" t="s">
        <v>20</v>
      </c>
      <c r="F2571" s="2">
        <v>0.0</v>
      </c>
      <c r="G2571" s="2">
        <v>184.0</v>
      </c>
      <c r="H2571" s="3" t="str">
        <f>HYPERLINK("http://ar.linkedin.com/in/diegoiusef","http://ar.linkedin.com/in/diegoiusef")</f>
        <v>http://ar.linkedin.com/in/diegoiusef</v>
      </c>
      <c r="I2571" s="2" t="s">
        <v>15</v>
      </c>
      <c r="J2571" s="2" t="s">
        <v>21</v>
      </c>
      <c r="K2571" s="2" t="s">
        <v>5725</v>
      </c>
    </row>
    <row r="2572" ht="15.75" customHeight="1">
      <c r="A2572" s="2">
        <v>7916.0</v>
      </c>
      <c r="B2572" s="2" t="s">
        <v>3776</v>
      </c>
      <c r="C2572" s="2" t="s">
        <v>5887</v>
      </c>
      <c r="D2572" s="2" t="s">
        <v>13</v>
      </c>
      <c r="E2572" s="2" t="s">
        <v>20</v>
      </c>
      <c r="F2572" s="2">
        <v>0.0</v>
      </c>
      <c r="G2572" s="2">
        <v>238.0</v>
      </c>
      <c r="H2572" s="3" t="str">
        <f>HYPERLINK("http://www.linkedin.com/pub/pedro-maddalena/4/15a/373","http://www.linkedin.com/pub/pedro-maddalena/4/15a/373")</f>
        <v>http://www.linkedin.com/pub/pedro-maddalena/4/15a/373</v>
      </c>
      <c r="I2572" s="2" t="s">
        <v>48</v>
      </c>
      <c r="J2572" s="2" t="s">
        <v>21</v>
      </c>
      <c r="K2572" s="2" t="s">
        <v>5725</v>
      </c>
    </row>
    <row r="2573" ht="15.75" customHeight="1">
      <c r="A2573" s="2">
        <v>7931.0</v>
      </c>
      <c r="B2573" s="2" t="s">
        <v>5888</v>
      </c>
      <c r="C2573" s="2" t="s">
        <v>5889</v>
      </c>
      <c r="D2573" s="2" t="s">
        <v>13</v>
      </c>
      <c r="E2573" s="2" t="s">
        <v>20</v>
      </c>
      <c r="F2573" s="2">
        <v>6.0</v>
      </c>
      <c r="G2573" s="2">
        <v>500.0</v>
      </c>
      <c r="H2573" s="3" t="str">
        <f>HYPERLINK("http://www.linkedin.com/pub/gast%C3%B3n-cozzo/2/614/23b","http://www.linkedin.com/pub/gast%C3%B3n-cozzo/2/614/23b")</f>
        <v>http://www.linkedin.com/pub/gast%C3%B3n-cozzo/2/614/23b</v>
      </c>
      <c r="I2573" s="2" t="s">
        <v>579</v>
      </c>
      <c r="J2573" s="2" t="s">
        <v>21</v>
      </c>
      <c r="K2573" s="2" t="s">
        <v>5727</v>
      </c>
    </row>
    <row r="2574" ht="15.75" customHeight="1">
      <c r="A2574" s="2">
        <v>7951.0</v>
      </c>
      <c r="B2574" s="2" t="s">
        <v>5890</v>
      </c>
      <c r="C2574" s="2" t="s">
        <v>5891</v>
      </c>
      <c r="D2574" s="2" t="s">
        <v>5892</v>
      </c>
      <c r="E2574" s="2" t="s">
        <v>20</v>
      </c>
      <c r="F2574" s="2">
        <v>8.0</v>
      </c>
      <c r="G2574" s="2">
        <v>222.0</v>
      </c>
      <c r="H2574" s="3" t="str">
        <f>HYPERLINK("http://ar.linkedin.com/in/pherrera","http://ar.linkedin.com/in/pherrera")</f>
        <v>http://ar.linkedin.com/in/pherrera</v>
      </c>
      <c r="I2574" s="2" t="s">
        <v>77</v>
      </c>
      <c r="J2574" s="2" t="s">
        <v>21</v>
      </c>
      <c r="K2574" s="2" t="s">
        <v>5731</v>
      </c>
    </row>
    <row r="2575" ht="15.75" customHeight="1">
      <c r="A2575" s="2">
        <v>7956.0</v>
      </c>
      <c r="B2575" s="2" t="s">
        <v>1071</v>
      </c>
      <c r="C2575" s="2" t="s">
        <v>5893</v>
      </c>
      <c r="D2575" s="2" t="s">
        <v>5894</v>
      </c>
      <c r="E2575" s="2" t="s">
        <v>20</v>
      </c>
      <c r="F2575" s="2">
        <v>1.0</v>
      </c>
      <c r="G2575" s="2">
        <v>458.0</v>
      </c>
      <c r="H2575" s="3" t="str">
        <f>HYPERLINK("http://www.linkedin.com/pub/eric-mariano-folch/7/746/674","http://www.linkedin.com/pub/eric-mariano-folch/7/746/674")</f>
        <v>http://www.linkedin.com/pub/eric-mariano-folch/7/746/674</v>
      </c>
      <c r="I2575" s="2" t="s">
        <v>873</v>
      </c>
      <c r="J2575" s="2" t="s">
        <v>21</v>
      </c>
      <c r="K2575" s="2" t="s">
        <v>5848</v>
      </c>
    </row>
    <row r="2576" ht="15.75" customHeight="1">
      <c r="A2576" s="2">
        <v>7957.0</v>
      </c>
      <c r="B2576" s="2" t="s">
        <v>1676</v>
      </c>
      <c r="C2576" s="2" t="s">
        <v>5895</v>
      </c>
      <c r="D2576" s="2" t="s">
        <v>5896</v>
      </c>
      <c r="E2576" s="2" t="s">
        <v>20</v>
      </c>
      <c r="F2576" s="2">
        <v>0.0</v>
      </c>
      <c r="G2576" s="2">
        <v>164.0</v>
      </c>
      <c r="H2576" s="3" t="str">
        <f>HYPERLINK("http://ar.linkedin.com/in/raulkhalil","http://ar.linkedin.com/in/raulkhalil")</f>
        <v>http://ar.linkedin.com/in/raulkhalil</v>
      </c>
      <c r="I2576" s="2" t="s">
        <v>77</v>
      </c>
      <c r="J2576" s="2" t="s">
        <v>21</v>
      </c>
      <c r="K2576" s="2" t="s">
        <v>5848</v>
      </c>
    </row>
    <row r="2577" ht="15.75" customHeight="1">
      <c r="A2577" s="2">
        <v>7959.0</v>
      </c>
      <c r="B2577" s="2" t="s">
        <v>3847</v>
      </c>
      <c r="C2577" s="2" t="s">
        <v>5897</v>
      </c>
      <c r="D2577" s="2" t="s">
        <v>5898</v>
      </c>
      <c r="E2577" s="2" t="s">
        <v>20</v>
      </c>
      <c r="F2577" s="2">
        <v>2.0</v>
      </c>
      <c r="G2577" s="2">
        <v>346.0</v>
      </c>
      <c r="H2577" s="3" t="str">
        <f>HYPERLINK("http://ar.linkedin.com/pub/victor-nahum/5/196/B7","http://ar.linkedin.com/pub/victor-nahum/5/196/B7")</f>
        <v>http://ar.linkedin.com/pub/victor-nahum/5/196/B7</v>
      </c>
      <c r="I2577" s="2" t="s">
        <v>599</v>
      </c>
      <c r="J2577" s="2" t="s">
        <v>21</v>
      </c>
      <c r="K2577" s="2" t="s">
        <v>5727</v>
      </c>
    </row>
    <row r="2578" ht="15.75" customHeight="1">
      <c r="A2578" s="2">
        <v>7969.0</v>
      </c>
      <c r="B2578" s="2" t="s">
        <v>5899</v>
      </c>
      <c r="C2578" s="2" t="s">
        <v>5900</v>
      </c>
      <c r="D2578" s="2" t="s">
        <v>13</v>
      </c>
      <c r="E2578" s="2" t="s">
        <v>20</v>
      </c>
      <c r="F2578" s="2">
        <v>1.0</v>
      </c>
      <c r="G2578" s="2">
        <v>500.0</v>
      </c>
      <c r="H2578" s="3" t="str">
        <f>HYPERLINK("http://www.linkedin.com/pub/mar%C3%ADa-agustina-campana/19/42b/916","http://www.linkedin.com/pub/mar%C3%ADa-agustina-campana/19/42b/916")</f>
        <v>http://www.linkedin.com/pub/mar%C3%ADa-agustina-campana/19/42b/916</v>
      </c>
      <c r="I2578" s="2" t="s">
        <v>910</v>
      </c>
      <c r="J2578" s="2" t="s">
        <v>21</v>
      </c>
      <c r="K2578" s="2" t="s">
        <v>5865</v>
      </c>
    </row>
    <row r="2579" ht="15.75" customHeight="1">
      <c r="A2579" s="2">
        <v>7994.0</v>
      </c>
      <c r="B2579" s="2" t="s">
        <v>5803</v>
      </c>
      <c r="C2579" s="2" t="s">
        <v>5901</v>
      </c>
      <c r="D2579" s="2" t="s">
        <v>5902</v>
      </c>
      <c r="E2579" s="2" t="s">
        <v>20</v>
      </c>
      <c r="F2579" s="2">
        <v>6.0</v>
      </c>
      <c r="G2579" s="2">
        <v>500.0</v>
      </c>
      <c r="H2579" s="3" t="str">
        <f>HYPERLINK("http://ar.linkedin.com/pub/mariano-barutta/0/17/6B8","http://ar.linkedin.com/pub/mariano-barutta/0/17/6B8")</f>
        <v>http://ar.linkedin.com/pub/mariano-barutta/0/17/6B8</v>
      </c>
      <c r="I2579" s="2" t="s">
        <v>458</v>
      </c>
      <c r="J2579" s="2" t="s">
        <v>21</v>
      </c>
      <c r="K2579" s="2" t="s">
        <v>5727</v>
      </c>
    </row>
    <row r="2580" ht="15.75" customHeight="1">
      <c r="A2580" s="2">
        <v>8011.0</v>
      </c>
      <c r="B2580" s="2" t="s">
        <v>4713</v>
      </c>
      <c r="C2580" s="2" t="s">
        <v>5903</v>
      </c>
      <c r="D2580" s="2" t="s">
        <v>5904</v>
      </c>
      <c r="E2580" s="2" t="s">
        <v>20</v>
      </c>
      <c r="F2580" s="2">
        <v>0.0</v>
      </c>
      <c r="G2580" s="2">
        <v>211.0</v>
      </c>
      <c r="H2580" s="3" t="str">
        <f>HYPERLINK("http://ar.linkedin.com/in/tgayoso","http://ar.linkedin.com/in/tgayoso")</f>
        <v>http://ar.linkedin.com/in/tgayoso</v>
      </c>
      <c r="I2580" s="2" t="s">
        <v>579</v>
      </c>
      <c r="J2580" s="2" t="s">
        <v>21</v>
      </c>
      <c r="K2580" s="2" t="s">
        <v>5819</v>
      </c>
    </row>
    <row r="2581" ht="15.75" customHeight="1">
      <c r="A2581" s="2">
        <v>8030.0</v>
      </c>
      <c r="B2581" s="2" t="s">
        <v>3550</v>
      </c>
      <c r="C2581" s="2" t="s">
        <v>5905</v>
      </c>
      <c r="D2581" s="2" t="s">
        <v>5906</v>
      </c>
      <c r="E2581" s="2" t="s">
        <v>20</v>
      </c>
      <c r="F2581" s="2">
        <v>6.0</v>
      </c>
      <c r="G2581" s="2">
        <v>500.0</v>
      </c>
      <c r="H2581" s="3" t="str">
        <f>HYPERLINK("http://ar.linkedin.com/in/ndelfrate","http://ar.linkedin.com/in/ndelfrate")</f>
        <v>http://ar.linkedin.com/in/ndelfrate</v>
      </c>
      <c r="I2581" s="2" t="s">
        <v>77</v>
      </c>
      <c r="J2581" s="2" t="s">
        <v>21</v>
      </c>
      <c r="K2581" s="2" t="s">
        <v>5731</v>
      </c>
    </row>
    <row r="2582" ht="15.75" customHeight="1">
      <c r="A2582" s="2">
        <v>8034.0</v>
      </c>
      <c r="B2582" s="2" t="s">
        <v>152</v>
      </c>
      <c r="C2582" s="2" t="s">
        <v>5907</v>
      </c>
      <c r="D2582" s="2" t="s">
        <v>75</v>
      </c>
      <c r="E2582" s="2" t="s">
        <v>20</v>
      </c>
      <c r="F2582" s="2">
        <v>8.0</v>
      </c>
      <c r="G2582" s="2">
        <v>500.0</v>
      </c>
      <c r="H2582" s="3" t="str">
        <f>HYPERLINK("http://ar.linkedin.com/pub/eduardo-calvert-de-bohun/1/663/164","http://ar.linkedin.com/pub/eduardo-calvert-de-bohun/1/663/164")</f>
        <v>http://ar.linkedin.com/pub/eduardo-calvert-de-bohun/1/663/164</v>
      </c>
      <c r="I2582" s="2" t="s">
        <v>77</v>
      </c>
      <c r="J2582" s="2" t="s">
        <v>21</v>
      </c>
      <c r="K2582" s="2" t="s">
        <v>5743</v>
      </c>
    </row>
    <row r="2583" ht="15.75" customHeight="1">
      <c r="A2583" s="2">
        <v>8050.0</v>
      </c>
      <c r="B2583" s="2" t="s">
        <v>193</v>
      </c>
      <c r="C2583" s="2" t="s">
        <v>5908</v>
      </c>
      <c r="D2583" s="2" t="s">
        <v>5909</v>
      </c>
      <c r="E2583" s="2" t="s">
        <v>20</v>
      </c>
      <c r="F2583" s="2">
        <v>10.0</v>
      </c>
      <c r="G2583" s="2">
        <v>500.0</v>
      </c>
      <c r="H2583" s="3" t="str">
        <f>HYPERLINK("http://ar.linkedin.com/pub/guillermo-katilius/20/648/414","http://ar.linkedin.com/pub/guillermo-katilius/20/648/414")</f>
        <v>http://ar.linkedin.com/pub/guillermo-katilius/20/648/414</v>
      </c>
      <c r="I2583" s="2" t="s">
        <v>2183</v>
      </c>
      <c r="J2583" s="2" t="s">
        <v>21</v>
      </c>
      <c r="K2583" s="2" t="s">
        <v>5727</v>
      </c>
    </row>
    <row r="2584" ht="15.75" customHeight="1">
      <c r="A2584" s="2">
        <v>8052.0</v>
      </c>
      <c r="B2584" s="2" t="s">
        <v>5910</v>
      </c>
      <c r="C2584" s="2" t="s">
        <v>5911</v>
      </c>
      <c r="D2584" s="2" t="s">
        <v>13</v>
      </c>
      <c r="E2584" s="2" t="s">
        <v>20</v>
      </c>
      <c r="F2584" s="2">
        <v>2.0</v>
      </c>
      <c r="G2584" s="2">
        <v>381.0</v>
      </c>
      <c r="H2584" s="3" t="str">
        <f>HYPERLINK("http://www.linkedin.com/pub/dra-mariana-de-luca/18/a18/82b","http://www.linkedin.com/pub/dra-mariana-de-luca/18/a18/82b")</f>
        <v>http://www.linkedin.com/pub/dra-mariana-de-luca/18/a18/82b</v>
      </c>
      <c r="I2584" s="2" t="s">
        <v>231</v>
      </c>
      <c r="J2584" s="2" t="s">
        <v>21</v>
      </c>
      <c r="K2584" s="2" t="s">
        <v>5743</v>
      </c>
    </row>
    <row r="2585" ht="15.75" customHeight="1">
      <c r="A2585" s="2">
        <v>8057.0</v>
      </c>
      <c r="B2585" s="2" t="s">
        <v>3072</v>
      </c>
      <c r="C2585" s="2" t="s">
        <v>5912</v>
      </c>
      <c r="D2585" s="2" t="s">
        <v>13</v>
      </c>
      <c r="E2585" s="2" t="s">
        <v>20</v>
      </c>
      <c r="F2585" s="2">
        <v>0.0</v>
      </c>
      <c r="G2585" s="2">
        <v>500.0</v>
      </c>
      <c r="H2585" s="3" t="str">
        <f>HYPERLINK("http://www.linkedin.com/pub/luis-walczak/7/893/9b","http://www.linkedin.com/pub/luis-walczak/7/893/9b")</f>
        <v>http://www.linkedin.com/pub/luis-walczak/7/893/9b</v>
      </c>
      <c r="I2585" s="2" t="s">
        <v>458</v>
      </c>
      <c r="J2585" s="2" t="s">
        <v>21</v>
      </c>
      <c r="K2585" s="2" t="s">
        <v>5913</v>
      </c>
    </row>
    <row r="2586" ht="15.75" customHeight="1">
      <c r="A2586" s="2">
        <v>8059.0</v>
      </c>
      <c r="B2586" s="2" t="s">
        <v>637</v>
      </c>
      <c r="C2586" s="2" t="s">
        <v>5914</v>
      </c>
      <c r="D2586" s="2" t="s">
        <v>673</v>
      </c>
      <c r="E2586" s="2" t="s">
        <v>20</v>
      </c>
      <c r="F2586" s="2">
        <v>9.0</v>
      </c>
      <c r="G2586" s="2">
        <v>500.0</v>
      </c>
      <c r="H2586" s="3" t="str">
        <f>HYPERLINK("http://ar.linkedin.com/in/leonardosanabria","http://ar.linkedin.com/in/leonardosanabria")</f>
        <v>http://ar.linkedin.com/in/leonardosanabria</v>
      </c>
      <c r="I2586" s="2" t="s">
        <v>231</v>
      </c>
      <c r="J2586" s="2" t="s">
        <v>21</v>
      </c>
      <c r="K2586" s="2" t="s">
        <v>5743</v>
      </c>
    </row>
    <row r="2587" ht="15.75" customHeight="1">
      <c r="A2587" s="2">
        <v>8062.0</v>
      </c>
      <c r="B2587" s="2" t="s">
        <v>5915</v>
      </c>
      <c r="C2587" s="2" t="s">
        <v>5916</v>
      </c>
      <c r="D2587" s="2" t="s">
        <v>42</v>
      </c>
      <c r="E2587" s="2" t="s">
        <v>20</v>
      </c>
      <c r="F2587" s="2">
        <v>4.0</v>
      </c>
      <c r="G2587" s="2">
        <v>500.0</v>
      </c>
      <c r="H2587" s="3" t="str">
        <f>HYPERLINK("http://ar.linkedin.com/pub/cecilia-perez-sibille/B/B27/718","http://ar.linkedin.com/pub/cecilia-perez-sibille/B/B27/718")</f>
        <v>http://ar.linkedin.com/pub/cecilia-perez-sibille/B/B27/718</v>
      </c>
      <c r="I2587" s="2" t="s">
        <v>1390</v>
      </c>
      <c r="J2587" s="2" t="s">
        <v>21</v>
      </c>
      <c r="K2587" s="2" t="s">
        <v>5727</v>
      </c>
    </row>
    <row r="2588" ht="15.75" customHeight="1">
      <c r="A2588" s="2">
        <v>8085.0</v>
      </c>
      <c r="B2588" s="2" t="s">
        <v>2727</v>
      </c>
      <c r="C2588" s="2" t="s">
        <v>5917</v>
      </c>
      <c r="D2588" s="2" t="s">
        <v>5918</v>
      </c>
      <c r="E2588" s="2" t="s">
        <v>20</v>
      </c>
      <c r="F2588" s="2">
        <v>0.0</v>
      </c>
      <c r="G2588" s="2">
        <v>500.0</v>
      </c>
      <c r="H2588" s="3" t="str">
        <f>HYPERLINK("http://ar.linkedin.com/pub/monica-sznaidman/28/A43/49A","http://ar.linkedin.com/pub/monica-sznaidman/28/A43/49A")</f>
        <v>http://ar.linkedin.com/pub/monica-sznaidman/28/A43/49A</v>
      </c>
      <c r="I2588" s="2" t="s">
        <v>458</v>
      </c>
      <c r="J2588" s="2" t="s">
        <v>21</v>
      </c>
      <c r="K2588" s="2" t="s">
        <v>5734</v>
      </c>
    </row>
    <row r="2589" ht="15.75" customHeight="1">
      <c r="A2589" s="2">
        <v>8115.0</v>
      </c>
      <c r="B2589" s="2" t="s">
        <v>221</v>
      </c>
      <c r="C2589" s="2" t="s">
        <v>4608</v>
      </c>
      <c r="D2589" s="2" t="s">
        <v>5919</v>
      </c>
      <c r="E2589" s="2" t="s">
        <v>20</v>
      </c>
      <c r="F2589" s="2">
        <v>3.0</v>
      </c>
      <c r="G2589" s="2">
        <v>190.0</v>
      </c>
      <c r="H2589" s="3" t="str">
        <f>HYPERLINK("http://ar.linkedin.com/in/miguelwest","http://ar.linkedin.com/in/miguelwest")</f>
        <v>http://ar.linkedin.com/in/miguelwest</v>
      </c>
      <c r="I2589" s="2" t="s">
        <v>77</v>
      </c>
      <c r="J2589" s="2" t="s">
        <v>21</v>
      </c>
      <c r="K2589" s="2" t="s">
        <v>5743</v>
      </c>
    </row>
    <row r="2590" ht="15.75" customHeight="1">
      <c r="A2590" s="2">
        <v>8117.0</v>
      </c>
      <c r="B2590" s="2" t="s">
        <v>3201</v>
      </c>
      <c r="C2590" s="2" t="s">
        <v>5920</v>
      </c>
      <c r="D2590" s="2" t="s">
        <v>5921</v>
      </c>
      <c r="E2590" s="2" t="s">
        <v>20</v>
      </c>
      <c r="F2590" s="2">
        <v>1.0</v>
      </c>
      <c r="G2590" s="2">
        <v>215.0</v>
      </c>
      <c r="H2590" s="3" t="str">
        <f>HYPERLINK("http://ar.linkedin.com/in/slemos","http://ar.linkedin.com/in/slemos")</f>
        <v>http://ar.linkedin.com/in/slemos</v>
      </c>
      <c r="I2590" s="2" t="s">
        <v>77</v>
      </c>
      <c r="J2590" s="2" t="s">
        <v>21</v>
      </c>
      <c r="K2590" s="2" t="s">
        <v>5848</v>
      </c>
    </row>
    <row r="2591" ht="15.75" customHeight="1">
      <c r="A2591" s="2">
        <v>8126.0</v>
      </c>
      <c r="B2591" s="2" t="s">
        <v>5922</v>
      </c>
      <c r="C2591" s="2" t="s">
        <v>5923</v>
      </c>
      <c r="D2591" s="2" t="s">
        <v>13</v>
      </c>
      <c r="E2591" s="2" t="s">
        <v>20</v>
      </c>
      <c r="F2591" s="2">
        <v>0.0</v>
      </c>
      <c r="G2591" s="2">
        <v>500.0</v>
      </c>
      <c r="H2591" s="3" t="str">
        <f>HYPERLINK("http://www.linkedin.com/pub/gabriela-martinez-8-000/8/87a/587","http://www.linkedin.com/pub/gabriela-martinez-8-000/8/87a/587")</f>
        <v>http://www.linkedin.com/pub/gabriela-martinez-8-000/8/87a/587</v>
      </c>
      <c r="I2591" s="2" t="s">
        <v>458</v>
      </c>
      <c r="J2591" s="2" t="s">
        <v>21</v>
      </c>
      <c r="K2591" s="2" t="s">
        <v>5727</v>
      </c>
    </row>
    <row r="2592" ht="15.75" customHeight="1">
      <c r="A2592" s="2">
        <v>8146.0</v>
      </c>
      <c r="B2592" s="2" t="s">
        <v>36</v>
      </c>
      <c r="C2592" s="2" t="s">
        <v>5924</v>
      </c>
      <c r="D2592" s="2" t="s">
        <v>5925</v>
      </c>
      <c r="E2592" s="2" t="s">
        <v>20</v>
      </c>
      <c r="F2592" s="2">
        <v>1.0</v>
      </c>
      <c r="G2592" s="2">
        <v>192.0</v>
      </c>
      <c r="H2592" s="3" t="str">
        <f>HYPERLINK("http://ar.linkedin.com/pub/adriana-alonso/12/A38/547","http://ar.linkedin.com/pub/adriana-alonso/12/A38/547")</f>
        <v>http://ar.linkedin.com/pub/adriana-alonso/12/A38/547</v>
      </c>
      <c r="I2592" s="2" t="s">
        <v>458</v>
      </c>
      <c r="J2592" s="2" t="s">
        <v>21</v>
      </c>
      <c r="K2592" s="2" t="s">
        <v>5734</v>
      </c>
    </row>
    <row r="2593" ht="15.75" customHeight="1">
      <c r="A2593" s="2">
        <v>8151.0</v>
      </c>
      <c r="B2593" s="2" t="s">
        <v>5926</v>
      </c>
      <c r="C2593" s="2" t="s">
        <v>5927</v>
      </c>
      <c r="D2593" s="2" t="s">
        <v>5928</v>
      </c>
      <c r="E2593" s="2" t="s">
        <v>20</v>
      </c>
      <c r="F2593" s="2">
        <v>9.0</v>
      </c>
      <c r="G2593" s="2">
        <v>500.0</v>
      </c>
      <c r="H2593" s="3" t="str">
        <f>HYPERLINK("http://ar.linkedin.com/in/yesicadossantos","http://ar.linkedin.com/in/yesicadossantos")</f>
        <v>http://ar.linkedin.com/in/yesicadossantos</v>
      </c>
      <c r="I2593" s="2" t="s">
        <v>458</v>
      </c>
      <c r="J2593" s="2" t="s">
        <v>21</v>
      </c>
      <c r="K2593" s="2" t="s">
        <v>5929</v>
      </c>
    </row>
    <row r="2594" ht="15.75" customHeight="1">
      <c r="A2594" s="2">
        <v>8160.0</v>
      </c>
      <c r="B2594" s="2" t="s">
        <v>3563</v>
      </c>
      <c r="C2594" s="2" t="s">
        <v>5930</v>
      </c>
      <c r="D2594" s="2" t="s">
        <v>1865</v>
      </c>
      <c r="E2594" s="2" t="s">
        <v>20</v>
      </c>
      <c r="F2594" s="2">
        <v>6.0</v>
      </c>
      <c r="G2594" s="2">
        <v>500.0</v>
      </c>
      <c r="H2594" s="3" t="str">
        <f>HYPERLINK("http://ar.linkedin.com/pub/manuel-pizarro/4/BA0/659","http://ar.linkedin.com/pub/manuel-pizarro/4/BA0/659")</f>
        <v>http://ar.linkedin.com/pub/manuel-pizarro/4/BA0/659</v>
      </c>
      <c r="I2594" s="2" t="s">
        <v>318</v>
      </c>
      <c r="J2594" s="2" t="s">
        <v>21</v>
      </c>
      <c r="K2594" s="2" t="s">
        <v>5743</v>
      </c>
    </row>
    <row r="2595" ht="15.75" customHeight="1">
      <c r="A2595" s="2">
        <v>8161.0</v>
      </c>
      <c r="B2595" s="2" t="s">
        <v>5931</v>
      </c>
      <c r="C2595" s="2" t="s">
        <v>5932</v>
      </c>
      <c r="D2595" s="2" t="s">
        <v>5933</v>
      </c>
      <c r="E2595" s="2" t="s">
        <v>20</v>
      </c>
      <c r="F2595" s="2">
        <v>9.0</v>
      </c>
      <c r="G2595" s="2">
        <v>500.0</v>
      </c>
      <c r="H2595" s="3" t="str">
        <f>HYPERLINK("http://ar.linkedin.com/in/delamota","http://ar.linkedin.com/in/delamota")</f>
        <v>http://ar.linkedin.com/in/delamota</v>
      </c>
      <c r="I2595" s="2" t="s">
        <v>252</v>
      </c>
      <c r="J2595" s="2" t="s">
        <v>21</v>
      </c>
      <c r="K2595" s="2" t="s">
        <v>5727</v>
      </c>
    </row>
    <row r="2596" ht="15.75" customHeight="1">
      <c r="A2596" s="2">
        <v>8164.0</v>
      </c>
      <c r="B2596" s="2" t="s">
        <v>5389</v>
      </c>
      <c r="C2596" s="2" t="s">
        <v>5934</v>
      </c>
      <c r="D2596" s="2" t="s">
        <v>5935</v>
      </c>
      <c r="E2596" s="2" t="s">
        <v>20</v>
      </c>
      <c r="F2596" s="2">
        <v>6.0</v>
      </c>
      <c r="G2596" s="2">
        <v>500.0</v>
      </c>
      <c r="H2596" s="3" t="str">
        <f>HYPERLINK("http://ar.linkedin.com/in/paulaantonelli83","http://ar.linkedin.com/in/paulaantonelli83")</f>
        <v>http://ar.linkedin.com/in/paulaantonelli83</v>
      </c>
      <c r="I2596" s="2" t="s">
        <v>458</v>
      </c>
      <c r="J2596" s="2" t="s">
        <v>21</v>
      </c>
      <c r="K2596" s="2" t="s">
        <v>5727</v>
      </c>
    </row>
    <row r="2597" ht="15.75" customHeight="1">
      <c r="A2597" s="2">
        <v>8199.0</v>
      </c>
      <c r="B2597" s="2" t="s">
        <v>759</v>
      </c>
      <c r="C2597" s="2" t="s">
        <v>5936</v>
      </c>
      <c r="D2597" s="2" t="s">
        <v>5937</v>
      </c>
      <c r="E2597" s="2" t="s">
        <v>20</v>
      </c>
      <c r="F2597" s="2">
        <v>7.0</v>
      </c>
      <c r="G2597" s="2">
        <v>500.0</v>
      </c>
      <c r="H2597" s="3" t="str">
        <f>HYPERLINK("http://ar.linkedin.com/pub/barbara-martinez-castro/6/BB2/8A1","http://ar.linkedin.com/pub/barbara-martinez-castro/6/BB2/8A1")</f>
        <v>http://ar.linkedin.com/pub/barbara-martinez-castro/6/BB2/8A1</v>
      </c>
      <c r="I2597" s="2" t="s">
        <v>248</v>
      </c>
      <c r="J2597" s="2" t="s">
        <v>21</v>
      </c>
      <c r="K2597" s="2" t="s">
        <v>5938</v>
      </c>
    </row>
    <row r="2598" ht="15.75" customHeight="1">
      <c r="A2598" s="2">
        <v>8206.0</v>
      </c>
      <c r="B2598" s="2" t="s">
        <v>5939</v>
      </c>
      <c r="C2598" s="2" t="s">
        <v>5940</v>
      </c>
      <c r="D2598" s="2" t="s">
        <v>5941</v>
      </c>
      <c r="E2598" s="2" t="s">
        <v>20</v>
      </c>
      <c r="F2598" s="2">
        <v>6.0</v>
      </c>
      <c r="G2598" s="2">
        <v>500.0</v>
      </c>
      <c r="H2598" s="3" t="str">
        <f>HYPERLINK("http://ar.linkedin.com/pub/constanza-estefanell-translation-studio/30/7B6/13","http://ar.linkedin.com/pub/constanza-estefanell-translation-studio/30/7B6/13")</f>
        <v>http://ar.linkedin.com/pub/constanza-estefanell-translation-studio/30/7B6/13</v>
      </c>
      <c r="I2598" s="2" t="s">
        <v>2561</v>
      </c>
      <c r="J2598" s="2" t="s">
        <v>21</v>
      </c>
      <c r="K2598" s="2" t="s">
        <v>5727</v>
      </c>
    </row>
    <row r="2599" ht="15.75" customHeight="1">
      <c r="A2599" s="2">
        <v>8263.0</v>
      </c>
      <c r="B2599" s="2" t="s">
        <v>5728</v>
      </c>
      <c r="C2599" s="2" t="s">
        <v>5942</v>
      </c>
      <c r="D2599" s="2" t="s">
        <v>13</v>
      </c>
      <c r="E2599" s="2" t="s">
        <v>20</v>
      </c>
      <c r="F2599" s="2">
        <v>0.0</v>
      </c>
      <c r="G2599" s="2">
        <v>189.0</v>
      </c>
      <c r="H2599" s="3" t="str">
        <f>HYPERLINK("http://www.linkedin.com/pub/maximiliano-rey-itil%C2%AE-v3-mba/18/a1b/776","http://www.linkedin.com/pub/maximiliano-rey-itil%C2%AE-v3-mba/18/a1b/776")</f>
        <v>http://www.linkedin.com/pub/maximiliano-rey-itil%C2%AE-v3-mba/18/a1b/776</v>
      </c>
      <c r="I2599" s="2" t="s">
        <v>608</v>
      </c>
      <c r="J2599" s="2" t="s">
        <v>21</v>
      </c>
      <c r="K2599" s="2" t="s">
        <v>5727</v>
      </c>
    </row>
    <row r="2600" ht="15.75" customHeight="1">
      <c r="A2600" s="2">
        <v>8282.0</v>
      </c>
      <c r="B2600" s="2" t="s">
        <v>671</v>
      </c>
      <c r="C2600" s="2" t="s">
        <v>5943</v>
      </c>
      <c r="D2600" s="2" t="s">
        <v>5944</v>
      </c>
      <c r="E2600" s="2" t="s">
        <v>20</v>
      </c>
      <c r="F2600" s="2">
        <v>4.0</v>
      </c>
      <c r="G2600" s="2">
        <v>497.0</v>
      </c>
      <c r="H2600" s="3" t="str">
        <f>HYPERLINK("http://ar.linkedin.com/in/marianapapaianni","http://ar.linkedin.com/in/marianapapaianni")</f>
        <v>http://ar.linkedin.com/in/marianapapaianni</v>
      </c>
      <c r="I2600" s="2" t="s">
        <v>681</v>
      </c>
      <c r="J2600" s="2" t="s">
        <v>21</v>
      </c>
      <c r="K2600" s="2" t="s">
        <v>5727</v>
      </c>
    </row>
    <row r="2601" ht="15.75" customHeight="1">
      <c r="A2601" s="2">
        <v>8294.0</v>
      </c>
      <c r="B2601" s="2" t="s">
        <v>5945</v>
      </c>
      <c r="C2601" s="2" t="s">
        <v>5946</v>
      </c>
      <c r="D2601" s="2" t="s">
        <v>5947</v>
      </c>
      <c r="E2601" s="2" t="s">
        <v>20</v>
      </c>
      <c r="F2601" s="2">
        <v>1.0</v>
      </c>
      <c r="G2601" s="2">
        <v>252.0</v>
      </c>
      <c r="H2601" s="3" t="str">
        <f>HYPERLINK("http://ar.linkedin.com/pub/roxana-molinari/11/336/B02","http://ar.linkedin.com/pub/roxana-molinari/11/336/B02")</f>
        <v>http://ar.linkedin.com/pub/roxana-molinari/11/336/B02</v>
      </c>
      <c r="I2601" s="2" t="s">
        <v>2023</v>
      </c>
      <c r="J2601" s="2" t="s">
        <v>21</v>
      </c>
      <c r="K2601" s="2" t="s">
        <v>5734</v>
      </c>
    </row>
    <row r="2602" ht="15.75" customHeight="1">
      <c r="A2602" s="2">
        <v>8298.0</v>
      </c>
      <c r="B2602" s="2" t="s">
        <v>5948</v>
      </c>
      <c r="C2602" s="2" t="s">
        <v>5949</v>
      </c>
      <c r="D2602" s="2" t="s">
        <v>5950</v>
      </c>
      <c r="E2602" s="2" t="s">
        <v>20</v>
      </c>
      <c r="F2602" s="2">
        <v>4.0</v>
      </c>
      <c r="G2602" s="2">
        <v>393.0</v>
      </c>
      <c r="H2602" s="3" t="str">
        <f>HYPERLINK("http://ar.linkedin.com/pub/ines-brito/12/A78/11A","http://ar.linkedin.com/pub/ines-brito/12/A78/11A")</f>
        <v>http://ar.linkedin.com/pub/ines-brito/12/A78/11A</v>
      </c>
      <c r="I2602" s="2" t="s">
        <v>1012</v>
      </c>
      <c r="J2602" s="2" t="s">
        <v>21</v>
      </c>
      <c r="K2602" s="2" t="s">
        <v>5951</v>
      </c>
    </row>
    <row r="2603" ht="15.75" customHeight="1">
      <c r="A2603" s="2">
        <v>8300.0</v>
      </c>
      <c r="B2603" s="2" t="s">
        <v>677</v>
      </c>
      <c r="C2603" s="2" t="s">
        <v>5952</v>
      </c>
      <c r="D2603" s="2" t="s">
        <v>5953</v>
      </c>
      <c r="E2603" s="2" t="s">
        <v>20</v>
      </c>
      <c r="F2603" s="2">
        <v>0.0</v>
      </c>
      <c r="G2603" s="2">
        <v>22.0</v>
      </c>
      <c r="H2603" s="3" t="str">
        <f>HYPERLINK("http://ar.linkedin.com/pub/daniel-tarico/15/B54/963","http://ar.linkedin.com/pub/daniel-tarico/15/B54/963")</f>
        <v>http://ar.linkedin.com/pub/daniel-tarico/15/B54/963</v>
      </c>
      <c r="I2603" s="2" t="s">
        <v>15</v>
      </c>
      <c r="J2603" s="2" t="s">
        <v>21</v>
      </c>
      <c r="K2603" s="2" t="s">
        <v>5819</v>
      </c>
    </row>
    <row r="2604" ht="15.75" customHeight="1">
      <c r="A2604" s="2">
        <v>8320.0</v>
      </c>
      <c r="B2604" s="2" t="s">
        <v>238</v>
      </c>
      <c r="C2604" s="2" t="s">
        <v>5954</v>
      </c>
      <c r="D2604" s="2" t="s">
        <v>5955</v>
      </c>
      <c r="E2604" s="2" t="s">
        <v>20</v>
      </c>
      <c r="F2604" s="2">
        <v>1.0</v>
      </c>
      <c r="G2604" s="2">
        <v>398.0</v>
      </c>
      <c r="H2604" s="3" t="str">
        <f>HYPERLINK("http://ar.linkedin.com/in/juanfornieles","http://ar.linkedin.com/in/juanfornieles")</f>
        <v>http://ar.linkedin.com/in/juanfornieles</v>
      </c>
      <c r="I2604" s="2" t="s">
        <v>2731</v>
      </c>
      <c r="J2604" s="2" t="s">
        <v>21</v>
      </c>
      <c r="K2604" s="2" t="s">
        <v>5785</v>
      </c>
    </row>
    <row r="2605" ht="15.75" customHeight="1">
      <c r="A2605" s="2">
        <v>8336.0</v>
      </c>
      <c r="B2605" s="2" t="s">
        <v>5956</v>
      </c>
      <c r="C2605" s="2" t="s">
        <v>5957</v>
      </c>
      <c r="D2605" s="2" t="s">
        <v>5958</v>
      </c>
      <c r="E2605" s="2" t="s">
        <v>20</v>
      </c>
      <c r="F2605" s="2">
        <v>5.0</v>
      </c>
      <c r="G2605" s="2">
        <v>500.0</v>
      </c>
      <c r="H2605" s="3" t="str">
        <f>HYPERLINK("http://ar.linkedin.com/in/aleyanki","http://ar.linkedin.com/in/aleyanki")</f>
        <v>http://ar.linkedin.com/in/aleyanki</v>
      </c>
      <c r="I2605" s="2" t="s">
        <v>608</v>
      </c>
      <c r="J2605" s="2" t="s">
        <v>21</v>
      </c>
      <c r="K2605" s="2" t="s">
        <v>5727</v>
      </c>
    </row>
    <row r="2606" ht="15.75" customHeight="1">
      <c r="A2606" s="2">
        <v>8349.0</v>
      </c>
      <c r="B2606" s="2" t="s">
        <v>5959</v>
      </c>
      <c r="C2606" s="2" t="s">
        <v>5960</v>
      </c>
      <c r="D2606" s="2" t="s">
        <v>5961</v>
      </c>
      <c r="E2606" s="2" t="s">
        <v>20</v>
      </c>
      <c r="F2606" s="2">
        <v>0.0</v>
      </c>
      <c r="G2606" s="2">
        <v>269.0</v>
      </c>
      <c r="H2606" s="3" t="str">
        <f>HYPERLINK("http://ar.linkedin.com/in/clarabeltran","http://ar.linkedin.com/in/clarabeltran")</f>
        <v>http://ar.linkedin.com/in/clarabeltran</v>
      </c>
      <c r="I2606" s="2" t="s">
        <v>57</v>
      </c>
      <c r="J2606" s="2" t="s">
        <v>21</v>
      </c>
      <c r="K2606" s="2" t="s">
        <v>5725</v>
      </c>
    </row>
    <row r="2607" ht="15.75" customHeight="1">
      <c r="A2607" s="2">
        <v>8362.0</v>
      </c>
      <c r="B2607" s="2" t="s">
        <v>5962</v>
      </c>
      <c r="C2607" s="2" t="s">
        <v>5963</v>
      </c>
      <c r="D2607" s="2" t="s">
        <v>5964</v>
      </c>
      <c r="E2607" s="2" t="s">
        <v>20</v>
      </c>
      <c r="F2607" s="2">
        <v>6.0</v>
      </c>
      <c r="G2607" s="2">
        <v>500.0</v>
      </c>
      <c r="H2607" s="3" t="str">
        <f>HYPERLINK("http://ar.linkedin.com/in/alexisguastavino","http://ar.linkedin.com/in/alexisguastavino")</f>
        <v>http://ar.linkedin.com/in/alexisguastavino</v>
      </c>
      <c r="I2607" s="2" t="s">
        <v>714</v>
      </c>
      <c r="J2607" s="2" t="s">
        <v>21</v>
      </c>
      <c r="K2607" s="2" t="s">
        <v>5727</v>
      </c>
    </row>
    <row r="2608" ht="15.75" customHeight="1">
      <c r="A2608" s="2">
        <v>8364.0</v>
      </c>
      <c r="B2608" s="2" t="s">
        <v>2148</v>
      </c>
      <c r="C2608" s="2" t="s">
        <v>5965</v>
      </c>
      <c r="D2608" s="2" t="s">
        <v>5966</v>
      </c>
      <c r="E2608" s="2" t="s">
        <v>20</v>
      </c>
      <c r="F2608" s="2">
        <v>1.0</v>
      </c>
      <c r="G2608" s="2">
        <v>49.0</v>
      </c>
      <c r="H2608" s="3" t="str">
        <f>HYPERLINK("http://www.linkedin.com/pub/nelson-canteloup/3/722/A7B","http://www.linkedin.com/pub/nelson-canteloup/3/722/A7B")</f>
        <v>http://www.linkedin.com/pub/nelson-canteloup/3/722/A7B</v>
      </c>
      <c r="I2608" s="2" t="s">
        <v>15</v>
      </c>
      <c r="J2608" s="2" t="s">
        <v>21</v>
      </c>
      <c r="K2608" s="2" t="s">
        <v>5725</v>
      </c>
    </row>
    <row r="2609" ht="15.75" customHeight="1">
      <c r="A2609" s="2">
        <v>8365.0</v>
      </c>
      <c r="B2609" s="2" t="s">
        <v>70</v>
      </c>
      <c r="C2609" s="2" t="s">
        <v>5967</v>
      </c>
      <c r="D2609" s="2" t="s">
        <v>5968</v>
      </c>
      <c r="E2609" s="2" t="s">
        <v>20</v>
      </c>
      <c r="F2609" s="2">
        <v>7.0</v>
      </c>
      <c r="G2609" s="2">
        <v>469.0</v>
      </c>
      <c r="H2609" s="3" t="str">
        <f>HYPERLINK("http://ar.linkedin.com/in/gustavograbelli","http://ar.linkedin.com/in/gustavograbelli")</f>
        <v>http://ar.linkedin.com/in/gustavograbelli</v>
      </c>
      <c r="I2609" s="2" t="s">
        <v>57</v>
      </c>
      <c r="J2609" s="2" t="s">
        <v>21</v>
      </c>
      <c r="K2609" s="2" t="s">
        <v>5727</v>
      </c>
    </row>
    <row r="2610" ht="15.75" customHeight="1">
      <c r="A2610" s="2">
        <v>8417.0</v>
      </c>
      <c r="B2610" s="2" t="s">
        <v>193</v>
      </c>
      <c r="C2610" s="2" t="s">
        <v>5969</v>
      </c>
      <c r="D2610" s="2" t="s">
        <v>13</v>
      </c>
      <c r="E2610" s="2" t="s">
        <v>20</v>
      </c>
      <c r="F2610" s="2">
        <v>0.0</v>
      </c>
      <c r="G2610" s="2">
        <v>215.0</v>
      </c>
      <c r="H2610" s="3" t="str">
        <f>HYPERLINK("http://www.linkedin.com/pub/guillermo-narducci/10/b92/509","http://www.linkedin.com/pub/guillermo-narducci/10/b92/509")</f>
        <v>http://www.linkedin.com/pub/guillermo-narducci/10/b92/509</v>
      </c>
      <c r="I2610" s="2" t="s">
        <v>15</v>
      </c>
      <c r="J2610" s="2" t="s">
        <v>21</v>
      </c>
      <c r="K2610" s="2" t="s">
        <v>5727</v>
      </c>
    </row>
    <row r="2611" ht="15.75" customHeight="1">
      <c r="A2611" s="2">
        <v>8430.0</v>
      </c>
      <c r="B2611" s="2" t="s">
        <v>5970</v>
      </c>
      <c r="C2611" s="2" t="s">
        <v>5971</v>
      </c>
      <c r="D2611" s="2" t="s">
        <v>5972</v>
      </c>
      <c r="E2611" s="2" t="s">
        <v>20</v>
      </c>
      <c r="F2611" s="2">
        <v>0.0</v>
      </c>
      <c r="G2611" s="2">
        <v>148.0</v>
      </c>
      <c r="H2611" s="3" t="str">
        <f>HYPERLINK("http://ar.linkedin.com/pub/eugenio-gabriel-bassignani/2A/739/A65","http://ar.linkedin.com/pub/eugenio-gabriel-bassignani/2A/739/A65")</f>
        <v>http://ar.linkedin.com/pub/eugenio-gabriel-bassignani/2A/739/A65</v>
      </c>
      <c r="I2611" s="2" t="s">
        <v>77</v>
      </c>
      <c r="J2611" s="2" t="s">
        <v>21</v>
      </c>
      <c r="K2611" s="2" t="s">
        <v>5848</v>
      </c>
    </row>
    <row r="2612" ht="15.75" customHeight="1">
      <c r="A2612" s="2">
        <v>8449.0</v>
      </c>
      <c r="B2612" s="2" t="s">
        <v>677</v>
      </c>
      <c r="C2612" s="2" t="s">
        <v>5973</v>
      </c>
      <c r="D2612" s="2" t="s">
        <v>5974</v>
      </c>
      <c r="E2612" s="2" t="s">
        <v>20</v>
      </c>
      <c r="F2612" s="2">
        <v>4.0</v>
      </c>
      <c r="G2612" s="2">
        <v>286.0</v>
      </c>
      <c r="H2612" s="3" t="str">
        <f>HYPERLINK("http://ar.linkedin.com/pub/daniel-bustos/9/546/107","http://ar.linkedin.com/pub/daniel-bustos/9/546/107")</f>
        <v>http://ar.linkedin.com/pub/daniel-bustos/9/546/107</v>
      </c>
      <c r="I2612" s="2" t="s">
        <v>96</v>
      </c>
      <c r="J2612" s="2" t="s">
        <v>21</v>
      </c>
      <c r="K2612" s="2" t="s">
        <v>5727</v>
      </c>
    </row>
    <row r="2613" ht="15.75" customHeight="1">
      <c r="A2613" s="2">
        <v>8475.0</v>
      </c>
      <c r="B2613" s="2" t="s">
        <v>227</v>
      </c>
      <c r="C2613" s="2" t="s">
        <v>5975</v>
      </c>
      <c r="D2613" s="2" t="s">
        <v>5976</v>
      </c>
      <c r="E2613" s="2" t="s">
        <v>20</v>
      </c>
      <c r="F2613" s="2">
        <v>0.0</v>
      </c>
      <c r="G2613" s="2">
        <v>274.0</v>
      </c>
      <c r="H2613" s="3" t="str">
        <f>HYPERLINK("http://ar.linkedin.com/pub/jorge-colombo/8/760/3A3","http://ar.linkedin.com/pub/jorge-colombo/8/760/3A3")</f>
        <v>http://ar.linkedin.com/pub/jorge-colombo/8/760/3A3</v>
      </c>
      <c r="I2613" s="2" t="s">
        <v>1237</v>
      </c>
      <c r="J2613" s="2" t="s">
        <v>21</v>
      </c>
      <c r="K2613" s="2" t="s">
        <v>5977</v>
      </c>
    </row>
    <row r="2614" ht="15.75" customHeight="1">
      <c r="A2614" s="2">
        <v>8498.0</v>
      </c>
      <c r="B2614" s="2" t="s">
        <v>3201</v>
      </c>
      <c r="C2614" s="2" t="s">
        <v>5978</v>
      </c>
      <c r="D2614" s="2" t="s">
        <v>5979</v>
      </c>
      <c r="E2614" s="2" t="s">
        <v>20</v>
      </c>
      <c r="F2614" s="2">
        <v>1.0</v>
      </c>
      <c r="G2614" s="2">
        <v>141.0</v>
      </c>
      <c r="H2614" s="3" t="str">
        <f>HYPERLINK("http://ar.linkedin.com/in/sebastianlipchak","http://ar.linkedin.com/in/sebastianlipchak")</f>
        <v>http://ar.linkedin.com/in/sebastianlipchak</v>
      </c>
      <c r="I2614" s="2" t="s">
        <v>579</v>
      </c>
      <c r="J2614" s="2" t="s">
        <v>21</v>
      </c>
      <c r="K2614" s="2" t="s">
        <v>5848</v>
      </c>
    </row>
    <row r="2615" ht="15.75" customHeight="1">
      <c r="A2615" s="2">
        <v>8521.0</v>
      </c>
      <c r="B2615" s="2" t="s">
        <v>358</v>
      </c>
      <c r="C2615" s="2" t="s">
        <v>5980</v>
      </c>
      <c r="D2615" s="2" t="s">
        <v>5981</v>
      </c>
      <c r="E2615" s="2" t="s">
        <v>20</v>
      </c>
      <c r="F2615" s="2">
        <v>8.0</v>
      </c>
      <c r="G2615" s="2">
        <v>500.0</v>
      </c>
      <c r="H2615" s="3" t="str">
        <f>HYPERLINK("http://ar.linkedin.com/pub/marcelo-guemes/4/999/A55","http://ar.linkedin.com/pub/marcelo-guemes/4/999/A55")</f>
        <v>http://ar.linkedin.com/pub/marcelo-guemes/4/999/A55</v>
      </c>
      <c r="I2615" s="2" t="s">
        <v>77</v>
      </c>
      <c r="J2615" s="2" t="s">
        <v>21</v>
      </c>
      <c r="K2615" s="2" t="s">
        <v>5982</v>
      </c>
    </row>
    <row r="2616" ht="15.75" customHeight="1">
      <c r="A2616" s="2">
        <v>8525.0</v>
      </c>
      <c r="B2616" s="2" t="s">
        <v>253</v>
      </c>
      <c r="C2616" s="2" t="s">
        <v>5983</v>
      </c>
      <c r="D2616" s="2" t="s">
        <v>13</v>
      </c>
      <c r="E2616" s="2" t="s">
        <v>20</v>
      </c>
      <c r="F2616" s="2">
        <v>0.0</v>
      </c>
      <c r="G2616" s="2">
        <v>334.0</v>
      </c>
      <c r="H2616" s="3" t="str">
        <f>HYPERLINK("https://www.linkedin.com/pub/fernando-monserrat/5/297/561","https://www.linkedin.com/pub/fernando-monserrat/5/297/561")</f>
        <v>https://www.linkedin.com/pub/fernando-monserrat/5/297/561</v>
      </c>
      <c r="I2616" s="2" t="s">
        <v>48</v>
      </c>
      <c r="J2616" s="2" t="s">
        <v>21</v>
      </c>
      <c r="K2616" s="2" t="s">
        <v>5785</v>
      </c>
    </row>
    <row r="2617" ht="15.75" customHeight="1">
      <c r="A2617" s="2">
        <v>8562.0</v>
      </c>
      <c r="B2617" s="2" t="s">
        <v>18</v>
      </c>
      <c r="C2617" s="2" t="s">
        <v>5603</v>
      </c>
      <c r="D2617" s="2" t="s">
        <v>5984</v>
      </c>
      <c r="E2617" s="2" t="s">
        <v>20</v>
      </c>
      <c r="F2617" s="2">
        <v>1.0</v>
      </c>
      <c r="G2617" s="2">
        <v>144.0</v>
      </c>
      <c r="H2617" s="3" t="str">
        <f>HYPERLINK("http://ar.linkedin.com/pub/mauricio-lange/6/8A1/72","http://ar.linkedin.com/pub/mauricio-lange/6/8A1/72")</f>
        <v>http://ar.linkedin.com/pub/mauricio-lange/6/8A1/72</v>
      </c>
      <c r="I2617" s="2" t="s">
        <v>669</v>
      </c>
      <c r="J2617" s="2" t="s">
        <v>21</v>
      </c>
      <c r="K2617" s="2" t="s">
        <v>5785</v>
      </c>
    </row>
    <row r="2618" ht="15.75" customHeight="1">
      <c r="A2618" s="2">
        <v>8620.0</v>
      </c>
      <c r="B2618" s="2" t="s">
        <v>5985</v>
      </c>
      <c r="C2618" s="2" t="s">
        <v>5986</v>
      </c>
      <c r="D2618" s="2" t="s">
        <v>5987</v>
      </c>
      <c r="E2618" s="2" t="s">
        <v>1288</v>
      </c>
      <c r="F2618" s="2">
        <v>7.0</v>
      </c>
      <c r="G2618" s="2">
        <v>344.0</v>
      </c>
      <c r="H2618" s="3" t="str">
        <f>HYPERLINK("http://www.linkedin.com/pub/adolfo-ernesto-custidiano-secchi/3/659/644","http://www.linkedin.com/pub/adolfo-ernesto-custidiano-secchi/3/659/644")</f>
        <v>http://www.linkedin.com/pub/adolfo-ernesto-custidiano-secchi/3/659/644</v>
      </c>
      <c r="I2618" s="2" t="s">
        <v>77</v>
      </c>
      <c r="J2618" s="2" t="s">
        <v>53</v>
      </c>
      <c r="K2618" s="2" t="s">
        <v>5734</v>
      </c>
    </row>
    <row r="2619" ht="15.75" customHeight="1">
      <c r="A2619" s="2">
        <v>8643.0</v>
      </c>
      <c r="B2619" s="2" t="s">
        <v>70</v>
      </c>
      <c r="C2619" s="2" t="s">
        <v>5988</v>
      </c>
      <c r="D2619" s="2" t="s">
        <v>5989</v>
      </c>
      <c r="E2619" s="2" t="s">
        <v>20</v>
      </c>
      <c r="F2619" s="2">
        <v>0.0</v>
      </c>
      <c r="G2619" s="2">
        <v>264.0</v>
      </c>
      <c r="H2619" s="3" t="str">
        <f>HYPERLINK("http://ar.linkedin.com/pub/gustavo-vega/0/757/7B2","http://ar.linkedin.com/pub/gustavo-vega/0/757/7B2")</f>
        <v>http://ar.linkedin.com/pub/gustavo-vega/0/757/7B2</v>
      </c>
      <c r="I2619" s="2" t="s">
        <v>77</v>
      </c>
      <c r="J2619" s="2" t="s">
        <v>21</v>
      </c>
      <c r="K2619" s="2" t="s">
        <v>5785</v>
      </c>
    </row>
    <row r="2620" ht="15.75" customHeight="1">
      <c r="A2620" s="2">
        <v>8650.0</v>
      </c>
      <c r="B2620" s="2" t="s">
        <v>45</v>
      </c>
      <c r="C2620" s="2" t="s">
        <v>5990</v>
      </c>
      <c r="D2620" s="2" t="s">
        <v>13</v>
      </c>
      <c r="E2620" s="2" t="s">
        <v>20</v>
      </c>
      <c r="F2620" s="2">
        <v>0.0</v>
      </c>
      <c r="G2620" s="2">
        <v>102.0</v>
      </c>
      <c r="H2620" s="3" t="str">
        <f>HYPERLINK("http://www.linkedin.com/pub/carlos-giordana/1a/32b/616","http://www.linkedin.com/pub/carlos-giordana/1a/32b/616")</f>
        <v>http://www.linkedin.com/pub/carlos-giordana/1a/32b/616</v>
      </c>
      <c r="I2620" s="2" t="s">
        <v>77</v>
      </c>
      <c r="J2620" s="2" t="s">
        <v>21</v>
      </c>
      <c r="K2620" s="2" t="s">
        <v>5848</v>
      </c>
    </row>
    <row r="2621" ht="15.75" customHeight="1">
      <c r="A2621" s="2">
        <v>8658.0</v>
      </c>
      <c r="B2621" s="2" t="s">
        <v>5991</v>
      </c>
      <c r="C2621" s="2" t="s">
        <v>5992</v>
      </c>
      <c r="D2621" s="2" t="s">
        <v>5993</v>
      </c>
      <c r="E2621" s="2" t="s">
        <v>20</v>
      </c>
      <c r="F2621" s="2">
        <v>0.0</v>
      </c>
      <c r="G2621" s="2">
        <v>181.0</v>
      </c>
      <c r="H2621" s="3" t="str">
        <f>HYPERLINK("http://ar.linkedin.com/pub/silvana-ver-nica-bravo/25/B08/725","http://ar.linkedin.com/pub/silvana-ver-nica-bravo/25/B08/725")</f>
        <v>http://ar.linkedin.com/pub/silvana-ver-nica-bravo/25/B08/725</v>
      </c>
      <c r="I2621" s="2" t="s">
        <v>252</v>
      </c>
      <c r="J2621" s="2" t="s">
        <v>21</v>
      </c>
      <c r="K2621" s="2" t="s">
        <v>5994</v>
      </c>
    </row>
    <row r="2622" ht="15.75" customHeight="1">
      <c r="A2622" s="2">
        <v>8665.0</v>
      </c>
      <c r="B2622" s="2" t="s">
        <v>3175</v>
      </c>
      <c r="C2622" s="2" t="s">
        <v>5995</v>
      </c>
      <c r="D2622" s="2" t="s">
        <v>5996</v>
      </c>
      <c r="E2622" s="2" t="s">
        <v>20</v>
      </c>
      <c r="F2622" s="2">
        <v>11.0</v>
      </c>
      <c r="G2622" s="2">
        <v>500.0</v>
      </c>
      <c r="H2622" s="3" t="str">
        <f>HYPERLINK("http://ar.linkedin.com/in/danielabenevento","http://ar.linkedin.com/in/danielabenevento")</f>
        <v>http://ar.linkedin.com/in/danielabenevento</v>
      </c>
      <c r="I2622" s="2" t="s">
        <v>105</v>
      </c>
      <c r="J2622" s="2" t="s">
        <v>21</v>
      </c>
      <c r="K2622" s="2" t="s">
        <v>5727</v>
      </c>
    </row>
    <row r="2623" ht="15.75" customHeight="1">
      <c r="A2623" s="2">
        <v>8687.0</v>
      </c>
      <c r="B2623" s="2" t="s">
        <v>3223</v>
      </c>
      <c r="C2623" s="2" t="s">
        <v>5997</v>
      </c>
      <c r="D2623" s="2" t="s">
        <v>5998</v>
      </c>
      <c r="E2623" s="2" t="s">
        <v>5837</v>
      </c>
      <c r="F2623" s="2">
        <v>3.0</v>
      </c>
      <c r="G2623" s="2">
        <v>340.0</v>
      </c>
      <c r="H2623" s="3" t="str">
        <f>HYPERLINK("http://ar.linkedin.com/pub/laura-arias/A/20B/979","http://ar.linkedin.com/pub/laura-arias/A/20B/979")</f>
        <v>http://ar.linkedin.com/pub/laura-arias/A/20B/979</v>
      </c>
      <c r="I2623" s="2" t="s">
        <v>48</v>
      </c>
      <c r="J2623" s="2" t="s">
        <v>34</v>
      </c>
      <c r="K2623" s="2" t="s">
        <v>5994</v>
      </c>
    </row>
    <row r="2624" ht="15.75" customHeight="1">
      <c r="A2624" s="2">
        <v>8692.0</v>
      </c>
      <c r="B2624" s="2" t="s">
        <v>862</v>
      </c>
      <c r="C2624" s="2" t="s">
        <v>5999</v>
      </c>
      <c r="D2624" s="2" t="s">
        <v>13</v>
      </c>
      <c r="E2624" s="2" t="s">
        <v>6000</v>
      </c>
      <c r="F2624" s="2">
        <v>8.0</v>
      </c>
      <c r="G2624" s="2">
        <v>288.0</v>
      </c>
      <c r="H2624" s="3" t="str">
        <f>HYPERLINK("http://www.linkedin.com/pub/gabriel-lopez-braulinese/a/33a/8a0","http://www.linkedin.com/pub/gabriel-lopez-braulinese/a/33a/8a0")</f>
        <v>http://www.linkedin.com/pub/gabriel-lopez-braulinese/a/33a/8a0</v>
      </c>
      <c r="I2624" s="2" t="s">
        <v>2000</v>
      </c>
      <c r="J2624" s="2" t="s">
        <v>337</v>
      </c>
      <c r="K2624" s="2" t="s">
        <v>5727</v>
      </c>
    </row>
    <row r="2625" ht="15.75" customHeight="1">
      <c r="A2625" s="2">
        <v>8719.0</v>
      </c>
      <c r="B2625" s="2" t="s">
        <v>152</v>
      </c>
      <c r="C2625" s="2" t="s">
        <v>6001</v>
      </c>
      <c r="D2625" s="2" t="s">
        <v>6002</v>
      </c>
      <c r="E2625" s="2" t="s">
        <v>20</v>
      </c>
      <c r="F2625" s="2">
        <v>4.0</v>
      </c>
      <c r="G2625" s="2">
        <v>223.0</v>
      </c>
      <c r="H2625" s="3" t="str">
        <f>HYPERLINK("http://ar.linkedin.com/in/eduardopiombino","http://ar.linkedin.com/in/eduardopiombino")</f>
        <v>http://ar.linkedin.com/in/eduardopiombino</v>
      </c>
      <c r="I2625" s="2" t="s">
        <v>669</v>
      </c>
      <c r="J2625" s="2" t="s">
        <v>21</v>
      </c>
      <c r="K2625" s="2" t="s">
        <v>5727</v>
      </c>
    </row>
    <row r="2626" ht="15.75" customHeight="1">
      <c r="A2626" s="2">
        <v>8725.0</v>
      </c>
      <c r="B2626" s="2" t="s">
        <v>353</v>
      </c>
      <c r="C2626" s="2" t="s">
        <v>4486</v>
      </c>
      <c r="D2626" s="2" t="s">
        <v>6003</v>
      </c>
      <c r="E2626" s="2" t="s">
        <v>20</v>
      </c>
      <c r="F2626" s="2">
        <v>12.0</v>
      </c>
      <c r="G2626" s="2">
        <v>337.0</v>
      </c>
      <c r="H2626" s="3" t="str">
        <f>HYPERLINK("http://ar.linkedin.com/pub/alejandro-fernandez/19/2B0/83","http://ar.linkedin.com/pub/alejandro-fernandez/19/2B0/83")</f>
        <v>http://ar.linkedin.com/pub/alejandro-fernandez/19/2B0/83</v>
      </c>
      <c r="I2626" s="2" t="s">
        <v>681</v>
      </c>
      <c r="J2626" s="2" t="s">
        <v>21</v>
      </c>
      <c r="K2626" s="2" t="s">
        <v>5743</v>
      </c>
    </row>
    <row r="2627" ht="15.75" customHeight="1">
      <c r="A2627" s="2">
        <v>8735.0</v>
      </c>
      <c r="B2627" s="2" t="s">
        <v>6004</v>
      </c>
      <c r="C2627" s="2" t="s">
        <v>5946</v>
      </c>
      <c r="D2627" s="2" t="s">
        <v>6005</v>
      </c>
      <c r="E2627" s="2" t="s">
        <v>20</v>
      </c>
      <c r="F2627" s="2">
        <v>0.0</v>
      </c>
      <c r="G2627" s="2">
        <v>323.0</v>
      </c>
      <c r="H2627" s="3" t="str">
        <f>HYPERLINK("http://ar.linkedin.com/in/jmmolinari","http://ar.linkedin.com/in/jmmolinari")</f>
        <v>http://ar.linkedin.com/in/jmmolinari</v>
      </c>
      <c r="I2627" s="2" t="s">
        <v>681</v>
      </c>
      <c r="J2627" s="2" t="s">
        <v>21</v>
      </c>
      <c r="K2627" s="2" t="s">
        <v>5785</v>
      </c>
    </row>
    <row r="2628" ht="15.75" customHeight="1">
      <c r="A2628" s="2">
        <v>8739.0</v>
      </c>
      <c r="B2628" s="2" t="s">
        <v>59</v>
      </c>
      <c r="C2628" s="2" t="s">
        <v>6006</v>
      </c>
      <c r="D2628" s="2" t="s">
        <v>6007</v>
      </c>
      <c r="E2628" s="2" t="s">
        <v>20</v>
      </c>
      <c r="F2628" s="2">
        <v>7.0</v>
      </c>
      <c r="G2628" s="2">
        <v>212.0</v>
      </c>
      <c r="H2628" s="3" t="str">
        <f>HYPERLINK("http://ar.linkedin.com/in/mrapallini","http://ar.linkedin.com/in/mrapallini")</f>
        <v>http://ar.linkedin.com/in/mrapallini</v>
      </c>
      <c r="I2628" s="2" t="s">
        <v>608</v>
      </c>
      <c r="J2628" s="2" t="s">
        <v>21</v>
      </c>
      <c r="K2628" s="2" t="s">
        <v>5727</v>
      </c>
    </row>
    <row r="2629" ht="15.75" customHeight="1">
      <c r="A2629" s="2">
        <v>8755.0</v>
      </c>
      <c r="B2629" s="2" t="s">
        <v>6008</v>
      </c>
      <c r="C2629" s="2" t="s">
        <v>6009</v>
      </c>
      <c r="D2629" s="2" t="s">
        <v>6010</v>
      </c>
      <c r="E2629" s="2" t="s">
        <v>20</v>
      </c>
      <c r="F2629" s="2">
        <v>14.0</v>
      </c>
      <c r="G2629" s="2">
        <v>500.0</v>
      </c>
      <c r="H2629" s="3" t="str">
        <f>HYPERLINK("http://ar.linkedin.com/in/martinmorono","http://ar.linkedin.com/in/martinmorono")</f>
        <v>http://ar.linkedin.com/in/martinmorono</v>
      </c>
      <c r="I2629" s="2" t="s">
        <v>160</v>
      </c>
      <c r="J2629" s="2" t="s">
        <v>21</v>
      </c>
      <c r="K2629" s="2" t="s">
        <v>5743</v>
      </c>
    </row>
    <row r="2630" ht="15.75" customHeight="1">
      <c r="A2630" s="2">
        <v>8793.0</v>
      </c>
      <c r="B2630" s="2" t="s">
        <v>353</v>
      </c>
      <c r="C2630" s="2" t="s">
        <v>6011</v>
      </c>
      <c r="D2630" s="2" t="s">
        <v>13</v>
      </c>
      <c r="E2630" s="2" t="s">
        <v>20</v>
      </c>
      <c r="F2630" s="2">
        <v>0.0</v>
      </c>
      <c r="G2630" s="2">
        <v>500.0</v>
      </c>
      <c r="H2630" s="3" t="str">
        <f>HYPERLINK("http://www.linkedin.com/pub/alejandro-guelman/0/11b/319","http://www.linkedin.com/pub/alejandro-guelman/0/11b/319")</f>
        <v>http://www.linkedin.com/pub/alejandro-guelman/0/11b/319</v>
      </c>
      <c r="I2630" s="2" t="s">
        <v>77</v>
      </c>
      <c r="J2630" s="2" t="s">
        <v>21</v>
      </c>
      <c r="K2630" s="2" t="s">
        <v>5785</v>
      </c>
    </row>
    <row r="2631" ht="15.75" customHeight="1">
      <c r="A2631" s="2">
        <v>8808.0</v>
      </c>
      <c r="B2631" s="2" t="s">
        <v>6012</v>
      </c>
      <c r="C2631" s="2" t="s">
        <v>6013</v>
      </c>
      <c r="D2631" s="2" t="s">
        <v>6014</v>
      </c>
      <c r="E2631" s="2" t="s">
        <v>20</v>
      </c>
      <c r="F2631" s="2">
        <v>1.0</v>
      </c>
      <c r="G2631" s="2">
        <v>219.0</v>
      </c>
      <c r="H2631" s="3" t="str">
        <f>HYPERLINK("http://ar.linkedin.com/in/hernanbenedetti","http://ar.linkedin.com/in/hernanbenedetti")</f>
        <v>http://ar.linkedin.com/in/hernanbenedetti</v>
      </c>
      <c r="I2631" s="2" t="s">
        <v>15</v>
      </c>
      <c r="J2631" s="2" t="s">
        <v>21</v>
      </c>
      <c r="K2631" s="2" t="s">
        <v>5725</v>
      </c>
    </row>
    <row r="2632" ht="15.75" customHeight="1">
      <c r="A2632" s="2">
        <v>8816.0</v>
      </c>
      <c r="B2632" s="2" t="s">
        <v>6015</v>
      </c>
      <c r="C2632" s="2" t="s">
        <v>6016</v>
      </c>
      <c r="D2632" s="2" t="s">
        <v>6017</v>
      </c>
      <c r="E2632" s="2" t="s">
        <v>20</v>
      </c>
      <c r="F2632" s="2">
        <v>6.0</v>
      </c>
      <c r="G2632" s="2">
        <v>341.0</v>
      </c>
      <c r="H2632" s="3" t="str">
        <f>HYPERLINK("https://www.linkedin.com/in/nykka","https://www.linkedin.com/in/nykka")</f>
        <v>https://www.linkedin.com/in/nykka</v>
      </c>
      <c r="I2632" s="2" t="s">
        <v>2000</v>
      </c>
      <c r="J2632" s="2" t="s">
        <v>21</v>
      </c>
      <c r="K2632" s="2" t="s">
        <v>5727</v>
      </c>
    </row>
    <row r="2633" ht="15.75" customHeight="1">
      <c r="A2633" s="2">
        <v>8825.0</v>
      </c>
      <c r="B2633" s="2" t="s">
        <v>3619</v>
      </c>
      <c r="C2633" s="2" t="s">
        <v>6018</v>
      </c>
      <c r="D2633" s="2" t="s">
        <v>6019</v>
      </c>
      <c r="E2633" s="2" t="s">
        <v>20</v>
      </c>
      <c r="F2633" s="2">
        <v>5.0</v>
      </c>
      <c r="G2633" s="2">
        <v>500.0</v>
      </c>
      <c r="H2633" s="3" t="str">
        <f>HYPERLINK("http://ar.linkedin.com/in/antonellalucio","http://ar.linkedin.com/in/antonellalucio")</f>
        <v>http://ar.linkedin.com/in/antonellalucio</v>
      </c>
      <c r="I2633" s="2" t="s">
        <v>105</v>
      </c>
      <c r="J2633" s="2" t="s">
        <v>21</v>
      </c>
      <c r="K2633" s="2" t="s">
        <v>5727</v>
      </c>
    </row>
    <row r="2634" ht="15.75" customHeight="1">
      <c r="A2634" s="2">
        <v>8842.0</v>
      </c>
      <c r="B2634" s="2" t="s">
        <v>6020</v>
      </c>
      <c r="C2634" s="2" t="s">
        <v>6021</v>
      </c>
      <c r="D2634" s="2" t="s">
        <v>6022</v>
      </c>
      <c r="E2634" s="2" t="s">
        <v>20</v>
      </c>
      <c r="F2634" s="2">
        <v>5.0</v>
      </c>
      <c r="G2634" s="2">
        <v>302.0</v>
      </c>
      <c r="H2634" s="3" t="str">
        <f>HYPERLINK("http://ar.linkedin.com/in/patriciamarcelapirola","http://ar.linkedin.com/in/patriciamarcelapirola")</f>
        <v>http://ar.linkedin.com/in/patriciamarcelapirola</v>
      </c>
      <c r="I2634" s="2" t="s">
        <v>1679</v>
      </c>
      <c r="J2634" s="2" t="s">
        <v>21</v>
      </c>
      <c r="K2634" s="2" t="s">
        <v>5727</v>
      </c>
    </row>
    <row r="2635" ht="15.75" customHeight="1">
      <c r="A2635" s="2">
        <v>8845.0</v>
      </c>
      <c r="B2635" s="2" t="s">
        <v>6004</v>
      </c>
      <c r="C2635" s="2" t="s">
        <v>6023</v>
      </c>
      <c r="D2635" s="2" t="s">
        <v>6024</v>
      </c>
      <c r="E2635" s="2" t="s">
        <v>20</v>
      </c>
      <c r="F2635" s="2">
        <v>5.0</v>
      </c>
      <c r="G2635" s="2">
        <v>500.0</v>
      </c>
      <c r="H2635" s="3" t="str">
        <f>HYPERLINK("http://ar.linkedin.com/in/juanmanueltruppia","http://ar.linkedin.com/in/juanmanueltruppia")</f>
        <v>http://ar.linkedin.com/in/juanmanueltruppia</v>
      </c>
      <c r="I2635" s="2" t="s">
        <v>1679</v>
      </c>
      <c r="J2635" s="2" t="s">
        <v>21</v>
      </c>
      <c r="K2635" s="2" t="s">
        <v>5727</v>
      </c>
    </row>
    <row r="2636" ht="15.75" customHeight="1">
      <c r="A2636" s="2">
        <v>8847.0</v>
      </c>
      <c r="B2636" s="2" t="s">
        <v>6025</v>
      </c>
      <c r="C2636" s="2" t="s">
        <v>6026</v>
      </c>
      <c r="D2636" s="2" t="s">
        <v>6027</v>
      </c>
      <c r="E2636" s="2" t="s">
        <v>20</v>
      </c>
      <c r="F2636" s="2">
        <v>0.0</v>
      </c>
      <c r="G2636" s="2">
        <v>303.0</v>
      </c>
      <c r="H2636" s="3" t="str">
        <f>HYPERLINK("http://www.linkedin.com/pub/hernan-gastaud/27/736/b73","http://www.linkedin.com/pub/hernan-gastaud/27/736/b73")</f>
        <v>http://www.linkedin.com/pub/hernan-gastaud/27/736/b73</v>
      </c>
      <c r="I2636" s="2" t="s">
        <v>252</v>
      </c>
      <c r="J2636" s="2" t="s">
        <v>21</v>
      </c>
      <c r="K2636" s="2" t="s">
        <v>5734</v>
      </c>
    </row>
    <row r="2637" ht="15.75" customHeight="1">
      <c r="A2637" s="2">
        <v>8851.0</v>
      </c>
      <c r="B2637" s="2" t="s">
        <v>2148</v>
      </c>
      <c r="C2637" s="2" t="s">
        <v>6028</v>
      </c>
      <c r="D2637" s="2" t="s">
        <v>6029</v>
      </c>
      <c r="E2637" s="2" t="s">
        <v>20</v>
      </c>
      <c r="F2637" s="2">
        <v>1.0</v>
      </c>
      <c r="G2637" s="2">
        <v>189.0</v>
      </c>
      <c r="H2637" s="3" t="str">
        <f>HYPERLINK("http://ar.linkedin.com/pub/nelson-galvan/3/427/873","http://ar.linkedin.com/pub/nelson-galvan/3/427/873")</f>
        <v>http://ar.linkedin.com/pub/nelson-galvan/3/427/873</v>
      </c>
      <c r="I2637" s="2" t="s">
        <v>15</v>
      </c>
      <c r="J2637" s="2" t="s">
        <v>21</v>
      </c>
      <c r="K2637" s="2" t="s">
        <v>5725</v>
      </c>
    </row>
    <row r="2638" ht="15.75" customHeight="1">
      <c r="A2638" s="2">
        <v>8858.0</v>
      </c>
      <c r="B2638" s="2" t="s">
        <v>671</v>
      </c>
      <c r="C2638" s="2" t="s">
        <v>6030</v>
      </c>
      <c r="D2638" s="2" t="s">
        <v>6031</v>
      </c>
      <c r="E2638" s="2" t="s">
        <v>20</v>
      </c>
      <c r="F2638" s="2">
        <v>17.0</v>
      </c>
      <c r="G2638" s="2">
        <v>284.0</v>
      </c>
      <c r="H2638" s="3" t="str">
        <f>HYPERLINK("http://ar.linkedin.com/pub/mariana-sim%C3%B3n/1B/783/B86","http://ar.linkedin.com/pub/mariana-sim%C3%B3n/1B/783/B86")</f>
        <v>http://ar.linkedin.com/pub/mariana-sim%C3%B3n/1B/783/B86</v>
      </c>
      <c r="I2638" s="2" t="s">
        <v>599</v>
      </c>
      <c r="J2638" s="2" t="s">
        <v>21</v>
      </c>
      <c r="K2638" s="2" t="s">
        <v>5727</v>
      </c>
    </row>
    <row r="2639" ht="15.75" customHeight="1">
      <c r="A2639" s="2">
        <v>8860.0</v>
      </c>
      <c r="B2639" s="2" t="s">
        <v>6032</v>
      </c>
      <c r="C2639" s="2" t="s">
        <v>6033</v>
      </c>
      <c r="D2639" s="2" t="s">
        <v>6034</v>
      </c>
      <c r="E2639" s="2" t="s">
        <v>20</v>
      </c>
      <c r="F2639" s="2">
        <v>1.0</v>
      </c>
      <c r="G2639" s="2">
        <v>108.0</v>
      </c>
      <c r="H2639" s="3" t="str">
        <f>HYPERLINK("http://ar.linkedin.com/pub/victoria-teloni/B/3A2/1B7","http://ar.linkedin.com/pub/victoria-teloni/B/3A2/1B7")</f>
        <v>http://ar.linkedin.com/pub/victoria-teloni/B/3A2/1B7</v>
      </c>
      <c r="I2639" s="2" t="s">
        <v>119</v>
      </c>
      <c r="J2639" s="2" t="s">
        <v>21</v>
      </c>
      <c r="K2639" s="2" t="s">
        <v>5785</v>
      </c>
    </row>
    <row r="2640" ht="15.75" customHeight="1">
      <c r="A2640" s="2">
        <v>8869.0</v>
      </c>
      <c r="B2640" s="2" t="s">
        <v>506</v>
      </c>
      <c r="C2640" s="2" t="s">
        <v>6035</v>
      </c>
      <c r="D2640" s="2" t="s">
        <v>6036</v>
      </c>
      <c r="E2640" s="2" t="s">
        <v>20</v>
      </c>
      <c r="F2640" s="2">
        <v>16.0</v>
      </c>
      <c r="G2640" s="2">
        <v>500.0</v>
      </c>
      <c r="H2640" s="3" t="str">
        <f>HYPERLINK("http://ar.linkedin.com/pub/jose-tallarico/3/B23/393","http://ar.linkedin.com/pub/jose-tallarico/3/B23/393")</f>
        <v>http://ar.linkedin.com/pub/jose-tallarico/3/B23/393</v>
      </c>
      <c r="I2640" s="2" t="s">
        <v>77</v>
      </c>
      <c r="J2640" s="2" t="s">
        <v>21</v>
      </c>
      <c r="K2640" s="2" t="s">
        <v>5743</v>
      </c>
    </row>
    <row r="2641" ht="15.75" customHeight="1">
      <c r="A2641" s="2">
        <v>8870.0</v>
      </c>
      <c r="B2641" s="2" t="s">
        <v>523</v>
      </c>
      <c r="C2641" s="2" t="s">
        <v>6037</v>
      </c>
      <c r="D2641" s="2" t="s">
        <v>347</v>
      </c>
      <c r="E2641" s="2" t="s">
        <v>20</v>
      </c>
      <c r="F2641" s="2">
        <v>1.0</v>
      </c>
      <c r="G2641" s="2">
        <v>235.0</v>
      </c>
      <c r="H2641" s="3" t="str">
        <f>HYPERLINK("http://ar.linkedin.com/in/ignaciocuffia","http://ar.linkedin.com/in/ignaciocuffia")</f>
        <v>http://ar.linkedin.com/in/ignaciocuffia</v>
      </c>
      <c r="I2641" s="2" t="s">
        <v>1679</v>
      </c>
      <c r="J2641" s="2" t="s">
        <v>21</v>
      </c>
      <c r="K2641" s="2" t="s">
        <v>5743</v>
      </c>
    </row>
    <row r="2642" ht="15.75" customHeight="1">
      <c r="A2642" s="2">
        <v>8875.0</v>
      </c>
      <c r="B2642" s="2" t="s">
        <v>6038</v>
      </c>
      <c r="C2642" s="2" t="s">
        <v>6039</v>
      </c>
      <c r="D2642" s="2" t="s">
        <v>6040</v>
      </c>
      <c r="E2642" s="2" t="s">
        <v>20</v>
      </c>
      <c r="F2642" s="2">
        <v>3.0</v>
      </c>
      <c r="G2642" s="2">
        <v>287.0</v>
      </c>
      <c r="H2642" s="3" t="str">
        <f>HYPERLINK("http://ar.linkedin.com/in/joaquincabal","http://ar.linkedin.com/in/joaquincabal")</f>
        <v>http://ar.linkedin.com/in/joaquincabal</v>
      </c>
      <c r="I2642" s="2" t="s">
        <v>119</v>
      </c>
      <c r="J2642" s="2" t="s">
        <v>21</v>
      </c>
      <c r="K2642" s="2" t="s">
        <v>5731</v>
      </c>
    </row>
    <row r="2643" ht="15.75" customHeight="1">
      <c r="A2643" s="2">
        <v>8879.0</v>
      </c>
      <c r="B2643" s="2" t="s">
        <v>253</v>
      </c>
      <c r="C2643" s="2" t="s">
        <v>6041</v>
      </c>
      <c r="D2643" s="2" t="s">
        <v>6042</v>
      </c>
      <c r="E2643" s="2" t="s">
        <v>20</v>
      </c>
      <c r="F2643" s="2">
        <v>2.0</v>
      </c>
      <c r="G2643" s="2">
        <v>233.0</v>
      </c>
      <c r="H2643" s="3" t="str">
        <f>HYPERLINK("http://ar.linkedin.com/pub/fernando-valeriani/4/253/276","http://ar.linkedin.com/pub/fernando-valeriani/4/253/276")</f>
        <v>http://ar.linkedin.com/pub/fernando-valeriani/4/253/276</v>
      </c>
      <c r="I2643" s="2" t="s">
        <v>172</v>
      </c>
      <c r="J2643" s="2" t="s">
        <v>21</v>
      </c>
      <c r="K2643" s="2" t="s">
        <v>5727</v>
      </c>
    </row>
    <row r="2644" ht="15.75" customHeight="1">
      <c r="A2644" s="2">
        <v>8933.0</v>
      </c>
      <c r="B2644" s="2" t="s">
        <v>6043</v>
      </c>
      <c r="C2644" s="2" t="s">
        <v>6044</v>
      </c>
      <c r="D2644" s="2" t="s">
        <v>6045</v>
      </c>
      <c r="E2644" s="2" t="s">
        <v>20</v>
      </c>
      <c r="F2644" s="2">
        <v>4.0</v>
      </c>
      <c r="G2644" s="2">
        <v>500.0</v>
      </c>
      <c r="H2644" s="3" t="str">
        <f>HYPERLINK("http://ar.linkedin.com/in/sofialuduena","http://ar.linkedin.com/in/sofialuduena")</f>
        <v>http://ar.linkedin.com/in/sofialuduena</v>
      </c>
      <c r="I2644" s="2" t="s">
        <v>248</v>
      </c>
      <c r="J2644" s="2" t="s">
        <v>21</v>
      </c>
      <c r="K2644" s="2" t="s">
        <v>6046</v>
      </c>
    </row>
    <row r="2645" ht="15.75" customHeight="1">
      <c r="A2645" s="2">
        <v>8934.0</v>
      </c>
      <c r="B2645" s="2" t="s">
        <v>6047</v>
      </c>
      <c r="C2645" s="2" t="s">
        <v>6048</v>
      </c>
      <c r="D2645" s="2" t="s">
        <v>2034</v>
      </c>
      <c r="E2645" s="2" t="s">
        <v>20</v>
      </c>
      <c r="F2645" s="2">
        <v>0.0</v>
      </c>
      <c r="G2645" s="2">
        <v>500.0</v>
      </c>
      <c r="H2645" s="3" t="str">
        <f>HYPERLINK("http://www.linkedin.com/pub/daniela-cufari/1b/25/640","http://www.linkedin.com/pub/daniela-cufari/1b/25/640")</f>
        <v>http://www.linkedin.com/pub/daniela-cufari/1b/25/640</v>
      </c>
      <c r="I2645" s="2" t="s">
        <v>248</v>
      </c>
      <c r="J2645" s="2" t="s">
        <v>21</v>
      </c>
      <c r="K2645" s="2" t="s">
        <v>5734</v>
      </c>
    </row>
    <row r="2646" ht="15.75" customHeight="1">
      <c r="A2646" s="2">
        <v>8963.0</v>
      </c>
      <c r="B2646" s="2" t="s">
        <v>353</v>
      </c>
      <c r="C2646" s="2" t="s">
        <v>6049</v>
      </c>
      <c r="D2646" s="2" t="s">
        <v>6050</v>
      </c>
      <c r="E2646" s="2" t="s">
        <v>122</v>
      </c>
      <c r="F2646" s="2">
        <v>1.0</v>
      </c>
      <c r="G2646" s="2">
        <v>171.0</v>
      </c>
      <c r="H2646" s="3" t="str">
        <f>HYPERLINK("http://ar.linkedin.com/in/alexsiri7","http://ar.linkedin.com/in/alexsiri7")</f>
        <v>http://ar.linkedin.com/in/alexsiri7</v>
      </c>
      <c r="I2646" s="2" t="s">
        <v>3044</v>
      </c>
      <c r="J2646" s="2" t="s">
        <v>53</v>
      </c>
      <c r="K2646" s="2" t="s">
        <v>5785</v>
      </c>
    </row>
    <row r="2647" ht="15.75" customHeight="1">
      <c r="A2647" s="2">
        <v>9009.0</v>
      </c>
      <c r="B2647" s="2" t="s">
        <v>5803</v>
      </c>
      <c r="C2647" s="2" t="s">
        <v>6051</v>
      </c>
      <c r="D2647" s="2" t="s">
        <v>13</v>
      </c>
      <c r="E2647" s="2" t="s">
        <v>20</v>
      </c>
      <c r="F2647" s="2">
        <v>0.0</v>
      </c>
      <c r="G2647" s="2">
        <v>84.0</v>
      </c>
      <c r="H2647" s="3" t="str">
        <f>HYPERLINK("http://www.linkedin.com/pub/mariano-montone/3/707/a33","http://www.linkedin.com/pub/mariano-montone/3/707/a33")</f>
        <v>http://www.linkedin.com/pub/mariano-montone/3/707/a33</v>
      </c>
      <c r="I2647" s="2" t="s">
        <v>48</v>
      </c>
      <c r="J2647" s="2" t="s">
        <v>21</v>
      </c>
      <c r="K2647" s="2" t="s">
        <v>5725</v>
      </c>
    </row>
    <row r="2648" ht="15.75" customHeight="1">
      <c r="A2648" s="2">
        <v>9016.0</v>
      </c>
      <c r="B2648" s="2" t="s">
        <v>5723</v>
      </c>
      <c r="C2648" s="2" t="s">
        <v>6052</v>
      </c>
      <c r="D2648" s="2" t="s">
        <v>6053</v>
      </c>
      <c r="E2648" s="2" t="s">
        <v>20</v>
      </c>
      <c r="F2648" s="2">
        <v>1.0</v>
      </c>
      <c r="G2648" s="2">
        <v>239.0</v>
      </c>
      <c r="H2648" s="3" t="str">
        <f>HYPERLINK("http://ar.linkedin.com/in/pabloiaria","http://ar.linkedin.com/in/pabloiaria")</f>
        <v>http://ar.linkedin.com/in/pabloiaria</v>
      </c>
      <c r="I2648" s="2" t="s">
        <v>48</v>
      </c>
      <c r="J2648" s="2" t="s">
        <v>21</v>
      </c>
      <c r="K2648" s="2" t="s">
        <v>5725</v>
      </c>
    </row>
    <row r="2649" ht="15.75" customHeight="1">
      <c r="A2649" s="2">
        <v>9027.0</v>
      </c>
      <c r="B2649" s="2" t="s">
        <v>1309</v>
      </c>
      <c r="C2649" s="2" t="s">
        <v>638</v>
      </c>
      <c r="D2649" s="2" t="s">
        <v>3791</v>
      </c>
      <c r="E2649" s="2" t="s">
        <v>20</v>
      </c>
      <c r="F2649" s="2">
        <v>2.0</v>
      </c>
      <c r="G2649" s="2">
        <v>189.0</v>
      </c>
      <c r="H2649" s="3" t="str">
        <f>HYPERLINK("http://ar.linkedin.com/pub/alfredo-avila/2B/428/54B","http://ar.linkedin.com/pub/alfredo-avila/2B/428/54B")</f>
        <v>http://ar.linkedin.com/pub/alfredo-avila/2B/428/54B</v>
      </c>
      <c r="I2649" s="2" t="s">
        <v>2731</v>
      </c>
      <c r="J2649" s="2" t="s">
        <v>21</v>
      </c>
      <c r="K2649" s="2" t="s">
        <v>5727</v>
      </c>
    </row>
    <row r="2650" ht="15.75" customHeight="1">
      <c r="A2650" s="2">
        <v>9028.0</v>
      </c>
      <c r="B2650" s="2" t="s">
        <v>6054</v>
      </c>
      <c r="C2650" s="2" t="s">
        <v>6055</v>
      </c>
      <c r="D2650" s="2" t="s">
        <v>1865</v>
      </c>
      <c r="E2650" s="2" t="s">
        <v>20</v>
      </c>
      <c r="F2650" s="2">
        <v>2.0</v>
      </c>
      <c r="G2650" s="2">
        <v>280.0</v>
      </c>
      <c r="H2650" s="3" t="str">
        <f>HYPERLINK("http://ar.linkedin.com/pub/jorgelina-v-schmutz/11/8B5/B79","http://ar.linkedin.com/pub/jorgelina-v-schmutz/11/8B5/B79")</f>
        <v>http://ar.linkedin.com/pub/jorgelina-v-schmutz/11/8B5/B79</v>
      </c>
      <c r="I2650" s="2" t="s">
        <v>57</v>
      </c>
      <c r="J2650" s="2" t="s">
        <v>21</v>
      </c>
      <c r="K2650" s="2" t="s">
        <v>5743</v>
      </c>
    </row>
    <row r="2651" ht="15.75" customHeight="1">
      <c r="A2651" s="2">
        <v>9033.0</v>
      </c>
      <c r="B2651" s="2" t="s">
        <v>6056</v>
      </c>
      <c r="C2651" s="2" t="s">
        <v>6057</v>
      </c>
      <c r="D2651" s="2" t="s">
        <v>42</v>
      </c>
      <c r="E2651" s="2" t="s">
        <v>20</v>
      </c>
      <c r="F2651" s="2">
        <v>7.0</v>
      </c>
      <c r="G2651" s="2">
        <v>247.0</v>
      </c>
      <c r="H2651" s="3" t="str">
        <f>HYPERLINK("http://www.linkedin.com/pub/m-graciela-aparicio/8/42a/26a","http://www.linkedin.com/pub/m-graciela-aparicio/8/42a/26a")</f>
        <v>http://www.linkedin.com/pub/m-graciela-aparicio/8/42a/26a</v>
      </c>
      <c r="I2651" s="2" t="s">
        <v>2561</v>
      </c>
      <c r="J2651" s="2" t="s">
        <v>21</v>
      </c>
      <c r="K2651" s="2" t="s">
        <v>5727</v>
      </c>
    </row>
    <row r="2652" ht="15.75" customHeight="1">
      <c r="A2652" s="2">
        <v>9042.0</v>
      </c>
      <c r="B2652" s="2" t="s">
        <v>70</v>
      </c>
      <c r="C2652" s="2" t="s">
        <v>6058</v>
      </c>
      <c r="D2652" s="2" t="s">
        <v>835</v>
      </c>
      <c r="E2652" s="2" t="s">
        <v>20</v>
      </c>
      <c r="F2652" s="2">
        <v>2.0</v>
      </c>
      <c r="G2652" s="2">
        <v>500.0</v>
      </c>
      <c r="H2652" s="3" t="str">
        <f>HYPERLINK("http://ar.linkedin.com/pub/gustavo-wurzel/4/225/33A","http://ar.linkedin.com/pub/gustavo-wurzel/4/225/33A")</f>
        <v>http://ar.linkedin.com/pub/gustavo-wurzel/4/225/33A</v>
      </c>
      <c r="I2652" s="2" t="s">
        <v>57</v>
      </c>
      <c r="J2652" s="2" t="s">
        <v>21</v>
      </c>
      <c r="K2652" s="2" t="s">
        <v>5727</v>
      </c>
    </row>
    <row r="2653" ht="15.75" customHeight="1">
      <c r="A2653" s="2">
        <v>9054.0</v>
      </c>
      <c r="B2653" s="2" t="s">
        <v>531</v>
      </c>
      <c r="C2653" s="2" t="s">
        <v>6059</v>
      </c>
      <c r="D2653" s="2" t="s">
        <v>6060</v>
      </c>
      <c r="E2653" s="2" t="s">
        <v>20</v>
      </c>
      <c r="F2653" s="2">
        <v>6.0</v>
      </c>
      <c r="G2653" s="2">
        <v>500.0</v>
      </c>
      <c r="H2653" s="3" t="str">
        <f>HYPERLINK("http://ar.linkedin.com/in/rrositto","http://ar.linkedin.com/in/rrositto")</f>
        <v>http://ar.linkedin.com/in/rrositto</v>
      </c>
      <c r="I2653" s="2" t="s">
        <v>77</v>
      </c>
      <c r="J2653" s="2" t="s">
        <v>21</v>
      </c>
      <c r="K2653" s="2" t="s">
        <v>5743</v>
      </c>
    </row>
    <row r="2654" ht="15.75" customHeight="1">
      <c r="A2654" s="2">
        <v>9059.0</v>
      </c>
      <c r="B2654" s="2" t="s">
        <v>6061</v>
      </c>
      <c r="C2654" s="2" t="s">
        <v>6062</v>
      </c>
      <c r="D2654" s="2" t="s">
        <v>6063</v>
      </c>
      <c r="E2654" s="2" t="s">
        <v>20</v>
      </c>
      <c r="F2654" s="2">
        <v>2.0</v>
      </c>
      <c r="G2654" s="2">
        <v>375.0</v>
      </c>
      <c r="H2654" s="3" t="str">
        <f>HYPERLINK("http://ar.linkedin.com/in/agustinalvarezreynolds","http://ar.linkedin.com/in/agustinalvarezreynolds")</f>
        <v>http://ar.linkedin.com/in/agustinalvarezreynolds</v>
      </c>
      <c r="I2654" s="2" t="s">
        <v>599</v>
      </c>
      <c r="J2654" s="2" t="s">
        <v>21</v>
      </c>
      <c r="K2654" s="2" t="s">
        <v>5743</v>
      </c>
    </row>
    <row r="2655" ht="15.75" customHeight="1">
      <c r="A2655" s="2">
        <v>9102.0</v>
      </c>
      <c r="B2655" s="2" t="s">
        <v>6064</v>
      </c>
      <c r="C2655" s="2" t="s">
        <v>6065</v>
      </c>
      <c r="D2655" s="2" t="s">
        <v>13</v>
      </c>
      <c r="E2655" s="2" t="s">
        <v>20</v>
      </c>
      <c r="F2655" s="2">
        <v>15.0</v>
      </c>
      <c r="G2655" s="2">
        <v>500.0</v>
      </c>
      <c r="H2655" s="3" t="str">
        <f>HYPERLINK("http://www.linkedin.com/pub/romina-rubi%C3%B1o/7/5a4/18a","http://www.linkedin.com/pub/romina-rubi%C3%B1o/7/5a4/18a")</f>
        <v>http://www.linkedin.com/pub/romina-rubi%C3%B1o/7/5a4/18a</v>
      </c>
      <c r="I2655" s="2" t="s">
        <v>458</v>
      </c>
      <c r="J2655" s="2" t="s">
        <v>21</v>
      </c>
      <c r="K2655" s="2" t="s">
        <v>5727</v>
      </c>
    </row>
    <row r="2656" ht="15.75" customHeight="1">
      <c r="A2656" s="2">
        <v>9107.0</v>
      </c>
      <c r="B2656" s="2" t="s">
        <v>6066</v>
      </c>
      <c r="C2656" s="2" t="s">
        <v>6067</v>
      </c>
      <c r="D2656" s="2" t="s">
        <v>835</v>
      </c>
      <c r="E2656" s="2" t="s">
        <v>20</v>
      </c>
      <c r="F2656" s="2">
        <v>6.0</v>
      </c>
      <c r="G2656" s="2">
        <v>500.0</v>
      </c>
      <c r="H2656" s="3" t="str">
        <f>HYPERLINK("http://www.linkedin.com/in/jeperezbay","http://www.linkedin.com/in/jeperezbay")</f>
        <v>http://www.linkedin.com/in/jeperezbay</v>
      </c>
      <c r="I2656" s="2" t="s">
        <v>57</v>
      </c>
      <c r="J2656" s="2" t="s">
        <v>21</v>
      </c>
      <c r="K2656" s="2" t="s">
        <v>5727</v>
      </c>
    </row>
    <row r="2657" ht="15.75" customHeight="1">
      <c r="A2657" s="2">
        <v>9146.0</v>
      </c>
      <c r="B2657" s="2" t="s">
        <v>3223</v>
      </c>
      <c r="C2657" s="2" t="s">
        <v>6068</v>
      </c>
      <c r="D2657" s="2" t="s">
        <v>6069</v>
      </c>
      <c r="E2657" s="2" t="s">
        <v>20</v>
      </c>
      <c r="F2657" s="2">
        <v>4.0</v>
      </c>
      <c r="G2657" s="2">
        <v>249.0</v>
      </c>
      <c r="H2657" s="3" t="str">
        <f>HYPERLINK("http://ar.linkedin.com/in/liclauraquinteros","http://ar.linkedin.com/in/liclauraquinteros")</f>
        <v>http://ar.linkedin.com/in/liclauraquinteros</v>
      </c>
      <c r="I2657" s="2" t="s">
        <v>57</v>
      </c>
      <c r="J2657" s="2" t="s">
        <v>21</v>
      </c>
      <c r="K2657" s="2" t="s">
        <v>5727</v>
      </c>
    </row>
    <row r="2658" ht="15.75" customHeight="1">
      <c r="A2658" s="2">
        <v>9150.0</v>
      </c>
      <c r="B2658" s="2" t="s">
        <v>6070</v>
      </c>
      <c r="C2658" s="2" t="s">
        <v>1574</v>
      </c>
      <c r="D2658" s="2" t="s">
        <v>6071</v>
      </c>
      <c r="E2658" s="2" t="s">
        <v>20</v>
      </c>
      <c r="F2658" s="2">
        <v>0.0</v>
      </c>
      <c r="G2658" s="2">
        <v>62.0</v>
      </c>
      <c r="H2658" s="3" t="str">
        <f>HYPERLINK("http://ar.linkedin.com/pub/antonio-ariel-pinto/28/206/129","http://ar.linkedin.com/pub/antonio-ariel-pinto/28/206/129")</f>
        <v>http://ar.linkedin.com/pub/antonio-ariel-pinto/28/206/129</v>
      </c>
      <c r="I2658" s="2" t="s">
        <v>579</v>
      </c>
      <c r="J2658" s="2" t="s">
        <v>21</v>
      </c>
      <c r="K2658" s="2" t="s">
        <v>5848</v>
      </c>
    </row>
    <row r="2659" ht="15.75" customHeight="1">
      <c r="A2659" s="2">
        <v>9209.0</v>
      </c>
      <c r="B2659" s="2" t="s">
        <v>6072</v>
      </c>
      <c r="C2659" s="2" t="s">
        <v>6073</v>
      </c>
      <c r="D2659" s="2" t="s">
        <v>6074</v>
      </c>
      <c r="E2659" s="2" t="s">
        <v>20</v>
      </c>
      <c r="F2659" s="2">
        <v>23.0</v>
      </c>
      <c r="G2659" s="2">
        <v>486.0</v>
      </c>
      <c r="H2659" s="3" t="str">
        <f>HYPERLINK("http://ar.linkedin.com/in/limayfortunato","http://ar.linkedin.com/in/limayfortunato")</f>
        <v>http://ar.linkedin.com/in/limayfortunato</v>
      </c>
      <c r="I2659" s="2" t="s">
        <v>470</v>
      </c>
      <c r="J2659" s="2" t="s">
        <v>21</v>
      </c>
      <c r="K2659" s="2" t="s">
        <v>6075</v>
      </c>
    </row>
    <row r="2660" ht="15.75" customHeight="1">
      <c r="A2660" s="2">
        <v>9216.0</v>
      </c>
      <c r="B2660" s="2" t="s">
        <v>238</v>
      </c>
      <c r="C2660" s="2" t="s">
        <v>6076</v>
      </c>
      <c r="D2660" s="2" t="s">
        <v>6077</v>
      </c>
      <c r="E2660" s="2" t="s">
        <v>20</v>
      </c>
      <c r="F2660" s="2">
        <v>0.0</v>
      </c>
      <c r="G2660" s="2">
        <v>500.0</v>
      </c>
      <c r="H2660" s="3" t="str">
        <f>HYPERLINK("http://ar.linkedin.com/pub/juan-bello/0/1AA/712","http://ar.linkedin.com/pub/juan-bello/0/1AA/712")</f>
        <v>http://ar.linkedin.com/pub/juan-bello/0/1AA/712</v>
      </c>
      <c r="I2660" s="2" t="s">
        <v>48</v>
      </c>
      <c r="J2660" s="2" t="s">
        <v>21</v>
      </c>
      <c r="K2660" s="2" t="s">
        <v>5725</v>
      </c>
    </row>
    <row r="2661" ht="15.75" customHeight="1">
      <c r="A2661" s="2">
        <v>9261.0</v>
      </c>
      <c r="B2661" s="2" t="s">
        <v>389</v>
      </c>
      <c r="C2661" s="2" t="s">
        <v>6078</v>
      </c>
      <c r="D2661" s="2" t="s">
        <v>6079</v>
      </c>
      <c r="E2661" s="2" t="s">
        <v>20</v>
      </c>
      <c r="F2661" s="2">
        <v>3.0</v>
      </c>
      <c r="G2661" s="2">
        <v>500.0</v>
      </c>
      <c r="H2661" s="3" t="str">
        <f>HYPERLINK("http://ar.linkedin.com/in/joseabella","http://ar.linkedin.com/in/joseabella")</f>
        <v>http://ar.linkedin.com/in/joseabella</v>
      </c>
      <c r="I2661" s="2" t="s">
        <v>2183</v>
      </c>
      <c r="J2661" s="2" t="s">
        <v>21</v>
      </c>
      <c r="K2661" s="2" t="s">
        <v>5727</v>
      </c>
    </row>
    <row r="2662" ht="15.75" customHeight="1">
      <c r="A2662" s="2">
        <v>9264.0</v>
      </c>
      <c r="B2662" s="2" t="s">
        <v>1163</v>
      </c>
      <c r="C2662" s="2" t="s">
        <v>6080</v>
      </c>
      <c r="D2662" s="2" t="s">
        <v>6081</v>
      </c>
      <c r="E2662" s="2" t="s">
        <v>20</v>
      </c>
      <c r="F2662" s="2">
        <v>7.0</v>
      </c>
      <c r="G2662" s="2">
        <v>500.0</v>
      </c>
      <c r="H2662" s="3" t="str">
        <f>HYPERLINK("http://www.linkedin.com/in/mariadepiano","http://www.linkedin.com/in/mariadepiano")</f>
        <v>http://www.linkedin.com/in/mariadepiano</v>
      </c>
      <c r="I2662" s="2" t="s">
        <v>2725</v>
      </c>
      <c r="J2662" s="2" t="s">
        <v>21</v>
      </c>
      <c r="K2662" s="2" t="s">
        <v>5727</v>
      </c>
    </row>
    <row r="2663" ht="15.75" customHeight="1">
      <c r="A2663" s="2">
        <v>9266.0</v>
      </c>
      <c r="B2663" s="2" t="s">
        <v>70</v>
      </c>
      <c r="C2663" s="2" t="s">
        <v>6082</v>
      </c>
      <c r="D2663" s="2" t="s">
        <v>13</v>
      </c>
      <c r="E2663" s="2" t="s">
        <v>20</v>
      </c>
      <c r="F2663" s="2">
        <v>15.0</v>
      </c>
      <c r="G2663" s="2">
        <v>500.0</v>
      </c>
      <c r="H2663" s="3" t="str">
        <f>HYPERLINK("http://ar.linkedin.com/pub/gustavo-regner/A/317/405","http://ar.linkedin.com/pub/gustavo-regner/A/317/405")</f>
        <v>http://ar.linkedin.com/pub/gustavo-regner/A/317/405</v>
      </c>
      <c r="I2663" s="2" t="s">
        <v>599</v>
      </c>
      <c r="J2663" s="2" t="s">
        <v>21</v>
      </c>
      <c r="K2663" s="2" t="s">
        <v>5727</v>
      </c>
    </row>
    <row r="2664" ht="15.75" customHeight="1">
      <c r="A2664" s="2">
        <v>9269.0</v>
      </c>
      <c r="B2664" s="2" t="s">
        <v>6083</v>
      </c>
      <c r="C2664" s="2" t="s">
        <v>6084</v>
      </c>
      <c r="D2664" s="2" t="s">
        <v>6085</v>
      </c>
      <c r="E2664" s="2" t="s">
        <v>20</v>
      </c>
      <c r="F2664" s="2">
        <v>13.0</v>
      </c>
      <c r="G2664" s="2">
        <v>370.0</v>
      </c>
      <c r="H2664" s="3" t="str">
        <f>HYPERLINK("http://ar.linkedin.com/in/marieladagracaguerra","http://ar.linkedin.com/in/marieladagracaguerra")</f>
        <v>http://ar.linkedin.com/in/marieladagracaguerra</v>
      </c>
      <c r="I2664" s="2" t="s">
        <v>2000</v>
      </c>
      <c r="J2664" s="2" t="s">
        <v>21</v>
      </c>
      <c r="K2664" s="2" t="s">
        <v>5727</v>
      </c>
    </row>
    <row r="2665" ht="15.75" customHeight="1">
      <c r="A2665" s="2">
        <v>9297.0</v>
      </c>
      <c r="B2665" s="2" t="s">
        <v>4304</v>
      </c>
      <c r="C2665" s="2" t="s">
        <v>6086</v>
      </c>
      <c r="D2665" s="2" t="s">
        <v>400</v>
      </c>
      <c r="E2665" s="2" t="s">
        <v>20</v>
      </c>
      <c r="F2665" s="2">
        <v>0.0</v>
      </c>
      <c r="G2665" s="2">
        <v>312.0</v>
      </c>
      <c r="H2665" s="3" t="str">
        <f>HYPERLINK("http://ar.linkedin.com/in/leandrofalvo","http://ar.linkedin.com/in/leandrofalvo")</f>
        <v>http://ar.linkedin.com/in/leandrofalvo</v>
      </c>
      <c r="I2665" s="2" t="s">
        <v>279</v>
      </c>
      <c r="J2665" s="2" t="s">
        <v>21</v>
      </c>
      <c r="K2665" s="2" t="s">
        <v>5734</v>
      </c>
    </row>
    <row r="2666" ht="15.75" customHeight="1">
      <c r="A2666" s="2">
        <v>9314.0</v>
      </c>
      <c r="B2666" s="2" t="s">
        <v>238</v>
      </c>
      <c r="C2666" s="2" t="s">
        <v>6087</v>
      </c>
      <c r="D2666" s="2" t="s">
        <v>6088</v>
      </c>
      <c r="E2666" s="2" t="s">
        <v>20</v>
      </c>
      <c r="F2666" s="2">
        <v>1.0</v>
      </c>
      <c r="G2666" s="2">
        <v>167.0</v>
      </c>
      <c r="H2666" s="3" t="str">
        <f>HYPERLINK("http://ar.linkedin.com/pub/juan-muracciole/15/11A/A07","http://ar.linkedin.com/pub/juan-muracciole/15/11A/A07")</f>
        <v>http://ar.linkedin.com/pub/juan-muracciole/15/11A/A07</v>
      </c>
      <c r="I2666" s="2" t="s">
        <v>105</v>
      </c>
      <c r="J2666" s="2" t="s">
        <v>21</v>
      </c>
      <c r="K2666" s="2" t="s">
        <v>5725</v>
      </c>
    </row>
    <row r="2667" ht="15.75" customHeight="1">
      <c r="A2667" s="2">
        <v>9316.0</v>
      </c>
      <c r="B2667" s="2" t="s">
        <v>6089</v>
      </c>
      <c r="C2667" s="2" t="s">
        <v>6090</v>
      </c>
      <c r="D2667" s="2" t="s">
        <v>42</v>
      </c>
      <c r="E2667" s="2" t="s">
        <v>20</v>
      </c>
      <c r="F2667" s="2">
        <v>0.0</v>
      </c>
      <c r="G2667" s="2">
        <v>281.0</v>
      </c>
      <c r="H2667" s="3" t="str">
        <f>HYPERLINK("http://ar.linkedin.com/pub/alicia-echeverria/0/293/87A","http://ar.linkedin.com/pub/alicia-echeverria/0/293/87A")</f>
        <v>http://ar.linkedin.com/pub/alicia-echeverria/0/293/87A</v>
      </c>
      <c r="I2667" s="2" t="s">
        <v>48</v>
      </c>
      <c r="J2667" s="2" t="s">
        <v>21</v>
      </c>
      <c r="K2667" s="2" t="s">
        <v>5725</v>
      </c>
    </row>
    <row r="2668" ht="15.75" customHeight="1">
      <c r="A2668" s="2">
        <v>9362.0</v>
      </c>
      <c r="B2668" s="2" t="s">
        <v>5803</v>
      </c>
      <c r="C2668" s="2" t="s">
        <v>6091</v>
      </c>
      <c r="D2668" s="2" t="s">
        <v>6092</v>
      </c>
      <c r="E2668" s="2" t="s">
        <v>20</v>
      </c>
      <c r="F2668" s="2">
        <v>4.0</v>
      </c>
      <c r="G2668" s="2">
        <v>256.0</v>
      </c>
      <c r="H2668" s="3" t="str">
        <f>HYPERLINK("http://ar.linkedin.com/in/marianobillinghurst","http://ar.linkedin.com/in/marianobillinghurst")</f>
        <v>http://ar.linkedin.com/in/marianobillinghurst</v>
      </c>
      <c r="I2668" s="2" t="s">
        <v>3168</v>
      </c>
      <c r="J2668" s="2" t="s">
        <v>21</v>
      </c>
      <c r="K2668" s="2" t="s">
        <v>5731</v>
      </c>
    </row>
    <row r="2669" ht="15.75" customHeight="1">
      <c r="A2669" s="2">
        <v>9371.0</v>
      </c>
      <c r="B2669" s="2" t="s">
        <v>6093</v>
      </c>
      <c r="C2669" s="2" t="s">
        <v>6094</v>
      </c>
      <c r="D2669" s="2" t="s">
        <v>6095</v>
      </c>
      <c r="E2669" s="2" t="s">
        <v>20</v>
      </c>
      <c r="F2669" s="2">
        <v>1.0</v>
      </c>
      <c r="G2669" s="2">
        <v>250.0</v>
      </c>
      <c r="H2669" s="3" t="str">
        <f>HYPERLINK("http://ar.linkedin.com/in/nicolaspasserini","http://ar.linkedin.com/in/nicolaspasserini")</f>
        <v>http://ar.linkedin.com/in/nicolaspasserini</v>
      </c>
      <c r="I2669" s="2" t="s">
        <v>225</v>
      </c>
      <c r="J2669" s="2" t="s">
        <v>21</v>
      </c>
      <c r="K2669" s="2" t="s">
        <v>6096</v>
      </c>
    </row>
    <row r="2670" ht="15.75" customHeight="1">
      <c r="A2670" s="2">
        <v>9383.0</v>
      </c>
      <c r="B2670" s="2" t="s">
        <v>6025</v>
      </c>
      <c r="C2670" s="2" t="s">
        <v>6097</v>
      </c>
      <c r="D2670" s="2" t="s">
        <v>6098</v>
      </c>
      <c r="E2670" s="2" t="s">
        <v>20</v>
      </c>
      <c r="F2670" s="2">
        <v>1.0</v>
      </c>
      <c r="G2670" s="2">
        <v>175.0</v>
      </c>
      <c r="H2670" s="3" t="str">
        <f>HYPERLINK("http://ar.linkedin.com/in/hernanguggisberg","http://ar.linkedin.com/in/hernanguggisberg")</f>
        <v>http://ar.linkedin.com/in/hernanguggisberg</v>
      </c>
      <c r="I2670" s="2" t="s">
        <v>48</v>
      </c>
      <c r="J2670" s="2" t="s">
        <v>21</v>
      </c>
      <c r="K2670" s="2" t="s">
        <v>5725</v>
      </c>
    </row>
    <row r="2671" ht="15.75" customHeight="1">
      <c r="A2671" s="2">
        <v>9386.0</v>
      </c>
      <c r="B2671" s="2" t="s">
        <v>5828</v>
      </c>
      <c r="C2671" s="2" t="s">
        <v>544</v>
      </c>
      <c r="D2671" s="2" t="s">
        <v>6099</v>
      </c>
      <c r="E2671" s="2" t="s">
        <v>20</v>
      </c>
      <c r="F2671" s="2">
        <v>4.0</v>
      </c>
      <c r="G2671" s="2">
        <v>164.0</v>
      </c>
      <c r="H2671" s="3" t="str">
        <f>HYPERLINK("http://ar.linkedin.com/in/silviacastillo","http://ar.linkedin.com/in/silviacastillo")</f>
        <v>http://ar.linkedin.com/in/silviacastillo</v>
      </c>
      <c r="I2671" s="2" t="s">
        <v>1679</v>
      </c>
      <c r="J2671" s="2" t="s">
        <v>21</v>
      </c>
      <c r="K2671" s="2" t="s">
        <v>5727</v>
      </c>
    </row>
    <row r="2672" ht="15.75" customHeight="1">
      <c r="A2672" s="2">
        <v>9400.0</v>
      </c>
      <c r="B2672" s="2" t="s">
        <v>6100</v>
      </c>
      <c r="C2672" s="2" t="s">
        <v>2854</v>
      </c>
      <c r="D2672" s="2" t="s">
        <v>6101</v>
      </c>
      <c r="E2672" s="2" t="s">
        <v>20</v>
      </c>
      <c r="F2672" s="2">
        <v>10.0</v>
      </c>
      <c r="G2672" s="2">
        <v>500.0</v>
      </c>
      <c r="H2672" s="3" t="str">
        <f>HYPERLINK("http://www.linkedin.com/in/moisesdelgado","http://www.linkedin.com/in/moisesdelgado")</f>
        <v>http://www.linkedin.com/in/moisesdelgado</v>
      </c>
      <c r="I2672" s="2" t="s">
        <v>15</v>
      </c>
      <c r="J2672" s="2" t="s">
        <v>21</v>
      </c>
      <c r="K2672" s="2" t="s">
        <v>5777</v>
      </c>
    </row>
    <row r="2673" ht="15.75" customHeight="1">
      <c r="A2673" s="2">
        <v>9403.0</v>
      </c>
      <c r="B2673" s="2" t="s">
        <v>5735</v>
      </c>
      <c r="C2673" s="2" t="s">
        <v>5745</v>
      </c>
      <c r="D2673" s="2" t="s">
        <v>6102</v>
      </c>
      <c r="E2673" s="2" t="s">
        <v>20</v>
      </c>
      <c r="F2673" s="2">
        <v>1.0</v>
      </c>
      <c r="G2673" s="2">
        <v>266.0</v>
      </c>
      <c r="H2673" s="3" t="str">
        <f>HYPERLINK("http://ar.linkedin.com/pub/german-otero/2/417/736","http://ar.linkedin.com/pub/german-otero/2/417/736")</f>
        <v>http://ar.linkedin.com/pub/german-otero/2/417/736</v>
      </c>
      <c r="I2673" s="2" t="s">
        <v>48</v>
      </c>
      <c r="J2673" s="2" t="s">
        <v>21</v>
      </c>
      <c r="K2673" s="2" t="s">
        <v>5725</v>
      </c>
    </row>
    <row r="2674" ht="15.75" customHeight="1">
      <c r="A2674" s="2">
        <v>9434.0</v>
      </c>
      <c r="B2674" s="2" t="s">
        <v>6093</v>
      </c>
      <c r="C2674" s="2" t="s">
        <v>6103</v>
      </c>
      <c r="D2674" s="2" t="s">
        <v>6104</v>
      </c>
      <c r="E2674" s="2" t="s">
        <v>20</v>
      </c>
      <c r="F2674" s="2">
        <v>0.0</v>
      </c>
      <c r="G2674" s="2">
        <v>191.0</v>
      </c>
      <c r="H2674" s="3" t="str">
        <f>HYPERLINK("http://ar.linkedin.com/in/nicodiaz","http://ar.linkedin.com/in/nicodiaz")</f>
        <v>http://ar.linkedin.com/in/nicodiaz</v>
      </c>
      <c r="I2674" s="2" t="s">
        <v>1237</v>
      </c>
      <c r="J2674" s="2" t="s">
        <v>21</v>
      </c>
      <c r="K2674" s="2" t="s">
        <v>5977</v>
      </c>
    </row>
    <row r="2675" ht="15.75" customHeight="1">
      <c r="A2675" s="2">
        <v>9473.0</v>
      </c>
      <c r="B2675" s="2" t="s">
        <v>5883</v>
      </c>
      <c r="C2675" s="2" t="s">
        <v>6105</v>
      </c>
      <c r="D2675" s="2" t="s">
        <v>2079</v>
      </c>
      <c r="E2675" s="2" t="s">
        <v>20</v>
      </c>
      <c r="F2675" s="2">
        <v>2.0</v>
      </c>
      <c r="G2675" s="2">
        <v>500.0</v>
      </c>
      <c r="H2675" s="3" t="str">
        <f>HYPERLINK("http://ar.linkedin.com/in/arielaguirre","http://ar.linkedin.com/in/arielaguirre")</f>
        <v>http://ar.linkedin.com/in/arielaguirre</v>
      </c>
      <c r="I2675" s="2" t="s">
        <v>279</v>
      </c>
      <c r="J2675" s="2" t="s">
        <v>21</v>
      </c>
      <c r="K2675" s="2" t="s">
        <v>5727</v>
      </c>
    </row>
    <row r="2676" ht="15.75" customHeight="1">
      <c r="A2676" s="2">
        <v>9515.0</v>
      </c>
      <c r="B2676" s="2" t="s">
        <v>5078</v>
      </c>
      <c r="C2676" s="2" t="s">
        <v>6106</v>
      </c>
      <c r="D2676" s="2" t="s">
        <v>13</v>
      </c>
      <c r="E2676" s="2" t="s">
        <v>20</v>
      </c>
      <c r="F2676" s="2">
        <v>13.0</v>
      </c>
      <c r="G2676" s="2">
        <v>286.0</v>
      </c>
      <c r="H2676" s="3" t="str">
        <f>HYPERLINK("http://www.linkedin.com/pub/diego-garc%C3%ADa-jaime/4/3ba/937","http://www.linkedin.com/pub/diego-garc%C3%ADa-jaime/4/3ba/937")</f>
        <v>http://www.linkedin.com/pub/diego-garc%C3%ADa-jaime/4/3ba/937</v>
      </c>
      <c r="I2676" s="2" t="s">
        <v>15</v>
      </c>
      <c r="J2676" s="2" t="s">
        <v>21</v>
      </c>
      <c r="K2676" s="2" t="s">
        <v>5727</v>
      </c>
    </row>
    <row r="2677" ht="15.75" customHeight="1">
      <c r="A2677" s="2">
        <v>9518.0</v>
      </c>
      <c r="B2677" s="2" t="s">
        <v>6107</v>
      </c>
      <c r="C2677" s="2" t="s">
        <v>6108</v>
      </c>
      <c r="D2677" s="2" t="s">
        <v>13</v>
      </c>
      <c r="E2677" s="2" t="s">
        <v>20</v>
      </c>
      <c r="F2677" s="2">
        <v>2.0</v>
      </c>
      <c r="G2677" s="2">
        <v>308.0</v>
      </c>
      <c r="H2677" s="3" t="str">
        <f>HYPERLINK("http://www.linkedin.com/pub/martin-sebastian-denipotti/23/b6a/925","http://www.linkedin.com/pub/martin-sebastian-denipotti/23/b6a/925")</f>
        <v>http://www.linkedin.com/pub/martin-sebastian-denipotti/23/b6a/925</v>
      </c>
      <c r="I2677" s="2" t="s">
        <v>48</v>
      </c>
      <c r="J2677" s="2" t="s">
        <v>21</v>
      </c>
      <c r="K2677" s="2" t="s">
        <v>5727</v>
      </c>
    </row>
    <row r="2678" ht="15.75" customHeight="1">
      <c r="A2678" s="2">
        <v>9521.0</v>
      </c>
      <c r="B2678" s="2" t="s">
        <v>6109</v>
      </c>
      <c r="C2678" s="2" t="s">
        <v>6110</v>
      </c>
      <c r="D2678" s="2" t="s">
        <v>6111</v>
      </c>
      <c r="E2678" s="2" t="s">
        <v>20</v>
      </c>
      <c r="F2678" s="2">
        <v>0.0</v>
      </c>
      <c r="G2678" s="2">
        <v>71.0</v>
      </c>
      <c r="H2678" s="3" t="str">
        <f>HYPERLINK("http://ar.linkedin.com/in/mattnlertora","http://ar.linkedin.com/in/mattnlertora")</f>
        <v>http://ar.linkedin.com/in/mattnlertora</v>
      </c>
      <c r="I2678" s="2" t="s">
        <v>48</v>
      </c>
      <c r="J2678" s="2" t="s">
        <v>21</v>
      </c>
      <c r="K2678" s="2" t="s">
        <v>5725</v>
      </c>
    </row>
    <row r="2679" ht="15.75" customHeight="1">
      <c r="A2679" s="2">
        <v>9522.0</v>
      </c>
      <c r="B2679" s="2" t="s">
        <v>6112</v>
      </c>
      <c r="C2679" s="2" t="s">
        <v>6113</v>
      </c>
      <c r="D2679" s="2" t="s">
        <v>13</v>
      </c>
      <c r="E2679" s="2" t="s">
        <v>20</v>
      </c>
      <c r="F2679" s="2">
        <v>0.0</v>
      </c>
      <c r="G2679" s="2">
        <v>277.0</v>
      </c>
      <c r="H2679" s="3" t="str">
        <f>HYPERLINK("http://www.linkedin.com/pub/jonatan-allik/2/530/85a","http://www.linkedin.com/pub/jonatan-allik/2/530/85a")</f>
        <v>http://www.linkedin.com/pub/jonatan-allik/2/530/85a</v>
      </c>
      <c r="I2679" s="2" t="s">
        <v>48</v>
      </c>
      <c r="J2679" s="2" t="s">
        <v>21</v>
      </c>
      <c r="K2679" s="2" t="s">
        <v>5725</v>
      </c>
    </row>
    <row r="2680" ht="15.75" customHeight="1">
      <c r="A2680" s="2">
        <v>9529.0</v>
      </c>
      <c r="B2680" s="2" t="s">
        <v>1366</v>
      </c>
      <c r="C2680" s="2" t="s">
        <v>6114</v>
      </c>
      <c r="D2680" s="2"/>
      <c r="E2680" s="2" t="s">
        <v>914</v>
      </c>
      <c r="F2680" s="2">
        <v>23.0</v>
      </c>
      <c r="G2680" s="2">
        <v>419.0</v>
      </c>
      <c r="H2680" s="3" t="str">
        <f>HYPERLINK("http://www.linkedin.com/in/petertutak","http://www.linkedin.com/in/petertutak")</f>
        <v>http://www.linkedin.com/in/petertutak</v>
      </c>
      <c r="I2680" s="2" t="s">
        <v>422</v>
      </c>
      <c r="J2680" s="2" t="s">
        <v>102</v>
      </c>
      <c r="K2680" s="2" t="s">
        <v>5727</v>
      </c>
    </row>
    <row r="2681" ht="15.75" customHeight="1">
      <c r="A2681" s="2">
        <v>9548.0</v>
      </c>
      <c r="B2681" s="2" t="s">
        <v>1201</v>
      </c>
      <c r="C2681" s="2" t="s">
        <v>6115</v>
      </c>
      <c r="D2681" s="2" t="s">
        <v>3820</v>
      </c>
      <c r="E2681" s="2" t="s">
        <v>20</v>
      </c>
      <c r="F2681" s="2">
        <v>5.0</v>
      </c>
      <c r="G2681" s="2">
        <v>409.0</v>
      </c>
      <c r="H2681" s="3" t="str">
        <f>HYPERLINK("http://ar.linkedin.com/in/marcomustapic","http://ar.linkedin.com/in/marcomustapic")</f>
        <v>http://ar.linkedin.com/in/marcomustapic</v>
      </c>
      <c r="I2681" s="2" t="s">
        <v>15</v>
      </c>
      <c r="J2681" s="2" t="s">
        <v>21</v>
      </c>
      <c r="K2681" s="2" t="s">
        <v>5777</v>
      </c>
    </row>
    <row r="2682" ht="15.75" customHeight="1">
      <c r="A2682" s="2">
        <v>9571.0</v>
      </c>
      <c r="B2682" s="2" t="s">
        <v>1932</v>
      </c>
      <c r="C2682" s="2" t="s">
        <v>6116</v>
      </c>
      <c r="D2682" s="2" t="s">
        <v>6117</v>
      </c>
      <c r="E2682" s="2" t="s">
        <v>1407</v>
      </c>
      <c r="F2682" s="2">
        <v>22.0</v>
      </c>
      <c r="G2682" s="2">
        <v>244.0</v>
      </c>
      <c r="H2682" s="3" t="str">
        <f>HYPERLINK("http://www.linkedin.com/pub/michelle-hollingsworth/7/29A/890","http://www.linkedin.com/pub/michelle-hollingsworth/7/29A/890")</f>
        <v>http://www.linkedin.com/pub/michelle-hollingsworth/7/29A/890</v>
      </c>
      <c r="I2682" s="2" t="s">
        <v>1421</v>
      </c>
      <c r="J2682" s="2" t="s">
        <v>102</v>
      </c>
      <c r="K2682" s="2" t="s">
        <v>6118</v>
      </c>
    </row>
    <row r="2683" ht="15.75" customHeight="1">
      <c r="A2683" s="2">
        <v>9578.0</v>
      </c>
      <c r="B2683" s="2" t="s">
        <v>6119</v>
      </c>
      <c r="C2683" s="2" t="s">
        <v>6120</v>
      </c>
      <c r="D2683" s="2" t="s">
        <v>6121</v>
      </c>
      <c r="E2683" s="2" t="s">
        <v>1407</v>
      </c>
      <c r="F2683" s="2">
        <v>33.0</v>
      </c>
      <c r="G2683" s="2">
        <v>227.0</v>
      </c>
      <c r="H2683" s="3" t="str">
        <f>HYPERLINK("http://www.linkedin.com/pub/anette-henningson/3/AB1/8AA","http://www.linkedin.com/pub/anette-henningson/3/AB1/8AA")</f>
        <v>http://www.linkedin.com/pub/anette-henningson/3/AB1/8AA</v>
      </c>
      <c r="I2683" s="2" t="s">
        <v>326</v>
      </c>
      <c r="J2683" s="2" t="s">
        <v>102</v>
      </c>
      <c r="K2683" s="2" t="s">
        <v>5743</v>
      </c>
    </row>
    <row r="2684" ht="15.75" customHeight="1">
      <c r="A2684" s="2">
        <v>9592.0</v>
      </c>
      <c r="B2684" s="2" t="s">
        <v>3201</v>
      </c>
      <c r="C2684" s="2" t="s">
        <v>6122</v>
      </c>
      <c r="D2684" s="2" t="s">
        <v>6123</v>
      </c>
      <c r="E2684" s="2" t="s">
        <v>20</v>
      </c>
      <c r="F2684" s="2">
        <v>1.0</v>
      </c>
      <c r="G2684" s="2">
        <v>293.0</v>
      </c>
      <c r="H2684" s="3" t="str">
        <f>HYPERLINK("http://ar.linkedin.com/pub/sebastian-ramirez/20/8A3/233","http://ar.linkedin.com/pub/sebastian-ramirez/20/8A3/233")</f>
        <v>http://ar.linkedin.com/pub/sebastian-ramirez/20/8A3/233</v>
      </c>
      <c r="I2684" s="2" t="s">
        <v>15</v>
      </c>
      <c r="J2684" s="2" t="s">
        <v>21</v>
      </c>
      <c r="K2684" s="2" t="s">
        <v>6124</v>
      </c>
    </row>
    <row r="2685" ht="15.75" customHeight="1">
      <c r="A2685" s="2">
        <v>9607.0</v>
      </c>
      <c r="B2685" s="2" t="s">
        <v>314</v>
      </c>
      <c r="C2685" s="2" t="s">
        <v>6125</v>
      </c>
      <c r="D2685" s="2" t="s">
        <v>186</v>
      </c>
      <c r="E2685" s="2" t="s">
        <v>20</v>
      </c>
      <c r="F2685" s="2">
        <v>6.0</v>
      </c>
      <c r="G2685" s="2">
        <v>500.0</v>
      </c>
      <c r="H2685" s="3" t="str">
        <f>HYPERLINK("http://www.linkedin.com/in/marcossobral","http://www.linkedin.com/in/marcossobral")</f>
        <v>http://www.linkedin.com/in/marcossobral</v>
      </c>
      <c r="I2685" s="2" t="s">
        <v>2000</v>
      </c>
      <c r="J2685" s="2" t="s">
        <v>21</v>
      </c>
      <c r="K2685" s="2" t="s">
        <v>5727</v>
      </c>
    </row>
    <row r="2686" ht="15.75" customHeight="1">
      <c r="A2686" s="2">
        <v>9619.0</v>
      </c>
      <c r="B2686" s="2" t="s">
        <v>6126</v>
      </c>
      <c r="C2686" s="2" t="s">
        <v>1990</v>
      </c>
      <c r="D2686" s="2" t="s">
        <v>6127</v>
      </c>
      <c r="E2686" s="2" t="s">
        <v>2058</v>
      </c>
      <c r="F2686" s="2">
        <v>0.0</v>
      </c>
      <c r="G2686" s="2">
        <v>78.0</v>
      </c>
      <c r="H2686" s="3" t="str">
        <f>HYPERLINK("http://www.linkedin.com/pub/bing-liu/3/992/99","http://www.linkedin.com/pub/bing-liu/3/992/99")</f>
        <v>http://www.linkedin.com/pub/bing-liu/3/992/99</v>
      </c>
      <c r="I2686" s="2" t="s">
        <v>612</v>
      </c>
      <c r="J2686" s="2" t="s">
        <v>102</v>
      </c>
      <c r="K2686" s="2" t="s">
        <v>5734</v>
      </c>
    </row>
    <row r="2687" ht="15.75" customHeight="1">
      <c r="A2687" s="2">
        <v>9689.0</v>
      </c>
      <c r="B2687" s="2" t="s">
        <v>5723</v>
      </c>
      <c r="C2687" s="2" t="s">
        <v>6128</v>
      </c>
      <c r="D2687" s="2" t="s">
        <v>6129</v>
      </c>
      <c r="E2687" s="2" t="s">
        <v>20</v>
      </c>
      <c r="F2687" s="2">
        <v>0.0</v>
      </c>
      <c r="G2687" s="2">
        <v>500.0</v>
      </c>
      <c r="H2687" s="3" t="str">
        <f>HYPERLINK("http://ar.linkedin.com/pub/pablo-cosso/0/1A8/973","http://ar.linkedin.com/pub/pablo-cosso/0/1A8/973")</f>
        <v>http://ar.linkedin.com/pub/pablo-cosso/0/1A8/973</v>
      </c>
      <c r="I2687" s="2" t="s">
        <v>279</v>
      </c>
      <c r="J2687" s="2" t="s">
        <v>21</v>
      </c>
      <c r="K2687" s="2" t="s">
        <v>5734</v>
      </c>
    </row>
    <row r="2688" ht="15.75" customHeight="1">
      <c r="A2688" s="2">
        <v>9708.0</v>
      </c>
      <c r="B2688" s="2" t="s">
        <v>6130</v>
      </c>
      <c r="C2688" s="2" t="s">
        <v>6131</v>
      </c>
      <c r="D2688" s="2" t="s">
        <v>6132</v>
      </c>
      <c r="E2688" s="2" t="s">
        <v>20</v>
      </c>
      <c r="F2688" s="2">
        <v>0.0</v>
      </c>
      <c r="G2688" s="2">
        <v>218.0</v>
      </c>
      <c r="H2688" s="3" t="str">
        <f>HYPERLINK("http://www.linkedin.com/in/luissilvetti","http://www.linkedin.com/in/luissilvetti")</f>
        <v>http://www.linkedin.com/in/luissilvetti</v>
      </c>
      <c r="I2688" s="2" t="s">
        <v>2000</v>
      </c>
      <c r="J2688" s="2" t="s">
        <v>21</v>
      </c>
      <c r="K2688" s="2" t="s">
        <v>6133</v>
      </c>
    </row>
    <row r="2689" ht="15.75" customHeight="1">
      <c r="A2689" s="2">
        <v>9741.0</v>
      </c>
      <c r="B2689" s="2" t="s">
        <v>6134</v>
      </c>
      <c r="C2689" s="2" t="s">
        <v>5843</v>
      </c>
      <c r="D2689" s="2" t="s">
        <v>6135</v>
      </c>
      <c r="E2689" s="2" t="s">
        <v>20</v>
      </c>
      <c r="F2689" s="2">
        <v>19.0</v>
      </c>
      <c r="G2689" s="2">
        <v>500.0</v>
      </c>
      <c r="H2689" s="3" t="str">
        <f>HYPERLINK("http://www.linkedin.com/in/ericavw","http://www.linkedin.com/in/ericavw")</f>
        <v>http://www.linkedin.com/in/ericavw</v>
      </c>
      <c r="I2689" s="2" t="s">
        <v>608</v>
      </c>
      <c r="J2689" s="2" t="s">
        <v>21</v>
      </c>
      <c r="K2689" s="2" t="s">
        <v>5727</v>
      </c>
    </row>
    <row r="2690" ht="15.75" customHeight="1">
      <c r="A2690" s="2">
        <v>9761.0</v>
      </c>
      <c r="B2690" s="2" t="s">
        <v>1499</v>
      </c>
      <c r="C2690" s="2" t="s">
        <v>6136</v>
      </c>
      <c r="D2690" s="2" t="s">
        <v>6137</v>
      </c>
      <c r="E2690" s="2" t="s">
        <v>20</v>
      </c>
      <c r="F2690" s="2">
        <v>2.0</v>
      </c>
      <c r="G2690" s="2">
        <v>114.0</v>
      </c>
      <c r="H2690" s="3" t="str">
        <f>HYPERLINK("http://ar.linkedin.com/in/adrianurrestarazu","http://ar.linkedin.com/in/adrianurrestarazu")</f>
        <v>http://ar.linkedin.com/in/adrianurrestarazu</v>
      </c>
      <c r="I2690" s="2" t="s">
        <v>77</v>
      </c>
      <c r="J2690" s="2" t="s">
        <v>21</v>
      </c>
      <c r="K2690" s="2" t="s">
        <v>5731</v>
      </c>
    </row>
    <row r="2691" ht="15.75" customHeight="1">
      <c r="A2691" s="2">
        <v>9771.0</v>
      </c>
      <c r="B2691" s="2" t="s">
        <v>6138</v>
      </c>
      <c r="C2691" s="2" t="s">
        <v>2135</v>
      </c>
      <c r="D2691" s="2" t="s">
        <v>6139</v>
      </c>
      <c r="E2691" s="2" t="s">
        <v>20</v>
      </c>
      <c r="F2691" s="2">
        <v>1.0</v>
      </c>
      <c r="G2691" s="2">
        <v>166.0</v>
      </c>
      <c r="H2691" s="3" t="str">
        <f>HYPERLINK("http://ar.linkedin.com/pub/miriam-gabriela-gutierrez/1/BB6/571","http://ar.linkedin.com/pub/miriam-gabriela-gutierrez/1/BB6/571")</f>
        <v>http://ar.linkedin.com/pub/miriam-gabriela-gutierrez/1/BB6/571</v>
      </c>
      <c r="I2691" s="2" t="s">
        <v>48</v>
      </c>
      <c r="J2691" s="2" t="s">
        <v>21</v>
      </c>
      <c r="K2691" s="2" t="s">
        <v>5725</v>
      </c>
    </row>
    <row r="2692" ht="15.75" customHeight="1">
      <c r="A2692" s="2">
        <v>9772.0</v>
      </c>
      <c r="B2692" s="2" t="s">
        <v>5723</v>
      </c>
      <c r="C2692" s="2" t="s">
        <v>6140</v>
      </c>
      <c r="D2692" s="2" t="s">
        <v>6141</v>
      </c>
      <c r="E2692" s="2" t="s">
        <v>6142</v>
      </c>
      <c r="F2692" s="2">
        <v>34.0</v>
      </c>
      <c r="G2692" s="2">
        <v>500.0</v>
      </c>
      <c r="H2692" s="3" t="str">
        <f>HYPERLINK("http://uk.linkedin.com/in/pablojejcic","http://uk.linkedin.com/in/pablojejcic")</f>
        <v>http://uk.linkedin.com/in/pablojejcic</v>
      </c>
      <c r="I2692" s="2" t="s">
        <v>15</v>
      </c>
      <c r="J2692" s="2" t="s">
        <v>53</v>
      </c>
      <c r="K2692" s="2" t="s">
        <v>5812</v>
      </c>
    </row>
    <row r="2693" ht="15.75" customHeight="1">
      <c r="A2693" s="2">
        <v>9780.0</v>
      </c>
      <c r="B2693" s="2" t="s">
        <v>6025</v>
      </c>
      <c r="C2693" s="2" t="s">
        <v>6143</v>
      </c>
      <c r="D2693" s="2" t="s">
        <v>6144</v>
      </c>
      <c r="E2693" s="2" t="s">
        <v>20</v>
      </c>
      <c r="F2693" s="2">
        <v>7.0</v>
      </c>
      <c r="G2693" s="2">
        <v>500.0</v>
      </c>
      <c r="H2693" s="3" t="str">
        <f>HYPERLINK("http://ar.linkedin.com/in/hpetitti","http://ar.linkedin.com/in/hpetitti")</f>
        <v>http://ar.linkedin.com/in/hpetitti</v>
      </c>
      <c r="I2693" s="2" t="s">
        <v>15</v>
      </c>
      <c r="J2693" s="2" t="s">
        <v>21</v>
      </c>
      <c r="K2693" s="2" t="s">
        <v>5777</v>
      </c>
    </row>
    <row r="2694" ht="15.75" customHeight="1">
      <c r="A2694" s="2">
        <v>9784.0</v>
      </c>
      <c r="B2694" s="2" t="s">
        <v>6145</v>
      </c>
      <c r="C2694" s="2" t="s">
        <v>1729</v>
      </c>
      <c r="D2694" s="2" t="s">
        <v>6146</v>
      </c>
      <c r="E2694" s="2" t="s">
        <v>20</v>
      </c>
      <c r="F2694" s="2">
        <v>3.0</v>
      </c>
      <c r="G2694" s="2">
        <v>341.0</v>
      </c>
      <c r="H2694" s="3" t="str">
        <f>HYPERLINK("http://ar.linkedin.com/in/guadalupe","http://ar.linkedin.com/in/guadalupe")</f>
        <v>http://ar.linkedin.com/in/guadalupe</v>
      </c>
      <c r="I2694" s="2" t="s">
        <v>518</v>
      </c>
      <c r="J2694" s="2" t="s">
        <v>21</v>
      </c>
      <c r="K2694" s="2" t="s">
        <v>5727</v>
      </c>
    </row>
    <row r="2695" ht="15.75" customHeight="1">
      <c r="A2695" s="2">
        <v>9794.0</v>
      </c>
      <c r="B2695" s="2" t="s">
        <v>6147</v>
      </c>
      <c r="C2695" s="2" t="s">
        <v>6148</v>
      </c>
      <c r="D2695" s="2" t="s">
        <v>6149</v>
      </c>
      <c r="E2695" s="2" t="s">
        <v>20</v>
      </c>
      <c r="F2695" s="2">
        <v>0.0</v>
      </c>
      <c r="G2695" s="2">
        <v>164.0</v>
      </c>
      <c r="H2695" s="3" t="str">
        <f>HYPERLINK("http://ar.linkedin.com/pub/n%C3%A9stor-mart%C3%ADn-romero/17/743/8AA","http://ar.linkedin.com/pub/n%C3%A9stor-mart%C3%ADn-romero/17/743/8AA")</f>
        <v>http://ar.linkedin.com/pub/n%C3%A9stor-mart%C3%ADn-romero/17/743/8AA</v>
      </c>
      <c r="I2695" s="2" t="s">
        <v>910</v>
      </c>
      <c r="J2695" s="2" t="s">
        <v>21</v>
      </c>
      <c r="K2695" s="2" t="s">
        <v>5734</v>
      </c>
    </row>
    <row r="2696" ht="15.75" customHeight="1">
      <c r="A2696" s="2">
        <v>9833.0</v>
      </c>
      <c r="B2696" s="2" t="s">
        <v>6150</v>
      </c>
      <c r="C2696" s="2" t="s">
        <v>6151</v>
      </c>
      <c r="D2696" s="2" t="s">
        <v>6152</v>
      </c>
      <c r="E2696" s="2" t="s">
        <v>20</v>
      </c>
      <c r="F2696" s="2">
        <v>12.0</v>
      </c>
      <c r="G2696" s="2">
        <v>500.0</v>
      </c>
      <c r="H2696" s="3" t="str">
        <f>HYPERLINK("http://ar.linkedin.com/in/jocid","http://ar.linkedin.com/in/jocid")</f>
        <v>http://ar.linkedin.com/in/jocid</v>
      </c>
      <c r="I2696" s="2" t="s">
        <v>2443</v>
      </c>
      <c r="J2696" s="2" t="s">
        <v>21</v>
      </c>
      <c r="K2696" s="2" t="s">
        <v>5727</v>
      </c>
    </row>
    <row r="2697" ht="15.75" customHeight="1">
      <c r="A2697" s="2">
        <v>9844.0</v>
      </c>
      <c r="B2697" s="2" t="s">
        <v>227</v>
      </c>
      <c r="C2697" s="2" t="s">
        <v>6153</v>
      </c>
      <c r="D2697" s="2" t="s">
        <v>6154</v>
      </c>
      <c r="E2697" s="2" t="s">
        <v>20</v>
      </c>
      <c r="F2697" s="2">
        <v>15.0</v>
      </c>
      <c r="G2697" s="2">
        <v>500.0</v>
      </c>
      <c r="H2697" s="3" t="str">
        <f>HYPERLINK("http://ar.linkedin.com/pub/jorge-altamura/A/191/B19","http://ar.linkedin.com/pub/jorge-altamura/A/191/B19")</f>
        <v>http://ar.linkedin.com/pub/jorge-altamura/A/191/B19</v>
      </c>
      <c r="I2697" s="2" t="s">
        <v>910</v>
      </c>
      <c r="J2697" s="2" t="s">
        <v>21</v>
      </c>
      <c r="K2697" s="2" t="s">
        <v>5727</v>
      </c>
    </row>
    <row r="2698" ht="15.75" customHeight="1">
      <c r="A2698" s="2">
        <v>9848.0</v>
      </c>
      <c r="B2698" s="2" t="s">
        <v>133</v>
      </c>
      <c r="C2698" s="2" t="s">
        <v>6155</v>
      </c>
      <c r="D2698" s="2"/>
      <c r="E2698" s="2" t="s">
        <v>136</v>
      </c>
      <c r="F2698" s="2">
        <v>0.0</v>
      </c>
      <c r="G2698" s="2">
        <v>7.0</v>
      </c>
      <c r="H2698" s="3" t="str">
        <f>HYPERLINK("http://www.linkedin.com/pub/michael-nguyen/1/962/867","http://www.linkedin.com/pub/michael-nguyen/1/962/867")</f>
        <v>http://www.linkedin.com/pub/michael-nguyen/1/962/867</v>
      </c>
      <c r="I2698" s="2" t="s">
        <v>119</v>
      </c>
      <c r="J2698" s="2" t="s">
        <v>102</v>
      </c>
      <c r="K2698" s="2" t="s">
        <v>5725</v>
      </c>
    </row>
    <row r="2699" ht="15.75" customHeight="1">
      <c r="A2699" s="2">
        <v>9856.0</v>
      </c>
      <c r="B2699" s="2" t="s">
        <v>116</v>
      </c>
      <c r="C2699" s="2" t="s">
        <v>6156</v>
      </c>
      <c r="D2699" s="2" t="s">
        <v>6157</v>
      </c>
      <c r="E2699" s="2" t="s">
        <v>20</v>
      </c>
      <c r="F2699" s="2">
        <v>6.0</v>
      </c>
      <c r="G2699" s="2">
        <v>299.0</v>
      </c>
      <c r="H2699" s="3" t="str">
        <f>HYPERLINK("http://ar.linkedin.com/pub/alex-schrammel/5/377/6AA","http://ar.linkedin.com/pub/alex-schrammel/5/377/6AA")</f>
        <v>http://ar.linkedin.com/pub/alex-schrammel/5/377/6AA</v>
      </c>
      <c r="I2699" s="2" t="s">
        <v>374</v>
      </c>
      <c r="J2699" s="2" t="s">
        <v>21</v>
      </c>
      <c r="K2699" s="2" t="s">
        <v>5727</v>
      </c>
    </row>
    <row r="2700" ht="15.75" customHeight="1">
      <c r="A2700" s="2">
        <v>9866.0</v>
      </c>
      <c r="B2700" s="2" t="s">
        <v>6158</v>
      </c>
      <c r="C2700" s="2" t="s">
        <v>6159</v>
      </c>
      <c r="D2700" s="2" t="s">
        <v>6160</v>
      </c>
      <c r="E2700" s="2" t="s">
        <v>20</v>
      </c>
      <c r="F2700" s="2">
        <v>12.0</v>
      </c>
      <c r="G2700" s="2">
        <v>500.0</v>
      </c>
      <c r="H2700" s="3" t="str">
        <f>HYPERLINK("http://ar.linkedin.com/in/veronicalauraroncoroni","http://ar.linkedin.com/in/veronicalauraroncoroni")</f>
        <v>http://ar.linkedin.com/in/veronicalauraroncoroni</v>
      </c>
      <c r="I2700" s="2" t="s">
        <v>279</v>
      </c>
      <c r="J2700" s="2" t="s">
        <v>21</v>
      </c>
      <c r="K2700" s="2" t="s">
        <v>5727</v>
      </c>
    </row>
    <row r="2701" ht="15.75" customHeight="1">
      <c r="A2701" s="2">
        <v>9867.0</v>
      </c>
      <c r="B2701" s="2" t="s">
        <v>5824</v>
      </c>
      <c r="C2701" s="2" t="s">
        <v>3943</v>
      </c>
      <c r="D2701" s="2" t="s">
        <v>6161</v>
      </c>
      <c r="E2701" s="2" t="s">
        <v>20</v>
      </c>
      <c r="F2701" s="2">
        <v>0.0</v>
      </c>
      <c r="G2701" s="2">
        <v>16.0</v>
      </c>
      <c r="H2701" s="3" t="str">
        <f>HYPERLINK("http://ar.linkedin.com/pub/alejandra-rodriguez/1/721/546","http://ar.linkedin.com/pub/alejandra-rodriguez/1/721/546")</f>
        <v>http://ar.linkedin.com/pub/alejandra-rodriguez/1/721/546</v>
      </c>
      <c r="I2701" s="2" t="s">
        <v>15</v>
      </c>
      <c r="J2701" s="2" t="s">
        <v>21</v>
      </c>
      <c r="K2701" s="2" t="s">
        <v>5785</v>
      </c>
    </row>
    <row r="2702" ht="15.75" customHeight="1">
      <c r="A2702" s="2">
        <v>9868.0</v>
      </c>
      <c r="B2702" s="2" t="s">
        <v>358</v>
      </c>
      <c r="C2702" s="2" t="s">
        <v>6162</v>
      </c>
      <c r="D2702" s="2" t="s">
        <v>3820</v>
      </c>
      <c r="E2702" s="2" t="s">
        <v>20</v>
      </c>
      <c r="F2702" s="2">
        <v>0.0</v>
      </c>
      <c r="G2702" s="2">
        <v>156.0</v>
      </c>
      <c r="H2702" s="3" t="str">
        <f>HYPERLINK("http://ar.linkedin.com/pub/marcelo-seoane/7/56/99","http://ar.linkedin.com/pub/marcelo-seoane/7/56/99")</f>
        <v>http://ar.linkedin.com/pub/marcelo-seoane/7/56/99</v>
      </c>
      <c r="I2702" s="2" t="s">
        <v>48</v>
      </c>
      <c r="J2702" s="2" t="s">
        <v>21</v>
      </c>
      <c r="K2702" s="2" t="s">
        <v>6124</v>
      </c>
    </row>
    <row r="2703" ht="15.75" customHeight="1">
      <c r="A2703" s="2">
        <v>9881.0</v>
      </c>
      <c r="B2703" s="2" t="s">
        <v>70</v>
      </c>
      <c r="C2703" s="2" t="s">
        <v>6163</v>
      </c>
      <c r="D2703" s="2" t="s">
        <v>6164</v>
      </c>
      <c r="E2703" s="2" t="s">
        <v>20</v>
      </c>
      <c r="F2703" s="2">
        <v>1.0</v>
      </c>
      <c r="G2703" s="2">
        <v>268.0</v>
      </c>
      <c r="H2703" s="3" t="str">
        <f>HYPERLINK("http://ar.linkedin.com/in/olivaresgustavo","http://ar.linkedin.com/in/olivaresgustavo")</f>
        <v>http://ar.linkedin.com/in/olivaresgustavo</v>
      </c>
      <c r="I2703" s="2" t="s">
        <v>3168</v>
      </c>
      <c r="J2703" s="2" t="s">
        <v>21</v>
      </c>
      <c r="K2703" s="2" t="s">
        <v>5848</v>
      </c>
    </row>
    <row r="2704" ht="15.75" customHeight="1">
      <c r="A2704" s="2">
        <v>9885.0</v>
      </c>
      <c r="B2704" s="2" t="s">
        <v>6061</v>
      </c>
      <c r="C2704" s="2" t="s">
        <v>6165</v>
      </c>
      <c r="D2704" s="2" t="s">
        <v>6166</v>
      </c>
      <c r="E2704" s="2" t="s">
        <v>20</v>
      </c>
      <c r="F2704" s="2">
        <v>12.0</v>
      </c>
      <c r="G2704" s="2">
        <v>309.0</v>
      </c>
      <c r="H2704" s="3" t="str">
        <f>HYPERLINK("http://ar.linkedin.com/in/agustinmouso","http://ar.linkedin.com/in/agustinmouso")</f>
        <v>http://ar.linkedin.com/in/agustinmouso</v>
      </c>
      <c r="I2704" s="2" t="s">
        <v>225</v>
      </c>
      <c r="J2704" s="2" t="s">
        <v>21</v>
      </c>
      <c r="K2704" s="2" t="s">
        <v>5727</v>
      </c>
    </row>
    <row r="2705" ht="15.75" customHeight="1">
      <c r="A2705" s="2">
        <v>9920.0</v>
      </c>
      <c r="B2705" s="2" t="s">
        <v>6167</v>
      </c>
      <c r="C2705" s="2" t="s">
        <v>6168</v>
      </c>
      <c r="D2705" s="2" t="s">
        <v>6169</v>
      </c>
      <c r="E2705" s="2" t="s">
        <v>20</v>
      </c>
      <c r="F2705" s="2">
        <v>0.0</v>
      </c>
      <c r="G2705" s="2">
        <v>151.0</v>
      </c>
      <c r="H2705" s="3" t="str">
        <f>HYPERLINK("http://ar.linkedin.com/pub/jimena-vidal/1/B50/259","http://ar.linkedin.com/pub/jimena-vidal/1/B50/259")</f>
        <v>http://ar.linkedin.com/pub/jimena-vidal/1/B50/259</v>
      </c>
      <c r="I2705" s="2" t="s">
        <v>48</v>
      </c>
      <c r="J2705" s="2" t="s">
        <v>21</v>
      </c>
      <c r="K2705" s="2" t="s">
        <v>5725</v>
      </c>
    </row>
    <row r="2706" ht="15.75" customHeight="1">
      <c r="A2706" s="2">
        <v>9922.0</v>
      </c>
      <c r="B2706" s="2" t="s">
        <v>5883</v>
      </c>
      <c r="C2706" s="2" t="s">
        <v>6170</v>
      </c>
      <c r="D2706" s="2" t="s">
        <v>6171</v>
      </c>
      <c r="E2706" s="2" t="s">
        <v>20</v>
      </c>
      <c r="F2706" s="2">
        <v>0.0</v>
      </c>
      <c r="G2706" s="2">
        <v>443.0</v>
      </c>
      <c r="H2706" s="3" t="str">
        <f>HYPERLINK("http://ar.linkedin.com/in/arieldebernardi","http://ar.linkedin.com/in/arieldebernardi")</f>
        <v>http://ar.linkedin.com/in/arieldebernardi</v>
      </c>
      <c r="I2706" s="2" t="s">
        <v>48</v>
      </c>
      <c r="J2706" s="2" t="s">
        <v>21</v>
      </c>
      <c r="K2706" s="2" t="s">
        <v>5725</v>
      </c>
    </row>
    <row r="2707" ht="15.75" customHeight="1">
      <c r="A2707" s="2">
        <v>9936.0</v>
      </c>
      <c r="B2707" s="2" t="s">
        <v>3754</v>
      </c>
      <c r="C2707" s="2" t="s">
        <v>6172</v>
      </c>
      <c r="D2707" s="2"/>
      <c r="E2707" s="2" t="s">
        <v>2038</v>
      </c>
      <c r="F2707" s="2">
        <v>21.0</v>
      </c>
      <c r="G2707" s="2">
        <v>500.0</v>
      </c>
      <c r="H2707" s="3" t="str">
        <f>HYPERLINK("http://www.linkedin.com/in/lizk001","http://www.linkedin.com/in/lizk001")</f>
        <v>http://www.linkedin.com/in/lizk001</v>
      </c>
      <c r="I2707" s="2" t="s">
        <v>873</v>
      </c>
      <c r="J2707" s="2" t="s">
        <v>53</v>
      </c>
      <c r="K2707" s="2" t="s">
        <v>5725</v>
      </c>
    </row>
    <row r="2708" ht="15.75" customHeight="1">
      <c r="A2708" s="2">
        <v>9944.0</v>
      </c>
      <c r="B2708" s="2" t="s">
        <v>6173</v>
      </c>
      <c r="C2708" s="2" t="s">
        <v>6174</v>
      </c>
      <c r="D2708" s="2" t="s">
        <v>6175</v>
      </c>
      <c r="E2708" s="2" t="s">
        <v>20</v>
      </c>
      <c r="F2708" s="2">
        <v>16.0</v>
      </c>
      <c r="G2708" s="2">
        <v>282.0</v>
      </c>
      <c r="H2708" s="3" t="str">
        <f>HYPERLINK("http://ar.linkedin.com/in/lucialazarte","http://ar.linkedin.com/in/lucialazarte")</f>
        <v>http://ar.linkedin.com/in/lucialazarte</v>
      </c>
      <c r="I2708" s="2" t="s">
        <v>105</v>
      </c>
      <c r="J2708" s="2" t="s">
        <v>21</v>
      </c>
      <c r="K2708" s="2" t="s">
        <v>5727</v>
      </c>
    </row>
    <row r="2709" ht="15.75" customHeight="1">
      <c r="A2709" s="2">
        <v>9955.0</v>
      </c>
      <c r="B2709" s="2" t="s">
        <v>3223</v>
      </c>
      <c r="C2709" s="2" t="s">
        <v>6176</v>
      </c>
      <c r="D2709" s="2" t="s">
        <v>6177</v>
      </c>
      <c r="E2709" s="2" t="s">
        <v>20</v>
      </c>
      <c r="F2709" s="2">
        <v>40.0</v>
      </c>
      <c r="G2709" s="2">
        <v>500.0</v>
      </c>
      <c r="H2709" s="3" t="str">
        <f>HYPERLINK("http://ar.linkedin.com/in/laurapaonessa","http://ar.linkedin.com/in/laurapaonessa")</f>
        <v>http://ar.linkedin.com/in/laurapaonessa</v>
      </c>
      <c r="I2709" s="2" t="s">
        <v>2603</v>
      </c>
      <c r="J2709" s="2" t="s">
        <v>21</v>
      </c>
      <c r="K2709" s="2" t="s">
        <v>6178</v>
      </c>
    </row>
    <row r="2710" ht="15.75" customHeight="1">
      <c r="A2710" s="2">
        <v>9964.0</v>
      </c>
      <c r="B2710" s="2" t="s">
        <v>6179</v>
      </c>
      <c r="C2710" s="2" t="s">
        <v>6180</v>
      </c>
      <c r="D2710" s="2" t="s">
        <v>6181</v>
      </c>
      <c r="E2710" s="2" t="s">
        <v>2970</v>
      </c>
      <c r="F2710" s="2">
        <v>7.0</v>
      </c>
      <c r="G2710" s="2">
        <v>228.0</v>
      </c>
      <c r="H2710" s="3" t="str">
        <f>HYPERLINK("http://uk.linkedin.com/pub/bernadette-brealey/1A/438/A91","http://uk.linkedin.com/pub/bernadette-brealey/1A/438/A91")</f>
        <v>http://uk.linkedin.com/pub/bernadette-brealey/1A/438/A91</v>
      </c>
      <c r="I2710" s="2" t="s">
        <v>669</v>
      </c>
      <c r="J2710" s="2" t="s">
        <v>53</v>
      </c>
      <c r="K2710" s="2" t="s">
        <v>5725</v>
      </c>
    </row>
    <row r="2711" ht="15.75" customHeight="1">
      <c r="A2711" s="2">
        <v>9966.0</v>
      </c>
      <c r="B2711" s="2" t="s">
        <v>6182</v>
      </c>
      <c r="C2711" s="2" t="s">
        <v>6183</v>
      </c>
      <c r="D2711" s="2" t="s">
        <v>13</v>
      </c>
      <c r="E2711" s="2" t="s">
        <v>6184</v>
      </c>
      <c r="F2711" s="2">
        <v>0.0</v>
      </c>
      <c r="G2711" s="2">
        <v>151.0</v>
      </c>
      <c r="H2711" s="3" t="str">
        <f>HYPERLINK("http://www.linkedin.com/pub/abbie-curd/5/46/bb7","http://www.linkedin.com/pub/abbie-curd/5/46/bb7")</f>
        <v>http://www.linkedin.com/pub/abbie-curd/5/46/bb7</v>
      </c>
      <c r="I2711" s="2" t="s">
        <v>1421</v>
      </c>
      <c r="J2711" s="2" t="s">
        <v>53</v>
      </c>
      <c r="K2711" s="2" t="s">
        <v>5725</v>
      </c>
    </row>
    <row r="2712" ht="15.75" customHeight="1">
      <c r="A2712" s="2">
        <v>9969.0</v>
      </c>
      <c r="B2712" s="2" t="s">
        <v>6185</v>
      </c>
      <c r="C2712" s="2" t="s">
        <v>6186</v>
      </c>
      <c r="D2712" s="2" t="s">
        <v>13</v>
      </c>
      <c r="E2712" s="2" t="s">
        <v>6187</v>
      </c>
      <c r="F2712" s="2">
        <v>0.0</v>
      </c>
      <c r="G2712" s="2">
        <v>500.0</v>
      </c>
      <c r="H2712" s="3" t="str">
        <f>HYPERLINK("http://www.linkedin.com/pub/spencer-chandler/0/8a3/985","http://www.linkedin.com/pub/spencer-chandler/0/8a3/985")</f>
        <v>http://www.linkedin.com/pub/spencer-chandler/0/8a3/985</v>
      </c>
      <c r="I2712" s="2" t="s">
        <v>96</v>
      </c>
      <c r="J2712" s="2" t="s">
        <v>53</v>
      </c>
      <c r="K2712" s="2" t="s">
        <v>5785</v>
      </c>
    </row>
    <row r="2713" ht="15.75" customHeight="1">
      <c r="A2713" s="2">
        <v>9976.0</v>
      </c>
      <c r="B2713" s="2" t="s">
        <v>3075</v>
      </c>
      <c r="C2713" s="2" t="s">
        <v>869</v>
      </c>
      <c r="D2713" s="2" t="s">
        <v>6188</v>
      </c>
      <c r="E2713" s="2" t="s">
        <v>4951</v>
      </c>
      <c r="F2713" s="2">
        <v>2.0</v>
      </c>
      <c r="G2713" s="2">
        <v>151.0</v>
      </c>
      <c r="H2713" s="3" t="str">
        <f>HYPERLINK("http://www.linkedin.com/in/morganschwartz","http://www.linkedin.com/in/morganschwartz")</f>
        <v>http://www.linkedin.com/in/morganschwartz</v>
      </c>
      <c r="I2713" s="2" t="s">
        <v>2443</v>
      </c>
      <c r="J2713" s="2" t="s">
        <v>102</v>
      </c>
      <c r="K2713" s="2" t="s">
        <v>5734</v>
      </c>
    </row>
    <row r="2714" ht="15.75" customHeight="1">
      <c r="A2714" s="2">
        <v>9997.0</v>
      </c>
      <c r="B2714" s="2" t="s">
        <v>6189</v>
      </c>
      <c r="C2714" s="2" t="s">
        <v>6190</v>
      </c>
      <c r="D2714" s="2" t="s">
        <v>13</v>
      </c>
      <c r="E2714" s="2" t="s">
        <v>20</v>
      </c>
      <c r="F2714" s="2">
        <v>0.0</v>
      </c>
      <c r="G2714" s="2">
        <v>500.0</v>
      </c>
      <c r="H2714" s="3" t="str">
        <f>HYPERLINK("http://www.linkedin.com/pub/fabricio-gaston-soruco/2b/323/3b7","http://www.linkedin.com/pub/fabricio-gaston-soruco/2b/323/3b7")</f>
        <v>http://www.linkedin.com/pub/fabricio-gaston-soruco/2b/323/3b7</v>
      </c>
      <c r="I2714" s="2" t="s">
        <v>252</v>
      </c>
      <c r="J2714" s="2" t="s">
        <v>21</v>
      </c>
      <c r="K2714" s="2" t="s">
        <v>5734</v>
      </c>
    </row>
    <row r="2715" ht="15.75" customHeight="1">
      <c r="A2715" s="2">
        <v>10001.0</v>
      </c>
      <c r="B2715" s="2" t="s">
        <v>1505</v>
      </c>
      <c r="C2715" s="2" t="s">
        <v>6191</v>
      </c>
      <c r="D2715" s="2" t="s">
        <v>6192</v>
      </c>
      <c r="E2715" s="2" t="s">
        <v>20</v>
      </c>
      <c r="F2715" s="2">
        <v>2.0</v>
      </c>
      <c r="G2715" s="2">
        <v>459.0</v>
      </c>
      <c r="H2715" s="3" t="str">
        <f>HYPERLINK("http://ar.linkedin.com/in/lindaschvarzman","http://ar.linkedin.com/in/lindaschvarzman")</f>
        <v>http://ar.linkedin.com/in/lindaschvarzman</v>
      </c>
      <c r="I2715" s="2" t="s">
        <v>77</v>
      </c>
      <c r="J2715" s="2" t="s">
        <v>21</v>
      </c>
      <c r="K2715" s="2" t="s">
        <v>5743</v>
      </c>
    </row>
    <row r="2716" ht="15.75" customHeight="1">
      <c r="A2716" s="2">
        <v>10002.0</v>
      </c>
      <c r="B2716" s="2" t="s">
        <v>6004</v>
      </c>
      <c r="C2716" s="2" t="s">
        <v>6193</v>
      </c>
      <c r="D2716" s="2" t="s">
        <v>6194</v>
      </c>
      <c r="E2716" s="2" t="s">
        <v>20</v>
      </c>
      <c r="F2716" s="2">
        <v>4.0</v>
      </c>
      <c r="G2716" s="2">
        <v>77.0</v>
      </c>
      <c r="H2716" s="3" t="str">
        <f>HYPERLINK("http://ar.linkedin.com/in/juanmpalma","http://ar.linkedin.com/in/juanmpalma")</f>
        <v>http://ar.linkedin.com/in/juanmpalma</v>
      </c>
      <c r="I2716" s="2" t="s">
        <v>57</v>
      </c>
      <c r="J2716" s="2" t="s">
        <v>21</v>
      </c>
      <c r="K2716" s="2" t="s">
        <v>5727</v>
      </c>
    </row>
    <row r="2717" ht="15.75" customHeight="1">
      <c r="A2717" s="2">
        <v>10029.0</v>
      </c>
      <c r="B2717" s="2" t="s">
        <v>6195</v>
      </c>
      <c r="C2717" s="2" t="s">
        <v>6196</v>
      </c>
      <c r="D2717" s="2" t="s">
        <v>6197</v>
      </c>
      <c r="E2717" s="2" t="s">
        <v>20</v>
      </c>
      <c r="F2717" s="2">
        <v>14.0</v>
      </c>
      <c r="G2717" s="2">
        <v>217.0</v>
      </c>
      <c r="H2717" s="3" t="str">
        <f>HYPERLINK("http://ar.linkedin.com/in/vivianaacevedo","http://ar.linkedin.com/in/vivianaacevedo")</f>
        <v>http://ar.linkedin.com/in/vivianaacevedo</v>
      </c>
      <c r="I2717" s="2" t="s">
        <v>77</v>
      </c>
      <c r="J2717" s="2" t="s">
        <v>21</v>
      </c>
      <c r="K2717" s="2" t="s">
        <v>5731</v>
      </c>
    </row>
    <row r="2718" ht="15.75" customHeight="1">
      <c r="A2718" s="2">
        <v>10032.0</v>
      </c>
      <c r="B2718" s="2" t="s">
        <v>6198</v>
      </c>
      <c r="C2718" s="2" t="s">
        <v>6199</v>
      </c>
      <c r="D2718" s="2" t="s">
        <v>6040</v>
      </c>
      <c r="E2718" s="2" t="s">
        <v>122</v>
      </c>
      <c r="F2718" s="2">
        <v>1.0</v>
      </c>
      <c r="G2718" s="2">
        <v>283.0</v>
      </c>
      <c r="H2718" s="3" t="str">
        <f>HYPERLINK("http://ar.linkedin.com/pub/andres-di-falco/2/644/49","http://ar.linkedin.com/pub/andres-di-falco/2/644/49")</f>
        <v>http://ar.linkedin.com/pub/andres-di-falco/2/644/49</v>
      </c>
      <c r="I2718" s="2" t="s">
        <v>96</v>
      </c>
      <c r="J2718" s="2" t="s">
        <v>53</v>
      </c>
      <c r="K2718" s="2" t="s">
        <v>5785</v>
      </c>
    </row>
    <row r="2719" ht="15.75" customHeight="1">
      <c r="A2719" s="2">
        <v>10198.0</v>
      </c>
      <c r="B2719" s="2" t="s">
        <v>6200</v>
      </c>
      <c r="C2719" s="2" t="s">
        <v>6201</v>
      </c>
      <c r="D2719" s="2" t="s">
        <v>6202</v>
      </c>
      <c r="E2719" s="2" t="s">
        <v>20</v>
      </c>
      <c r="F2719" s="2">
        <v>9.0</v>
      </c>
      <c r="G2719" s="2">
        <v>173.0</v>
      </c>
      <c r="H2719" s="3" t="str">
        <f>HYPERLINK("http://ar.linkedin.com/in/rodrigoarielochoa","http://ar.linkedin.com/in/rodrigoarielochoa")</f>
        <v>http://ar.linkedin.com/in/rodrigoarielochoa</v>
      </c>
      <c r="I2719" s="2" t="s">
        <v>167</v>
      </c>
      <c r="J2719" s="2" t="s">
        <v>21</v>
      </c>
      <c r="K2719" s="2" t="s">
        <v>5727</v>
      </c>
    </row>
    <row r="2720" ht="15.75" customHeight="1">
      <c r="A2720" s="2">
        <v>10220.0</v>
      </c>
      <c r="B2720" s="2" t="s">
        <v>2547</v>
      </c>
      <c r="C2720" s="2" t="s">
        <v>6203</v>
      </c>
      <c r="D2720" s="2" t="s">
        <v>6204</v>
      </c>
      <c r="E2720" s="2" t="s">
        <v>20</v>
      </c>
      <c r="F2720" s="2">
        <v>4.0</v>
      </c>
      <c r="G2720" s="2">
        <v>387.0</v>
      </c>
      <c r="H2720" s="3" t="str">
        <f>HYPERLINK("http://ar.linkedin.com/in/francocamusso","http://ar.linkedin.com/in/francocamusso")</f>
        <v>http://ar.linkedin.com/in/francocamusso</v>
      </c>
      <c r="I2720" s="2" t="s">
        <v>77</v>
      </c>
      <c r="J2720" s="2" t="s">
        <v>21</v>
      </c>
      <c r="K2720" s="2" t="s">
        <v>5743</v>
      </c>
    </row>
    <row r="2721" ht="15.75" customHeight="1">
      <c r="A2721" s="2">
        <v>10226.0</v>
      </c>
      <c r="B2721" s="2" t="s">
        <v>5723</v>
      </c>
      <c r="C2721" s="2" t="s">
        <v>6205</v>
      </c>
      <c r="D2721" s="2" t="s">
        <v>6202</v>
      </c>
      <c r="E2721" s="2" t="s">
        <v>20</v>
      </c>
      <c r="F2721" s="2">
        <v>8.0</v>
      </c>
      <c r="G2721" s="2">
        <v>410.0</v>
      </c>
      <c r="H2721" s="3" t="str">
        <f>HYPERLINK("http://ar.linkedin.com/in/pabloperotti","http://ar.linkedin.com/in/pabloperotti")</f>
        <v>http://ar.linkedin.com/in/pabloperotti</v>
      </c>
      <c r="I2721" s="2" t="s">
        <v>77</v>
      </c>
      <c r="J2721" s="2" t="s">
        <v>21</v>
      </c>
      <c r="K2721" s="2" t="s">
        <v>6206</v>
      </c>
    </row>
    <row r="2722" ht="15.75" customHeight="1">
      <c r="A2722" s="2">
        <v>10234.0</v>
      </c>
      <c r="B2722" s="2" t="s">
        <v>5737</v>
      </c>
      <c r="C2722" s="2" t="s">
        <v>6207</v>
      </c>
      <c r="D2722" s="2" t="s">
        <v>6208</v>
      </c>
      <c r="E2722" s="2" t="s">
        <v>20</v>
      </c>
      <c r="F2722" s="2">
        <v>2.0</v>
      </c>
      <c r="G2722" s="2">
        <v>65.0</v>
      </c>
      <c r="H2722" s="3" t="str">
        <f>HYPERLINK("http://ar.linkedin.com/pub/magdalena-alvarez/6/B19/62","http://ar.linkedin.com/pub/magdalena-alvarez/6/B19/62")</f>
        <v>http://ar.linkedin.com/pub/magdalena-alvarez/6/B19/62</v>
      </c>
      <c r="I2722" s="2" t="s">
        <v>470</v>
      </c>
      <c r="J2722" s="2" t="s">
        <v>21</v>
      </c>
      <c r="K2722" s="2" t="s">
        <v>5727</v>
      </c>
    </row>
    <row r="2723" ht="15.75" customHeight="1">
      <c r="A2723" s="2">
        <v>10244.0</v>
      </c>
      <c r="B2723" s="2" t="s">
        <v>253</v>
      </c>
      <c r="C2723" s="2" t="s">
        <v>6209</v>
      </c>
      <c r="D2723" s="2" t="s">
        <v>6210</v>
      </c>
      <c r="E2723" s="2" t="s">
        <v>20</v>
      </c>
      <c r="F2723" s="2">
        <v>0.0</v>
      </c>
      <c r="G2723" s="2">
        <v>500.0</v>
      </c>
      <c r="H2723" s="3" t="str">
        <f>HYPERLINK("http://ar.linkedin.com/pub/fernando-fasano/8/2B3/B84","http://ar.linkedin.com/pub/fernando-fasano/8/2B3/B84")</f>
        <v>http://ar.linkedin.com/pub/fernando-fasano/8/2B3/B84</v>
      </c>
      <c r="I2723" s="2" t="s">
        <v>2241</v>
      </c>
      <c r="J2723" s="2" t="s">
        <v>21</v>
      </c>
      <c r="K2723" s="2" t="s">
        <v>5865</v>
      </c>
    </row>
    <row r="2724" ht="15.75" customHeight="1">
      <c r="A2724" s="2">
        <v>10269.0</v>
      </c>
      <c r="B2724" s="2" t="s">
        <v>511</v>
      </c>
      <c r="C2724" s="2" t="s">
        <v>6211</v>
      </c>
      <c r="D2724" s="2"/>
      <c r="E2724" s="2" t="s">
        <v>122</v>
      </c>
      <c r="F2724" s="2">
        <v>1.0</v>
      </c>
      <c r="G2724" s="2">
        <v>218.0</v>
      </c>
      <c r="H2724" s="3" t="str">
        <f>HYPERLINK("http://uk.linkedin.com/pub/mike-pilsbury/1/834/229","http://uk.linkedin.com/pub/mike-pilsbury/1/834/229")</f>
        <v>http://uk.linkedin.com/pub/mike-pilsbury/1/834/229</v>
      </c>
      <c r="I2724" s="2" t="s">
        <v>1421</v>
      </c>
      <c r="J2724" s="2" t="s">
        <v>53</v>
      </c>
      <c r="K2724" s="2" t="s">
        <v>5785</v>
      </c>
    </row>
    <row r="2725" ht="15.75" customHeight="1">
      <c r="A2725" s="2">
        <v>10271.0</v>
      </c>
      <c r="B2725" s="2" t="s">
        <v>1173</v>
      </c>
      <c r="C2725" s="2" t="s">
        <v>6212</v>
      </c>
      <c r="D2725" s="2" t="s">
        <v>6213</v>
      </c>
      <c r="E2725" s="2" t="s">
        <v>122</v>
      </c>
      <c r="F2725" s="2">
        <v>2.0</v>
      </c>
      <c r="G2725" s="2">
        <v>198.0</v>
      </c>
      <c r="H2725" s="3" t="str">
        <f>HYPERLINK("http://uk.linkedin.com/pub/steve-kerridge/1/834/B67","http://uk.linkedin.com/pub/steve-kerridge/1/834/B67")</f>
        <v>http://uk.linkedin.com/pub/steve-kerridge/1/834/B67</v>
      </c>
      <c r="I2725" s="2" t="s">
        <v>2936</v>
      </c>
      <c r="J2725" s="2" t="s">
        <v>53</v>
      </c>
      <c r="K2725" s="2" t="s">
        <v>5743</v>
      </c>
    </row>
    <row r="2726" ht="15.75" customHeight="1">
      <c r="A2726" s="2">
        <v>10284.0</v>
      </c>
      <c r="B2726" s="2" t="s">
        <v>515</v>
      </c>
      <c r="C2726" s="2" t="s">
        <v>6214</v>
      </c>
      <c r="D2726" s="2" t="s">
        <v>6215</v>
      </c>
      <c r="E2726" s="2" t="s">
        <v>20</v>
      </c>
      <c r="F2726" s="2">
        <v>9.0</v>
      </c>
      <c r="G2726" s="2">
        <v>412.0</v>
      </c>
      <c r="H2726" s="3" t="str">
        <f>HYPERLINK("http://ar.linkedin.com/pub/juan-ignacio-estevez/9/744/437","http://ar.linkedin.com/pub/juan-ignacio-estevez/9/744/437")</f>
        <v>http://ar.linkedin.com/pub/juan-ignacio-estevez/9/744/437</v>
      </c>
      <c r="I2726" s="2" t="s">
        <v>77</v>
      </c>
      <c r="J2726" s="2" t="s">
        <v>21</v>
      </c>
      <c r="K2726" s="2" t="s">
        <v>5731</v>
      </c>
    </row>
    <row r="2727" ht="15.75" customHeight="1">
      <c r="A2727" s="2">
        <v>10308.0</v>
      </c>
      <c r="B2727" s="2" t="s">
        <v>353</v>
      </c>
      <c r="C2727" s="2" t="s">
        <v>6148</v>
      </c>
      <c r="D2727" s="2" t="s">
        <v>13</v>
      </c>
      <c r="E2727" s="2" t="s">
        <v>20</v>
      </c>
      <c r="F2727" s="2">
        <v>0.0</v>
      </c>
      <c r="G2727" s="2">
        <v>345.0</v>
      </c>
      <c r="H2727" s="3" t="str">
        <f>HYPERLINK("http://www.linkedin.com/in/alejandroromero","http://www.linkedin.com/in/alejandroromero")</f>
        <v>http://www.linkedin.com/in/alejandroromero</v>
      </c>
      <c r="I2727" s="2" t="s">
        <v>48</v>
      </c>
      <c r="J2727" s="2" t="s">
        <v>21</v>
      </c>
      <c r="K2727" s="2" t="s">
        <v>5727</v>
      </c>
    </row>
    <row r="2728" ht="15.75" customHeight="1">
      <c r="A2728" s="2">
        <v>10329.0</v>
      </c>
      <c r="B2728" s="2" t="s">
        <v>523</v>
      </c>
      <c r="C2728" s="2" t="s">
        <v>6216</v>
      </c>
      <c r="D2728" s="2" t="s">
        <v>5854</v>
      </c>
      <c r="E2728" s="2" t="s">
        <v>20</v>
      </c>
      <c r="F2728" s="2">
        <v>14.0</v>
      </c>
      <c r="G2728" s="2">
        <v>500.0</v>
      </c>
      <c r="H2728" s="3" t="str">
        <f>HYPERLINK("http://ar.linkedin.com/in/ignacio","http://ar.linkedin.com/in/ignacio")</f>
        <v>http://ar.linkedin.com/in/ignacio</v>
      </c>
      <c r="I2728" s="2" t="s">
        <v>518</v>
      </c>
      <c r="J2728" s="2" t="s">
        <v>21</v>
      </c>
      <c r="K2728" s="2" t="s">
        <v>5727</v>
      </c>
    </row>
    <row r="2729" ht="15.75" customHeight="1">
      <c r="A2729" s="2">
        <v>10384.0</v>
      </c>
      <c r="B2729" s="2" t="s">
        <v>431</v>
      </c>
      <c r="C2729" s="2" t="s">
        <v>6217</v>
      </c>
      <c r="D2729" s="2" t="s">
        <v>6218</v>
      </c>
      <c r="E2729" s="2" t="s">
        <v>20</v>
      </c>
      <c r="F2729" s="2">
        <v>0.0</v>
      </c>
      <c r="G2729" s="2">
        <v>20.0</v>
      </c>
      <c r="H2729" s="3" t="str">
        <f>HYPERLINK("http://ar.linkedin.com/pub/rodrigo-pelorosso/21/156/A65","http://ar.linkedin.com/pub/rodrigo-pelorosso/21/156/A65")</f>
        <v>http://ar.linkedin.com/pub/rodrigo-pelorosso/21/156/A65</v>
      </c>
      <c r="I2729" s="2" t="s">
        <v>2000</v>
      </c>
      <c r="J2729" s="2" t="s">
        <v>21</v>
      </c>
      <c r="K2729" s="2" t="s">
        <v>5734</v>
      </c>
    </row>
    <row r="2730" ht="15.75" customHeight="1">
      <c r="A2730" s="2">
        <v>10431.0</v>
      </c>
      <c r="B2730" s="2" t="s">
        <v>6219</v>
      </c>
      <c r="C2730" s="2" t="s">
        <v>6220</v>
      </c>
      <c r="D2730" s="2" t="s">
        <v>5749</v>
      </c>
      <c r="E2730" s="2" t="s">
        <v>914</v>
      </c>
      <c r="F2730" s="2">
        <v>16.0</v>
      </c>
      <c r="G2730" s="2">
        <v>287.0</v>
      </c>
      <c r="H2730" s="3" t="str">
        <f>HYPERLINK("http://www.linkedin.com/in/hugomora","http://www.linkedin.com/in/hugomora")</f>
        <v>http://www.linkedin.com/in/hugomora</v>
      </c>
      <c r="I2730" s="2" t="s">
        <v>318</v>
      </c>
      <c r="J2730" s="2" t="s">
        <v>102</v>
      </c>
      <c r="K2730" s="2" t="s">
        <v>5785</v>
      </c>
    </row>
    <row r="2731" ht="15.75" customHeight="1">
      <c r="A2731" s="2">
        <v>10459.0</v>
      </c>
      <c r="B2731" s="2" t="s">
        <v>5883</v>
      </c>
      <c r="C2731" s="2" t="s">
        <v>6221</v>
      </c>
      <c r="D2731" s="2" t="s">
        <v>2331</v>
      </c>
      <c r="E2731" s="2" t="s">
        <v>20</v>
      </c>
      <c r="F2731" s="2">
        <v>1.0</v>
      </c>
      <c r="G2731" s="2">
        <v>500.0</v>
      </c>
      <c r="H2731" s="3" t="str">
        <f>HYPERLINK("http://www.linkedin.com/pub/ariel-szarfsztejn/4/5B7/577","http://www.linkedin.com/pub/ariel-szarfsztejn/4/5B7/577")</f>
        <v>http://www.linkedin.com/pub/ariel-szarfsztejn/4/5B7/577</v>
      </c>
      <c r="I2731" s="2" t="s">
        <v>57</v>
      </c>
      <c r="J2731" s="2" t="s">
        <v>21</v>
      </c>
      <c r="K2731" s="2" t="s">
        <v>5725</v>
      </c>
    </row>
    <row r="2732" ht="15.75" customHeight="1">
      <c r="A2732" s="2">
        <v>10485.0</v>
      </c>
      <c r="B2732" s="2" t="s">
        <v>5078</v>
      </c>
      <c r="C2732" s="2" t="s">
        <v>6222</v>
      </c>
      <c r="D2732" s="2" t="s">
        <v>13</v>
      </c>
      <c r="E2732" s="2" t="s">
        <v>20</v>
      </c>
      <c r="F2732" s="2">
        <v>1.0</v>
      </c>
      <c r="G2732" s="2">
        <v>236.0</v>
      </c>
      <c r="H2732" s="3" t="str">
        <f>HYPERLINK("http://www.linkedin.com/pub/diego-gunset/1/414/b90","http://www.linkedin.com/pub/diego-gunset/1/414/b90")</f>
        <v>http://www.linkedin.com/pub/diego-gunset/1/414/b90</v>
      </c>
      <c r="I2732" s="2" t="s">
        <v>48</v>
      </c>
      <c r="J2732" s="2" t="s">
        <v>21</v>
      </c>
      <c r="K2732" s="2" t="s">
        <v>5725</v>
      </c>
    </row>
    <row r="2733" ht="15.75" customHeight="1">
      <c r="A2733" s="2">
        <v>10494.0</v>
      </c>
      <c r="B2733" s="2" t="s">
        <v>5728</v>
      </c>
      <c r="C2733" s="2" t="s">
        <v>6223</v>
      </c>
      <c r="D2733" s="2" t="s">
        <v>13</v>
      </c>
      <c r="E2733" s="2" t="s">
        <v>20</v>
      </c>
      <c r="F2733" s="2">
        <v>0.0</v>
      </c>
      <c r="G2733" s="2">
        <v>500.0</v>
      </c>
      <c r="H2733" s="3" t="str">
        <f>HYPERLINK("http://www.linkedin.com/pub/maximiliano-roitman/24/988/950","http://www.linkedin.com/pub/maximiliano-roitman/24/988/950")</f>
        <v>http://www.linkedin.com/pub/maximiliano-roitman/24/988/950</v>
      </c>
      <c r="I2733" s="2" t="s">
        <v>15</v>
      </c>
      <c r="J2733" s="2" t="s">
        <v>21</v>
      </c>
      <c r="K2733" s="2" t="s">
        <v>5731</v>
      </c>
    </row>
    <row r="2734" ht="15.75" customHeight="1">
      <c r="A2734" s="2">
        <v>10505.0</v>
      </c>
      <c r="B2734" s="2" t="s">
        <v>341</v>
      </c>
      <c r="C2734" s="2" t="s">
        <v>6224</v>
      </c>
      <c r="D2734" s="2"/>
      <c r="E2734" s="2" t="s">
        <v>1407</v>
      </c>
      <c r="F2734" s="2">
        <v>0.0</v>
      </c>
      <c r="G2734" s="2">
        <v>67.0</v>
      </c>
      <c r="H2734" s="3" t="str">
        <f>HYPERLINK("http://www.linkedin.com/pub/kevin-bomar/2/154/BA","http://www.linkedin.com/pub/kevin-bomar/2/154/BA")</f>
        <v>http://www.linkedin.com/pub/kevin-bomar/2/154/BA</v>
      </c>
      <c r="I2734" s="2" t="s">
        <v>1728</v>
      </c>
      <c r="J2734" s="2" t="s">
        <v>102</v>
      </c>
      <c r="K2734" s="2" t="s">
        <v>5743</v>
      </c>
    </row>
    <row r="2735" ht="15.75" customHeight="1">
      <c r="A2735" s="2">
        <v>10516.0</v>
      </c>
      <c r="B2735" s="2" t="s">
        <v>6225</v>
      </c>
      <c r="C2735" s="2" t="s">
        <v>6226</v>
      </c>
      <c r="D2735" s="2" t="s">
        <v>6227</v>
      </c>
      <c r="E2735" s="2" t="s">
        <v>20</v>
      </c>
      <c r="F2735" s="2">
        <v>0.0</v>
      </c>
      <c r="G2735" s="2">
        <v>67.0</v>
      </c>
      <c r="H2735" s="3" t="str">
        <f>HYPERLINK("http://ar.linkedin.com/pub/susana-paola-riera/24/791/4BA","http://ar.linkedin.com/pub/susana-paola-riera/24/791/4BA")</f>
        <v>http://ar.linkedin.com/pub/susana-paola-riera/24/791/4BA</v>
      </c>
      <c r="I2735" s="2" t="s">
        <v>1452</v>
      </c>
      <c r="J2735" s="2" t="s">
        <v>21</v>
      </c>
      <c r="K2735" s="2" t="s">
        <v>5865</v>
      </c>
    </row>
    <row r="2736" ht="15.75" customHeight="1">
      <c r="A2736" s="2">
        <v>10528.0</v>
      </c>
      <c r="B2736" s="2" t="s">
        <v>774</v>
      </c>
      <c r="C2736" s="2" t="s">
        <v>6228</v>
      </c>
      <c r="D2736" s="2"/>
      <c r="E2736" s="2" t="s">
        <v>1209</v>
      </c>
      <c r="F2736" s="2">
        <v>12.0</v>
      </c>
      <c r="G2736" s="2">
        <v>500.0</v>
      </c>
      <c r="H2736" s="3" t="str">
        <f>HYPERLINK("http://www.linkedin.com/in/brucecahan","http://www.linkedin.com/in/brucecahan")</f>
        <v>http://www.linkedin.com/in/brucecahan</v>
      </c>
      <c r="I2736" s="2" t="s">
        <v>382</v>
      </c>
      <c r="J2736" s="2" t="s">
        <v>102</v>
      </c>
      <c r="K2736" s="2" t="s">
        <v>5743</v>
      </c>
    </row>
    <row r="2737" ht="15.75" customHeight="1">
      <c r="A2737" s="2">
        <v>10556.0</v>
      </c>
      <c r="B2737" s="2" t="s">
        <v>6229</v>
      </c>
      <c r="C2737" s="2" t="s">
        <v>6230</v>
      </c>
      <c r="D2737" s="2" t="s">
        <v>6231</v>
      </c>
      <c r="E2737" s="2" t="s">
        <v>20</v>
      </c>
      <c r="F2737" s="2">
        <v>0.0</v>
      </c>
      <c r="G2737" s="2">
        <v>140.0</v>
      </c>
      <c r="H2737" s="3" t="str">
        <f>HYPERLINK("http://ar.linkedin.com/pub/mar-a-florencia-p-rez-dimitri/30/7B7/9A5","http://ar.linkedin.com/pub/mar-a-florencia-p-rez-dimitri/30/7B7/9A5")</f>
        <v>http://ar.linkedin.com/pub/mar-a-florencia-p-rez-dimitri/30/7B7/9A5</v>
      </c>
      <c r="I2737" s="2" t="s">
        <v>15</v>
      </c>
      <c r="J2737" s="2" t="s">
        <v>21</v>
      </c>
      <c r="K2737" s="2" t="s">
        <v>5725</v>
      </c>
    </row>
    <row r="2738" ht="15.75" customHeight="1">
      <c r="A2738" s="2">
        <v>10621.0</v>
      </c>
      <c r="B2738" s="2" t="s">
        <v>6232</v>
      </c>
      <c r="C2738" s="2" t="s">
        <v>6233</v>
      </c>
      <c r="D2738" s="2" t="s">
        <v>6234</v>
      </c>
      <c r="E2738" s="2" t="s">
        <v>20</v>
      </c>
      <c r="F2738" s="2">
        <v>4.0</v>
      </c>
      <c r="G2738" s="2">
        <v>500.0</v>
      </c>
      <c r="H2738" s="3" t="str">
        <f>HYPERLINK("http://ar.linkedin.com/pub/emiliano-bizzari/3/92B/344","http://ar.linkedin.com/pub/emiliano-bizzari/3/92B/344")</f>
        <v>http://ar.linkedin.com/pub/emiliano-bizzari/3/92B/344</v>
      </c>
      <c r="I2738" s="2" t="s">
        <v>57</v>
      </c>
      <c r="J2738" s="2" t="s">
        <v>21</v>
      </c>
      <c r="K2738" s="2" t="s">
        <v>5727</v>
      </c>
    </row>
    <row r="2739" ht="15.75" customHeight="1">
      <c r="A2739" s="2">
        <v>10622.0</v>
      </c>
      <c r="B2739" s="2" t="s">
        <v>3223</v>
      </c>
      <c r="C2739" s="2" t="s">
        <v>6235</v>
      </c>
      <c r="D2739" s="2" t="s">
        <v>6236</v>
      </c>
      <c r="E2739" s="2" t="s">
        <v>20</v>
      </c>
      <c r="F2739" s="2">
        <v>3.0</v>
      </c>
      <c r="G2739" s="2">
        <v>102.0</v>
      </c>
      <c r="H2739" s="3" t="str">
        <f>HYPERLINK("http://ar.linkedin.com/in/lauracolpachi","http://ar.linkedin.com/in/lauracolpachi")</f>
        <v>http://ar.linkedin.com/in/lauracolpachi</v>
      </c>
      <c r="I2739" s="2" t="s">
        <v>4327</v>
      </c>
      <c r="J2739" s="2" t="s">
        <v>21</v>
      </c>
      <c r="K2739" s="2" t="s">
        <v>5727</v>
      </c>
    </row>
    <row r="2740" ht="15.75" customHeight="1">
      <c r="A2740" s="2">
        <v>10624.0</v>
      </c>
      <c r="B2740" s="2" t="s">
        <v>6012</v>
      </c>
      <c r="C2740" s="2" t="s">
        <v>4264</v>
      </c>
      <c r="D2740" s="2" t="s">
        <v>673</v>
      </c>
      <c r="E2740" s="2" t="s">
        <v>20</v>
      </c>
      <c r="F2740" s="2">
        <v>0.0</v>
      </c>
      <c r="G2740" s="2">
        <v>500.0</v>
      </c>
      <c r="H2740" s="3" t="str">
        <f>HYPERLINK("http://ar.linkedin.com/in/hernangonzalez","http://ar.linkedin.com/in/hernangonzalez")</f>
        <v>http://ar.linkedin.com/in/hernangonzalez</v>
      </c>
      <c r="I2740" s="2" t="s">
        <v>612</v>
      </c>
      <c r="J2740" s="2" t="s">
        <v>21</v>
      </c>
      <c r="K2740" s="2" t="s">
        <v>5785</v>
      </c>
    </row>
    <row r="2741" ht="15.75" customHeight="1">
      <c r="A2741" s="2">
        <v>10626.0</v>
      </c>
      <c r="B2741" s="2" t="s">
        <v>358</v>
      </c>
      <c r="C2741" s="2" t="s">
        <v>6237</v>
      </c>
      <c r="D2741" s="2" t="s">
        <v>6081</v>
      </c>
      <c r="E2741" s="2" t="s">
        <v>20</v>
      </c>
      <c r="F2741" s="2">
        <v>0.0</v>
      </c>
      <c r="G2741" s="2">
        <v>500.0</v>
      </c>
      <c r="H2741" s="3" t="str">
        <f>HYPERLINK("http://ar.linkedin.com/pub/marcelo-fern-ndez-cort-s/11/B42/0","http://ar.linkedin.com/pub/marcelo-fern-ndez-cort-s/11/B42/0")</f>
        <v>http://ar.linkedin.com/pub/marcelo-fern-ndez-cort-s/11/B42/0</v>
      </c>
      <c r="I2741" s="2" t="s">
        <v>458</v>
      </c>
      <c r="J2741" s="2" t="s">
        <v>21</v>
      </c>
      <c r="K2741" s="2" t="s">
        <v>5734</v>
      </c>
    </row>
    <row r="2742" ht="15.75" customHeight="1">
      <c r="A2742" s="2">
        <v>10641.0</v>
      </c>
      <c r="B2742" s="2" t="s">
        <v>6238</v>
      </c>
      <c r="C2742" s="2" t="s">
        <v>6239</v>
      </c>
      <c r="D2742" s="2" t="s">
        <v>6240</v>
      </c>
      <c r="E2742" s="2" t="s">
        <v>20</v>
      </c>
      <c r="F2742" s="2">
        <v>0.0</v>
      </c>
      <c r="G2742" s="2">
        <v>500.0</v>
      </c>
      <c r="H2742" s="3" t="str">
        <f>HYPERLINK("http://ar.linkedin.com/pub/soledad-caceres/A/507/AB0","http://ar.linkedin.com/pub/soledad-caceres/A/507/AB0")</f>
        <v>http://ar.linkedin.com/pub/soledad-caceres/A/507/AB0</v>
      </c>
      <c r="I2742" s="2" t="s">
        <v>57</v>
      </c>
      <c r="J2742" s="2" t="s">
        <v>21</v>
      </c>
      <c r="K2742" s="2" t="s">
        <v>5785</v>
      </c>
    </row>
    <row r="2743" ht="15.75" customHeight="1">
      <c r="A2743" s="2">
        <v>10647.0</v>
      </c>
      <c r="B2743" s="2" t="s">
        <v>238</v>
      </c>
      <c r="C2743" s="2" t="s">
        <v>129</v>
      </c>
      <c r="D2743" s="2" t="s">
        <v>6241</v>
      </c>
      <c r="E2743" s="2" t="s">
        <v>20</v>
      </c>
      <c r="F2743" s="2">
        <v>1.0</v>
      </c>
      <c r="G2743" s="2">
        <v>141.0</v>
      </c>
      <c r="H2743" s="3" t="str">
        <f>HYPERLINK("http://ar.linkedin.com/pub/juan-germano/1/884/6B0","http://ar.linkedin.com/pub/juan-germano/1/884/6B0")</f>
        <v>http://ar.linkedin.com/pub/juan-germano/1/884/6B0</v>
      </c>
      <c r="I2743" s="2" t="s">
        <v>15</v>
      </c>
      <c r="J2743" s="2" t="s">
        <v>21</v>
      </c>
      <c r="K2743" s="2" t="s">
        <v>5725</v>
      </c>
    </row>
    <row r="2744" ht="15.75" customHeight="1">
      <c r="A2744" s="2">
        <v>10649.0</v>
      </c>
      <c r="B2744" s="2" t="s">
        <v>4304</v>
      </c>
      <c r="C2744" s="2" t="s">
        <v>6242</v>
      </c>
      <c r="D2744" s="2" t="s">
        <v>6241</v>
      </c>
      <c r="E2744" s="2" t="s">
        <v>20</v>
      </c>
      <c r="F2744" s="2">
        <v>3.0</v>
      </c>
      <c r="G2744" s="2">
        <v>123.0</v>
      </c>
      <c r="H2744" s="3" t="str">
        <f>HYPERLINK("http://ar.linkedin.com/in/leandrosk","http://ar.linkedin.com/in/leandrosk")</f>
        <v>http://ar.linkedin.com/in/leandrosk</v>
      </c>
      <c r="I2744" s="2" t="s">
        <v>160</v>
      </c>
      <c r="J2744" s="2" t="s">
        <v>21</v>
      </c>
      <c r="K2744" s="2" t="s">
        <v>5743</v>
      </c>
    </row>
    <row r="2745" ht="15.75" customHeight="1">
      <c r="A2745" s="2">
        <v>10658.0</v>
      </c>
      <c r="B2745" s="2" t="s">
        <v>6243</v>
      </c>
      <c r="C2745" s="2" t="s">
        <v>6244</v>
      </c>
      <c r="D2745" s="2" t="s">
        <v>6245</v>
      </c>
      <c r="E2745" s="2" t="s">
        <v>20</v>
      </c>
      <c r="F2745" s="2">
        <v>2.0</v>
      </c>
      <c r="G2745" s="2">
        <v>500.0</v>
      </c>
      <c r="H2745" s="3" t="str">
        <f>HYPERLINK("http://www.linkedin.com/pub/evangelina-suarez/4/557/942","http://www.linkedin.com/pub/evangelina-suarez/4/557/942")</f>
        <v>http://www.linkedin.com/pub/evangelina-suarez/4/557/942</v>
      </c>
      <c r="I2745" s="2" t="s">
        <v>470</v>
      </c>
      <c r="J2745" s="2" t="s">
        <v>21</v>
      </c>
      <c r="K2745" s="2" t="s">
        <v>5727</v>
      </c>
    </row>
    <row r="2746" ht="15.75" customHeight="1">
      <c r="A2746" s="2">
        <v>10695.0</v>
      </c>
      <c r="B2746" s="2" t="s">
        <v>549</v>
      </c>
      <c r="C2746" s="2" t="s">
        <v>6246</v>
      </c>
      <c r="D2746" s="2" t="s">
        <v>6247</v>
      </c>
      <c r="E2746" s="2" t="s">
        <v>20</v>
      </c>
      <c r="F2746" s="2">
        <v>9.0</v>
      </c>
      <c r="G2746" s="2">
        <v>500.0</v>
      </c>
      <c r="H2746" s="3" t="str">
        <f>HYPERLINK("http://ar.linkedin.com/pub/mario-pingaro/9/972/B84","http://ar.linkedin.com/pub/mario-pingaro/9/972/B84")</f>
        <v>http://ar.linkedin.com/pub/mario-pingaro/9/972/B84</v>
      </c>
      <c r="I2746" s="2" t="s">
        <v>252</v>
      </c>
      <c r="J2746" s="2" t="s">
        <v>21</v>
      </c>
      <c r="K2746" s="2" t="s">
        <v>5727</v>
      </c>
    </row>
    <row r="2747" ht="15.75" customHeight="1">
      <c r="A2747" s="2">
        <v>10697.0</v>
      </c>
      <c r="B2747" s="2" t="s">
        <v>201</v>
      </c>
      <c r="C2747" s="2" t="s">
        <v>6248</v>
      </c>
      <c r="D2747" s="2" t="s">
        <v>6249</v>
      </c>
      <c r="E2747" s="2" t="s">
        <v>20</v>
      </c>
      <c r="F2747" s="2">
        <v>18.0</v>
      </c>
      <c r="G2747" s="2">
        <v>500.0</v>
      </c>
      <c r="H2747" s="3" t="str">
        <f>HYPERLINK("http://ar.linkedin.com/in/nataliabellaquero","http://ar.linkedin.com/in/nataliabellaquero")</f>
        <v>http://ar.linkedin.com/in/nataliabellaquero</v>
      </c>
      <c r="I2747" s="2" t="s">
        <v>252</v>
      </c>
      <c r="J2747" s="2" t="s">
        <v>21</v>
      </c>
      <c r="K2747" s="2" t="s">
        <v>5743</v>
      </c>
    </row>
    <row r="2748" ht="15.75" customHeight="1">
      <c r="A2748" s="2">
        <v>10700.0</v>
      </c>
      <c r="B2748" s="2" t="s">
        <v>2727</v>
      </c>
      <c r="C2748" s="2" t="s">
        <v>6250</v>
      </c>
      <c r="D2748" s="2" t="s">
        <v>42</v>
      </c>
      <c r="E2748" s="2" t="s">
        <v>20</v>
      </c>
      <c r="F2748" s="2">
        <v>7.0</v>
      </c>
      <c r="G2748" s="2">
        <v>500.0</v>
      </c>
      <c r="H2748" s="3" t="str">
        <f>HYPERLINK("http://ar.linkedin.com/pub/monica-marambio-duran/9/9A5/BB3","http://ar.linkedin.com/pub/monica-marambio-duran/9/9A5/BB3")</f>
        <v>http://ar.linkedin.com/pub/monica-marambio-duran/9/9A5/BB3</v>
      </c>
      <c r="I2748" s="2" t="s">
        <v>458</v>
      </c>
      <c r="J2748" s="2" t="s">
        <v>21</v>
      </c>
      <c r="K2748" s="2" t="s">
        <v>5727</v>
      </c>
    </row>
    <row r="2749" ht="15.75" customHeight="1">
      <c r="A2749" s="2">
        <v>10708.0</v>
      </c>
      <c r="B2749" s="2" t="s">
        <v>5078</v>
      </c>
      <c r="C2749" s="2" t="s">
        <v>6251</v>
      </c>
      <c r="D2749" s="2" t="s">
        <v>13</v>
      </c>
      <c r="E2749" s="2" t="s">
        <v>20</v>
      </c>
      <c r="F2749" s="2">
        <v>2.0</v>
      </c>
      <c r="G2749" s="2">
        <v>500.0</v>
      </c>
      <c r="H2749" s="3" t="str">
        <f>HYPERLINK("http://www.linkedin.com/pub/diego-pire/16/591/42","http://www.linkedin.com/pub/diego-pire/16/591/42")</f>
        <v>http://www.linkedin.com/pub/diego-pire/16/591/42</v>
      </c>
      <c r="I2749" s="2" t="s">
        <v>470</v>
      </c>
      <c r="J2749" s="2" t="s">
        <v>21</v>
      </c>
      <c r="K2749" s="2" t="s">
        <v>5727</v>
      </c>
    </row>
    <row r="2750" ht="15.75" customHeight="1">
      <c r="A2750" s="2">
        <v>10710.0</v>
      </c>
      <c r="B2750" s="2" t="s">
        <v>6252</v>
      </c>
      <c r="C2750" s="2" t="s">
        <v>6253</v>
      </c>
      <c r="D2750" s="2" t="s">
        <v>13</v>
      </c>
      <c r="E2750" s="2" t="s">
        <v>20</v>
      </c>
      <c r="F2750" s="2">
        <v>0.0</v>
      </c>
      <c r="G2750" s="2">
        <v>500.0</v>
      </c>
      <c r="H2750" s="3" t="str">
        <f>HYPERLINK("http://ar.linkedin.com/pub/santiago-guimerans/9/74B/67A","http://ar.linkedin.com/pub/santiago-guimerans/9/74B/67A")</f>
        <v>http://ar.linkedin.com/pub/santiago-guimerans/9/74B/67A</v>
      </c>
      <c r="I2750" s="2" t="s">
        <v>195</v>
      </c>
      <c r="J2750" s="2" t="s">
        <v>21</v>
      </c>
      <c r="K2750" s="2" t="s">
        <v>6046</v>
      </c>
    </row>
    <row r="2751" ht="15.75" customHeight="1">
      <c r="A2751" s="2">
        <v>10721.0</v>
      </c>
      <c r="B2751" s="2" t="s">
        <v>358</v>
      </c>
      <c r="C2751" s="2" t="s">
        <v>1502</v>
      </c>
      <c r="D2751" s="2" t="s">
        <v>6254</v>
      </c>
      <c r="E2751" s="2" t="s">
        <v>20</v>
      </c>
      <c r="F2751" s="2">
        <v>2.0</v>
      </c>
      <c r="G2751" s="2">
        <v>250.0</v>
      </c>
      <c r="H2751" s="3" t="str">
        <f>HYPERLINK("http://ar.linkedin.com/pub/marcelo-cohen/1/12/81","http://ar.linkedin.com/pub/marcelo-cohen/1/12/81")</f>
        <v>http://ar.linkedin.com/pub/marcelo-cohen/1/12/81</v>
      </c>
      <c r="I2751" s="2" t="s">
        <v>77</v>
      </c>
      <c r="J2751" s="2" t="s">
        <v>21</v>
      </c>
      <c r="K2751" s="2" t="s">
        <v>5743</v>
      </c>
    </row>
    <row r="2752" ht="15.75" customHeight="1">
      <c r="A2752" s="2">
        <v>10722.0</v>
      </c>
      <c r="B2752" s="2" t="s">
        <v>6255</v>
      </c>
      <c r="C2752" s="2" t="s">
        <v>6256</v>
      </c>
      <c r="D2752" s="2" t="s">
        <v>13</v>
      </c>
      <c r="E2752" s="2" t="s">
        <v>20</v>
      </c>
      <c r="F2752" s="2">
        <v>0.0</v>
      </c>
      <c r="G2752" s="2">
        <v>452.0</v>
      </c>
      <c r="H2752" s="3" t="str">
        <f>HYPERLINK("http://www.linkedin.com/pub/leonardo-omar-sailer/1/a/665","http://www.linkedin.com/pub/leonardo-omar-sailer/1/a/665")</f>
        <v>http://www.linkedin.com/pub/leonardo-omar-sailer/1/a/665</v>
      </c>
      <c r="I2752" s="2" t="s">
        <v>77</v>
      </c>
      <c r="J2752" s="2" t="s">
        <v>21</v>
      </c>
      <c r="K2752" s="2" t="s">
        <v>5785</v>
      </c>
    </row>
    <row r="2753" ht="15.75" customHeight="1">
      <c r="A2753" s="2">
        <v>10725.0</v>
      </c>
      <c r="B2753" s="2" t="s">
        <v>5883</v>
      </c>
      <c r="C2753" s="2" t="s">
        <v>6257</v>
      </c>
      <c r="D2753" s="2" t="s">
        <v>6258</v>
      </c>
      <c r="E2753" s="2" t="s">
        <v>20</v>
      </c>
      <c r="F2753" s="2">
        <v>13.0</v>
      </c>
      <c r="G2753" s="2">
        <v>116.0</v>
      </c>
      <c r="H2753" s="3" t="str">
        <f>HYPERLINK("http://www.linkedin.com/in/arielbattini","http://www.linkedin.com/in/arielbattini")</f>
        <v>http://www.linkedin.com/in/arielbattini</v>
      </c>
      <c r="I2753" s="2" t="s">
        <v>3857</v>
      </c>
      <c r="J2753" s="2" t="s">
        <v>21</v>
      </c>
      <c r="K2753" s="2" t="s">
        <v>5727</v>
      </c>
    </row>
    <row r="2754" ht="15.75" customHeight="1">
      <c r="A2754" s="2">
        <v>10746.0</v>
      </c>
      <c r="B2754" s="2" t="s">
        <v>423</v>
      </c>
      <c r="C2754" s="2" t="s">
        <v>6259</v>
      </c>
      <c r="D2754" s="2" t="s">
        <v>6260</v>
      </c>
      <c r="E2754" s="2" t="s">
        <v>20</v>
      </c>
      <c r="F2754" s="2">
        <v>0.0</v>
      </c>
      <c r="G2754" s="2">
        <v>229.0</v>
      </c>
      <c r="H2754" s="3" t="str">
        <f>HYPERLINK("http://ar.linkedin.com/in/ccondo","http://ar.linkedin.com/in/ccondo")</f>
        <v>http://ar.linkedin.com/in/ccondo</v>
      </c>
      <c r="I2754" s="2" t="s">
        <v>48</v>
      </c>
      <c r="J2754" s="2" t="s">
        <v>21</v>
      </c>
      <c r="K2754" s="2" t="s">
        <v>5725</v>
      </c>
    </row>
    <row r="2755" ht="15.75" customHeight="1">
      <c r="A2755" s="2">
        <v>10761.0</v>
      </c>
      <c r="B2755" s="2" t="s">
        <v>6148</v>
      </c>
      <c r="C2755" s="2" t="s">
        <v>6261</v>
      </c>
      <c r="D2755" s="2" t="s">
        <v>6262</v>
      </c>
      <c r="E2755" s="2" t="s">
        <v>20</v>
      </c>
      <c r="F2755" s="2">
        <v>2.0</v>
      </c>
      <c r="G2755" s="2">
        <v>84.0</v>
      </c>
      <c r="H2755" s="3" t="str">
        <f>HYPERLINK("http://ar.linkedin.com/pub/romero-edgardo-exequiel/8/1AB/5B6","http://ar.linkedin.com/pub/romero-edgardo-exequiel/8/1AB/5B6")</f>
        <v>http://ar.linkedin.com/pub/romero-edgardo-exequiel/8/1AB/5B6</v>
      </c>
      <c r="I2755" s="2" t="s">
        <v>57</v>
      </c>
      <c r="J2755" s="2" t="s">
        <v>21</v>
      </c>
      <c r="K2755" s="2" t="s">
        <v>5727</v>
      </c>
    </row>
    <row r="2756" ht="15.75" customHeight="1">
      <c r="A2756" s="2">
        <v>10781.0</v>
      </c>
      <c r="B2756" s="2" t="s">
        <v>362</v>
      </c>
      <c r="C2756" s="2" t="s">
        <v>6263</v>
      </c>
      <c r="D2756" s="2" t="s">
        <v>6264</v>
      </c>
      <c r="E2756" s="2" t="s">
        <v>20</v>
      </c>
      <c r="F2756" s="2">
        <v>6.0</v>
      </c>
      <c r="G2756" s="2">
        <v>251.0</v>
      </c>
      <c r="H2756" s="3" t="str">
        <f>HYPERLINK("http://ar.linkedin.com/in/jrabuch","http://ar.linkedin.com/in/jrabuch")</f>
        <v>http://ar.linkedin.com/in/jrabuch</v>
      </c>
      <c r="I2756" s="2" t="s">
        <v>252</v>
      </c>
      <c r="J2756" s="2" t="s">
        <v>21</v>
      </c>
      <c r="K2756" s="2" t="s">
        <v>5727</v>
      </c>
    </row>
    <row r="2757" ht="15.75" customHeight="1">
      <c r="A2757" s="2">
        <v>10817.0</v>
      </c>
      <c r="B2757" s="2" t="s">
        <v>6265</v>
      </c>
      <c r="C2757" s="2" t="s">
        <v>6266</v>
      </c>
      <c r="D2757" s="2" t="s">
        <v>6267</v>
      </c>
      <c r="E2757" s="2" t="s">
        <v>20</v>
      </c>
      <c r="F2757" s="2">
        <v>0.0</v>
      </c>
      <c r="G2757" s="2">
        <v>239.0</v>
      </c>
      <c r="H2757" s="3" t="str">
        <f>HYPERLINK("http://ar.linkedin.com/pub/jorge-adri-n-velurtas/13/2B1/B03","http://ar.linkedin.com/pub/jorge-adri-n-velurtas/13/2B1/B03")</f>
        <v>http://ar.linkedin.com/pub/jorge-adri-n-velurtas/13/2B1/B03</v>
      </c>
      <c r="I2757" s="2" t="s">
        <v>579</v>
      </c>
      <c r="J2757" s="2" t="s">
        <v>21</v>
      </c>
      <c r="K2757" s="2" t="s">
        <v>5819</v>
      </c>
    </row>
    <row r="2758" ht="15.75" customHeight="1">
      <c r="A2758" s="2">
        <v>10856.0</v>
      </c>
      <c r="B2758" s="2" t="s">
        <v>5558</v>
      </c>
      <c r="C2758" s="2" t="s">
        <v>6268</v>
      </c>
      <c r="D2758" s="2" t="s">
        <v>13</v>
      </c>
      <c r="E2758" s="2" t="s">
        <v>20</v>
      </c>
      <c r="F2758" s="2">
        <v>0.0</v>
      </c>
      <c r="G2758" s="2">
        <v>301.0</v>
      </c>
      <c r="H2758" s="3" t="str">
        <f>HYPERLINK("http://www.linkedin.com/pub/pamela-chamula/3/629/21","http://www.linkedin.com/pub/pamela-chamula/3/629/21")</f>
        <v>http://www.linkedin.com/pub/pamela-chamula/3/629/21</v>
      </c>
      <c r="I2758" s="2" t="s">
        <v>15</v>
      </c>
      <c r="J2758" s="2" t="s">
        <v>21</v>
      </c>
      <c r="K2758" s="2" t="s">
        <v>5725</v>
      </c>
    </row>
    <row r="2759" ht="15.75" customHeight="1">
      <c r="A2759" s="2">
        <v>10922.0</v>
      </c>
      <c r="B2759" s="2" t="s">
        <v>5723</v>
      </c>
      <c r="C2759" s="2" t="s">
        <v>6269</v>
      </c>
      <c r="D2759" s="2" t="s">
        <v>6270</v>
      </c>
      <c r="E2759" s="2" t="s">
        <v>20</v>
      </c>
      <c r="F2759" s="2">
        <v>3.0</v>
      </c>
      <c r="G2759" s="2">
        <v>274.0</v>
      </c>
      <c r="H2759" s="3" t="str">
        <f>HYPERLINK("http://ar.linkedin.com/pub/pablo-alcaraz/20/672/92","http://ar.linkedin.com/pub/pablo-alcaraz/20/672/92")</f>
        <v>http://ar.linkedin.com/pub/pablo-alcaraz/20/672/92</v>
      </c>
      <c r="I2759" s="2" t="s">
        <v>252</v>
      </c>
      <c r="J2759" s="2" t="s">
        <v>21</v>
      </c>
      <c r="K2759" s="2" t="s">
        <v>5727</v>
      </c>
    </row>
    <row r="2760" ht="15.75" customHeight="1">
      <c r="A2760" s="2">
        <v>10936.0</v>
      </c>
      <c r="B2760" s="2" t="s">
        <v>3201</v>
      </c>
      <c r="C2760" s="2" t="s">
        <v>6271</v>
      </c>
      <c r="D2760" s="2" t="s">
        <v>6272</v>
      </c>
      <c r="E2760" s="2" t="s">
        <v>20</v>
      </c>
      <c r="F2760" s="2">
        <v>5.0</v>
      </c>
      <c r="G2760" s="2">
        <v>500.0</v>
      </c>
      <c r="H2760" s="3" t="str">
        <f>HYPERLINK("http://ar.linkedin.com/pub/sebastian-betti/4/65B/758","http://ar.linkedin.com/pub/sebastian-betti/4/65B/758")</f>
        <v>http://ar.linkedin.com/pub/sebastian-betti/4/65B/758</v>
      </c>
      <c r="I2760" s="2" t="s">
        <v>579</v>
      </c>
      <c r="J2760" s="2" t="s">
        <v>21</v>
      </c>
      <c r="K2760" s="2" t="s">
        <v>5731</v>
      </c>
    </row>
    <row r="2761" ht="15.75" customHeight="1">
      <c r="A2761" s="2">
        <v>10963.0</v>
      </c>
      <c r="B2761" s="2" t="s">
        <v>6273</v>
      </c>
      <c r="C2761" s="2" t="s">
        <v>6274</v>
      </c>
      <c r="D2761" s="2" t="s">
        <v>6275</v>
      </c>
      <c r="E2761" s="2" t="s">
        <v>20</v>
      </c>
      <c r="F2761" s="2">
        <v>15.0</v>
      </c>
      <c r="G2761" s="2">
        <v>500.0</v>
      </c>
      <c r="H2761" s="3" t="str">
        <f>HYPERLINK("http://ar.linkedin.com/in/ramogninij","http://ar.linkedin.com/in/ramogninij")</f>
        <v>http://ar.linkedin.com/in/ramogninij</v>
      </c>
      <c r="I2761" s="2" t="s">
        <v>57</v>
      </c>
      <c r="J2761" s="2" t="s">
        <v>21</v>
      </c>
      <c r="K2761" s="2" t="s">
        <v>5727</v>
      </c>
    </row>
    <row r="2762" ht="15.75" customHeight="1">
      <c r="A2762" s="2">
        <v>10964.0</v>
      </c>
      <c r="B2762" s="2" t="s">
        <v>6093</v>
      </c>
      <c r="C2762" s="2" t="s">
        <v>6276</v>
      </c>
      <c r="D2762" s="2" t="s">
        <v>6277</v>
      </c>
      <c r="E2762" s="2" t="s">
        <v>20</v>
      </c>
      <c r="F2762" s="2">
        <v>4.0</v>
      </c>
      <c r="G2762" s="2">
        <v>237.0</v>
      </c>
      <c r="H2762" s="3" t="str">
        <f>HYPERLINK("http://ar.linkedin.com/in/nicolascavallo","http://ar.linkedin.com/in/nicolascavallo")</f>
        <v>http://ar.linkedin.com/in/nicolascavallo</v>
      </c>
      <c r="I2762" s="2" t="s">
        <v>279</v>
      </c>
      <c r="J2762" s="2" t="s">
        <v>21</v>
      </c>
      <c r="K2762" s="2" t="s">
        <v>5727</v>
      </c>
    </row>
    <row r="2763" ht="15.75" customHeight="1">
      <c r="A2763" s="2">
        <v>10969.0</v>
      </c>
      <c r="B2763" s="2" t="s">
        <v>6278</v>
      </c>
      <c r="C2763" s="2" t="s">
        <v>6279</v>
      </c>
      <c r="D2763" s="2" t="s">
        <v>13</v>
      </c>
      <c r="E2763" s="2" t="s">
        <v>20</v>
      </c>
      <c r="F2763" s="2">
        <v>0.0</v>
      </c>
      <c r="G2763" s="2">
        <v>155.0</v>
      </c>
      <c r="H2763" s="3" t="str">
        <f>HYPERLINK("http://www.linkedin.com/pub/diego-a-labrador-a/22/96b/911","http://www.linkedin.com/pub/diego-a-labrador-a/22/96b/911")</f>
        <v>http://www.linkedin.com/pub/diego-a-labrador-a/22/96b/911</v>
      </c>
      <c r="I2763" s="2" t="s">
        <v>15</v>
      </c>
      <c r="J2763" s="2" t="s">
        <v>21</v>
      </c>
      <c r="K2763" s="2" t="s">
        <v>6280</v>
      </c>
    </row>
    <row r="2764" ht="15.75" customHeight="1">
      <c r="A2764" s="2">
        <v>10991.0</v>
      </c>
      <c r="B2764" s="2" t="s">
        <v>5824</v>
      </c>
      <c r="C2764" s="2" t="s">
        <v>6239</v>
      </c>
      <c r="D2764" s="2" t="s">
        <v>6281</v>
      </c>
      <c r="E2764" s="2" t="s">
        <v>20</v>
      </c>
      <c r="F2764" s="2">
        <v>0.0</v>
      </c>
      <c r="G2764" s="2">
        <v>164.0</v>
      </c>
      <c r="H2764" s="3" t="str">
        <f>HYPERLINK("http://ar.linkedin.com/pub/alejandra-caceres/11/2B3/A95","http://ar.linkedin.com/pub/alejandra-caceres/11/2B3/A95")</f>
        <v>http://ar.linkedin.com/pub/alejandra-caceres/11/2B3/A95</v>
      </c>
      <c r="I2764" s="2" t="s">
        <v>458</v>
      </c>
      <c r="J2764" s="2" t="s">
        <v>21</v>
      </c>
      <c r="K2764" s="2" t="s">
        <v>6282</v>
      </c>
    </row>
    <row r="2765" ht="15.75" customHeight="1">
      <c r="A2765" s="2">
        <v>10994.0</v>
      </c>
      <c r="B2765" s="2" t="s">
        <v>6283</v>
      </c>
      <c r="C2765" s="2" t="s">
        <v>6284</v>
      </c>
      <c r="D2765" s="2" t="s">
        <v>13</v>
      </c>
      <c r="E2765" s="2" t="s">
        <v>20</v>
      </c>
      <c r="F2765" s="2">
        <v>0.0</v>
      </c>
      <c r="G2765" s="2">
        <v>500.0</v>
      </c>
      <c r="H2765" s="3" t="str">
        <f>HYPERLINK("http://www.linkedin.com/pub/silvia-valeria-henrion/22/b08/b42","http://www.linkedin.com/pub/silvia-valeria-henrion/22/b08/b42")</f>
        <v>http://www.linkedin.com/pub/silvia-valeria-henrion/22/b08/b42</v>
      </c>
      <c r="I2765" s="2" t="s">
        <v>458</v>
      </c>
      <c r="J2765" s="2" t="s">
        <v>21</v>
      </c>
      <c r="K2765" s="2" t="s">
        <v>5734</v>
      </c>
    </row>
    <row r="2766" ht="15.75" customHeight="1">
      <c r="A2766" s="2">
        <v>11048.0</v>
      </c>
      <c r="B2766" s="2" t="s">
        <v>6285</v>
      </c>
      <c r="C2766" s="2" t="s">
        <v>6286</v>
      </c>
      <c r="D2766" s="2" t="s">
        <v>6287</v>
      </c>
      <c r="E2766" s="2" t="s">
        <v>20</v>
      </c>
      <c r="F2766" s="2">
        <v>1.0</v>
      </c>
      <c r="G2766" s="2">
        <v>371.0</v>
      </c>
      <c r="H2766" s="3" t="str">
        <f>HYPERLINK("http://ar.linkedin.com/in/arruag","http://ar.linkedin.com/in/arruag")</f>
        <v>http://ar.linkedin.com/in/arruag</v>
      </c>
      <c r="I2766" s="2" t="s">
        <v>15</v>
      </c>
      <c r="J2766" s="2" t="s">
        <v>21</v>
      </c>
      <c r="K2766" s="2" t="s">
        <v>5725</v>
      </c>
    </row>
    <row r="2767" ht="15.75" customHeight="1">
      <c r="A2767" s="2">
        <v>11066.0</v>
      </c>
      <c r="B2767" s="2" t="s">
        <v>6064</v>
      </c>
      <c r="C2767" s="2" t="s">
        <v>6288</v>
      </c>
      <c r="D2767" s="2" t="s">
        <v>13</v>
      </c>
      <c r="E2767" s="2" t="s">
        <v>20</v>
      </c>
      <c r="F2767" s="2">
        <v>0.0</v>
      </c>
      <c r="G2767" s="2">
        <v>171.0</v>
      </c>
      <c r="H2767" s="3" t="str">
        <f>HYPERLINK("http://www.linkedin.com/pub/romina-borgonovo/7/973/922","http://www.linkedin.com/pub/romina-borgonovo/7/973/922")</f>
        <v>http://www.linkedin.com/pub/romina-borgonovo/7/973/922</v>
      </c>
      <c r="I2767" s="2" t="s">
        <v>48</v>
      </c>
      <c r="J2767" s="2" t="s">
        <v>21</v>
      </c>
      <c r="K2767" s="2" t="s">
        <v>5725</v>
      </c>
    </row>
    <row r="2768" ht="15.75" customHeight="1">
      <c r="A2768" s="2">
        <v>11073.0</v>
      </c>
      <c r="B2768" s="2" t="s">
        <v>253</v>
      </c>
      <c r="C2768" s="2" t="s">
        <v>6289</v>
      </c>
      <c r="D2768" s="2" t="s">
        <v>6169</v>
      </c>
      <c r="E2768" s="2" t="s">
        <v>20</v>
      </c>
      <c r="F2768" s="2">
        <v>0.0</v>
      </c>
      <c r="G2768" s="2">
        <v>295.0</v>
      </c>
      <c r="H2768" s="3" t="str">
        <f>HYPERLINK("http://ar.linkedin.com/pub/fernando-soubeste/4/217/B78","http://ar.linkedin.com/pub/fernando-soubeste/4/217/B78")</f>
        <v>http://ar.linkedin.com/pub/fernando-soubeste/4/217/B78</v>
      </c>
      <c r="I2768" s="2" t="s">
        <v>873</v>
      </c>
      <c r="J2768" s="2" t="s">
        <v>21</v>
      </c>
      <c r="K2768" s="2" t="s">
        <v>5734</v>
      </c>
    </row>
    <row r="2769" ht="15.75" customHeight="1">
      <c r="A2769" s="2">
        <v>11074.0</v>
      </c>
      <c r="B2769" s="2" t="s">
        <v>59</v>
      </c>
      <c r="C2769" s="2" t="s">
        <v>2002</v>
      </c>
      <c r="D2769" s="2" t="s">
        <v>6040</v>
      </c>
      <c r="E2769" s="2" t="s">
        <v>491</v>
      </c>
      <c r="F2769" s="2">
        <v>1.0</v>
      </c>
      <c r="G2769" s="2">
        <v>223.0</v>
      </c>
      <c r="H2769" s="3" t="str">
        <f>HYPERLINK("http://ar.linkedin.com/pub/martin-mayor/3/550/82B","http://ar.linkedin.com/pub/martin-mayor/3/550/82B")</f>
        <v>http://ar.linkedin.com/pub/martin-mayor/3/550/82B</v>
      </c>
      <c r="I2769" s="2" t="s">
        <v>48</v>
      </c>
      <c r="J2769" s="2" t="s">
        <v>220</v>
      </c>
      <c r="K2769" s="2" t="s">
        <v>5727</v>
      </c>
    </row>
    <row r="2770" ht="15.75" customHeight="1">
      <c r="A2770" s="2">
        <v>11082.0</v>
      </c>
      <c r="B2770" s="2" t="s">
        <v>45</v>
      </c>
      <c r="C2770" s="2" t="s">
        <v>5887</v>
      </c>
      <c r="D2770" s="2" t="s">
        <v>6290</v>
      </c>
      <c r="E2770" s="2" t="s">
        <v>20</v>
      </c>
      <c r="F2770" s="2">
        <v>0.0</v>
      </c>
      <c r="G2770" s="2">
        <v>198.0</v>
      </c>
      <c r="H2770" s="3" t="str">
        <f>HYPERLINK("http://ar.linkedin.com/pub/carlos-maddalena/1/A94/805","http://ar.linkedin.com/pub/carlos-maddalena/1/A94/805")</f>
        <v>http://ar.linkedin.com/pub/carlos-maddalena/1/A94/805</v>
      </c>
      <c r="I2770" s="2" t="s">
        <v>48</v>
      </c>
      <c r="J2770" s="2" t="s">
        <v>21</v>
      </c>
      <c r="K2770" s="2" t="s">
        <v>5725</v>
      </c>
    </row>
    <row r="2771" ht="15.75" customHeight="1">
      <c r="A2771" s="2">
        <v>11119.0</v>
      </c>
      <c r="B2771" s="2" t="s">
        <v>5728</v>
      </c>
      <c r="C2771" s="2" t="s">
        <v>6291</v>
      </c>
      <c r="D2771" s="2" t="s">
        <v>498</v>
      </c>
      <c r="E2771" s="2" t="s">
        <v>20</v>
      </c>
      <c r="F2771" s="2">
        <v>4.0</v>
      </c>
      <c r="G2771" s="2">
        <v>500.0</v>
      </c>
      <c r="H2771" s="3" t="str">
        <f>HYPERLINK("http://ar.linkedin.com/in/maximilianosastre","http://ar.linkedin.com/in/maximilianosastre")</f>
        <v>http://ar.linkedin.com/in/maximilianosastre</v>
      </c>
      <c r="I2771" s="2" t="s">
        <v>105</v>
      </c>
      <c r="J2771" s="2" t="s">
        <v>21</v>
      </c>
      <c r="K2771" s="2" t="s">
        <v>5743</v>
      </c>
    </row>
    <row r="2772" ht="15.75" customHeight="1">
      <c r="A2772" s="2">
        <v>11151.0</v>
      </c>
      <c r="B2772" s="2" t="s">
        <v>353</v>
      </c>
      <c r="C2772" s="2" t="s">
        <v>6292</v>
      </c>
      <c r="D2772" s="2" t="s">
        <v>6293</v>
      </c>
      <c r="E2772" s="2" t="s">
        <v>20</v>
      </c>
      <c r="F2772" s="2">
        <v>2.0</v>
      </c>
      <c r="G2772" s="2">
        <v>500.0</v>
      </c>
      <c r="H2772" s="3" t="str">
        <f>HYPERLINK("http://ar.linkedin.com/pub/alejandro-saj-n/0/236/170","http://ar.linkedin.com/pub/alejandro-saj-n/0/236/170")</f>
        <v>http://ar.linkedin.com/pub/alejandro-saj-n/0/236/170</v>
      </c>
      <c r="I2772" s="2" t="s">
        <v>475</v>
      </c>
      <c r="J2772" s="2" t="s">
        <v>21</v>
      </c>
      <c r="K2772" s="2" t="s">
        <v>5727</v>
      </c>
    </row>
    <row r="2773" ht="15.75" customHeight="1">
      <c r="A2773" s="2">
        <v>11164.0</v>
      </c>
      <c r="B2773" s="2" t="s">
        <v>5915</v>
      </c>
      <c r="C2773" s="2" t="s">
        <v>6294</v>
      </c>
      <c r="D2773" s="2" t="s">
        <v>6295</v>
      </c>
      <c r="E2773" s="2" t="s">
        <v>20</v>
      </c>
      <c r="F2773" s="2">
        <v>0.0</v>
      </c>
      <c r="G2773" s="2">
        <v>428.0</v>
      </c>
      <c r="H2773" s="3" t="str">
        <f>HYPERLINK("http://ar.linkedin.com/pub/cecilia-hayafuji/3/203/933","http://ar.linkedin.com/pub/cecilia-hayafuji/3/203/933")</f>
        <v>http://ar.linkedin.com/pub/cecilia-hayafuji/3/203/933</v>
      </c>
      <c r="I2773" s="2" t="s">
        <v>15</v>
      </c>
      <c r="J2773" s="2" t="s">
        <v>21</v>
      </c>
      <c r="K2773" s="2" t="s">
        <v>5725</v>
      </c>
    </row>
    <row r="2774" ht="15.75" customHeight="1">
      <c r="A2774" s="2">
        <v>11167.0</v>
      </c>
      <c r="B2774" s="2" t="s">
        <v>5728</v>
      </c>
      <c r="C2774" s="2" t="s">
        <v>6296</v>
      </c>
      <c r="D2774" s="2" t="s">
        <v>6297</v>
      </c>
      <c r="E2774" s="2" t="s">
        <v>20</v>
      </c>
      <c r="F2774" s="2">
        <v>10.0</v>
      </c>
      <c r="G2774" s="2">
        <v>500.0</v>
      </c>
      <c r="H2774" s="3" t="str">
        <f>HYPERLINK("http://ar.linkedin.com/pub/maximiliano-ponton/1/B88/772","http://ar.linkedin.com/pub/maximiliano-ponton/1/B88/772")</f>
        <v>http://ar.linkedin.com/pub/maximiliano-ponton/1/B88/772</v>
      </c>
      <c r="I2774" s="2" t="s">
        <v>252</v>
      </c>
      <c r="J2774" s="2" t="s">
        <v>21</v>
      </c>
      <c r="K2774" s="2" t="s">
        <v>5727</v>
      </c>
    </row>
    <row r="2775" ht="15.75" customHeight="1">
      <c r="A2775" s="2">
        <v>11173.0</v>
      </c>
      <c r="B2775" s="2" t="s">
        <v>1789</v>
      </c>
      <c r="C2775" s="2" t="s">
        <v>6298</v>
      </c>
      <c r="D2775" s="2" t="s">
        <v>6299</v>
      </c>
      <c r="E2775" s="2" t="s">
        <v>255</v>
      </c>
      <c r="F2775" s="2">
        <v>10.0</v>
      </c>
      <c r="G2775" s="2">
        <v>500.0</v>
      </c>
      <c r="H2775" s="3" t="str">
        <f>HYPERLINK("http://www.linkedin.com/in/wilsongrava","http://www.linkedin.com/in/wilsongrava")</f>
        <v>http://www.linkedin.com/in/wilsongrava</v>
      </c>
      <c r="I2775" s="2" t="s">
        <v>15</v>
      </c>
      <c r="J2775" s="2" t="s">
        <v>102</v>
      </c>
      <c r="K2775" s="2" t="s">
        <v>5812</v>
      </c>
    </row>
    <row r="2776" ht="15.75" customHeight="1">
      <c r="A2776" s="2">
        <v>11177.0</v>
      </c>
      <c r="B2776" s="2" t="s">
        <v>6300</v>
      </c>
      <c r="C2776" s="2" t="s">
        <v>6301</v>
      </c>
      <c r="D2776" s="2" t="s">
        <v>42</v>
      </c>
      <c r="E2776" s="2" t="s">
        <v>20</v>
      </c>
      <c r="F2776" s="2">
        <v>13.0</v>
      </c>
      <c r="G2776" s="2">
        <v>387.0</v>
      </c>
      <c r="H2776" s="3" t="str">
        <f>HYPERLINK("http://ar.linkedin.com/in/sfranchi","http://ar.linkedin.com/in/sfranchi")</f>
        <v>http://ar.linkedin.com/in/sfranchi</v>
      </c>
      <c r="I2776" s="2" t="s">
        <v>1361</v>
      </c>
      <c r="J2776" s="2" t="s">
        <v>21</v>
      </c>
      <c r="K2776" s="2" t="s">
        <v>5727</v>
      </c>
    </row>
    <row r="2777" ht="15.75" customHeight="1">
      <c r="A2777" s="2">
        <v>11205.0</v>
      </c>
      <c r="B2777" s="2" t="s">
        <v>647</v>
      </c>
      <c r="C2777" s="2" t="s">
        <v>6302</v>
      </c>
      <c r="D2777" s="2" t="s">
        <v>615</v>
      </c>
      <c r="E2777" s="2" t="s">
        <v>6303</v>
      </c>
      <c r="F2777" s="2">
        <v>1.0</v>
      </c>
      <c r="G2777" s="2">
        <v>248.0</v>
      </c>
      <c r="H2777" s="3" t="str">
        <f>HYPERLINK("http://ar.linkedin.com/pub/claudio-revere/22/126/937","http://ar.linkedin.com/pub/claudio-revere/22/126/937")</f>
        <v>http://ar.linkedin.com/pub/claudio-revere/22/126/937</v>
      </c>
      <c r="I2777" s="2" t="s">
        <v>57</v>
      </c>
      <c r="J2777" s="2" t="s">
        <v>2258</v>
      </c>
      <c r="K2777" s="2" t="s">
        <v>5727</v>
      </c>
    </row>
    <row r="2778" ht="15.75" customHeight="1">
      <c r="A2778" s="2">
        <v>11212.0</v>
      </c>
      <c r="B2778" s="2" t="s">
        <v>609</v>
      </c>
      <c r="C2778" s="2" t="s">
        <v>6304</v>
      </c>
      <c r="D2778" s="2" t="s">
        <v>6305</v>
      </c>
      <c r="E2778" s="2" t="s">
        <v>20</v>
      </c>
      <c r="F2778" s="2">
        <v>34.0</v>
      </c>
      <c r="G2778" s="2">
        <v>500.0</v>
      </c>
      <c r="H2778" s="3" t="str">
        <f>HYPERLINK("http://ar.linkedin.com/pub/ricardo-palmieri/0/492/B04","http://ar.linkedin.com/pub/ricardo-palmieri/0/492/B04")</f>
        <v>http://ar.linkedin.com/pub/ricardo-palmieri/0/492/B04</v>
      </c>
      <c r="I2778" s="2" t="s">
        <v>105</v>
      </c>
      <c r="J2778" s="2" t="s">
        <v>21</v>
      </c>
      <c r="K2778" s="2" t="s">
        <v>5727</v>
      </c>
    </row>
    <row r="2779" ht="15.75" customHeight="1">
      <c r="A2779" s="2">
        <v>11229.0</v>
      </c>
      <c r="B2779" s="2" t="s">
        <v>1454</v>
      </c>
      <c r="C2779" s="2" t="s">
        <v>6306</v>
      </c>
      <c r="D2779" s="2" t="s">
        <v>13</v>
      </c>
      <c r="E2779" s="2" t="s">
        <v>20</v>
      </c>
      <c r="F2779" s="2">
        <v>14.0</v>
      </c>
      <c r="G2779" s="2">
        <v>218.0</v>
      </c>
      <c r="H2779" s="3" t="str">
        <f>HYPERLINK("http://www.linkedin.com/pub/alan-toto-molina/1b/422/416","http://www.linkedin.com/pub/alan-toto-molina/1b/422/416")</f>
        <v>http://www.linkedin.com/pub/alan-toto-molina/1b/422/416</v>
      </c>
      <c r="I2779" s="2" t="s">
        <v>105</v>
      </c>
      <c r="J2779" s="2" t="s">
        <v>21</v>
      </c>
      <c r="K2779" s="2" t="s">
        <v>5727</v>
      </c>
    </row>
    <row r="2780" ht="15.75" customHeight="1">
      <c r="A2780" s="2">
        <v>11237.0</v>
      </c>
      <c r="B2780" s="2" t="s">
        <v>5723</v>
      </c>
      <c r="C2780" s="2" t="s">
        <v>6307</v>
      </c>
      <c r="D2780" s="2" t="s">
        <v>6308</v>
      </c>
      <c r="E2780" s="2" t="s">
        <v>20</v>
      </c>
      <c r="F2780" s="2">
        <v>3.0</v>
      </c>
      <c r="G2780" s="2">
        <v>500.0</v>
      </c>
      <c r="H2780" s="3" t="str">
        <f>HYPERLINK("http://ar.linkedin.com/in/pablocroci","http://ar.linkedin.com/in/pablocroci")</f>
        <v>http://ar.linkedin.com/in/pablocroci</v>
      </c>
      <c r="I2780" s="2" t="s">
        <v>1398</v>
      </c>
      <c r="J2780" s="2" t="s">
        <v>21</v>
      </c>
      <c r="K2780" s="2" t="s">
        <v>5727</v>
      </c>
    </row>
    <row r="2781" ht="15.75" customHeight="1">
      <c r="A2781" s="2">
        <v>11250.0</v>
      </c>
      <c r="B2781" s="2" t="s">
        <v>6309</v>
      </c>
      <c r="C2781" s="2" t="s">
        <v>6310</v>
      </c>
      <c r="D2781" s="2" t="s">
        <v>6311</v>
      </c>
      <c r="E2781" s="2" t="s">
        <v>20</v>
      </c>
      <c r="F2781" s="2">
        <v>1.0</v>
      </c>
      <c r="G2781" s="2">
        <v>166.0</v>
      </c>
      <c r="H2781" s="3" t="str">
        <f>HYPERLINK("http://ar.linkedin.com/pub/mar%C3%ADa-bel%C3%A9n-fourcade/1A/290/868","http://ar.linkedin.com/pub/mar%C3%ADa-bel%C3%A9n-fourcade/1A/290/868")</f>
        <v>http://ar.linkedin.com/pub/mar%C3%ADa-bel%C3%A9n-fourcade/1A/290/868</v>
      </c>
      <c r="I2781" s="2" t="s">
        <v>2081</v>
      </c>
      <c r="J2781" s="2" t="s">
        <v>21</v>
      </c>
      <c r="K2781" s="2" t="s">
        <v>5734</v>
      </c>
    </row>
    <row r="2782" ht="15.75" customHeight="1">
      <c r="A2782" s="2">
        <v>11319.0</v>
      </c>
      <c r="B2782" s="2" t="s">
        <v>6312</v>
      </c>
      <c r="C2782" s="2" t="s">
        <v>6313</v>
      </c>
      <c r="D2782" s="2" t="s">
        <v>6314</v>
      </c>
      <c r="E2782" s="2" t="s">
        <v>20</v>
      </c>
      <c r="F2782" s="2">
        <v>5.0</v>
      </c>
      <c r="G2782" s="2">
        <v>500.0</v>
      </c>
      <c r="H2782" s="3" t="str">
        <f>HYPERLINK("http://ar.linkedin.com/in/milagrosdemattei","http://ar.linkedin.com/in/milagrosdemattei")</f>
        <v>http://ar.linkedin.com/in/milagrosdemattei</v>
      </c>
      <c r="I2782" s="2" t="s">
        <v>252</v>
      </c>
      <c r="J2782" s="2" t="s">
        <v>21</v>
      </c>
      <c r="K2782" s="2" t="s">
        <v>5727</v>
      </c>
    </row>
    <row r="2783" ht="15.75" customHeight="1">
      <c r="A2783" s="2">
        <v>11370.0</v>
      </c>
      <c r="B2783" s="2" t="s">
        <v>116</v>
      </c>
      <c r="C2783" s="2" t="s">
        <v>6315</v>
      </c>
      <c r="D2783" s="2" t="s">
        <v>6316</v>
      </c>
      <c r="E2783" s="2" t="s">
        <v>20</v>
      </c>
      <c r="F2783" s="2">
        <v>6.0</v>
      </c>
      <c r="G2783" s="2">
        <v>255.0</v>
      </c>
      <c r="H2783" s="3" t="str">
        <f>HYPERLINK("http://ar.linkedin.com/pub/alex-di-leo/2A/309/386","http://ar.linkedin.com/pub/alex-di-leo/2A/309/386")</f>
        <v>http://ar.linkedin.com/pub/alex-di-leo/2A/309/386</v>
      </c>
      <c r="I2783" s="2" t="s">
        <v>1421</v>
      </c>
      <c r="J2783" s="2" t="s">
        <v>21</v>
      </c>
      <c r="K2783" s="2" t="s">
        <v>5743</v>
      </c>
    </row>
    <row r="2784" ht="15.75" customHeight="1">
      <c r="A2784" s="2">
        <v>11373.0</v>
      </c>
      <c r="B2784" s="2" t="s">
        <v>1499</v>
      </c>
      <c r="C2784" s="2" t="s">
        <v>6317</v>
      </c>
      <c r="D2784" s="2" t="s">
        <v>6318</v>
      </c>
      <c r="E2784" s="2" t="s">
        <v>20</v>
      </c>
      <c r="F2784" s="2">
        <v>0.0</v>
      </c>
      <c r="G2784" s="2">
        <v>17.0</v>
      </c>
      <c r="H2784" s="3" t="str">
        <f>HYPERLINK("http://ar.linkedin.com/pub/adrian-broin/3/37A/AA5","http://ar.linkedin.com/pub/adrian-broin/3/37A/AA5")</f>
        <v>http://ar.linkedin.com/pub/adrian-broin/3/37A/AA5</v>
      </c>
      <c r="I2784" s="2" t="s">
        <v>48</v>
      </c>
      <c r="J2784" s="2" t="s">
        <v>21</v>
      </c>
      <c r="K2784" s="2" t="s">
        <v>5785</v>
      </c>
    </row>
    <row r="2785" ht="15.75" customHeight="1">
      <c r="A2785" s="2">
        <v>11419.0</v>
      </c>
      <c r="B2785" s="2" t="s">
        <v>6319</v>
      </c>
      <c r="C2785" s="2" t="s">
        <v>6320</v>
      </c>
      <c r="D2785" s="2" t="s">
        <v>6321</v>
      </c>
      <c r="E2785" s="2" t="s">
        <v>20</v>
      </c>
      <c r="F2785" s="2">
        <v>15.0</v>
      </c>
      <c r="G2785" s="2">
        <v>268.0</v>
      </c>
      <c r="H2785" s="3" t="str">
        <f>HYPERLINK("http://ar.linkedin.com/pub/alejo-avalos/1/120/A9B","http://ar.linkedin.com/pub/alejo-avalos/1/120/A9B")</f>
        <v>http://ar.linkedin.com/pub/alejo-avalos/1/120/A9B</v>
      </c>
      <c r="I2785" s="2" t="s">
        <v>105</v>
      </c>
      <c r="J2785" s="2" t="s">
        <v>21</v>
      </c>
      <c r="K2785" s="2" t="s">
        <v>5727</v>
      </c>
    </row>
    <row r="2786" ht="15.75" customHeight="1">
      <c r="A2786" s="2">
        <v>11424.0</v>
      </c>
      <c r="B2786" s="2" t="s">
        <v>637</v>
      </c>
      <c r="C2786" s="2" t="s">
        <v>6322</v>
      </c>
      <c r="D2786" s="2" t="s">
        <v>13</v>
      </c>
      <c r="E2786" s="2" t="s">
        <v>20</v>
      </c>
      <c r="F2786" s="2">
        <v>0.0</v>
      </c>
      <c r="G2786" s="2">
        <v>289.0</v>
      </c>
      <c r="H2786" s="3" t="str">
        <f>HYPERLINK("http://www.linkedin.com/pub/leonardo-helman/2a/374/91a","http://www.linkedin.com/pub/leonardo-helman/2a/374/91a")</f>
        <v>http://www.linkedin.com/pub/leonardo-helman/2a/374/91a</v>
      </c>
      <c r="I2786" s="2" t="s">
        <v>15</v>
      </c>
      <c r="J2786" s="2" t="s">
        <v>21</v>
      </c>
      <c r="K2786" s="2" t="s">
        <v>6178</v>
      </c>
    </row>
    <row r="2787" ht="15.75" customHeight="1">
      <c r="A2787" s="2">
        <v>11451.0</v>
      </c>
      <c r="B2787" s="2" t="s">
        <v>6323</v>
      </c>
      <c r="C2787" s="2" t="s">
        <v>5335</v>
      </c>
      <c r="D2787" s="2" t="s">
        <v>6324</v>
      </c>
      <c r="E2787" s="2" t="s">
        <v>1190</v>
      </c>
      <c r="F2787" s="2">
        <v>6.0</v>
      </c>
      <c r="G2787" s="2">
        <v>500.0</v>
      </c>
      <c r="H2787" s="3" t="str">
        <f>HYPERLINK("http://www.linkedin.com/in/joanharris","http://www.linkedin.com/in/joanharris")</f>
        <v>http://www.linkedin.com/in/joanharris</v>
      </c>
      <c r="I2787" s="2" t="s">
        <v>248</v>
      </c>
      <c r="J2787" s="2" t="s">
        <v>102</v>
      </c>
      <c r="K2787" s="2" t="s">
        <v>6325</v>
      </c>
    </row>
    <row r="2788" ht="15.75" customHeight="1">
      <c r="A2788" s="2">
        <v>11478.0</v>
      </c>
      <c r="B2788" s="2" t="s">
        <v>1201</v>
      </c>
      <c r="C2788" s="2" t="s">
        <v>6326</v>
      </c>
      <c r="D2788" s="2"/>
      <c r="E2788" s="2" t="s">
        <v>6327</v>
      </c>
      <c r="F2788" s="2">
        <v>15.0</v>
      </c>
      <c r="G2788" s="2">
        <v>500.0</v>
      </c>
      <c r="H2788" s="3" t="str">
        <f>HYPERLINK("http://www.linkedin.com/in/marcoheuer","http://www.linkedin.com/in/marcoheuer")</f>
        <v>http://www.linkedin.com/in/marcoheuer</v>
      </c>
      <c r="I2788" s="2" t="s">
        <v>15</v>
      </c>
      <c r="J2788" s="2" t="s">
        <v>337</v>
      </c>
      <c r="K2788" s="2" t="s">
        <v>5734</v>
      </c>
    </row>
    <row r="2789" ht="15.75" customHeight="1">
      <c r="A2789" s="2">
        <v>11484.0</v>
      </c>
      <c r="B2789" s="2" t="s">
        <v>5803</v>
      </c>
      <c r="C2789" s="2" t="s">
        <v>6328</v>
      </c>
      <c r="D2789" s="2" t="s">
        <v>13</v>
      </c>
      <c r="E2789" s="2" t="s">
        <v>2325</v>
      </c>
      <c r="F2789" s="2">
        <v>5.0</v>
      </c>
      <c r="G2789" s="2">
        <v>500.0</v>
      </c>
      <c r="H2789" s="3" t="str">
        <f>HYPERLINK("http://www.linkedin.com/pub/mariano-geuzi-karaian/1/808/b6","http://www.linkedin.com/pub/mariano-geuzi-karaian/1/808/b6")</f>
        <v>http://www.linkedin.com/pub/mariano-geuzi-karaian/1/808/b6</v>
      </c>
      <c r="I2789" s="2" t="s">
        <v>77</v>
      </c>
      <c r="J2789" s="2" t="s">
        <v>337</v>
      </c>
      <c r="K2789" s="2" t="s">
        <v>5743</v>
      </c>
    </row>
    <row r="2790" ht="15.75" customHeight="1">
      <c r="A2790" s="2">
        <v>11541.0</v>
      </c>
      <c r="B2790" s="2" t="s">
        <v>6329</v>
      </c>
      <c r="C2790" s="2" t="s">
        <v>13</v>
      </c>
      <c r="D2790" s="2" t="s">
        <v>13</v>
      </c>
      <c r="E2790" s="2" t="s">
        <v>20</v>
      </c>
      <c r="F2790" s="2">
        <v>0.0</v>
      </c>
      <c r="G2790" s="2">
        <v>452.0</v>
      </c>
      <c r="H2790" s="3" t="str">
        <f>HYPERLINK("http://www.linkedin.com/pub/carolina-rocchio/2/533/7b0","http://www.linkedin.com/pub/carolina-rocchio/2/533/7b0")</f>
        <v>http://www.linkedin.com/pub/carolina-rocchio/2/533/7b0</v>
      </c>
      <c r="I2790" s="2" t="s">
        <v>579</v>
      </c>
      <c r="J2790" s="2" t="s">
        <v>21</v>
      </c>
      <c r="K2790" s="2" t="s">
        <v>5731</v>
      </c>
    </row>
    <row r="2791" ht="15.75" customHeight="1">
      <c r="A2791" s="2">
        <v>11574.0</v>
      </c>
      <c r="B2791" s="2" t="s">
        <v>329</v>
      </c>
      <c r="C2791" s="2" t="s">
        <v>6330</v>
      </c>
      <c r="D2791" s="2" t="s">
        <v>6331</v>
      </c>
      <c r="E2791" s="2" t="s">
        <v>20</v>
      </c>
      <c r="F2791" s="2">
        <v>0.0</v>
      </c>
      <c r="G2791" s="2">
        <v>50.0</v>
      </c>
      <c r="H2791" s="3" t="str">
        <f>HYPERLINK("http://ar.linkedin.com/in/juanpablobresciani","http://ar.linkedin.com/in/juanpablobresciani")</f>
        <v>http://ar.linkedin.com/in/juanpablobresciani</v>
      </c>
      <c r="I2791" s="2" t="s">
        <v>48</v>
      </c>
      <c r="J2791" s="2" t="s">
        <v>21</v>
      </c>
      <c r="K2791" s="2" t="s">
        <v>5725</v>
      </c>
    </row>
    <row r="2792" ht="15.75" customHeight="1">
      <c r="A2792" s="2">
        <v>11582.0</v>
      </c>
      <c r="B2792" s="2" t="s">
        <v>3201</v>
      </c>
      <c r="C2792" s="2" t="s">
        <v>6332</v>
      </c>
      <c r="D2792" s="2" t="s">
        <v>13</v>
      </c>
      <c r="E2792" s="2" t="s">
        <v>20</v>
      </c>
      <c r="F2792" s="2">
        <v>3.0</v>
      </c>
      <c r="G2792" s="2">
        <v>402.0</v>
      </c>
      <c r="H2792" s="3" t="str">
        <f>HYPERLINK("http://www.linkedin.com/pub/sebastian-rohdenburg/6/633/249","http://www.linkedin.com/pub/sebastian-rohdenburg/6/633/249")</f>
        <v>http://www.linkedin.com/pub/sebastian-rohdenburg/6/633/249</v>
      </c>
      <c r="I2792" s="2" t="s">
        <v>48</v>
      </c>
      <c r="J2792" s="2" t="s">
        <v>21</v>
      </c>
      <c r="K2792" s="2" t="s">
        <v>5727</v>
      </c>
    </row>
    <row r="2793" ht="15.75" customHeight="1">
      <c r="A2793" s="2">
        <v>11601.0</v>
      </c>
      <c r="B2793" s="2" t="s">
        <v>6333</v>
      </c>
      <c r="C2793" s="2" t="s">
        <v>6334</v>
      </c>
      <c r="D2793" s="2" t="s">
        <v>2400</v>
      </c>
      <c r="E2793" s="2" t="s">
        <v>20</v>
      </c>
      <c r="F2793" s="2">
        <v>0.0</v>
      </c>
      <c r="G2793" s="2">
        <v>55.0</v>
      </c>
      <c r="H2793" s="3" t="str">
        <f>HYPERLINK("http://ar.linkedin.com/in/ricardomsoler","http://ar.linkedin.com/in/ricardomsoler")</f>
        <v>http://ar.linkedin.com/in/ricardomsoler</v>
      </c>
      <c r="I2793" s="2" t="s">
        <v>252</v>
      </c>
      <c r="J2793" s="2" t="s">
        <v>21</v>
      </c>
      <c r="K2793" s="2" t="s">
        <v>5994</v>
      </c>
    </row>
    <row r="2794" ht="15.75" customHeight="1">
      <c r="A2794" s="2">
        <v>11603.0</v>
      </c>
      <c r="B2794" s="2" t="s">
        <v>752</v>
      </c>
      <c r="C2794" s="2" t="s">
        <v>6335</v>
      </c>
      <c r="D2794" s="2" t="s">
        <v>6336</v>
      </c>
      <c r="E2794" s="2" t="s">
        <v>728</v>
      </c>
      <c r="F2794" s="2">
        <v>6.0</v>
      </c>
      <c r="G2794" s="2">
        <v>282.0</v>
      </c>
      <c r="H2794" s="3" t="str">
        <f>HYPERLINK("http://www.linkedin.com/pub/jim-kreuser/6/B32/B82","http://www.linkedin.com/pub/jim-kreuser/6/B32/B82")</f>
        <v>http://www.linkedin.com/pub/jim-kreuser/6/B32/B82</v>
      </c>
      <c r="I2794" s="2" t="s">
        <v>172</v>
      </c>
      <c r="J2794" s="2" t="s">
        <v>102</v>
      </c>
      <c r="K2794" s="2" t="s">
        <v>5743</v>
      </c>
    </row>
    <row r="2795" ht="15.75" customHeight="1">
      <c r="A2795" s="2">
        <v>11614.0</v>
      </c>
      <c r="B2795" s="2" t="s">
        <v>6337</v>
      </c>
      <c r="C2795" s="2" t="s">
        <v>6338</v>
      </c>
      <c r="D2795" s="2" t="s">
        <v>13</v>
      </c>
      <c r="E2795" s="2" t="s">
        <v>20</v>
      </c>
      <c r="F2795" s="2">
        <v>0.0</v>
      </c>
      <c r="G2795" s="2">
        <v>500.0</v>
      </c>
      <c r="H2795" s="3" t="str">
        <f>HYPERLINK("http://www.linkedin.com/pub/maria-georgette-p-papic-tellez/1/920/211","http://www.linkedin.com/pub/maria-georgette-p-papic-tellez/1/920/211")</f>
        <v>http://www.linkedin.com/pub/maria-georgette-p-papic-tellez/1/920/211</v>
      </c>
      <c r="I2795" s="2" t="s">
        <v>77</v>
      </c>
      <c r="J2795" s="2" t="s">
        <v>21</v>
      </c>
      <c r="K2795" s="2" t="s">
        <v>5785</v>
      </c>
    </row>
    <row r="2796" ht="15.75" customHeight="1">
      <c r="A2796" s="2">
        <v>11616.0</v>
      </c>
      <c r="B2796" s="2" t="s">
        <v>6339</v>
      </c>
      <c r="C2796" s="2" t="s">
        <v>6340</v>
      </c>
      <c r="D2796" s="2" t="s">
        <v>6341</v>
      </c>
      <c r="E2796" s="2" t="s">
        <v>20</v>
      </c>
      <c r="F2796" s="2">
        <v>0.0</v>
      </c>
      <c r="G2796" s="2">
        <v>48.0</v>
      </c>
      <c r="H2796" s="3" t="str">
        <f>HYPERLINK("http://ar.linkedin.com/pub/esteban-zeballos/23/A6/224","http://ar.linkedin.com/pub/esteban-zeballos/23/A6/224")</f>
        <v>http://ar.linkedin.com/pub/esteban-zeballos/23/A6/224</v>
      </c>
      <c r="I2796" s="2" t="s">
        <v>77</v>
      </c>
      <c r="J2796" s="2" t="s">
        <v>21</v>
      </c>
      <c r="K2796" s="2" t="s">
        <v>6342</v>
      </c>
    </row>
    <row r="2797" ht="15.75" customHeight="1">
      <c r="A2797" s="2">
        <v>11622.0</v>
      </c>
      <c r="B2797" s="2" t="s">
        <v>531</v>
      </c>
      <c r="C2797" s="2" t="s">
        <v>6343</v>
      </c>
      <c r="D2797" s="2" t="s">
        <v>6344</v>
      </c>
      <c r="E2797" s="2" t="s">
        <v>20</v>
      </c>
      <c r="F2797" s="2">
        <v>7.0</v>
      </c>
      <c r="G2797" s="2">
        <v>256.0</v>
      </c>
      <c r="H2797" s="3" t="str">
        <f>HYPERLINK("http://ar.linkedin.com/in/rubenalbertorestuccia","http://ar.linkedin.com/in/rubenalbertorestuccia")</f>
        <v>http://ar.linkedin.com/in/rubenalbertorestuccia</v>
      </c>
      <c r="I2797" s="2" t="s">
        <v>96</v>
      </c>
      <c r="J2797" s="2" t="s">
        <v>21</v>
      </c>
      <c r="K2797" s="2" t="s">
        <v>5727</v>
      </c>
    </row>
    <row r="2798" ht="15.75" customHeight="1">
      <c r="A2798" s="2">
        <v>11623.0</v>
      </c>
      <c r="B2798" s="2" t="s">
        <v>6345</v>
      </c>
      <c r="C2798" s="2" t="s">
        <v>6346</v>
      </c>
      <c r="D2798" s="2" t="s">
        <v>6347</v>
      </c>
      <c r="E2798" s="2" t="s">
        <v>992</v>
      </c>
      <c r="F2798" s="2">
        <v>2.0</v>
      </c>
      <c r="G2798" s="2">
        <v>500.0</v>
      </c>
      <c r="H2798" s="3" t="str">
        <f>HYPERLINK("http://www.linkedin.com/pub/albertina-meana/0/589/5B7","http://www.linkedin.com/pub/albertina-meana/0/589/5B7")</f>
        <v>http://www.linkedin.com/pub/albertina-meana/0/589/5B7</v>
      </c>
      <c r="I2798" s="2" t="s">
        <v>470</v>
      </c>
      <c r="J2798" s="2" t="s">
        <v>102</v>
      </c>
      <c r="K2798" s="2" t="s">
        <v>5823</v>
      </c>
    </row>
    <row r="2799" ht="15.75" customHeight="1">
      <c r="A2799" s="2">
        <v>11630.0</v>
      </c>
      <c r="B2799" s="2" t="s">
        <v>6348</v>
      </c>
      <c r="C2799" s="2" t="s">
        <v>6349</v>
      </c>
      <c r="D2799" s="2" t="s">
        <v>6350</v>
      </c>
      <c r="E2799" s="2" t="s">
        <v>20</v>
      </c>
      <c r="F2799" s="2">
        <v>1.0</v>
      </c>
      <c r="G2799" s="2">
        <v>294.0</v>
      </c>
      <c r="H2799" s="3" t="str">
        <f>HYPERLINK("http://ar.linkedin.com/pub/n%C3%A9stor-gerardini/13/8B/276","http://ar.linkedin.com/pub/n%C3%A9stor-gerardini/13/8B/276")</f>
        <v>http://ar.linkedin.com/pub/n%C3%A9stor-gerardini/13/8B/276</v>
      </c>
      <c r="I2799" s="2" t="s">
        <v>57</v>
      </c>
      <c r="J2799" s="2" t="s">
        <v>21</v>
      </c>
      <c r="K2799" s="2" t="s">
        <v>5725</v>
      </c>
    </row>
    <row r="2800" ht="15.75" customHeight="1">
      <c r="A2800" s="2">
        <v>11635.0</v>
      </c>
      <c r="B2800" s="2" t="s">
        <v>6351</v>
      </c>
      <c r="C2800" s="2" t="s">
        <v>6352</v>
      </c>
      <c r="D2800" s="2" t="s">
        <v>6040</v>
      </c>
      <c r="E2800" s="2" t="s">
        <v>20</v>
      </c>
      <c r="F2800" s="2">
        <v>2.0</v>
      </c>
      <c r="G2800" s="2">
        <v>479.0</v>
      </c>
      <c r="H2800" s="3" t="str">
        <f>HYPERLINK("http://ar.linkedin.com/pub/nanci-rinaldi/12/837/399","http://ar.linkedin.com/pub/nanci-rinaldi/12/837/399")</f>
        <v>http://ar.linkedin.com/pub/nanci-rinaldi/12/837/399</v>
      </c>
      <c r="I2800" s="2" t="s">
        <v>57</v>
      </c>
      <c r="J2800" s="2" t="s">
        <v>21</v>
      </c>
      <c r="K2800" s="2" t="s">
        <v>5727</v>
      </c>
    </row>
    <row r="2801" ht="15.75" customHeight="1">
      <c r="A2801" s="2">
        <v>11645.0</v>
      </c>
      <c r="B2801" s="2" t="s">
        <v>45</v>
      </c>
      <c r="C2801" s="2" t="s">
        <v>6353</v>
      </c>
      <c r="D2801" s="2" t="s">
        <v>6354</v>
      </c>
      <c r="E2801" s="2" t="s">
        <v>20</v>
      </c>
      <c r="F2801" s="2">
        <v>6.0</v>
      </c>
      <c r="G2801" s="2">
        <v>167.0</v>
      </c>
      <c r="H2801" s="3" t="str">
        <f>HYPERLINK("http://ar.linkedin.com/in/carloscastel","http://ar.linkedin.com/in/carloscastel")</f>
        <v>http://ar.linkedin.com/in/carloscastel</v>
      </c>
      <c r="I2801" s="2" t="s">
        <v>2268</v>
      </c>
      <c r="J2801" s="2" t="s">
        <v>21</v>
      </c>
      <c r="K2801" s="2" t="s">
        <v>5727</v>
      </c>
    </row>
    <row r="2802" ht="15.75" customHeight="1">
      <c r="A2802" s="2">
        <v>11703.0</v>
      </c>
      <c r="B2802" s="2" t="s">
        <v>6355</v>
      </c>
      <c r="C2802" s="2" t="s">
        <v>643</v>
      </c>
      <c r="D2802" s="2" t="s">
        <v>1865</v>
      </c>
      <c r="E2802" s="2" t="s">
        <v>6356</v>
      </c>
      <c r="F2802" s="2">
        <v>1.0</v>
      </c>
      <c r="G2802" s="2">
        <v>261.0</v>
      </c>
      <c r="H2802" s="3" t="str">
        <f>HYPERLINK("http://ar.linkedin.com/pub/jeronimo-shannon/28/8B8/79A","http://ar.linkedin.com/pub/jeronimo-shannon/28/8B8/79A")</f>
        <v>http://ar.linkedin.com/pub/jeronimo-shannon/28/8B8/79A</v>
      </c>
      <c r="I2802" s="2" t="s">
        <v>15</v>
      </c>
      <c r="J2802" s="2" t="s">
        <v>220</v>
      </c>
      <c r="K2802" s="2" t="s">
        <v>5743</v>
      </c>
    </row>
    <row r="2803" ht="15.75" customHeight="1">
      <c r="A2803" s="2">
        <v>11721.0</v>
      </c>
      <c r="B2803" s="2" t="s">
        <v>5803</v>
      </c>
      <c r="C2803" s="2" t="s">
        <v>6357</v>
      </c>
      <c r="D2803" s="2" t="s">
        <v>6098</v>
      </c>
      <c r="E2803" s="2" t="s">
        <v>20</v>
      </c>
      <c r="F2803" s="2">
        <v>1.0</v>
      </c>
      <c r="G2803" s="2">
        <v>14.0</v>
      </c>
      <c r="H2803" s="3" t="str">
        <f>HYPERLINK("http://ar.linkedin.com/pub/mariano-guzm%C3%A1n/14/851/BB6","http://ar.linkedin.com/pub/mariano-guzm%C3%A1n/14/851/BB6")</f>
        <v>http://ar.linkedin.com/pub/mariano-guzm%C3%A1n/14/851/BB6</v>
      </c>
      <c r="I2803" s="2" t="s">
        <v>15</v>
      </c>
      <c r="J2803" s="2" t="s">
        <v>21</v>
      </c>
      <c r="K2803" s="2" t="s">
        <v>5819</v>
      </c>
    </row>
    <row r="2804" ht="15.75" customHeight="1">
      <c r="A2804" s="2">
        <v>11731.0</v>
      </c>
      <c r="B2804" s="2" t="s">
        <v>6358</v>
      </c>
      <c r="C2804" s="2" t="s">
        <v>6359</v>
      </c>
      <c r="D2804" s="2" t="s">
        <v>6360</v>
      </c>
      <c r="E2804" s="2" t="s">
        <v>628</v>
      </c>
      <c r="F2804" s="2">
        <v>2.0</v>
      </c>
      <c r="G2804" s="2">
        <v>471.0</v>
      </c>
      <c r="H2804" s="3" t="str">
        <f>HYPERLINK("http://www.linkedin.com/in/devinhenkel","http://www.linkedin.com/in/devinhenkel")</f>
        <v>http://www.linkedin.com/in/devinhenkel</v>
      </c>
      <c r="I2804" s="2" t="s">
        <v>599</v>
      </c>
      <c r="J2804" s="2" t="s">
        <v>102</v>
      </c>
      <c r="K2804" s="2" t="s">
        <v>5725</v>
      </c>
    </row>
    <row r="2805" ht="15.75" customHeight="1">
      <c r="A2805" s="2">
        <v>11733.0</v>
      </c>
      <c r="B2805" s="2" t="s">
        <v>341</v>
      </c>
      <c r="C2805" s="2" t="s">
        <v>6361</v>
      </c>
      <c r="D2805" s="2" t="s">
        <v>4291</v>
      </c>
      <c r="E2805" s="2" t="s">
        <v>762</v>
      </c>
      <c r="F2805" s="2">
        <v>11.0</v>
      </c>
      <c r="G2805" s="2">
        <v>366.0</v>
      </c>
      <c r="H2805" s="3" t="str">
        <f>HYPERLINK("http://www.linkedin.com/in/kevincallihan","http://www.linkedin.com/in/kevincallihan")</f>
        <v>http://www.linkedin.com/in/kevincallihan</v>
      </c>
      <c r="I2805" s="2" t="s">
        <v>69</v>
      </c>
      <c r="J2805" s="2" t="s">
        <v>102</v>
      </c>
      <c r="K2805" s="2" t="s">
        <v>5812</v>
      </c>
    </row>
    <row r="2806" ht="15.75" customHeight="1">
      <c r="A2806" s="2">
        <v>11762.0</v>
      </c>
      <c r="B2806" s="2" t="s">
        <v>6362</v>
      </c>
      <c r="C2806" s="2" t="s">
        <v>6363</v>
      </c>
      <c r="D2806" s="2" t="s">
        <v>6364</v>
      </c>
      <c r="E2806" s="2" t="s">
        <v>628</v>
      </c>
      <c r="F2806" s="2">
        <v>13.0</v>
      </c>
      <c r="G2806" s="2">
        <v>138.0</v>
      </c>
      <c r="H2806" s="3" t="str">
        <f>HYPERLINK("http://www.linkedin.com/in/inarachern","http://www.linkedin.com/in/inarachern")</f>
        <v>http://www.linkedin.com/in/inarachern</v>
      </c>
      <c r="I2806" s="2" t="s">
        <v>2443</v>
      </c>
      <c r="J2806" s="2" t="s">
        <v>102</v>
      </c>
      <c r="K2806" s="2" t="s">
        <v>5734</v>
      </c>
    </row>
    <row r="2807" ht="15.75" customHeight="1">
      <c r="A2807" s="2">
        <v>11768.0</v>
      </c>
      <c r="B2807" s="2" t="s">
        <v>710</v>
      </c>
      <c r="C2807" s="2" t="s">
        <v>6365</v>
      </c>
      <c r="D2807" s="2" t="s">
        <v>6366</v>
      </c>
      <c r="E2807" s="2" t="s">
        <v>2426</v>
      </c>
      <c r="F2807" s="2">
        <v>19.0</v>
      </c>
      <c r="G2807" s="2">
        <v>193.0</v>
      </c>
      <c r="H2807" s="3" t="str">
        <f>HYPERLINK("http://www.linkedin.com/pub/jason-fournier/7/1A5/470","http://www.linkedin.com/pub/jason-fournier/7/1A5/470")</f>
        <v>http://www.linkedin.com/pub/jason-fournier/7/1A5/470</v>
      </c>
      <c r="I2807" s="2" t="s">
        <v>612</v>
      </c>
      <c r="J2807" s="2" t="s">
        <v>102</v>
      </c>
      <c r="K2807" s="2" t="s">
        <v>6096</v>
      </c>
    </row>
    <row r="2808" ht="15.75" customHeight="1">
      <c r="A2808" s="2">
        <v>11772.0</v>
      </c>
      <c r="B2808" s="2" t="s">
        <v>6367</v>
      </c>
      <c r="C2808" s="2" t="s">
        <v>6368</v>
      </c>
      <c r="D2808" s="2" t="s">
        <v>6042</v>
      </c>
      <c r="E2808" s="2" t="s">
        <v>20</v>
      </c>
      <c r="F2808" s="2">
        <v>2.0</v>
      </c>
      <c r="G2808" s="2">
        <v>216.0</v>
      </c>
      <c r="H2808" s="3" t="str">
        <f>HYPERLINK("http://ar.linkedin.com/pub/adri%C3%A1n-russo/5/77/47B","http://ar.linkedin.com/pub/adri%C3%A1n-russo/5/77/47B")</f>
        <v>http://ar.linkedin.com/pub/adri%C3%A1n-russo/5/77/47B</v>
      </c>
      <c r="I2808" s="2" t="s">
        <v>612</v>
      </c>
      <c r="J2808" s="2" t="s">
        <v>21</v>
      </c>
      <c r="K2808" s="2" t="s">
        <v>5727</v>
      </c>
    </row>
    <row r="2809" ht="15.75" customHeight="1">
      <c r="A2809" s="2">
        <v>11810.0</v>
      </c>
      <c r="B2809" s="2" t="s">
        <v>341</v>
      </c>
      <c r="C2809" s="2" t="s">
        <v>1586</v>
      </c>
      <c r="D2809" s="2" t="s">
        <v>6369</v>
      </c>
      <c r="E2809" s="2" t="s">
        <v>1407</v>
      </c>
      <c r="F2809" s="2">
        <v>0.0</v>
      </c>
      <c r="G2809" s="2">
        <v>228.0</v>
      </c>
      <c r="H2809" s="3" t="str">
        <f>HYPERLINK("http://www.linkedin.com/pub/kevin-hughes/1/43A/775","http://www.linkedin.com/pub/kevin-hughes/1/43A/775")</f>
        <v>http://www.linkedin.com/pub/kevin-hughes/1/43A/775</v>
      </c>
      <c r="I2809" s="2" t="s">
        <v>1728</v>
      </c>
      <c r="J2809" s="2" t="s">
        <v>102</v>
      </c>
      <c r="K2809" s="2" t="s">
        <v>5743</v>
      </c>
    </row>
    <row r="2810" ht="15.75" customHeight="1">
      <c r="A2810" s="2">
        <v>11854.0</v>
      </c>
      <c r="B2810" s="2" t="s">
        <v>253</v>
      </c>
      <c r="C2810" s="2" t="s">
        <v>6370</v>
      </c>
      <c r="D2810" s="2" t="s">
        <v>6371</v>
      </c>
      <c r="E2810" s="2" t="s">
        <v>20</v>
      </c>
      <c r="F2810" s="2">
        <v>2.0</v>
      </c>
      <c r="G2810" s="2">
        <v>480.0</v>
      </c>
      <c r="H2810" s="3" t="str">
        <f>HYPERLINK("http://ar.linkedin.com/in/fernandovitale","http://ar.linkedin.com/in/fernandovitale")</f>
        <v>http://ar.linkedin.com/in/fernandovitale</v>
      </c>
      <c r="I2810" s="2" t="s">
        <v>172</v>
      </c>
      <c r="J2810" s="2" t="s">
        <v>21</v>
      </c>
      <c r="K2810" s="2" t="s">
        <v>5731</v>
      </c>
    </row>
    <row r="2811" ht="15.75" customHeight="1">
      <c r="A2811" s="2">
        <v>11858.0</v>
      </c>
      <c r="B2811" s="2" t="s">
        <v>6372</v>
      </c>
      <c r="C2811" s="2" t="s">
        <v>6307</v>
      </c>
      <c r="D2811" s="2" t="s">
        <v>6373</v>
      </c>
      <c r="E2811" s="2" t="s">
        <v>728</v>
      </c>
      <c r="F2811" s="2">
        <v>9.0</v>
      </c>
      <c r="G2811" s="2">
        <v>250.0</v>
      </c>
      <c r="H2811" s="3" t="str">
        <f>HYPERLINK("http://www.linkedin.com/pub/annette-croci/4/374/2AA","http://www.linkedin.com/pub/annette-croci/4/374/2AA")</f>
        <v>http://www.linkedin.com/pub/annette-croci/4/374/2AA</v>
      </c>
      <c r="I2811" s="2" t="s">
        <v>172</v>
      </c>
      <c r="J2811" s="2" t="s">
        <v>102</v>
      </c>
      <c r="K2811" s="2" t="s">
        <v>6280</v>
      </c>
    </row>
    <row r="2812" ht="15.75" customHeight="1">
      <c r="A2812" s="2">
        <v>11921.0</v>
      </c>
      <c r="B2812" s="2" t="s">
        <v>5337</v>
      </c>
      <c r="C2812" s="2" t="s">
        <v>6374</v>
      </c>
      <c r="D2812" s="2" t="s">
        <v>6375</v>
      </c>
      <c r="E2812" s="2" t="s">
        <v>728</v>
      </c>
      <c r="F2812" s="2">
        <v>13.0</v>
      </c>
      <c r="G2812" s="2">
        <v>500.0</v>
      </c>
      <c r="H2812" s="3" t="str">
        <f>HYPERLINK("http://www.linkedin.com/in/brentjgreen","http://www.linkedin.com/in/brentjgreen")</f>
        <v>http://www.linkedin.com/in/brentjgreen</v>
      </c>
      <c r="I2812" s="2" t="s">
        <v>475</v>
      </c>
      <c r="J2812" s="2" t="s">
        <v>102</v>
      </c>
      <c r="K2812" s="2" t="s">
        <v>6376</v>
      </c>
    </row>
    <row r="2813" ht="15.75" customHeight="1">
      <c r="A2813" s="2">
        <v>11926.0</v>
      </c>
      <c r="B2813" s="2" t="s">
        <v>6377</v>
      </c>
      <c r="C2813" s="2" t="s">
        <v>6378</v>
      </c>
      <c r="D2813" s="2" t="s">
        <v>2446</v>
      </c>
      <c r="E2813" s="2" t="s">
        <v>20</v>
      </c>
      <c r="F2813" s="2">
        <v>0.0</v>
      </c>
      <c r="G2813" s="2">
        <v>500.0</v>
      </c>
      <c r="H2813" s="3" t="str">
        <f>HYPERLINK("http://ar.linkedin.com/pub/giselle-risso/22/372/765","http://ar.linkedin.com/pub/giselle-risso/22/372/765")</f>
        <v>http://ar.linkedin.com/pub/giselle-risso/22/372/765</v>
      </c>
      <c r="I2813" s="2" t="s">
        <v>458</v>
      </c>
      <c r="J2813" s="2" t="s">
        <v>21</v>
      </c>
      <c r="K2813" s="2" t="s">
        <v>5734</v>
      </c>
    </row>
    <row r="2814" ht="15.75" customHeight="1">
      <c r="A2814" s="2">
        <v>11963.0</v>
      </c>
      <c r="B2814" s="2" t="s">
        <v>6379</v>
      </c>
      <c r="C2814" s="2" t="s">
        <v>6380</v>
      </c>
      <c r="D2814" s="2" t="s">
        <v>13</v>
      </c>
      <c r="E2814" s="2" t="s">
        <v>20</v>
      </c>
      <c r="F2814" s="2">
        <v>0.0</v>
      </c>
      <c r="G2814" s="2">
        <v>183.0</v>
      </c>
      <c r="H2814" s="3" t="str">
        <f>HYPERLINK("http://www.linkedin.com/pub/martin-pablo-schulz/5/1b5/1bb","http://www.linkedin.com/pub/martin-pablo-schulz/5/1b5/1bb")</f>
        <v>http://www.linkedin.com/pub/martin-pablo-schulz/5/1b5/1bb</v>
      </c>
      <c r="I2814" s="2" t="s">
        <v>48</v>
      </c>
      <c r="J2814" s="2" t="s">
        <v>21</v>
      </c>
      <c r="K2814" s="2" t="s">
        <v>5725</v>
      </c>
    </row>
    <row r="2815" ht="15.75" customHeight="1">
      <c r="A2815" s="2">
        <v>11982.0</v>
      </c>
      <c r="B2815" s="2" t="s">
        <v>3178</v>
      </c>
      <c r="C2815" s="2" t="s">
        <v>6381</v>
      </c>
      <c r="D2815" s="2" t="s">
        <v>13</v>
      </c>
      <c r="E2815" s="2" t="s">
        <v>20</v>
      </c>
      <c r="F2815" s="2">
        <v>0.0</v>
      </c>
      <c r="G2815" s="2">
        <v>77.0</v>
      </c>
      <c r="H2815" s="3" t="str">
        <f>HYPERLINK("http://www.linkedin.com/pub/lucas-trippi/1a/643/949","http://www.linkedin.com/pub/lucas-trippi/1a/643/949")</f>
        <v>http://www.linkedin.com/pub/lucas-trippi/1a/643/949</v>
      </c>
      <c r="I2815" s="2" t="s">
        <v>15</v>
      </c>
      <c r="J2815" s="2" t="s">
        <v>21</v>
      </c>
      <c r="K2815" s="2" t="s">
        <v>5819</v>
      </c>
    </row>
    <row r="2816" ht="15.75" customHeight="1">
      <c r="A2816" s="2">
        <v>12003.0</v>
      </c>
      <c r="B2816" s="2" t="s">
        <v>5585</v>
      </c>
      <c r="C2816" s="2" t="s">
        <v>6382</v>
      </c>
      <c r="D2816" s="2"/>
      <c r="E2816" s="2" t="s">
        <v>4967</v>
      </c>
      <c r="F2816" s="2">
        <v>0.0</v>
      </c>
      <c r="G2816" s="2">
        <v>500.0</v>
      </c>
      <c r="H2816" s="3" t="str">
        <f>HYPERLINK("http://uk.linkedin.com/pub/julie-towers/1/3A5/B29","http://uk.linkedin.com/pub/julie-towers/1/3A5/B29")</f>
        <v>http://uk.linkedin.com/pub/julie-towers/1/3A5/B29</v>
      </c>
      <c r="I2816" s="2" t="s">
        <v>458</v>
      </c>
      <c r="J2816" s="2" t="s">
        <v>53</v>
      </c>
      <c r="K2816" s="2" t="s">
        <v>5785</v>
      </c>
    </row>
    <row r="2817" ht="15.75" customHeight="1">
      <c r="A2817" s="2">
        <v>12009.0</v>
      </c>
      <c r="B2817" s="2" t="s">
        <v>460</v>
      </c>
      <c r="C2817" s="2" t="s">
        <v>6383</v>
      </c>
      <c r="D2817" s="2"/>
      <c r="E2817" s="2" t="s">
        <v>122</v>
      </c>
      <c r="F2817" s="2">
        <v>0.0</v>
      </c>
      <c r="G2817" s="2">
        <v>297.0</v>
      </c>
      <c r="H2817" s="3" t="str">
        <f>HYPERLINK("http://uk.linkedin.com/pub/john-quirk/3/55B/4A7","http://uk.linkedin.com/pub/john-quirk/3/55B/4A7")</f>
        <v>http://uk.linkedin.com/pub/john-quirk/3/55B/4A7</v>
      </c>
      <c r="I2817" s="2" t="s">
        <v>248</v>
      </c>
      <c r="J2817" s="2" t="s">
        <v>53</v>
      </c>
      <c r="K2817" s="2" t="s">
        <v>5743</v>
      </c>
    </row>
    <row r="2818" ht="15.75" customHeight="1">
      <c r="A2818" s="2">
        <v>12010.0</v>
      </c>
      <c r="B2818" s="2" t="s">
        <v>2153</v>
      </c>
      <c r="C2818" s="2" t="s">
        <v>6384</v>
      </c>
      <c r="D2818" s="2" t="s">
        <v>835</v>
      </c>
      <c r="E2818" s="2" t="s">
        <v>1672</v>
      </c>
      <c r="F2818" s="2">
        <v>3.0</v>
      </c>
      <c r="G2818" s="2">
        <v>383.0</v>
      </c>
      <c r="H2818" s="3" t="str">
        <f>HYPERLINK("http://uk.linkedin.com/pub/nick-vaughan/1A/741/109","http://uk.linkedin.com/pub/nick-vaughan/1A/741/109")</f>
        <v>http://uk.linkedin.com/pub/nick-vaughan/1A/741/109</v>
      </c>
      <c r="I2818" s="2" t="s">
        <v>268</v>
      </c>
      <c r="J2818" s="2" t="s">
        <v>53</v>
      </c>
      <c r="K2818" s="2" t="s">
        <v>5743</v>
      </c>
    </row>
    <row r="2819" ht="15.75" customHeight="1">
      <c r="A2819" s="2">
        <v>12011.0</v>
      </c>
      <c r="B2819" s="2" t="s">
        <v>6385</v>
      </c>
      <c r="C2819" s="2" t="s">
        <v>6386</v>
      </c>
      <c r="D2819" s="2" t="s">
        <v>289</v>
      </c>
      <c r="E2819" s="2" t="s">
        <v>122</v>
      </c>
      <c r="F2819" s="2">
        <v>7.0</v>
      </c>
      <c r="G2819" s="2">
        <v>292.0</v>
      </c>
      <c r="H2819" s="3" t="str">
        <f>HYPERLINK("http://uk.linkedin.com/pub/robbie-o-driscoll/15/8BB/AA3","http://uk.linkedin.com/pub/robbie-o-driscoll/15/8BB/AA3")</f>
        <v>http://uk.linkedin.com/pub/robbie-o-driscoll/15/8BB/AA3</v>
      </c>
      <c r="I2819" s="2" t="s">
        <v>1094</v>
      </c>
      <c r="J2819" s="2" t="s">
        <v>53</v>
      </c>
      <c r="K2819" s="2" t="s">
        <v>5727</v>
      </c>
    </row>
    <row r="2820" ht="15.75" customHeight="1">
      <c r="A2820" s="2">
        <v>12015.0</v>
      </c>
      <c r="B2820" s="2" t="s">
        <v>3851</v>
      </c>
      <c r="C2820" s="2" t="s">
        <v>6387</v>
      </c>
      <c r="D2820" s="2" t="s">
        <v>428</v>
      </c>
      <c r="E2820" s="2" t="s">
        <v>1288</v>
      </c>
      <c r="F2820" s="2">
        <v>6.0</v>
      </c>
      <c r="G2820" s="2">
        <v>331.0</v>
      </c>
      <c r="H2820" s="3" t="str">
        <f>HYPERLINK("http://uk.linkedin.com/pub/wayne-kavanagh/10/339/B53","http://uk.linkedin.com/pub/wayne-kavanagh/10/339/B53")</f>
        <v>http://uk.linkedin.com/pub/wayne-kavanagh/10/339/B53</v>
      </c>
      <c r="I2820" s="2" t="s">
        <v>1094</v>
      </c>
      <c r="J2820" s="2" t="s">
        <v>53</v>
      </c>
      <c r="K2820" s="2" t="s">
        <v>6388</v>
      </c>
    </row>
    <row r="2821" ht="15.75" customHeight="1">
      <c r="A2821" s="2">
        <v>12018.0</v>
      </c>
      <c r="B2821" s="2" t="s">
        <v>433</v>
      </c>
      <c r="C2821" s="2" t="s">
        <v>6389</v>
      </c>
      <c r="D2821" s="2" t="s">
        <v>289</v>
      </c>
      <c r="E2821" s="2" t="s">
        <v>1288</v>
      </c>
      <c r="F2821" s="2">
        <v>9.0</v>
      </c>
      <c r="G2821" s="2">
        <v>361.0</v>
      </c>
      <c r="H2821" s="3" t="str">
        <f>HYPERLINK("http://uk.linkedin.com/pub/andy-kreppel/6/233/7B6","http://uk.linkedin.com/pub/andy-kreppel/6/233/7B6")</f>
        <v>http://uk.linkedin.com/pub/andy-kreppel/6/233/7B6</v>
      </c>
      <c r="I2821" s="2" t="s">
        <v>57</v>
      </c>
      <c r="J2821" s="2" t="s">
        <v>53</v>
      </c>
      <c r="K2821" s="2" t="s">
        <v>5743</v>
      </c>
    </row>
    <row r="2822" ht="15.75" customHeight="1">
      <c r="A2822" s="2">
        <v>12019.0</v>
      </c>
      <c r="B2822" s="2" t="s">
        <v>6390</v>
      </c>
      <c r="C2822" s="2" t="s">
        <v>1247</v>
      </c>
      <c r="D2822" s="2" t="s">
        <v>289</v>
      </c>
      <c r="E2822" s="2" t="s">
        <v>1288</v>
      </c>
      <c r="F2822" s="2">
        <v>0.0</v>
      </c>
      <c r="G2822" s="2">
        <v>180.0</v>
      </c>
      <c r="H2822" s="3" t="str">
        <f>HYPERLINK("http://uk.linkedin.com/pub/gail-khan/18/447/48","http://uk.linkedin.com/pub/gail-khan/18/447/48")</f>
        <v>http://uk.linkedin.com/pub/gail-khan/18/447/48</v>
      </c>
      <c r="I2822" s="2" t="s">
        <v>57</v>
      </c>
      <c r="J2822" s="2" t="s">
        <v>53</v>
      </c>
      <c r="K2822" s="2" t="s">
        <v>5785</v>
      </c>
    </row>
    <row r="2823" ht="15.75" customHeight="1">
      <c r="A2823" s="2">
        <v>12029.0</v>
      </c>
      <c r="B2823" s="2" t="s">
        <v>717</v>
      </c>
      <c r="C2823" s="2" t="s">
        <v>6391</v>
      </c>
      <c r="D2823" s="2" t="s">
        <v>13</v>
      </c>
      <c r="E2823" s="2" t="s">
        <v>20</v>
      </c>
      <c r="F2823" s="2">
        <v>0.0</v>
      </c>
      <c r="G2823" s="2">
        <v>500.0</v>
      </c>
      <c r="H2823" s="3" t="str">
        <f>HYPERLINK("http://www.linkedin.com/pub/felix-laguzzi-arduino/0/171/406","http://www.linkedin.com/pub/felix-laguzzi-arduino/0/171/406")</f>
        <v>http://www.linkedin.com/pub/felix-laguzzi-arduino/0/171/406</v>
      </c>
      <c r="I2823" s="2" t="s">
        <v>15</v>
      </c>
      <c r="J2823" s="2" t="s">
        <v>21</v>
      </c>
      <c r="K2823" s="2" t="s">
        <v>5725</v>
      </c>
    </row>
    <row r="2824" ht="15.75" customHeight="1">
      <c r="A2824" s="2">
        <v>12033.0</v>
      </c>
      <c r="B2824" s="2" t="s">
        <v>6093</v>
      </c>
      <c r="C2824" s="2" t="s">
        <v>2135</v>
      </c>
      <c r="D2824" s="2" t="s">
        <v>347</v>
      </c>
      <c r="E2824" s="2" t="s">
        <v>20</v>
      </c>
      <c r="F2824" s="2">
        <v>2.0</v>
      </c>
      <c r="G2824" s="2">
        <v>500.0</v>
      </c>
      <c r="H2824" s="3" t="str">
        <f>HYPERLINK("http://ar.linkedin.com/pub/nicol%C3%A1s-gutierrez/26/75A/998","http://ar.linkedin.com/pub/nicol%C3%A1s-gutierrez/26/75A/998")</f>
        <v>http://ar.linkedin.com/pub/nicol%C3%A1s-gutierrez/26/75A/998</v>
      </c>
      <c r="I2824" s="2" t="s">
        <v>105</v>
      </c>
      <c r="J2824" s="2" t="s">
        <v>21</v>
      </c>
      <c r="K2824" s="2" t="s">
        <v>5734</v>
      </c>
    </row>
    <row r="2825" ht="15.75" customHeight="1">
      <c r="A2825" s="2">
        <v>12101.0</v>
      </c>
      <c r="B2825" s="2" t="s">
        <v>6392</v>
      </c>
      <c r="C2825" s="2" t="s">
        <v>6393</v>
      </c>
      <c r="D2825" s="2" t="s">
        <v>6394</v>
      </c>
      <c r="E2825" s="2" t="s">
        <v>20</v>
      </c>
      <c r="F2825" s="2">
        <v>9.0</v>
      </c>
      <c r="G2825" s="2">
        <v>189.0</v>
      </c>
      <c r="H2825" s="3" t="str">
        <f>HYPERLINK("http://ar.linkedin.com/in/pablogastongutierrez","http://ar.linkedin.com/in/pablogastongutierrez")</f>
        <v>http://ar.linkedin.com/in/pablogastongutierrez</v>
      </c>
      <c r="I2825" s="2" t="s">
        <v>1398</v>
      </c>
      <c r="J2825" s="2" t="s">
        <v>21</v>
      </c>
      <c r="K2825" s="2" t="s">
        <v>6075</v>
      </c>
    </row>
    <row r="2826" ht="15.75" customHeight="1">
      <c r="A2826" s="2">
        <v>12107.0</v>
      </c>
      <c r="B2826" s="2" t="s">
        <v>6395</v>
      </c>
      <c r="C2826" s="2" t="s">
        <v>6396</v>
      </c>
      <c r="D2826" s="2" t="s">
        <v>6397</v>
      </c>
      <c r="E2826" s="2" t="s">
        <v>20</v>
      </c>
      <c r="F2826" s="2">
        <v>28.0</v>
      </c>
      <c r="G2826" s="2">
        <v>500.0</v>
      </c>
      <c r="H2826" s="3" t="str">
        <f>HYPERLINK("http://ar.linkedin.com/in/carloscrovara","http://ar.linkedin.com/in/carloscrovara")</f>
        <v>http://ar.linkedin.com/in/carloscrovara</v>
      </c>
      <c r="I2826" s="2" t="s">
        <v>844</v>
      </c>
      <c r="J2826" s="2" t="s">
        <v>21</v>
      </c>
      <c r="K2826" s="2" t="s">
        <v>5743</v>
      </c>
    </row>
    <row r="2827" ht="15.75" customHeight="1">
      <c r="A2827" s="2">
        <v>12141.0</v>
      </c>
      <c r="B2827" s="2" t="s">
        <v>3684</v>
      </c>
      <c r="C2827" s="2" t="s">
        <v>6398</v>
      </c>
      <c r="D2827" s="2" t="s">
        <v>6399</v>
      </c>
      <c r="E2827" s="2" t="s">
        <v>20</v>
      </c>
      <c r="F2827" s="2">
        <v>3.0</v>
      </c>
      <c r="G2827" s="2">
        <v>96.0</v>
      </c>
      <c r="H2827" s="3" t="str">
        <f>HYPERLINK("http://ar.linkedin.com/in/walterpachame","http://ar.linkedin.com/in/walterpachame")</f>
        <v>http://ar.linkedin.com/in/walterpachame</v>
      </c>
      <c r="I2827" s="2" t="s">
        <v>2419</v>
      </c>
      <c r="J2827" s="2" t="s">
        <v>21</v>
      </c>
      <c r="K2827" s="2" t="s">
        <v>5727</v>
      </c>
    </row>
    <row r="2828" ht="15.75" customHeight="1">
      <c r="A2828" s="2">
        <v>12151.0</v>
      </c>
      <c r="B2828" s="2" t="s">
        <v>6400</v>
      </c>
      <c r="C2828" s="2" t="s">
        <v>6401</v>
      </c>
      <c r="D2828" s="2" t="s">
        <v>13</v>
      </c>
      <c r="E2828" s="2" t="s">
        <v>20</v>
      </c>
      <c r="F2828" s="2">
        <v>9.0</v>
      </c>
      <c r="G2828" s="2">
        <v>500.0</v>
      </c>
      <c r="H2828" s="3" t="str">
        <f>HYPERLINK("http://www.linkedin.com/pub/mar%C3%ADa-lorena-se%C3%B1uk/24/b3b/b95","http://www.linkedin.com/pub/mar%C3%ADa-lorena-se%C3%B1uk/24/b3b/b95")</f>
        <v>http://www.linkedin.com/pub/mar%C3%ADa-lorena-se%C3%B1uk/24/b3b/b95</v>
      </c>
      <c r="I2828" s="2" t="s">
        <v>458</v>
      </c>
      <c r="J2828" s="2" t="s">
        <v>21</v>
      </c>
      <c r="K2828" s="2" t="s">
        <v>5994</v>
      </c>
    </row>
    <row r="2829" ht="15.75" customHeight="1">
      <c r="A2829" s="2">
        <v>12209.0</v>
      </c>
      <c r="B2829" s="2" t="s">
        <v>6402</v>
      </c>
      <c r="C2829" s="2" t="s">
        <v>6403</v>
      </c>
      <c r="D2829" s="2" t="s">
        <v>6404</v>
      </c>
      <c r="E2829" s="2" t="s">
        <v>20</v>
      </c>
      <c r="F2829" s="2">
        <v>0.0</v>
      </c>
      <c r="G2829" s="2">
        <v>160.0</v>
      </c>
      <c r="H2829" s="3" t="str">
        <f>HYPERLINK("http://ar.linkedin.com/pub/myriam-cespedes/4/875/A25","http://ar.linkedin.com/pub/myriam-cespedes/4/875/A25")</f>
        <v>http://ar.linkedin.com/pub/myriam-cespedes/4/875/A25</v>
      </c>
      <c r="I2829" s="2" t="s">
        <v>48</v>
      </c>
      <c r="J2829" s="2" t="s">
        <v>21</v>
      </c>
      <c r="K2829" s="2" t="s">
        <v>5725</v>
      </c>
    </row>
    <row r="2830" ht="15.75" customHeight="1">
      <c r="A2830" s="2">
        <v>12237.0</v>
      </c>
      <c r="B2830" s="2" t="s">
        <v>1161</v>
      </c>
      <c r="C2830" s="2" t="s">
        <v>6405</v>
      </c>
      <c r="D2830" s="2" t="s">
        <v>6406</v>
      </c>
      <c r="E2830" s="2" t="s">
        <v>20</v>
      </c>
      <c r="F2830" s="2">
        <v>1.0</v>
      </c>
      <c r="G2830" s="2">
        <v>500.0</v>
      </c>
      <c r="H2830" s="3" t="str">
        <f>HYPERLINK("http://ar.linkedin.com/in/silboun","http://ar.linkedin.com/in/silboun")</f>
        <v>http://ar.linkedin.com/in/silboun</v>
      </c>
      <c r="I2830" s="2" t="s">
        <v>69</v>
      </c>
      <c r="J2830" s="2" t="s">
        <v>21</v>
      </c>
      <c r="K2830" s="2" t="s">
        <v>5725</v>
      </c>
    </row>
    <row r="2831" ht="15.75" customHeight="1">
      <c r="A2831" s="2">
        <v>12267.0</v>
      </c>
      <c r="B2831" s="2" t="s">
        <v>5808</v>
      </c>
      <c r="C2831" s="2" t="s">
        <v>6407</v>
      </c>
      <c r="D2831" s="2" t="s">
        <v>6408</v>
      </c>
      <c r="E2831" s="2" t="s">
        <v>20</v>
      </c>
      <c r="F2831" s="2">
        <v>3.0</v>
      </c>
      <c r="G2831" s="2">
        <v>113.0</v>
      </c>
      <c r="H2831" s="3" t="str">
        <f>HYPERLINK("http://ar.linkedin.com/pub/matias-papasso/15/8B/371","http://ar.linkedin.com/pub/matias-papasso/15/8B/371")</f>
        <v>http://ar.linkedin.com/pub/matias-papasso/15/8B/371</v>
      </c>
      <c r="I2831" s="2" t="s">
        <v>608</v>
      </c>
      <c r="J2831" s="2" t="s">
        <v>21</v>
      </c>
      <c r="K2831" s="2" t="s">
        <v>6075</v>
      </c>
    </row>
    <row r="2832" ht="15.75" customHeight="1">
      <c r="A2832" s="2">
        <v>12285.0</v>
      </c>
      <c r="B2832" s="2" t="s">
        <v>6409</v>
      </c>
      <c r="C2832" s="2" t="s">
        <v>6410</v>
      </c>
      <c r="D2832" s="2" t="s">
        <v>6411</v>
      </c>
      <c r="E2832" s="2" t="s">
        <v>20</v>
      </c>
      <c r="F2832" s="2">
        <v>0.0</v>
      </c>
      <c r="G2832" s="2">
        <v>500.0</v>
      </c>
      <c r="H2832" s="3" t="str">
        <f>HYPERLINK("http://ar.linkedin.com/in/thelmacl","http://ar.linkedin.com/in/thelmacl")</f>
        <v>http://ar.linkedin.com/in/thelmacl</v>
      </c>
      <c r="I2832" s="2" t="s">
        <v>156</v>
      </c>
      <c r="J2832" s="2" t="s">
        <v>21</v>
      </c>
      <c r="K2832" s="2" t="s">
        <v>5785</v>
      </c>
    </row>
    <row r="2833" ht="15.75" customHeight="1">
      <c r="A2833" s="2">
        <v>12345.0</v>
      </c>
      <c r="B2833" s="2" t="s">
        <v>5939</v>
      </c>
      <c r="C2833" s="2" t="s">
        <v>6412</v>
      </c>
      <c r="D2833" s="2" t="s">
        <v>5847</v>
      </c>
      <c r="E2833" s="2" t="s">
        <v>20</v>
      </c>
      <c r="F2833" s="2">
        <v>0.0</v>
      </c>
      <c r="G2833" s="2">
        <v>254.0</v>
      </c>
      <c r="H2833" s="3" t="str">
        <f>HYPERLINK("http://ar.linkedin.com/pub/constanza-frascaroli/13/702/750","http://ar.linkedin.com/pub/constanza-frascaroli/13/702/750")</f>
        <v>http://ar.linkedin.com/pub/constanza-frascaroli/13/702/750</v>
      </c>
      <c r="I2833" s="2" t="s">
        <v>57</v>
      </c>
      <c r="J2833" s="2" t="s">
        <v>21</v>
      </c>
      <c r="K2833" s="2" t="s">
        <v>5725</v>
      </c>
    </row>
    <row r="2834" ht="15.75" customHeight="1">
      <c r="A2834" s="2">
        <v>12469.0</v>
      </c>
      <c r="B2834" s="2" t="s">
        <v>6413</v>
      </c>
      <c r="C2834" s="2" t="s">
        <v>206</v>
      </c>
      <c r="D2834" s="2" t="s">
        <v>347</v>
      </c>
      <c r="E2834" s="2" t="s">
        <v>1251</v>
      </c>
      <c r="F2834" s="2">
        <v>7.0</v>
      </c>
      <c r="G2834" s="2">
        <v>500.0</v>
      </c>
      <c r="H2834" s="3" t="str">
        <f>HYPERLINK("http://www.linkedin.com/in/luisfngarcia","http://www.linkedin.com/in/luisfngarcia")</f>
        <v>http://www.linkedin.com/in/luisfngarcia</v>
      </c>
      <c r="I2834" s="2" t="s">
        <v>77</v>
      </c>
      <c r="J2834" s="2" t="s">
        <v>670</v>
      </c>
      <c r="K2834" s="2" t="s">
        <v>5913</v>
      </c>
    </row>
    <row r="2835" ht="15.75" customHeight="1">
      <c r="A2835" s="2">
        <v>12493.0</v>
      </c>
      <c r="B2835" s="2" t="s">
        <v>6414</v>
      </c>
      <c r="C2835" s="2" t="s">
        <v>6415</v>
      </c>
      <c r="D2835" s="2" t="s">
        <v>6416</v>
      </c>
      <c r="E2835" s="2" t="s">
        <v>20</v>
      </c>
      <c r="F2835" s="2">
        <v>0.0</v>
      </c>
      <c r="G2835" s="2">
        <v>144.0</v>
      </c>
      <c r="H2835" s="3" t="str">
        <f>HYPERLINK("http://ar.linkedin.com/pub/adriano-regina/3/6A9/BBB","http://ar.linkedin.com/pub/adriano-regina/3/6A9/BBB")</f>
        <v>http://ar.linkedin.com/pub/adriano-regina/3/6A9/BBB</v>
      </c>
      <c r="I2835" s="2" t="s">
        <v>15</v>
      </c>
      <c r="J2835" s="2" t="s">
        <v>21</v>
      </c>
      <c r="K2835" s="2" t="s">
        <v>5725</v>
      </c>
    </row>
    <row r="2836" ht="15.75" customHeight="1">
      <c r="A2836" s="2">
        <v>12550.0</v>
      </c>
      <c r="B2836" s="2" t="s">
        <v>6417</v>
      </c>
      <c r="C2836" s="2" t="s">
        <v>4025</v>
      </c>
      <c r="D2836" s="2" t="s">
        <v>6418</v>
      </c>
      <c r="E2836" s="2" t="s">
        <v>20</v>
      </c>
      <c r="F2836" s="2">
        <v>2.0</v>
      </c>
      <c r="G2836" s="2">
        <v>500.0</v>
      </c>
      <c r="H2836" s="3" t="str">
        <f>HYPERLINK("http://ar.linkedin.com/in/gonzaloarauz","http://ar.linkedin.com/in/gonzaloarauz")</f>
        <v>http://ar.linkedin.com/in/gonzaloarauz</v>
      </c>
      <c r="I2836" s="2" t="s">
        <v>910</v>
      </c>
      <c r="J2836" s="2" t="s">
        <v>21</v>
      </c>
      <c r="K2836" s="2" t="s">
        <v>6280</v>
      </c>
    </row>
    <row r="2837" ht="15.75" customHeight="1">
      <c r="A2837" s="2">
        <v>12554.0</v>
      </c>
      <c r="B2837" s="2" t="s">
        <v>6419</v>
      </c>
      <c r="C2837" s="2" t="s">
        <v>6420</v>
      </c>
      <c r="D2837" s="2" t="s">
        <v>6421</v>
      </c>
      <c r="E2837" s="2" t="s">
        <v>20</v>
      </c>
      <c r="F2837" s="2">
        <v>0.0</v>
      </c>
      <c r="G2837" s="2">
        <v>198.0</v>
      </c>
      <c r="H2837" s="3" t="str">
        <f>HYPERLINK("http://ar.linkedin.com/pub/ximena-grondona/20/4A3/9A8","http://ar.linkedin.com/pub/ximena-grondona/20/4A3/9A8")</f>
        <v>http://ar.linkedin.com/pub/ximena-grondona/20/4A3/9A8</v>
      </c>
      <c r="I2837" s="2" t="s">
        <v>77</v>
      </c>
      <c r="J2837" s="2" t="s">
        <v>21</v>
      </c>
      <c r="K2837" s="2" t="s">
        <v>5848</v>
      </c>
    </row>
    <row r="2838" ht="15.75" customHeight="1">
      <c r="A2838" s="2">
        <v>12577.0</v>
      </c>
      <c r="B2838" s="2" t="s">
        <v>6417</v>
      </c>
      <c r="C2838" s="2" t="s">
        <v>6422</v>
      </c>
      <c r="D2838" s="2" t="s">
        <v>13</v>
      </c>
      <c r="E2838" s="2" t="s">
        <v>20</v>
      </c>
      <c r="F2838" s="2">
        <v>26.0</v>
      </c>
      <c r="G2838" s="2">
        <v>500.0</v>
      </c>
      <c r="H2838" s="3" t="str">
        <f>HYPERLINK("http://www.linkedin.com/in/gonzalowaidattbeck","http://www.linkedin.com/in/gonzalowaidattbeck")</f>
        <v>http://www.linkedin.com/in/gonzalowaidattbeck</v>
      </c>
      <c r="I2838" s="2" t="s">
        <v>326</v>
      </c>
      <c r="J2838" s="2" t="s">
        <v>21</v>
      </c>
      <c r="K2838" s="2" t="s">
        <v>5743</v>
      </c>
    </row>
    <row r="2839" ht="15.75" customHeight="1">
      <c r="A2839" s="2">
        <v>12583.0</v>
      </c>
      <c r="B2839" s="2" t="s">
        <v>70</v>
      </c>
      <c r="C2839" s="2" t="s">
        <v>6423</v>
      </c>
      <c r="D2839" s="2" t="s">
        <v>6424</v>
      </c>
      <c r="E2839" s="2" t="s">
        <v>20</v>
      </c>
      <c r="F2839" s="2">
        <v>0.0</v>
      </c>
      <c r="G2839" s="2">
        <v>17.0</v>
      </c>
      <c r="H2839" s="3" t="str">
        <f>HYPERLINK("http://ar.linkedin.com/pub/gustavo-de-martino/26/6B3/56","http://ar.linkedin.com/pub/gustavo-de-martino/26/6B3/56")</f>
        <v>http://ar.linkedin.com/pub/gustavo-de-martino/26/6B3/56</v>
      </c>
      <c r="I2839" s="2" t="s">
        <v>15</v>
      </c>
      <c r="J2839" s="2" t="s">
        <v>21</v>
      </c>
      <c r="K2839" s="2" t="s">
        <v>5819</v>
      </c>
    </row>
    <row r="2840" ht="15.75" customHeight="1">
      <c r="A2840" s="2">
        <v>12590.0</v>
      </c>
      <c r="B2840" s="2" t="s">
        <v>6425</v>
      </c>
      <c r="C2840" s="2" t="s">
        <v>6426</v>
      </c>
      <c r="D2840" s="2" t="s">
        <v>13</v>
      </c>
      <c r="E2840" s="2" t="s">
        <v>20</v>
      </c>
      <c r="F2840" s="2">
        <v>2.0</v>
      </c>
      <c r="G2840" s="2">
        <v>94.0</v>
      </c>
      <c r="H2840" s="3" t="str">
        <f>HYPERLINK("http://www.linkedin.com/pub/alejandro-ezequiel-maroni/14/b86/a19","http://www.linkedin.com/pub/alejandro-ezequiel-maroni/14/b86/a19")</f>
        <v>http://www.linkedin.com/pub/alejandro-ezequiel-maroni/14/b86/a19</v>
      </c>
      <c r="I2840" s="2" t="s">
        <v>2000</v>
      </c>
      <c r="J2840" s="2" t="s">
        <v>21</v>
      </c>
      <c r="K2840" s="2" t="s">
        <v>5727</v>
      </c>
    </row>
    <row r="2841" ht="15.75" customHeight="1">
      <c r="A2841" s="2">
        <v>12603.0</v>
      </c>
      <c r="B2841" s="2" t="s">
        <v>2186</v>
      </c>
      <c r="C2841" s="2" t="s">
        <v>6427</v>
      </c>
      <c r="D2841" s="2" t="s">
        <v>6428</v>
      </c>
      <c r="E2841" s="2" t="s">
        <v>20</v>
      </c>
      <c r="F2841" s="2">
        <v>0.0</v>
      </c>
      <c r="G2841" s="2">
        <v>154.0</v>
      </c>
      <c r="H2841" s="3" t="str">
        <f>HYPERLINK("http://ar.linkedin.com/in/julianabalasini","http://ar.linkedin.com/in/julianabalasini")</f>
        <v>http://ar.linkedin.com/in/julianabalasini</v>
      </c>
      <c r="I2841" s="2" t="s">
        <v>77</v>
      </c>
      <c r="J2841" s="2" t="s">
        <v>21</v>
      </c>
      <c r="K2841" s="2" t="s">
        <v>5848</v>
      </c>
    </row>
    <row r="2842" ht="15.75" customHeight="1">
      <c r="A2842" s="2">
        <v>12604.0</v>
      </c>
      <c r="B2842" s="2" t="s">
        <v>677</v>
      </c>
      <c r="C2842" s="2" t="s">
        <v>6429</v>
      </c>
      <c r="D2842" s="2" t="s">
        <v>13</v>
      </c>
      <c r="E2842" s="2" t="s">
        <v>20</v>
      </c>
      <c r="F2842" s="2">
        <v>0.0</v>
      </c>
      <c r="G2842" s="2">
        <v>500.0</v>
      </c>
      <c r="H2842" s="3" t="str">
        <f>HYPERLINK("http://www.linkedin.com/pub/daniel-amado-catt%C3%A1neo/1/b36/753","http://www.linkedin.com/pub/daniel-amado-catt%C3%A1neo/1/b36/753")</f>
        <v>http://www.linkedin.com/pub/daniel-amado-catt%C3%A1neo/1/b36/753</v>
      </c>
      <c r="I2842" s="2" t="s">
        <v>77</v>
      </c>
      <c r="J2842" s="2" t="s">
        <v>21</v>
      </c>
      <c r="K2842" s="2" t="s">
        <v>5743</v>
      </c>
    </row>
    <row r="2843" ht="15.75" customHeight="1">
      <c r="A2843" s="2">
        <v>12613.0</v>
      </c>
      <c r="B2843" s="2" t="s">
        <v>353</v>
      </c>
      <c r="C2843" s="2" t="s">
        <v>6430</v>
      </c>
      <c r="D2843" s="2" t="s">
        <v>6431</v>
      </c>
      <c r="E2843" s="2" t="s">
        <v>20</v>
      </c>
      <c r="F2843" s="2">
        <v>6.0</v>
      </c>
      <c r="G2843" s="2">
        <v>500.0</v>
      </c>
      <c r="H2843" s="3" t="str">
        <f>HYPERLINK("http://ar.linkedin.com/in/alencina","http://ar.linkedin.com/in/alencina")</f>
        <v>http://ar.linkedin.com/in/alencina</v>
      </c>
      <c r="I2843" s="2" t="s">
        <v>2700</v>
      </c>
      <c r="J2843" s="2" t="s">
        <v>21</v>
      </c>
      <c r="K2843" s="2" t="s">
        <v>5727</v>
      </c>
    </row>
    <row r="2844" ht="15.75" customHeight="1">
      <c r="A2844" s="2">
        <v>12615.0</v>
      </c>
      <c r="B2844" s="2" t="s">
        <v>6432</v>
      </c>
      <c r="C2844" s="2" t="s">
        <v>6433</v>
      </c>
      <c r="D2844" s="2" t="s">
        <v>6434</v>
      </c>
      <c r="E2844" s="2" t="s">
        <v>20</v>
      </c>
      <c r="F2844" s="2">
        <v>0.0</v>
      </c>
      <c r="G2844" s="2">
        <v>418.0</v>
      </c>
      <c r="H2844" s="3" t="str">
        <f>HYPERLINK("http://www.linkedin.com/pub/marcela-vaccari/20/78b/760","http://www.linkedin.com/pub/marcela-vaccari/20/78b/760")</f>
        <v>http://www.linkedin.com/pub/marcela-vaccari/20/78b/760</v>
      </c>
      <c r="I2844" s="2" t="s">
        <v>318</v>
      </c>
      <c r="J2844" s="2" t="s">
        <v>21</v>
      </c>
      <c r="K2844" s="2" t="s">
        <v>5785</v>
      </c>
    </row>
    <row r="2845" ht="15.75" customHeight="1">
      <c r="A2845" s="2">
        <v>12631.0</v>
      </c>
      <c r="B2845" s="2" t="s">
        <v>5755</v>
      </c>
      <c r="C2845" s="2" t="s">
        <v>6435</v>
      </c>
      <c r="D2845" s="2" t="s">
        <v>13</v>
      </c>
      <c r="E2845" s="2" t="s">
        <v>20</v>
      </c>
      <c r="F2845" s="2">
        <v>0.0</v>
      </c>
      <c r="G2845" s="2">
        <v>381.0</v>
      </c>
      <c r="H2845" s="3" t="str">
        <f>HYPERLINK("http://www.linkedin.com/pub/maria-eugenia-sulpizio/1a/634/594","http://www.linkedin.com/pub/maria-eugenia-sulpizio/1a/634/594")</f>
        <v>http://www.linkedin.com/pub/maria-eugenia-sulpizio/1a/634/594</v>
      </c>
      <c r="I2845" s="2" t="s">
        <v>77</v>
      </c>
      <c r="J2845" s="2" t="s">
        <v>21</v>
      </c>
      <c r="K2845" s="2" t="s">
        <v>6436</v>
      </c>
    </row>
    <row r="2846" ht="15.75" customHeight="1">
      <c r="A2846" s="2">
        <v>12648.0</v>
      </c>
      <c r="B2846" s="2" t="s">
        <v>314</v>
      </c>
      <c r="C2846" s="2" t="s">
        <v>6437</v>
      </c>
      <c r="D2846" s="2" t="s">
        <v>6275</v>
      </c>
      <c r="E2846" s="2" t="s">
        <v>20</v>
      </c>
      <c r="F2846" s="2">
        <v>0.0</v>
      </c>
      <c r="G2846" s="2">
        <v>500.0</v>
      </c>
      <c r="H2846" s="3" t="str">
        <f>HYPERLINK("http://ar.linkedin.com/pub/marcos-olcese/15/960/642","http://ar.linkedin.com/pub/marcos-olcese/15/960/642")</f>
        <v>http://ar.linkedin.com/pub/marcos-olcese/15/960/642</v>
      </c>
      <c r="I2846" s="2" t="s">
        <v>105</v>
      </c>
      <c r="J2846" s="2" t="s">
        <v>21</v>
      </c>
      <c r="K2846" s="2" t="s">
        <v>5725</v>
      </c>
    </row>
    <row r="2847" ht="15.75" customHeight="1">
      <c r="A2847" s="2">
        <v>12659.0</v>
      </c>
      <c r="B2847" s="2" t="s">
        <v>353</v>
      </c>
      <c r="C2847" s="2" t="s">
        <v>6438</v>
      </c>
      <c r="D2847" s="2" t="s">
        <v>6439</v>
      </c>
      <c r="E2847" s="2" t="s">
        <v>20</v>
      </c>
      <c r="F2847" s="2">
        <v>0.0</v>
      </c>
      <c r="G2847" s="2">
        <v>99.0</v>
      </c>
      <c r="H2847" s="3" t="str">
        <f>HYPERLINK("http://ar.linkedin.com/pub/alejandro-fodor/15/9B8/B61","http://ar.linkedin.com/pub/alejandro-fodor/15/9B8/B61")</f>
        <v>http://ar.linkedin.com/pub/alejandro-fodor/15/9B8/B61</v>
      </c>
      <c r="I2847" s="2" t="s">
        <v>579</v>
      </c>
      <c r="J2847" s="2" t="s">
        <v>21</v>
      </c>
      <c r="K2847" s="2" t="s">
        <v>5848</v>
      </c>
    </row>
    <row r="2848" ht="15.75" customHeight="1">
      <c r="A2848" s="2">
        <v>12674.0</v>
      </c>
      <c r="B2848" s="2" t="s">
        <v>5922</v>
      </c>
      <c r="C2848" s="2" t="s">
        <v>6440</v>
      </c>
      <c r="D2848" s="2" t="s">
        <v>6441</v>
      </c>
      <c r="E2848" s="2" t="s">
        <v>20</v>
      </c>
      <c r="F2848" s="2">
        <v>2.0</v>
      </c>
      <c r="G2848" s="2">
        <v>500.0</v>
      </c>
      <c r="H2848" s="3" t="str">
        <f>HYPERLINK("http://www.linkedin.com/pub/gabriela-levite/18/679/959","http://www.linkedin.com/pub/gabriela-levite/18/679/959")</f>
        <v>http://www.linkedin.com/pub/gabriela-levite/18/679/959</v>
      </c>
      <c r="I2848" s="2" t="s">
        <v>195</v>
      </c>
      <c r="J2848" s="2" t="s">
        <v>21</v>
      </c>
      <c r="K2848" s="2" t="s">
        <v>5725</v>
      </c>
    </row>
    <row r="2849" ht="15.75" customHeight="1">
      <c r="A2849" s="2">
        <v>12682.0</v>
      </c>
      <c r="B2849" s="2" t="s">
        <v>6442</v>
      </c>
      <c r="C2849" s="2" t="s">
        <v>6443</v>
      </c>
      <c r="D2849" s="2" t="s">
        <v>6444</v>
      </c>
      <c r="E2849" s="2" t="s">
        <v>20</v>
      </c>
      <c r="F2849" s="2">
        <v>9.0</v>
      </c>
      <c r="G2849" s="2">
        <v>500.0</v>
      </c>
      <c r="H2849" s="3" t="str">
        <f>HYPERLINK("http://ar.linkedin.com/in/jmetcheverry","http://ar.linkedin.com/in/jmetcheverry")</f>
        <v>http://ar.linkedin.com/in/jmetcheverry</v>
      </c>
      <c r="I2849" s="2" t="s">
        <v>844</v>
      </c>
      <c r="J2849" s="2" t="s">
        <v>21</v>
      </c>
      <c r="K2849" s="2" t="s">
        <v>5743</v>
      </c>
    </row>
    <row r="2850" ht="15.75" customHeight="1">
      <c r="A2850" s="2">
        <v>12691.0</v>
      </c>
      <c r="B2850" s="2" t="s">
        <v>6445</v>
      </c>
      <c r="C2850" s="2" t="s">
        <v>994</v>
      </c>
      <c r="D2850" s="2" t="s">
        <v>6446</v>
      </c>
      <c r="E2850" s="2" t="s">
        <v>20</v>
      </c>
      <c r="F2850" s="2">
        <v>2.0</v>
      </c>
      <c r="G2850" s="2">
        <v>500.0</v>
      </c>
      <c r="H2850" s="3" t="str">
        <f>HYPERLINK("http://ar.linkedin.com/in/georginalloyd","http://ar.linkedin.com/in/georginalloyd")</f>
        <v>http://ar.linkedin.com/in/georginalloyd</v>
      </c>
      <c r="I2850" s="2" t="s">
        <v>2443</v>
      </c>
      <c r="J2850" s="2" t="s">
        <v>21</v>
      </c>
      <c r="K2850" s="2" t="s">
        <v>6280</v>
      </c>
    </row>
    <row r="2851" ht="15.75" customHeight="1">
      <c r="A2851" s="2">
        <v>13003.0</v>
      </c>
      <c r="B2851" s="2" t="s">
        <v>677</v>
      </c>
      <c r="C2851" s="2" t="s">
        <v>6207</v>
      </c>
      <c r="D2851" s="2" t="s">
        <v>6447</v>
      </c>
      <c r="E2851" s="2" t="s">
        <v>20</v>
      </c>
      <c r="F2851" s="2">
        <v>7.0</v>
      </c>
      <c r="G2851" s="2">
        <v>288.0</v>
      </c>
      <c r="H2851" s="3" t="str">
        <f>HYPERLINK("http://ar.linkedin.com/pub/daniel-alvarez/2/B49/14A","http://ar.linkedin.com/pub/daniel-alvarez/2/B49/14A")</f>
        <v>http://ar.linkedin.com/pub/daniel-alvarez/2/B49/14A</v>
      </c>
      <c r="I2851" s="2" t="s">
        <v>2443</v>
      </c>
      <c r="J2851" s="2" t="s">
        <v>21</v>
      </c>
      <c r="K2851" s="2" t="s">
        <v>5727</v>
      </c>
    </row>
    <row r="2852" ht="15.75" customHeight="1">
      <c r="A2852" s="2">
        <v>13106.0</v>
      </c>
      <c r="B2852" s="2" t="s">
        <v>238</v>
      </c>
      <c r="C2852" s="2" t="s">
        <v>6448</v>
      </c>
      <c r="D2852" s="2" t="s">
        <v>6449</v>
      </c>
      <c r="E2852" s="2" t="s">
        <v>20</v>
      </c>
      <c r="F2852" s="2">
        <v>8.0</v>
      </c>
      <c r="G2852" s="2">
        <v>377.0</v>
      </c>
      <c r="H2852" s="3" t="str">
        <f>HYPERLINK("http://ar.linkedin.com/in/jsagasti","http://ar.linkedin.com/in/jsagasti")</f>
        <v>http://ar.linkedin.com/in/jsagasti</v>
      </c>
      <c r="I2852" s="2" t="s">
        <v>132</v>
      </c>
      <c r="J2852" s="2" t="s">
        <v>21</v>
      </c>
      <c r="K2852" s="2" t="s">
        <v>5743</v>
      </c>
    </row>
    <row r="2853" ht="15.75" customHeight="1">
      <c r="A2853" s="2">
        <v>13159.0</v>
      </c>
      <c r="B2853" s="2" t="s">
        <v>70</v>
      </c>
      <c r="C2853" s="2" t="s">
        <v>6450</v>
      </c>
      <c r="D2853" s="2" t="s">
        <v>13</v>
      </c>
      <c r="E2853" s="2" t="s">
        <v>20</v>
      </c>
      <c r="F2853" s="2">
        <v>0.0</v>
      </c>
      <c r="G2853" s="2">
        <v>500.0</v>
      </c>
      <c r="H2853" s="3" t="str">
        <f>HYPERLINK("http://www.linkedin.com/pub/gustavo-lara-bergese-mba/3/7b7/486","http://www.linkedin.com/pub/gustavo-lara-bergese-mba/3/7b7/486")</f>
        <v>http://www.linkedin.com/pub/gustavo-lara-bergese-mba/3/7b7/486</v>
      </c>
      <c r="I2853" s="2" t="s">
        <v>96</v>
      </c>
      <c r="J2853" s="2" t="s">
        <v>21</v>
      </c>
      <c r="K2853" s="2" t="s">
        <v>5727</v>
      </c>
    </row>
    <row r="2854" ht="15.75" customHeight="1">
      <c r="A2854" s="2">
        <v>13199.0</v>
      </c>
      <c r="B2854" s="2" t="s">
        <v>6451</v>
      </c>
      <c r="C2854" s="2" t="s">
        <v>6452</v>
      </c>
      <c r="D2854" s="2" t="s">
        <v>13</v>
      </c>
      <c r="E2854" s="2" t="s">
        <v>20</v>
      </c>
      <c r="F2854" s="2">
        <v>0.0</v>
      </c>
      <c r="G2854" s="2">
        <v>489.0</v>
      </c>
      <c r="H2854" s="3" t="str">
        <f>HYPERLINK("http://www.linkedin.com/pub/facundo-ezequiel-bodner/22/246/178","http://www.linkedin.com/pub/facundo-ezequiel-bodner/22/246/178")</f>
        <v>http://www.linkedin.com/pub/facundo-ezequiel-bodner/22/246/178</v>
      </c>
      <c r="I2854" s="2" t="s">
        <v>252</v>
      </c>
      <c r="J2854" s="2" t="s">
        <v>21</v>
      </c>
      <c r="K2854" s="2" t="s">
        <v>5777</v>
      </c>
    </row>
    <row r="2855" ht="15.75" customHeight="1">
      <c r="A2855" s="2">
        <v>13208.0</v>
      </c>
      <c r="B2855" s="2" t="s">
        <v>5389</v>
      </c>
      <c r="C2855" s="2" t="s">
        <v>6453</v>
      </c>
      <c r="D2855" s="2" t="s">
        <v>6454</v>
      </c>
      <c r="E2855" s="2" t="s">
        <v>20</v>
      </c>
      <c r="F2855" s="2">
        <v>8.0</v>
      </c>
      <c r="G2855" s="2">
        <v>500.0</v>
      </c>
      <c r="H2855" s="3" t="str">
        <f>HYPERLINK("http://ar.linkedin.com/pub/paula-santagata/5/349/55B","http://ar.linkedin.com/pub/paula-santagata/5/349/55B")</f>
        <v>http://ar.linkedin.com/pub/paula-santagata/5/349/55B</v>
      </c>
      <c r="I2855" s="2" t="s">
        <v>374</v>
      </c>
      <c r="J2855" s="2" t="s">
        <v>21</v>
      </c>
      <c r="K2855" s="2" t="s">
        <v>5727</v>
      </c>
    </row>
    <row r="2856" ht="15.75" customHeight="1">
      <c r="A2856" s="2">
        <v>13226.0</v>
      </c>
      <c r="B2856" s="2" t="s">
        <v>6455</v>
      </c>
      <c r="C2856" s="2" t="s">
        <v>6456</v>
      </c>
      <c r="D2856" s="2" t="s">
        <v>13</v>
      </c>
      <c r="E2856" s="2" t="s">
        <v>1605</v>
      </c>
      <c r="F2856" s="2">
        <v>0.0</v>
      </c>
      <c r="G2856" s="2">
        <v>157.0</v>
      </c>
      <c r="H2856" s="3" t="str">
        <f>HYPERLINK("http://www.linkedin.com/pub/giselda-martinez-cabrero/5/555/b58","http://www.linkedin.com/pub/giselda-martinez-cabrero/5/555/b58")</f>
        <v>http://www.linkedin.com/pub/giselda-martinez-cabrero/5/555/b58</v>
      </c>
      <c r="I2856" s="2" t="s">
        <v>160</v>
      </c>
      <c r="J2856" s="2" t="s">
        <v>44</v>
      </c>
      <c r="K2856" s="2" t="s">
        <v>6457</v>
      </c>
    </row>
    <row r="2857" ht="15.75" customHeight="1">
      <c r="A2857" s="2">
        <v>13239.0</v>
      </c>
      <c r="B2857" s="2" t="s">
        <v>6458</v>
      </c>
      <c r="C2857" s="2" t="s">
        <v>6459</v>
      </c>
      <c r="D2857" s="2" t="s">
        <v>13</v>
      </c>
      <c r="E2857" s="2" t="s">
        <v>20</v>
      </c>
      <c r="F2857" s="2">
        <v>4.0</v>
      </c>
      <c r="G2857" s="2">
        <v>500.0</v>
      </c>
      <c r="H2857" s="3" t="str">
        <f>HYPERLINK("http://www.linkedin.com/pub/mar%C3%ADa-victoria-ceppi/11/400/954","http://www.linkedin.com/pub/mar%C3%ADa-victoria-ceppi/11/400/954")</f>
        <v>http://www.linkedin.com/pub/mar%C3%ADa-victoria-ceppi/11/400/954</v>
      </c>
      <c r="I2857" s="2" t="s">
        <v>374</v>
      </c>
      <c r="J2857" s="2" t="s">
        <v>21</v>
      </c>
      <c r="K2857" s="2" t="s">
        <v>5727</v>
      </c>
    </row>
    <row r="2858" ht="15.75" customHeight="1">
      <c r="A2858" s="2">
        <v>13280.0</v>
      </c>
      <c r="B2858" s="2" t="s">
        <v>353</v>
      </c>
      <c r="C2858" s="2" t="s">
        <v>6460</v>
      </c>
      <c r="D2858" s="2" t="s">
        <v>1865</v>
      </c>
      <c r="E2858" s="2" t="s">
        <v>20</v>
      </c>
      <c r="F2858" s="2">
        <v>0.0</v>
      </c>
      <c r="G2858" s="2">
        <v>59.0</v>
      </c>
      <c r="H2858" s="3" t="str">
        <f>HYPERLINK("http://ar.linkedin.com/pub/alejandro-mazal/27/2A6/B2B","http://ar.linkedin.com/pub/alejandro-mazal/27/2A6/B2B")</f>
        <v>http://ar.linkedin.com/pub/alejandro-mazal/27/2A6/B2B</v>
      </c>
      <c r="I2858" s="2" t="s">
        <v>252</v>
      </c>
      <c r="J2858" s="2" t="s">
        <v>21</v>
      </c>
      <c r="K2858" s="2" t="s">
        <v>6461</v>
      </c>
    </row>
    <row r="2859" ht="15.75" customHeight="1">
      <c r="A2859" s="2">
        <v>13282.0</v>
      </c>
      <c r="B2859" s="2" t="s">
        <v>759</v>
      </c>
      <c r="C2859" s="2" t="s">
        <v>3943</v>
      </c>
      <c r="D2859" s="2" t="s">
        <v>6462</v>
      </c>
      <c r="E2859" s="2" t="s">
        <v>20</v>
      </c>
      <c r="F2859" s="2">
        <v>0.0</v>
      </c>
      <c r="G2859" s="2">
        <v>241.0</v>
      </c>
      <c r="H2859" s="3" t="str">
        <f>HYPERLINK("http://ar.linkedin.com/pub/barbara-rodriguez/27/A22/512","http://ar.linkedin.com/pub/barbara-rodriguez/27/A22/512")</f>
        <v>http://ar.linkedin.com/pub/barbara-rodriguez/27/A22/512</v>
      </c>
      <c r="I2859" s="2" t="s">
        <v>57</v>
      </c>
      <c r="J2859" s="2" t="s">
        <v>21</v>
      </c>
      <c r="K2859" s="2" t="s">
        <v>5725</v>
      </c>
    </row>
    <row r="2860" ht="15.75" customHeight="1">
      <c r="A2860" s="2">
        <v>13286.0</v>
      </c>
      <c r="B2860" s="2" t="s">
        <v>133</v>
      </c>
      <c r="C2860" s="2" t="s">
        <v>6463</v>
      </c>
      <c r="D2860" s="2" t="s">
        <v>6464</v>
      </c>
      <c r="E2860" s="2" t="s">
        <v>628</v>
      </c>
      <c r="F2860" s="2">
        <v>0.0</v>
      </c>
      <c r="G2860" s="2">
        <v>500.0</v>
      </c>
      <c r="H2860" s="3" t="str">
        <f>HYPERLINK("http://www.linkedin.com/in/mikelotus","http://www.linkedin.com/in/mikelotus")</f>
        <v>http://www.linkedin.com/in/mikelotus</v>
      </c>
      <c r="I2860" s="2" t="s">
        <v>182</v>
      </c>
      <c r="J2860" s="2" t="s">
        <v>102</v>
      </c>
      <c r="K2860" s="2" t="s">
        <v>5727</v>
      </c>
    </row>
    <row r="2861" ht="15.75" customHeight="1">
      <c r="A2861" s="2">
        <v>13314.0</v>
      </c>
      <c r="B2861" s="2" t="s">
        <v>6432</v>
      </c>
      <c r="C2861" s="2" t="s">
        <v>6465</v>
      </c>
      <c r="D2861" s="2" t="s">
        <v>6466</v>
      </c>
      <c r="E2861" s="2" t="s">
        <v>20</v>
      </c>
      <c r="F2861" s="2">
        <v>4.0</v>
      </c>
      <c r="G2861" s="2">
        <v>342.0</v>
      </c>
      <c r="H2861" s="3" t="str">
        <f>HYPERLINK("http://ar.linkedin.com/pub/marcela-moreno/15/A95/995","http://ar.linkedin.com/pub/marcela-moreno/15/A95/995")</f>
        <v>http://ar.linkedin.com/pub/marcela-moreno/15/A95/995</v>
      </c>
      <c r="I2861" s="2" t="s">
        <v>57</v>
      </c>
      <c r="J2861" s="2" t="s">
        <v>21</v>
      </c>
      <c r="K2861" s="2" t="s">
        <v>5727</v>
      </c>
    </row>
    <row r="2862" ht="15.75" customHeight="1">
      <c r="A2862" s="2">
        <v>13316.0</v>
      </c>
      <c r="B2862" s="2" t="s">
        <v>6467</v>
      </c>
      <c r="C2862" s="2" t="s">
        <v>6468</v>
      </c>
      <c r="D2862" s="2" t="s">
        <v>13</v>
      </c>
      <c r="E2862" s="2" t="s">
        <v>20</v>
      </c>
      <c r="F2862" s="2">
        <v>0.0</v>
      </c>
      <c r="G2862" s="2">
        <v>500.0</v>
      </c>
      <c r="H2862" s="3" t="str">
        <f>HYPERLINK("http://www.linkedin.com/pub/florencia-bunge-guerrico/1a/2b7/b22","http://www.linkedin.com/pub/florencia-bunge-guerrico/1a/2b7/b22")</f>
        <v>http://www.linkedin.com/pub/florencia-bunge-guerrico/1a/2b7/b22</v>
      </c>
      <c r="I2862" s="2" t="s">
        <v>458</v>
      </c>
      <c r="J2862" s="2" t="s">
        <v>21</v>
      </c>
      <c r="K2862" s="2" t="s">
        <v>5727</v>
      </c>
    </row>
    <row r="2863" ht="15.75" customHeight="1">
      <c r="A2863" s="2">
        <v>13321.0</v>
      </c>
      <c r="B2863" s="2" t="s">
        <v>3299</v>
      </c>
      <c r="C2863" s="2" t="s">
        <v>6469</v>
      </c>
      <c r="D2863" s="2" t="s">
        <v>6470</v>
      </c>
      <c r="E2863" s="2" t="s">
        <v>20</v>
      </c>
      <c r="F2863" s="2">
        <v>4.0</v>
      </c>
      <c r="G2863" s="2">
        <v>342.0</v>
      </c>
      <c r="H2863" s="3" t="str">
        <f>HYPERLINK("http://ar.linkedin.com/in/fabianbarrozo","http://ar.linkedin.com/in/fabianbarrozo")</f>
        <v>http://ar.linkedin.com/in/fabianbarrozo</v>
      </c>
      <c r="I2863" s="2" t="s">
        <v>252</v>
      </c>
      <c r="J2863" s="2" t="s">
        <v>21</v>
      </c>
      <c r="K2863" s="2" t="s">
        <v>5727</v>
      </c>
    </row>
    <row r="2864" ht="15.75" customHeight="1">
      <c r="A2864" s="2">
        <v>13337.0</v>
      </c>
      <c r="B2864" s="2" t="s">
        <v>358</v>
      </c>
      <c r="C2864" s="2" t="s">
        <v>6471</v>
      </c>
      <c r="D2864" s="2" t="s">
        <v>6472</v>
      </c>
      <c r="E2864" s="2" t="s">
        <v>20</v>
      </c>
      <c r="F2864" s="2">
        <v>15.0</v>
      </c>
      <c r="G2864" s="2">
        <v>272.0</v>
      </c>
      <c r="H2864" s="3" t="str">
        <f>HYPERLINK("http://ar.linkedin.com/in/marcelofedeli","http://ar.linkedin.com/in/marcelofedeli")</f>
        <v>http://ar.linkedin.com/in/marcelofedeli</v>
      </c>
      <c r="I2864" s="2" t="s">
        <v>579</v>
      </c>
      <c r="J2864" s="2" t="s">
        <v>21</v>
      </c>
      <c r="K2864" s="2" t="s">
        <v>5731</v>
      </c>
    </row>
    <row r="2865" ht="15.75" customHeight="1">
      <c r="A2865" s="2">
        <v>13345.0</v>
      </c>
      <c r="B2865" s="2" t="s">
        <v>5883</v>
      </c>
      <c r="C2865" s="2" t="s">
        <v>544</v>
      </c>
      <c r="D2865" s="2" t="s">
        <v>6473</v>
      </c>
      <c r="E2865" s="2" t="s">
        <v>20</v>
      </c>
      <c r="F2865" s="2">
        <v>9.0</v>
      </c>
      <c r="G2865" s="2">
        <v>500.0</v>
      </c>
      <c r="H2865" s="3" t="str">
        <f>HYPERLINK("http://ar.linkedin.com/pub/ariel-castillo/12/937/46A","http://ar.linkedin.com/pub/ariel-castillo/12/937/46A")</f>
        <v>http://ar.linkedin.com/pub/ariel-castillo/12/937/46A</v>
      </c>
      <c r="I2865" s="2" t="s">
        <v>518</v>
      </c>
      <c r="J2865" s="2" t="s">
        <v>21</v>
      </c>
      <c r="K2865" s="2" t="s">
        <v>5743</v>
      </c>
    </row>
    <row r="2866" ht="15.75" customHeight="1">
      <c r="A2866" s="2">
        <v>13348.0</v>
      </c>
      <c r="B2866" s="2" t="s">
        <v>6474</v>
      </c>
      <c r="C2866" s="2" t="s">
        <v>6475</v>
      </c>
      <c r="D2866" s="2" t="s">
        <v>13</v>
      </c>
      <c r="E2866" s="2" t="s">
        <v>20</v>
      </c>
      <c r="F2866" s="2">
        <v>0.0</v>
      </c>
      <c r="G2866" s="2">
        <v>500.0</v>
      </c>
      <c r="H2866" s="3" t="str">
        <f>HYPERLINK("http://www.linkedin.com/pub/liliana-candelino/24/332/a27","http://www.linkedin.com/pub/liliana-candelino/24/332/a27")</f>
        <v>http://www.linkedin.com/pub/liliana-candelino/24/332/a27</v>
      </c>
      <c r="I2866" s="2" t="s">
        <v>518</v>
      </c>
      <c r="J2866" s="2" t="s">
        <v>21</v>
      </c>
      <c r="K2866" s="2" t="s">
        <v>6476</v>
      </c>
    </row>
    <row r="2867" ht="15.75" customHeight="1">
      <c r="A2867" s="2">
        <v>13353.0</v>
      </c>
      <c r="B2867" s="2" t="s">
        <v>6225</v>
      </c>
      <c r="C2867" s="2" t="s">
        <v>6477</v>
      </c>
      <c r="D2867" s="2" t="s">
        <v>6478</v>
      </c>
      <c r="E2867" s="2" t="s">
        <v>20</v>
      </c>
      <c r="F2867" s="2">
        <v>0.0</v>
      </c>
      <c r="G2867" s="2">
        <v>104.0</v>
      </c>
      <c r="H2867" s="3" t="str">
        <f>HYPERLINK("http://ar.linkedin.com/pub/paola-leanza/30/908/78B","http://ar.linkedin.com/pub/paola-leanza/30/908/78B")</f>
        <v>http://ar.linkedin.com/pub/paola-leanza/30/908/78B</v>
      </c>
      <c r="I2867" s="2" t="s">
        <v>579</v>
      </c>
      <c r="J2867" s="2" t="s">
        <v>21</v>
      </c>
      <c r="K2867" s="2" t="s">
        <v>5848</v>
      </c>
    </row>
    <row r="2868" ht="15.75" customHeight="1">
      <c r="A2868" s="2">
        <v>13378.0</v>
      </c>
      <c r="B2868" s="2" t="s">
        <v>640</v>
      </c>
      <c r="C2868" s="2" t="s">
        <v>6479</v>
      </c>
      <c r="D2868" s="2"/>
      <c r="E2868" s="2" t="s">
        <v>1407</v>
      </c>
      <c r="F2868" s="2">
        <v>9.0</v>
      </c>
      <c r="G2868" s="2">
        <v>500.0</v>
      </c>
      <c r="H2868" s="3" t="str">
        <f>HYPERLINK("http://www.linkedin.com/pub/joshua-bright/2/102/941","http://www.linkedin.com/pub/joshua-bright/2/102/941")</f>
        <v>http://www.linkedin.com/pub/joshua-bright/2/102/941</v>
      </c>
      <c r="I2868" s="2" t="s">
        <v>1931</v>
      </c>
      <c r="J2868" s="2" t="s">
        <v>102</v>
      </c>
      <c r="K2868" s="2" t="s">
        <v>5743</v>
      </c>
    </row>
    <row r="2869" ht="15.75" customHeight="1">
      <c r="A2869" s="2">
        <v>13394.0</v>
      </c>
      <c r="B2869" s="2" t="s">
        <v>253</v>
      </c>
      <c r="C2869" s="2" t="s">
        <v>6480</v>
      </c>
      <c r="D2869" s="2" t="s">
        <v>6481</v>
      </c>
      <c r="E2869" s="2" t="s">
        <v>20</v>
      </c>
      <c r="F2869" s="2">
        <v>9.0</v>
      </c>
      <c r="G2869" s="2">
        <v>500.0</v>
      </c>
      <c r="H2869" s="3" t="str">
        <f>HYPERLINK("http://ar.linkedin.com/in/fervaldes","http://ar.linkedin.com/in/fervaldes")</f>
        <v>http://ar.linkedin.com/in/fervaldes</v>
      </c>
      <c r="I2869" s="2" t="s">
        <v>195</v>
      </c>
      <c r="J2869" s="2" t="s">
        <v>21</v>
      </c>
      <c r="K2869" s="2" t="s">
        <v>6046</v>
      </c>
    </row>
    <row r="2870" ht="15.75" customHeight="1">
      <c r="A2870" s="2">
        <v>13400.0</v>
      </c>
      <c r="B2870" s="2" t="s">
        <v>523</v>
      </c>
      <c r="C2870" s="2" t="s">
        <v>6482</v>
      </c>
      <c r="D2870" s="2" t="s">
        <v>6483</v>
      </c>
      <c r="E2870" s="2" t="s">
        <v>20</v>
      </c>
      <c r="F2870" s="2">
        <v>3.0</v>
      </c>
      <c r="G2870" s="2">
        <v>166.0</v>
      </c>
      <c r="H2870" s="3" t="str">
        <f>HYPERLINK("http://ar.linkedin.com/in/ignaciovivona","http://ar.linkedin.com/in/ignaciovivona")</f>
        <v>http://ar.linkedin.com/in/ignaciovivona</v>
      </c>
      <c r="I2870" s="2" t="s">
        <v>96</v>
      </c>
      <c r="J2870" s="2" t="s">
        <v>21</v>
      </c>
      <c r="K2870" s="2" t="s">
        <v>5727</v>
      </c>
    </row>
    <row r="2871" ht="15.75" customHeight="1">
      <c r="A2871" s="2">
        <v>13426.0</v>
      </c>
      <c r="B2871" s="2" t="s">
        <v>5337</v>
      </c>
      <c r="C2871" s="2" t="s">
        <v>6484</v>
      </c>
      <c r="D2871" s="2" t="s">
        <v>6485</v>
      </c>
      <c r="E2871" s="2" t="s">
        <v>166</v>
      </c>
      <c r="F2871" s="2">
        <v>3.0</v>
      </c>
      <c r="G2871" s="2">
        <v>500.0</v>
      </c>
      <c r="H2871" s="3" t="str">
        <f>HYPERLINK("http://www.linkedin.com/in/bcapriotti","http://www.linkedin.com/in/bcapriotti")</f>
        <v>http://www.linkedin.com/in/bcapriotti</v>
      </c>
      <c r="I2871" s="2" t="s">
        <v>560</v>
      </c>
      <c r="J2871" s="2" t="s">
        <v>102</v>
      </c>
      <c r="K2871" s="2" t="s">
        <v>6118</v>
      </c>
    </row>
    <row r="2872" ht="15.75" customHeight="1">
      <c r="A2872" s="2">
        <v>13440.0</v>
      </c>
      <c r="B2872" s="2" t="s">
        <v>6486</v>
      </c>
      <c r="C2872" s="2" t="s">
        <v>6487</v>
      </c>
      <c r="D2872" s="2" t="s">
        <v>6488</v>
      </c>
      <c r="E2872" s="2" t="s">
        <v>166</v>
      </c>
      <c r="F2872" s="2">
        <v>4.0</v>
      </c>
      <c r="G2872" s="2">
        <v>500.0</v>
      </c>
      <c r="H2872" s="3" t="str">
        <f>HYPERLINK("http://www.linkedin.com/pub/rebecca-blair/5/6A0/489","http://www.linkedin.com/pub/rebecca-blair/5/6A0/489")</f>
        <v>http://www.linkedin.com/pub/rebecca-blair/5/6A0/489</v>
      </c>
      <c r="I2872" s="2" t="s">
        <v>240</v>
      </c>
      <c r="J2872" s="2" t="s">
        <v>102</v>
      </c>
      <c r="K2872" s="2" t="s">
        <v>6489</v>
      </c>
    </row>
    <row r="2873" ht="15.75" customHeight="1">
      <c r="A2873" s="2">
        <v>13443.0</v>
      </c>
      <c r="B2873" s="2" t="s">
        <v>178</v>
      </c>
      <c r="C2873" s="2" t="s">
        <v>6490</v>
      </c>
      <c r="D2873" s="2" t="s">
        <v>2302</v>
      </c>
      <c r="E2873" s="2" t="s">
        <v>166</v>
      </c>
      <c r="F2873" s="2">
        <v>2.0</v>
      </c>
      <c r="G2873" s="2">
        <v>500.0</v>
      </c>
      <c r="H2873" s="3" t="str">
        <f>HYPERLINK("http://www.linkedin.com/in/jmildenhall","http://www.linkedin.com/in/jmildenhall")</f>
        <v>http://www.linkedin.com/in/jmildenhall</v>
      </c>
      <c r="I2873" s="2" t="s">
        <v>240</v>
      </c>
      <c r="J2873" s="2" t="s">
        <v>102</v>
      </c>
      <c r="K2873" s="2" t="s">
        <v>6489</v>
      </c>
    </row>
    <row r="2874" ht="15.75" customHeight="1">
      <c r="A2874" s="2">
        <v>13452.0</v>
      </c>
      <c r="B2874" s="2" t="s">
        <v>5803</v>
      </c>
      <c r="C2874" s="2" t="s">
        <v>6491</v>
      </c>
      <c r="D2874" s="2" t="s">
        <v>6492</v>
      </c>
      <c r="E2874" s="2" t="s">
        <v>20</v>
      </c>
      <c r="F2874" s="2">
        <v>2.0</v>
      </c>
      <c r="G2874" s="2">
        <v>500.0</v>
      </c>
      <c r="H2874" s="3" t="str">
        <f>HYPERLINK("http://www.linkedin.com/in/marianoamor","http://www.linkedin.com/in/marianoamor")</f>
        <v>http://www.linkedin.com/in/marianoamor</v>
      </c>
      <c r="I2874" s="2" t="s">
        <v>15</v>
      </c>
      <c r="J2874" s="2" t="s">
        <v>21</v>
      </c>
      <c r="K2874" s="2" t="s">
        <v>5731</v>
      </c>
    </row>
    <row r="2875" ht="15.75" customHeight="1">
      <c r="A2875" s="2">
        <v>13473.0</v>
      </c>
      <c r="B2875" s="2" t="s">
        <v>3165</v>
      </c>
      <c r="C2875" s="2" t="s">
        <v>6493</v>
      </c>
      <c r="D2875" s="2" t="s">
        <v>6494</v>
      </c>
      <c r="E2875" s="2" t="s">
        <v>20</v>
      </c>
      <c r="F2875" s="2">
        <v>1.0</v>
      </c>
      <c r="G2875" s="2">
        <v>218.0</v>
      </c>
      <c r="H2875" s="3" t="str">
        <f>HYPERLINK("http://ar.linkedin.com/pub/luciana-zurlo/1/B50/367","http://ar.linkedin.com/pub/luciana-zurlo/1/B50/367")</f>
        <v>http://ar.linkedin.com/pub/luciana-zurlo/1/B50/367</v>
      </c>
      <c r="I2875" s="2" t="s">
        <v>48</v>
      </c>
      <c r="J2875" s="2" t="s">
        <v>21</v>
      </c>
      <c r="K2875" s="2" t="s">
        <v>5725</v>
      </c>
    </row>
    <row r="2876" ht="15.75" customHeight="1">
      <c r="A2876" s="2">
        <v>13502.0</v>
      </c>
      <c r="B2876" s="2" t="s">
        <v>471</v>
      </c>
      <c r="C2876" s="2" t="s">
        <v>1153</v>
      </c>
      <c r="D2876" s="2" t="s">
        <v>6495</v>
      </c>
      <c r="E2876" s="2" t="s">
        <v>2058</v>
      </c>
      <c r="F2876" s="2">
        <v>8.0</v>
      </c>
      <c r="G2876" s="2">
        <v>500.0</v>
      </c>
      <c r="H2876" s="3" t="str">
        <f>HYPERLINK("http://www.linkedin.com/in/dansbrown","http://www.linkedin.com/in/dansbrown")</f>
        <v>http://www.linkedin.com/in/dansbrown</v>
      </c>
      <c r="I2876" s="2" t="s">
        <v>3645</v>
      </c>
      <c r="J2876" s="2" t="s">
        <v>102</v>
      </c>
      <c r="K2876" s="2" t="s">
        <v>6280</v>
      </c>
    </row>
    <row r="2877" ht="15.75" customHeight="1">
      <c r="A2877" s="2">
        <v>13509.0</v>
      </c>
      <c r="B2877" s="2" t="s">
        <v>6496</v>
      </c>
      <c r="C2877" s="2" t="s">
        <v>6497</v>
      </c>
      <c r="D2877" s="2" t="s">
        <v>6498</v>
      </c>
      <c r="E2877" s="2" t="s">
        <v>20</v>
      </c>
      <c r="F2877" s="2">
        <v>0.0</v>
      </c>
      <c r="G2877" s="2">
        <v>138.0</v>
      </c>
      <c r="H2877" s="3" t="str">
        <f>HYPERLINK("http://ar.linkedin.com/pub/karina-boedo/8/A98/879","http://ar.linkedin.com/pub/karina-boedo/8/A98/879")</f>
        <v>http://ar.linkedin.com/pub/karina-boedo/8/A98/879</v>
      </c>
      <c r="I2877" s="2" t="s">
        <v>48</v>
      </c>
      <c r="J2877" s="2" t="s">
        <v>21</v>
      </c>
      <c r="K2877" s="2" t="s">
        <v>5725</v>
      </c>
    </row>
    <row r="2878" ht="15.75" customHeight="1">
      <c r="A2878" s="2">
        <v>13537.0</v>
      </c>
      <c r="B2878" s="2" t="s">
        <v>5732</v>
      </c>
      <c r="C2878" s="2" t="s">
        <v>6499</v>
      </c>
      <c r="D2878" s="2" t="s">
        <v>13</v>
      </c>
      <c r="E2878" s="2" t="s">
        <v>20</v>
      </c>
      <c r="F2878" s="2">
        <v>0.0</v>
      </c>
      <c r="G2878" s="2">
        <v>500.0</v>
      </c>
      <c r="H2878" s="3" t="str">
        <f>HYPERLINK("http://www.linkedin.com/pub/mart%C3%ADn-ybarra/0/8ab/b27","http://www.linkedin.com/pub/mart%C3%ADn-ybarra/0/8ab/b27")</f>
        <v>http://www.linkedin.com/pub/mart%C3%ADn-ybarra/0/8ab/b27</v>
      </c>
      <c r="I2878" s="2" t="s">
        <v>1679</v>
      </c>
      <c r="J2878" s="2" t="s">
        <v>21</v>
      </c>
      <c r="K2878" s="2" t="s">
        <v>5727</v>
      </c>
    </row>
    <row r="2879" ht="15.75" customHeight="1">
      <c r="A2879" s="2">
        <v>13539.0</v>
      </c>
      <c r="B2879" s="2" t="s">
        <v>358</v>
      </c>
      <c r="C2879" s="2" t="s">
        <v>6500</v>
      </c>
      <c r="D2879" s="2" t="s">
        <v>5896</v>
      </c>
      <c r="E2879" s="2" t="s">
        <v>20</v>
      </c>
      <c r="F2879" s="2">
        <v>10.0</v>
      </c>
      <c r="G2879" s="2">
        <v>245.0</v>
      </c>
      <c r="H2879" s="3" t="str">
        <f>HYPERLINK("http://www.linkedin.com/pub/marcelo-kimel/0/69b/414","http://www.linkedin.com/pub/marcelo-kimel/0/69b/414")</f>
        <v>http://www.linkedin.com/pub/marcelo-kimel/0/69b/414</v>
      </c>
      <c r="I2879" s="2" t="s">
        <v>1679</v>
      </c>
      <c r="J2879" s="2" t="s">
        <v>21</v>
      </c>
      <c r="K2879" s="2" t="s">
        <v>5727</v>
      </c>
    </row>
    <row r="2880" ht="15.75" customHeight="1">
      <c r="A2880" s="2">
        <v>13566.0</v>
      </c>
      <c r="B2880" s="2" t="s">
        <v>341</v>
      </c>
      <c r="C2880" s="2" t="s">
        <v>6501</v>
      </c>
      <c r="D2880" s="2" t="s">
        <v>13</v>
      </c>
      <c r="E2880" s="2" t="s">
        <v>181</v>
      </c>
      <c r="F2880" s="2">
        <v>33.0</v>
      </c>
      <c r="G2880" s="2">
        <v>500.0</v>
      </c>
      <c r="H2880" s="3" t="str">
        <f>HYPERLINK("http://www.linkedin.com/in/kevinjbradshaw","http://www.linkedin.com/in/kevinjbradshaw")</f>
        <v>http://www.linkedin.com/in/kevinjbradshaw</v>
      </c>
      <c r="I2880" s="2" t="s">
        <v>69</v>
      </c>
      <c r="J2880" s="2" t="s">
        <v>102</v>
      </c>
      <c r="K2880" s="2" t="s">
        <v>5812</v>
      </c>
    </row>
    <row r="2881" ht="15.75" customHeight="1">
      <c r="A2881" s="2">
        <v>13593.0</v>
      </c>
      <c r="B2881" s="2" t="s">
        <v>5732</v>
      </c>
      <c r="C2881" s="2" t="s">
        <v>6502</v>
      </c>
      <c r="D2881" s="2" t="s">
        <v>6503</v>
      </c>
      <c r="E2881" s="2" t="s">
        <v>20</v>
      </c>
      <c r="F2881" s="2">
        <v>0.0</v>
      </c>
      <c r="G2881" s="2">
        <v>229.0</v>
      </c>
      <c r="H2881" s="3" t="str">
        <f>HYPERLINK("http://ar.linkedin.com/in/martinadoue","http://ar.linkedin.com/in/martinadoue")</f>
        <v>http://ar.linkedin.com/in/martinadoue</v>
      </c>
      <c r="I2881" s="2" t="s">
        <v>105</v>
      </c>
      <c r="J2881" s="2" t="s">
        <v>21</v>
      </c>
      <c r="K2881" s="2" t="s">
        <v>5725</v>
      </c>
    </row>
    <row r="2882" ht="15.75" customHeight="1">
      <c r="A2882" s="2">
        <v>13601.0</v>
      </c>
      <c r="B2882" s="2" t="s">
        <v>5160</v>
      </c>
      <c r="C2882" s="2" t="s">
        <v>6504</v>
      </c>
      <c r="D2882" s="2" t="s">
        <v>6505</v>
      </c>
      <c r="E2882" s="2" t="s">
        <v>122</v>
      </c>
      <c r="F2882" s="2">
        <v>0.0</v>
      </c>
      <c r="G2882" s="2">
        <v>500.0</v>
      </c>
      <c r="H2882" s="3" t="str">
        <f>HYPERLINK("http://uk.linkedin.com/pub/stefan-lacher/0/96/995","http://uk.linkedin.com/pub/stefan-lacher/0/96/995")</f>
        <v>http://uk.linkedin.com/pub/stefan-lacher/0/96/995</v>
      </c>
      <c r="I2882" s="2" t="s">
        <v>57</v>
      </c>
      <c r="J2882" s="2" t="s">
        <v>53</v>
      </c>
      <c r="K2882" s="2" t="s">
        <v>6506</v>
      </c>
    </row>
    <row r="2883" ht="15.75" customHeight="1">
      <c r="A2883" s="2">
        <v>13613.0</v>
      </c>
      <c r="B2883" s="2" t="s">
        <v>5483</v>
      </c>
      <c r="C2883" s="2" t="s">
        <v>6507</v>
      </c>
      <c r="D2883" s="2" t="s">
        <v>13</v>
      </c>
      <c r="E2883" s="2" t="s">
        <v>122</v>
      </c>
      <c r="F2883" s="2">
        <v>0.0</v>
      </c>
      <c r="G2883" s="2">
        <v>500.0</v>
      </c>
      <c r="H2883" s="3" t="str">
        <f>HYPERLINK("http://www.linkedin.com/pub/anibal-capotorto/2/372/833","http://www.linkedin.com/pub/anibal-capotorto/2/372/833")</f>
        <v>http://www.linkedin.com/pub/anibal-capotorto/2/372/833</v>
      </c>
      <c r="I2883" s="2" t="s">
        <v>910</v>
      </c>
      <c r="J2883" s="2" t="s">
        <v>53</v>
      </c>
      <c r="K2883" s="2" t="s">
        <v>5785</v>
      </c>
    </row>
    <row r="2884" ht="15.75" customHeight="1">
      <c r="A2884" s="2">
        <v>13685.0</v>
      </c>
      <c r="B2884" s="2" t="s">
        <v>227</v>
      </c>
      <c r="C2884" s="2" t="s">
        <v>6508</v>
      </c>
      <c r="D2884" s="2" t="s">
        <v>42</v>
      </c>
      <c r="E2884" s="2" t="s">
        <v>20</v>
      </c>
      <c r="F2884" s="2">
        <v>1.0</v>
      </c>
      <c r="G2884" s="2">
        <v>81.0</v>
      </c>
      <c r="H2884" s="3" t="str">
        <f>HYPERLINK("http://ar.linkedin.com/pub/jorge-sanchez/5/571/229","http://ar.linkedin.com/pub/jorge-sanchez/5/571/229")</f>
        <v>http://ar.linkedin.com/pub/jorge-sanchez/5/571/229</v>
      </c>
      <c r="I2884" s="2" t="s">
        <v>143</v>
      </c>
      <c r="J2884" s="2" t="s">
        <v>21</v>
      </c>
      <c r="K2884" s="2" t="s">
        <v>5725</v>
      </c>
    </row>
    <row r="2885" ht="15.75" customHeight="1">
      <c r="A2885" s="2">
        <v>13690.0</v>
      </c>
      <c r="B2885" s="2" t="s">
        <v>358</v>
      </c>
      <c r="C2885" s="2" t="s">
        <v>6509</v>
      </c>
      <c r="D2885" s="2" t="s">
        <v>13</v>
      </c>
      <c r="E2885" s="2" t="s">
        <v>20</v>
      </c>
      <c r="F2885" s="2">
        <v>1.0</v>
      </c>
      <c r="G2885" s="2">
        <v>357.0</v>
      </c>
      <c r="H2885" s="3" t="str">
        <f>HYPERLINK("http://www.linkedin.com/pub/marcelo-albajari/0/832/b08","http://www.linkedin.com/pub/marcelo-albajari/0/832/b08")</f>
        <v>http://www.linkedin.com/pub/marcelo-albajari/0/832/b08</v>
      </c>
      <c r="I2885" s="2" t="s">
        <v>48</v>
      </c>
      <c r="J2885" s="2" t="s">
        <v>21</v>
      </c>
      <c r="K2885" s="2" t="s">
        <v>5725</v>
      </c>
    </row>
    <row r="2886" ht="15.75" customHeight="1">
      <c r="A2886" s="2">
        <v>13703.0</v>
      </c>
      <c r="B2886" s="2" t="s">
        <v>6510</v>
      </c>
      <c r="C2886" s="2" t="s">
        <v>6511</v>
      </c>
      <c r="D2886" s="2" t="s">
        <v>1865</v>
      </c>
      <c r="E2886" s="2" t="s">
        <v>20</v>
      </c>
      <c r="F2886" s="2">
        <v>13.0</v>
      </c>
      <c r="G2886" s="2">
        <v>183.0</v>
      </c>
      <c r="H2886" s="3" t="str">
        <f>HYPERLINK("http://ar.linkedin.com/pub/h-patricia-besada/15/18A/593","http://ar.linkedin.com/pub/h-patricia-besada/15/18A/593")</f>
        <v>http://ar.linkedin.com/pub/h-patricia-besada/15/18A/593</v>
      </c>
      <c r="I2886" s="2" t="s">
        <v>27</v>
      </c>
      <c r="J2886" s="2" t="s">
        <v>21</v>
      </c>
      <c r="K2886" s="2" t="s">
        <v>5743</v>
      </c>
    </row>
    <row r="2887" ht="15.75" customHeight="1">
      <c r="A2887" s="2">
        <v>13712.0</v>
      </c>
      <c r="B2887" s="2" t="s">
        <v>5794</v>
      </c>
      <c r="C2887" s="2" t="s">
        <v>6512</v>
      </c>
      <c r="D2887" s="2" t="s">
        <v>13</v>
      </c>
      <c r="E2887" s="2" t="s">
        <v>20</v>
      </c>
      <c r="F2887" s="2">
        <v>3.0</v>
      </c>
      <c r="G2887" s="2">
        <v>424.0</v>
      </c>
      <c r="H2887" s="3" t="str">
        <f>HYPERLINK("http://www.linkedin.com/pub/silvina-lopez-gandolfo/9/b40/856","http://www.linkedin.com/pub/silvina-lopez-gandolfo/9/b40/856")</f>
        <v>http://www.linkedin.com/pub/silvina-lopez-gandolfo/9/b40/856</v>
      </c>
      <c r="I2887" s="2" t="s">
        <v>77</v>
      </c>
      <c r="J2887" s="2" t="s">
        <v>21</v>
      </c>
      <c r="K2887" s="2" t="s">
        <v>5731</v>
      </c>
    </row>
    <row r="2888" ht="15.75" customHeight="1">
      <c r="A2888" s="2">
        <v>13729.0</v>
      </c>
      <c r="B2888" s="2" t="s">
        <v>647</v>
      </c>
      <c r="C2888" s="2" t="s">
        <v>6513</v>
      </c>
      <c r="D2888" s="2" t="s">
        <v>6514</v>
      </c>
      <c r="E2888" s="2" t="s">
        <v>20</v>
      </c>
      <c r="F2888" s="2">
        <v>0.0</v>
      </c>
      <c r="G2888" s="2">
        <v>337.0</v>
      </c>
      <c r="H2888" s="3" t="str">
        <f>HYPERLINK("http://ar.linkedin.com/pub/claudio-buiatti/5/200/204","http://ar.linkedin.com/pub/claudio-buiatti/5/200/204")</f>
        <v>http://ar.linkedin.com/pub/claudio-buiatti/5/200/204</v>
      </c>
      <c r="I2888" s="2" t="s">
        <v>15</v>
      </c>
      <c r="J2888" s="2" t="s">
        <v>21</v>
      </c>
      <c r="K2888" s="2" t="s">
        <v>6124</v>
      </c>
    </row>
    <row r="2889" ht="15.75" customHeight="1">
      <c r="A2889" s="2">
        <v>13743.0</v>
      </c>
      <c r="B2889" s="2" t="s">
        <v>6515</v>
      </c>
      <c r="C2889" s="2" t="s">
        <v>6516</v>
      </c>
      <c r="D2889" s="2" t="s">
        <v>13</v>
      </c>
      <c r="E2889" s="2" t="s">
        <v>20</v>
      </c>
      <c r="F2889" s="2">
        <v>1.0</v>
      </c>
      <c r="G2889" s="2">
        <v>500.0</v>
      </c>
      <c r="H2889" s="3" t="str">
        <f>HYPERLINK("http://www.linkedin.com/pub/sabina-tobares/28/990/992","http://www.linkedin.com/pub/sabina-tobares/28/990/992")</f>
        <v>http://www.linkedin.com/pub/sabina-tobares/28/990/992</v>
      </c>
      <c r="I2889" s="2" t="s">
        <v>77</v>
      </c>
      <c r="J2889" s="2" t="s">
        <v>21</v>
      </c>
      <c r="K2889" s="2" t="s">
        <v>5785</v>
      </c>
    </row>
    <row r="2890" ht="15.75" customHeight="1">
      <c r="A2890" s="2">
        <v>13745.0</v>
      </c>
      <c r="B2890" s="2" t="s">
        <v>70</v>
      </c>
      <c r="C2890" s="2" t="s">
        <v>6517</v>
      </c>
      <c r="D2890" s="2" t="s">
        <v>6518</v>
      </c>
      <c r="E2890" s="2" t="s">
        <v>20</v>
      </c>
      <c r="F2890" s="2">
        <v>0.0</v>
      </c>
      <c r="G2890" s="2">
        <v>416.0</v>
      </c>
      <c r="H2890" s="3" t="str">
        <f>HYPERLINK("http://ar.linkedin.com/in/gustavowidmer","http://ar.linkedin.com/in/gustavowidmer")</f>
        <v>http://ar.linkedin.com/in/gustavowidmer</v>
      </c>
      <c r="I2890" s="2" t="s">
        <v>77</v>
      </c>
      <c r="J2890" s="2" t="s">
        <v>21</v>
      </c>
      <c r="K2890" s="2" t="s">
        <v>5848</v>
      </c>
    </row>
    <row r="2891" ht="15.75" customHeight="1">
      <c r="A2891" s="2">
        <v>13751.0</v>
      </c>
      <c r="B2891" s="2" t="s">
        <v>70</v>
      </c>
      <c r="C2891" s="2" t="s">
        <v>6519</v>
      </c>
      <c r="D2891" s="2" t="s">
        <v>6520</v>
      </c>
      <c r="E2891" s="2" t="s">
        <v>20</v>
      </c>
      <c r="F2891" s="2">
        <v>0.0</v>
      </c>
      <c r="G2891" s="2">
        <v>344.0</v>
      </c>
      <c r="H2891" s="3" t="str">
        <f>HYPERLINK("http://ar.linkedin.com/pub/gustavo-bugni/0/424/986","http://ar.linkedin.com/pub/gustavo-bugni/0/424/986")</f>
        <v>http://ar.linkedin.com/pub/gustavo-bugni/0/424/986</v>
      </c>
      <c r="I2891" s="2" t="s">
        <v>48</v>
      </c>
      <c r="J2891" s="2" t="s">
        <v>21</v>
      </c>
      <c r="K2891" s="2" t="s">
        <v>5725</v>
      </c>
    </row>
    <row r="2892" ht="15.75" customHeight="1">
      <c r="A2892" s="2">
        <v>13762.0</v>
      </c>
      <c r="B2892" s="2" t="s">
        <v>2436</v>
      </c>
      <c r="C2892" s="2" t="s">
        <v>6521</v>
      </c>
      <c r="D2892" s="2" t="s">
        <v>6522</v>
      </c>
      <c r="E2892" s="2" t="s">
        <v>33</v>
      </c>
      <c r="F2892" s="2">
        <v>6.0</v>
      </c>
      <c r="G2892" s="2">
        <v>500.0</v>
      </c>
      <c r="H2892" s="3" t="str">
        <f>HYPERLINK("http://br.linkedin.com/pub/antonio-faoro/0/1B8/91A","http://br.linkedin.com/pub/antonio-faoro/0/1B8/91A")</f>
        <v>http://br.linkedin.com/pub/antonio-faoro/0/1B8/91A</v>
      </c>
      <c r="I2892" s="2" t="s">
        <v>15</v>
      </c>
      <c r="J2892" s="2" t="s">
        <v>34</v>
      </c>
      <c r="K2892" s="2" t="s">
        <v>5812</v>
      </c>
    </row>
    <row r="2893" ht="15.75" customHeight="1">
      <c r="A2893" s="2">
        <v>13766.0</v>
      </c>
      <c r="B2893" s="2" t="s">
        <v>523</v>
      </c>
      <c r="C2893" s="2" t="s">
        <v>6523</v>
      </c>
      <c r="D2893" s="2" t="s">
        <v>6524</v>
      </c>
      <c r="E2893" s="2" t="s">
        <v>20</v>
      </c>
      <c r="F2893" s="2">
        <v>1.0</v>
      </c>
      <c r="G2893" s="2">
        <v>324.0</v>
      </c>
      <c r="H2893" s="3" t="str">
        <f>HYPERLINK("http://ar.linkedin.com/in/ibernini","http://ar.linkedin.com/in/ibernini")</f>
        <v>http://ar.linkedin.com/in/ibernini</v>
      </c>
      <c r="I2893" s="2" t="s">
        <v>15</v>
      </c>
      <c r="J2893" s="2" t="s">
        <v>21</v>
      </c>
      <c r="K2893" s="2" t="s">
        <v>6124</v>
      </c>
    </row>
    <row r="2894" ht="15.75" customHeight="1">
      <c r="A2894" s="2">
        <v>13789.0</v>
      </c>
      <c r="B2894" s="2" t="s">
        <v>5723</v>
      </c>
      <c r="C2894" s="2" t="s">
        <v>6525</v>
      </c>
      <c r="D2894" s="2" t="s">
        <v>6526</v>
      </c>
      <c r="E2894" s="2" t="s">
        <v>20</v>
      </c>
      <c r="F2894" s="2">
        <v>5.0</v>
      </c>
      <c r="G2894" s="2">
        <v>206.0</v>
      </c>
      <c r="H2894" s="3" t="str">
        <f>HYPERLINK("http://ar.linkedin.com/pub/pablo-boza/B/18B/B3B","http://ar.linkedin.com/pub/pablo-boza/B/18B/B3B")</f>
        <v>http://ar.linkedin.com/pub/pablo-boza/B/18B/B3B</v>
      </c>
      <c r="I2894" s="2" t="s">
        <v>57</v>
      </c>
      <c r="J2894" s="2" t="s">
        <v>21</v>
      </c>
      <c r="K2894" s="2" t="s">
        <v>5727</v>
      </c>
    </row>
    <row r="2895" ht="15.75" customHeight="1">
      <c r="A2895" s="2">
        <v>13836.0</v>
      </c>
      <c r="B2895" s="2" t="s">
        <v>1767</v>
      </c>
      <c r="C2895" s="2" t="s">
        <v>6527</v>
      </c>
      <c r="D2895" s="2" t="s">
        <v>6528</v>
      </c>
      <c r="E2895" s="2" t="s">
        <v>20</v>
      </c>
      <c r="F2895" s="2">
        <v>30.0</v>
      </c>
      <c r="G2895" s="2">
        <v>500.0</v>
      </c>
      <c r="H2895" s="3" t="str">
        <f>HYPERLINK("http://www.linkedin.com/in/eriklaurenceau","http://www.linkedin.com/in/eriklaurenceau")</f>
        <v>http://www.linkedin.com/in/eriklaurenceau</v>
      </c>
      <c r="I2895" s="2" t="s">
        <v>105</v>
      </c>
      <c r="J2895" s="2" t="s">
        <v>21</v>
      </c>
      <c r="K2895" s="2" t="s">
        <v>5727</v>
      </c>
    </row>
    <row r="2896" ht="15.75" customHeight="1">
      <c r="A2896" s="2">
        <v>13852.0</v>
      </c>
      <c r="B2896" s="2" t="s">
        <v>6417</v>
      </c>
      <c r="C2896" s="2" t="s">
        <v>6529</v>
      </c>
      <c r="D2896" s="2" t="s">
        <v>1595</v>
      </c>
      <c r="E2896" s="2" t="s">
        <v>20</v>
      </c>
      <c r="F2896" s="2">
        <v>3.0</v>
      </c>
      <c r="G2896" s="2">
        <v>500.0</v>
      </c>
      <c r="H2896" s="3" t="str">
        <f>HYPERLINK("http://ar.linkedin.com/in/gonzalomendezfilleul","http://ar.linkedin.com/in/gonzalomendezfilleul")</f>
        <v>http://ar.linkedin.com/in/gonzalomendezfilleul</v>
      </c>
      <c r="I2896" s="2" t="s">
        <v>458</v>
      </c>
      <c r="J2896" s="2" t="s">
        <v>21</v>
      </c>
      <c r="K2896" s="2" t="s">
        <v>5727</v>
      </c>
    </row>
    <row r="2897" ht="15.75" customHeight="1">
      <c r="A2897" s="2">
        <v>13870.0</v>
      </c>
      <c r="B2897" s="2" t="s">
        <v>5415</v>
      </c>
      <c r="C2897" s="2" t="s">
        <v>4233</v>
      </c>
      <c r="D2897" s="2" t="s">
        <v>6530</v>
      </c>
      <c r="E2897" s="2" t="s">
        <v>20</v>
      </c>
      <c r="F2897" s="2">
        <v>3.0</v>
      </c>
      <c r="G2897" s="2">
        <v>394.0</v>
      </c>
      <c r="H2897" s="3" t="str">
        <f>HYPERLINK("http://ar.linkedin.com/pub/cristian-gonzalez/8/BA3/50","http://ar.linkedin.com/pub/cristian-gonzalez/8/BA3/50")</f>
        <v>http://ar.linkedin.com/pub/cristian-gonzalez/8/BA3/50</v>
      </c>
      <c r="I2897" s="2" t="s">
        <v>77</v>
      </c>
      <c r="J2897" s="2" t="s">
        <v>21</v>
      </c>
      <c r="K2897" s="2" t="s">
        <v>5743</v>
      </c>
    </row>
    <row r="2898" ht="15.75" customHeight="1">
      <c r="A2898" s="2">
        <v>13879.0</v>
      </c>
      <c r="B2898" s="2" t="s">
        <v>6531</v>
      </c>
      <c r="C2898" s="2" t="s">
        <v>6532</v>
      </c>
      <c r="D2898" s="2" t="s">
        <v>6533</v>
      </c>
      <c r="E2898" s="2" t="s">
        <v>20</v>
      </c>
      <c r="F2898" s="2">
        <v>1.0</v>
      </c>
      <c r="G2898" s="2">
        <v>89.0</v>
      </c>
      <c r="H2898" s="3" t="str">
        <f>HYPERLINK("http://ar.linkedin.com/in/ortegagerardo","http://ar.linkedin.com/in/ortegagerardo")</f>
        <v>http://ar.linkedin.com/in/ortegagerardo</v>
      </c>
      <c r="I2898" s="2" t="s">
        <v>77</v>
      </c>
      <c r="J2898" s="2" t="s">
        <v>21</v>
      </c>
      <c r="K2898" s="2" t="s">
        <v>5848</v>
      </c>
    </row>
    <row r="2899" ht="15.75" customHeight="1">
      <c r="A2899" s="2">
        <v>13898.0</v>
      </c>
      <c r="B2899" s="2" t="s">
        <v>5808</v>
      </c>
      <c r="C2899" s="2" t="s">
        <v>6534</v>
      </c>
      <c r="D2899" s="2" t="s">
        <v>6535</v>
      </c>
      <c r="E2899" s="2" t="s">
        <v>20</v>
      </c>
      <c r="F2899" s="2">
        <v>18.0</v>
      </c>
      <c r="G2899" s="2">
        <v>500.0</v>
      </c>
      <c r="H2899" s="3" t="str">
        <f>HYPERLINK("http://ar.linkedin.com/pub/matias-richards/15/BB/131","http://ar.linkedin.com/pub/matias-richards/15/BB/131")</f>
        <v>http://ar.linkedin.com/pub/matias-richards/15/BB/131</v>
      </c>
      <c r="I2899" s="2" t="s">
        <v>57</v>
      </c>
      <c r="J2899" s="2" t="s">
        <v>21</v>
      </c>
      <c r="K2899" s="2" t="s">
        <v>5727</v>
      </c>
    </row>
    <row r="2900" ht="15.75" customHeight="1">
      <c r="A2900" s="2">
        <v>13904.0</v>
      </c>
      <c r="B2900" s="2" t="s">
        <v>3692</v>
      </c>
      <c r="C2900" s="2" t="s">
        <v>6536</v>
      </c>
      <c r="D2900" s="2" t="s">
        <v>6537</v>
      </c>
      <c r="E2900" s="2" t="s">
        <v>20</v>
      </c>
      <c r="F2900" s="2">
        <v>9.0</v>
      </c>
      <c r="G2900" s="2">
        <v>500.0</v>
      </c>
      <c r="H2900" s="3" t="str">
        <f>HYPERLINK("http://ar.linkedin.com/in/federicocalvino78","http://ar.linkedin.com/in/federicocalvino78")</f>
        <v>http://ar.linkedin.com/in/federicocalvino78</v>
      </c>
      <c r="I2900" s="2" t="s">
        <v>458</v>
      </c>
      <c r="J2900" s="2" t="s">
        <v>21</v>
      </c>
      <c r="K2900" s="2" t="s">
        <v>6075</v>
      </c>
    </row>
    <row r="2901" ht="15.75" customHeight="1">
      <c r="A2901" s="2">
        <v>13913.0</v>
      </c>
      <c r="B2901" s="2" t="s">
        <v>5883</v>
      </c>
      <c r="C2901" s="2" t="s">
        <v>6538</v>
      </c>
      <c r="D2901" s="2" t="s">
        <v>6539</v>
      </c>
      <c r="E2901" s="2" t="s">
        <v>20</v>
      </c>
      <c r="F2901" s="2">
        <v>2.0</v>
      </c>
      <c r="G2901" s="2">
        <v>308.0</v>
      </c>
      <c r="H2901" s="3" t="str">
        <f>HYPERLINK("http://ar.linkedin.com/in/arielcascallares","http://ar.linkedin.com/in/arielcascallares")</f>
        <v>http://ar.linkedin.com/in/arielcascallares</v>
      </c>
      <c r="I2901" s="2" t="s">
        <v>910</v>
      </c>
      <c r="J2901" s="2" t="s">
        <v>21</v>
      </c>
      <c r="K2901" s="2" t="s">
        <v>5743</v>
      </c>
    </row>
    <row r="2902" ht="15.75" customHeight="1">
      <c r="A2902" s="2">
        <v>13972.0</v>
      </c>
      <c r="B2902" s="2" t="s">
        <v>6540</v>
      </c>
      <c r="C2902" s="2" t="s">
        <v>6541</v>
      </c>
      <c r="D2902" s="2" t="s">
        <v>6542</v>
      </c>
      <c r="E2902" s="2" t="s">
        <v>20</v>
      </c>
      <c r="F2902" s="2">
        <v>0.0</v>
      </c>
      <c r="G2902" s="2">
        <v>104.0</v>
      </c>
      <c r="H2902" s="3" t="str">
        <f>HYPERLINK("http://ar.linkedin.com/pub/enrique-esteban-barrionuevo/1A/2B/643","http://ar.linkedin.com/pub/enrique-esteban-barrionuevo/1A/2B/643")</f>
        <v>http://ar.linkedin.com/pub/enrique-esteban-barrionuevo/1A/2B/643</v>
      </c>
      <c r="I2902" s="2" t="s">
        <v>579</v>
      </c>
      <c r="J2902" s="2" t="s">
        <v>21</v>
      </c>
      <c r="K2902" s="2" t="s">
        <v>5848</v>
      </c>
    </row>
    <row r="2903" ht="15.75" customHeight="1">
      <c r="A2903" s="2">
        <v>13976.0</v>
      </c>
      <c r="B2903" s="2" t="s">
        <v>605</v>
      </c>
      <c r="C2903" s="2" t="s">
        <v>6543</v>
      </c>
      <c r="D2903" s="2" t="s">
        <v>6544</v>
      </c>
      <c r="E2903" s="2" t="s">
        <v>20</v>
      </c>
      <c r="F2903" s="2">
        <v>2.0</v>
      </c>
      <c r="G2903" s="2">
        <v>479.0</v>
      </c>
      <c r="H2903" s="3" t="str">
        <f>HYPERLINK("http://ar.linkedin.com/pub/roberto-blanco/2A/643/9B8","http://ar.linkedin.com/pub/roberto-blanco/2A/643/9B8")</f>
        <v>http://ar.linkedin.com/pub/roberto-blanco/2A/643/9B8</v>
      </c>
      <c r="I2903" s="2" t="s">
        <v>132</v>
      </c>
      <c r="J2903" s="2" t="s">
        <v>21</v>
      </c>
      <c r="K2903" s="2" t="s">
        <v>5727</v>
      </c>
    </row>
    <row r="2904" ht="15.75" customHeight="1">
      <c r="A2904" s="2">
        <v>13980.0</v>
      </c>
      <c r="B2904" s="2" t="s">
        <v>6545</v>
      </c>
      <c r="C2904" s="2" t="s">
        <v>6546</v>
      </c>
      <c r="D2904" s="2" t="s">
        <v>6547</v>
      </c>
      <c r="E2904" s="2" t="s">
        <v>20</v>
      </c>
      <c r="F2904" s="2">
        <v>15.0</v>
      </c>
      <c r="G2904" s="2">
        <v>385.0</v>
      </c>
      <c r="H2904" s="3" t="str">
        <f>HYPERLINK("http://ar.linkedin.com/pub/adri%C3%A1n-zungri/19/736/120","http://ar.linkedin.com/pub/adri%C3%A1n-zungri/19/736/120")</f>
        <v>http://ar.linkedin.com/pub/adri%C3%A1n-zungri/19/736/120</v>
      </c>
      <c r="I2904" s="2" t="s">
        <v>2443</v>
      </c>
      <c r="J2904" s="2" t="s">
        <v>21</v>
      </c>
      <c r="K2904" s="2" t="s">
        <v>5727</v>
      </c>
    </row>
    <row r="2905" ht="15.75" customHeight="1">
      <c r="A2905" s="2">
        <v>13986.0</v>
      </c>
      <c r="B2905" s="2" t="s">
        <v>677</v>
      </c>
      <c r="C2905" s="2" t="s">
        <v>6548</v>
      </c>
      <c r="D2905" s="2" t="s">
        <v>6549</v>
      </c>
      <c r="E2905" s="2" t="s">
        <v>20</v>
      </c>
      <c r="F2905" s="2">
        <v>3.0</v>
      </c>
      <c r="G2905" s="2">
        <v>471.0</v>
      </c>
      <c r="H2905" s="3" t="str">
        <f>HYPERLINK("http://ar.linkedin.com/pub/daniel-miravalle/0/675/9A7","http://ar.linkedin.com/pub/daniel-miravalle/0/675/9A7")</f>
        <v>http://ar.linkedin.com/pub/daniel-miravalle/0/675/9A7</v>
      </c>
      <c r="I2905" s="2" t="s">
        <v>2443</v>
      </c>
      <c r="J2905" s="2" t="s">
        <v>21</v>
      </c>
      <c r="K2905" s="2" t="s">
        <v>5743</v>
      </c>
    </row>
    <row r="2906" ht="15.75" customHeight="1">
      <c r="A2906" s="2">
        <v>13988.0</v>
      </c>
      <c r="B2906" s="2" t="s">
        <v>6550</v>
      </c>
      <c r="C2906" s="2" t="s">
        <v>6551</v>
      </c>
      <c r="D2906" s="2" t="s">
        <v>6552</v>
      </c>
      <c r="E2906" s="2" t="s">
        <v>20</v>
      </c>
      <c r="F2906" s="2">
        <v>13.0</v>
      </c>
      <c r="G2906" s="2">
        <v>180.0</v>
      </c>
      <c r="H2906" s="3" t="str">
        <f>HYPERLINK("http://ar.linkedin.com/pub/carlos-andr%C3%A9s-del%C3%BA/3/A01/A7A","http://ar.linkedin.com/pub/carlos-andr%C3%A9s-del%C3%BA/3/A01/A7A")</f>
        <v>http://ar.linkedin.com/pub/carlos-andr%C3%A9s-del%C3%BA/3/A01/A7A</v>
      </c>
      <c r="I2906" s="2" t="s">
        <v>608</v>
      </c>
      <c r="J2906" s="2" t="s">
        <v>21</v>
      </c>
      <c r="K2906" s="2" t="s">
        <v>5727</v>
      </c>
    </row>
    <row r="2907" ht="15.75" customHeight="1">
      <c r="A2907" s="2">
        <v>14015.0</v>
      </c>
      <c r="B2907" s="2" t="s">
        <v>389</v>
      </c>
      <c r="C2907" s="2" t="s">
        <v>6553</v>
      </c>
      <c r="D2907" s="2" t="s">
        <v>5859</v>
      </c>
      <c r="E2907" s="2" t="s">
        <v>20</v>
      </c>
      <c r="F2907" s="2">
        <v>21.0</v>
      </c>
      <c r="G2907" s="2">
        <v>500.0</v>
      </c>
      <c r="H2907" s="3" t="str">
        <f>HYPERLINK("http://ar.linkedin.com/in/josensaha","http://ar.linkedin.com/in/josensaha")</f>
        <v>http://ar.linkedin.com/in/josensaha</v>
      </c>
      <c r="I2907" s="2" t="s">
        <v>579</v>
      </c>
      <c r="J2907" s="2" t="s">
        <v>21</v>
      </c>
      <c r="K2907" s="2" t="s">
        <v>5731</v>
      </c>
    </row>
    <row r="2908" ht="15.75" customHeight="1">
      <c r="A2908" s="2">
        <v>14019.0</v>
      </c>
      <c r="B2908" s="2" t="s">
        <v>501</v>
      </c>
      <c r="C2908" s="2" t="s">
        <v>6554</v>
      </c>
      <c r="D2908" s="2" t="s">
        <v>1865</v>
      </c>
      <c r="E2908" s="2" t="s">
        <v>20</v>
      </c>
      <c r="F2908" s="2">
        <v>0.0</v>
      </c>
      <c r="G2908" s="2">
        <v>276.0</v>
      </c>
      <c r="H2908" s="3" t="str">
        <f>HYPERLINK("http://ar.linkedin.com/in/franciscoamieiro","http://ar.linkedin.com/in/franciscoamieiro")</f>
        <v>http://ar.linkedin.com/in/franciscoamieiro</v>
      </c>
      <c r="I2908" s="2" t="s">
        <v>57</v>
      </c>
      <c r="J2908" s="2" t="s">
        <v>21</v>
      </c>
      <c r="K2908" s="2" t="s">
        <v>5785</v>
      </c>
    </row>
    <row r="2909" ht="15.75" customHeight="1">
      <c r="A2909" s="2">
        <v>14041.0</v>
      </c>
      <c r="B2909" s="2" t="s">
        <v>6555</v>
      </c>
      <c r="C2909" s="2" t="s">
        <v>6556</v>
      </c>
      <c r="D2909" s="2" t="s">
        <v>13</v>
      </c>
      <c r="E2909" s="2" t="s">
        <v>20</v>
      </c>
      <c r="F2909" s="2">
        <v>0.0</v>
      </c>
      <c r="G2909" s="2">
        <v>72.0</v>
      </c>
      <c r="H2909" s="3" t="str">
        <f>HYPERLINK("http://www.linkedin.com/pub/gabriel-alejandro-dominguez/12/241/744","http://www.linkedin.com/pub/gabriel-alejandro-dominguez/12/241/744")</f>
        <v>http://www.linkedin.com/pub/gabriel-alejandro-dominguez/12/241/744</v>
      </c>
      <c r="I2909" s="2" t="s">
        <v>77</v>
      </c>
      <c r="J2909" s="2" t="s">
        <v>21</v>
      </c>
      <c r="K2909" s="2" t="s">
        <v>5785</v>
      </c>
    </row>
    <row r="2910" ht="15.75" customHeight="1">
      <c r="A2910" s="2">
        <v>14050.0</v>
      </c>
      <c r="B2910" s="2" t="s">
        <v>329</v>
      </c>
      <c r="C2910" s="2" t="s">
        <v>6557</v>
      </c>
      <c r="D2910" s="2" t="s">
        <v>13</v>
      </c>
      <c r="E2910" s="2" t="s">
        <v>20</v>
      </c>
      <c r="F2910" s="2">
        <v>0.0</v>
      </c>
      <c r="G2910" s="2">
        <v>500.0</v>
      </c>
      <c r="H2910" s="3" t="str">
        <f>HYPERLINK("http://www.linkedin.com/pub/juan-pablo-bruzzo/2/77b/688","http://www.linkedin.com/pub/juan-pablo-bruzzo/2/77b/688")</f>
        <v>http://www.linkedin.com/pub/juan-pablo-bruzzo/2/77b/688</v>
      </c>
      <c r="I2910" s="2" t="s">
        <v>69</v>
      </c>
      <c r="J2910" s="2" t="s">
        <v>21</v>
      </c>
      <c r="K2910" s="2" t="s">
        <v>5725</v>
      </c>
    </row>
    <row r="2911" ht="15.75" customHeight="1">
      <c r="A2911" s="2">
        <v>14064.0</v>
      </c>
      <c r="B2911" s="2" t="s">
        <v>6173</v>
      </c>
      <c r="C2911" s="2" t="s">
        <v>6558</v>
      </c>
      <c r="D2911" s="2" t="s">
        <v>2960</v>
      </c>
      <c r="E2911" s="2" t="s">
        <v>20</v>
      </c>
      <c r="F2911" s="2">
        <v>4.0</v>
      </c>
      <c r="G2911" s="2">
        <v>426.0</v>
      </c>
      <c r="H2911" s="3" t="str">
        <f>HYPERLINK("http://ar.linkedin.com/pub/lucia-lopina/17/568/360","http://ar.linkedin.com/pub/lucia-lopina/17/568/360")</f>
        <v>http://ar.linkedin.com/pub/lucia-lopina/17/568/360</v>
      </c>
      <c r="I2911" s="2" t="s">
        <v>279</v>
      </c>
      <c r="J2911" s="2" t="s">
        <v>21</v>
      </c>
      <c r="K2911" s="2" t="s">
        <v>5727</v>
      </c>
    </row>
    <row r="2912" ht="15.75" customHeight="1">
      <c r="A2912" s="2">
        <v>14065.0</v>
      </c>
      <c r="B2912" s="2" t="s">
        <v>1296</v>
      </c>
      <c r="C2912" s="2" t="s">
        <v>6559</v>
      </c>
      <c r="D2912" s="2" t="s">
        <v>6560</v>
      </c>
      <c r="E2912" s="2" t="s">
        <v>20</v>
      </c>
      <c r="F2912" s="2">
        <v>0.0</v>
      </c>
      <c r="G2912" s="2">
        <v>196.0</v>
      </c>
      <c r="H2912" s="3" t="str">
        <f>HYPERLINK("http://ar.linkedin.com/in/andreafarino","http://ar.linkedin.com/in/andreafarino")</f>
        <v>http://ar.linkedin.com/in/andreafarino</v>
      </c>
      <c r="I2912" s="2" t="s">
        <v>279</v>
      </c>
      <c r="J2912" s="2" t="s">
        <v>21</v>
      </c>
      <c r="K2912" s="2" t="s">
        <v>5734</v>
      </c>
    </row>
    <row r="2913" ht="15.75" customHeight="1">
      <c r="A2913" s="2">
        <v>14077.0</v>
      </c>
      <c r="B2913" s="2" t="s">
        <v>4322</v>
      </c>
      <c r="C2913" s="2" t="s">
        <v>6561</v>
      </c>
      <c r="D2913" s="2" t="s">
        <v>6562</v>
      </c>
      <c r="E2913" s="2" t="s">
        <v>6563</v>
      </c>
      <c r="F2913" s="2">
        <v>2.0</v>
      </c>
      <c r="G2913" s="2">
        <v>114.0</v>
      </c>
      <c r="H2913" s="3" t="str">
        <f>HYPERLINK("http://uk.linkedin.com/pub/elaine-haines/10/7AA/AA3","http://uk.linkedin.com/pub/elaine-haines/10/7AA/AA3")</f>
        <v>http://uk.linkedin.com/pub/elaine-haines/10/7AA/AA3</v>
      </c>
      <c r="I2913" s="2" t="s">
        <v>279</v>
      </c>
      <c r="J2913" s="2" t="s">
        <v>53</v>
      </c>
      <c r="K2913" s="2" t="s">
        <v>5743</v>
      </c>
    </row>
    <row r="2914" ht="15.75" customHeight="1">
      <c r="A2914" s="2">
        <v>14110.0</v>
      </c>
      <c r="B2914" s="2" t="s">
        <v>431</v>
      </c>
      <c r="C2914" s="2" t="s">
        <v>6564</v>
      </c>
      <c r="D2914" s="2" t="s">
        <v>6565</v>
      </c>
      <c r="E2914" s="2" t="s">
        <v>20</v>
      </c>
      <c r="F2914" s="2">
        <v>7.0</v>
      </c>
      <c r="G2914" s="2">
        <v>500.0</v>
      </c>
      <c r="H2914" s="3" t="str">
        <f>HYPERLINK("http://ar.linkedin.com/in/rodroduran","http://ar.linkedin.com/in/rodroduran")</f>
        <v>http://ar.linkedin.com/in/rodroduran</v>
      </c>
      <c r="I2914" s="2" t="s">
        <v>3044</v>
      </c>
      <c r="J2914" s="2" t="s">
        <v>21</v>
      </c>
      <c r="K2914" s="2" t="s">
        <v>5727</v>
      </c>
    </row>
    <row r="2915" ht="15.75" customHeight="1">
      <c r="A2915" s="2">
        <v>14282.0</v>
      </c>
      <c r="B2915" s="2" t="s">
        <v>221</v>
      </c>
      <c r="C2915" s="2" t="s">
        <v>6566</v>
      </c>
      <c r="D2915" s="2" t="s">
        <v>6567</v>
      </c>
      <c r="E2915" s="2" t="s">
        <v>1190</v>
      </c>
      <c r="F2915" s="2">
        <v>3.0</v>
      </c>
      <c r="G2915" s="2">
        <v>500.0</v>
      </c>
      <c r="H2915" s="3" t="str">
        <f>HYPERLINK("http://www.linkedin.com/in/miguelcintron","http://www.linkedin.com/in/miguelcintron")</f>
        <v>http://www.linkedin.com/in/miguelcintron</v>
      </c>
      <c r="I2915" s="2" t="s">
        <v>1679</v>
      </c>
      <c r="J2915" s="2" t="s">
        <v>102</v>
      </c>
      <c r="K2915" s="2" t="s">
        <v>5727</v>
      </c>
    </row>
    <row r="2916" ht="15.75" customHeight="1">
      <c r="A2916" s="2">
        <v>14320.0</v>
      </c>
      <c r="B2916" s="2" t="s">
        <v>3072</v>
      </c>
      <c r="C2916" s="2" t="s">
        <v>6568</v>
      </c>
      <c r="D2916" s="2" t="s">
        <v>6569</v>
      </c>
      <c r="E2916" s="2" t="s">
        <v>628</v>
      </c>
      <c r="F2916" s="2">
        <v>44.0</v>
      </c>
      <c r="G2916" s="2">
        <v>500.0</v>
      </c>
      <c r="H2916" s="3" t="str">
        <f>HYPERLINK("http://www.linkedin.com/in/serpa","http://www.linkedin.com/in/serpa")</f>
        <v>http://www.linkedin.com/in/serpa</v>
      </c>
      <c r="I2916" s="2" t="s">
        <v>5228</v>
      </c>
      <c r="J2916" s="2" t="s">
        <v>102</v>
      </c>
      <c r="K2916" s="2" t="s">
        <v>5743</v>
      </c>
    </row>
    <row r="2917" ht="15.75" customHeight="1">
      <c r="A2917" s="2">
        <v>14434.0</v>
      </c>
      <c r="B2917" s="2" t="s">
        <v>3793</v>
      </c>
      <c r="C2917" s="2" t="s">
        <v>489</v>
      </c>
      <c r="D2917" s="2" t="s">
        <v>6570</v>
      </c>
      <c r="E2917" s="2" t="s">
        <v>6571</v>
      </c>
      <c r="F2917" s="2">
        <v>28.0</v>
      </c>
      <c r="G2917" s="2">
        <v>500.0</v>
      </c>
      <c r="H2917" s="3" t="str">
        <f>HYPERLINK("http://www.linkedin.com/in/jillcarter","http://www.linkedin.com/in/jillcarter")</f>
        <v>http://www.linkedin.com/in/jillcarter</v>
      </c>
      <c r="I2917" s="2" t="s">
        <v>248</v>
      </c>
      <c r="J2917" s="2" t="s">
        <v>102</v>
      </c>
      <c r="K2917" s="2" t="s">
        <v>6325</v>
      </c>
    </row>
    <row r="2918" ht="15.75" customHeight="1">
      <c r="A2918" s="2">
        <v>14437.0</v>
      </c>
      <c r="B2918" s="2" t="s">
        <v>3178</v>
      </c>
      <c r="C2918" s="2" t="s">
        <v>6572</v>
      </c>
      <c r="D2918" s="2" t="s">
        <v>75</v>
      </c>
      <c r="E2918" s="2" t="s">
        <v>20</v>
      </c>
      <c r="F2918" s="2">
        <v>3.0</v>
      </c>
      <c r="G2918" s="2">
        <v>500.0</v>
      </c>
      <c r="H2918" s="3" t="str">
        <f>HYPERLINK("http://ar.linkedin.com/pub/lucas-pujol/4/15/7AA","http://ar.linkedin.com/pub/lucas-pujol/4/15/7AA")</f>
        <v>http://ar.linkedin.com/pub/lucas-pujol/4/15/7AA</v>
      </c>
      <c r="I2918" s="2" t="s">
        <v>458</v>
      </c>
      <c r="J2918" s="2" t="s">
        <v>21</v>
      </c>
      <c r="K2918" s="2" t="s">
        <v>5743</v>
      </c>
    </row>
    <row r="2919" ht="15.75" customHeight="1">
      <c r="A2919" s="2">
        <v>14451.0</v>
      </c>
      <c r="B2919" s="2" t="s">
        <v>4183</v>
      </c>
      <c r="C2919" s="2" t="s">
        <v>5358</v>
      </c>
      <c r="D2919" s="2" t="s">
        <v>6573</v>
      </c>
      <c r="E2919" s="2" t="s">
        <v>1615</v>
      </c>
      <c r="F2919" s="2">
        <v>5.0</v>
      </c>
      <c r="G2919" s="2">
        <v>362.0</v>
      </c>
      <c r="H2919" s="3" t="str">
        <f>HYPERLINK("http://www.linkedin.com/in/kennethknapp","http://www.linkedin.com/in/kennethknapp")</f>
        <v>http://www.linkedin.com/in/kennethknapp</v>
      </c>
      <c r="I2919" s="2" t="s">
        <v>240</v>
      </c>
      <c r="J2919" s="2" t="s">
        <v>102</v>
      </c>
      <c r="K2919" s="2" t="s">
        <v>6574</v>
      </c>
    </row>
    <row r="2920" ht="15.75" customHeight="1">
      <c r="A2920" s="2">
        <v>14454.0</v>
      </c>
      <c r="B2920" s="2" t="s">
        <v>6575</v>
      </c>
      <c r="C2920" s="2" t="s">
        <v>6576</v>
      </c>
      <c r="D2920" s="2" t="s">
        <v>6577</v>
      </c>
      <c r="E2920" s="2" t="s">
        <v>20</v>
      </c>
      <c r="F2920" s="2">
        <v>6.0</v>
      </c>
      <c r="G2920" s="2">
        <v>205.0</v>
      </c>
      <c r="H2920" s="3" t="str">
        <f>HYPERLINK("http://ar.linkedin.com/pub/eber-mor-n/27/55/919","http://ar.linkedin.com/pub/eber-mor-n/27/55/919")</f>
        <v>http://ar.linkedin.com/pub/eber-mor-n/27/55/919</v>
      </c>
      <c r="I2920" s="2" t="s">
        <v>279</v>
      </c>
      <c r="J2920" s="2" t="s">
        <v>21</v>
      </c>
      <c r="K2920" s="2" t="s">
        <v>5929</v>
      </c>
    </row>
    <row r="2921" ht="15.75" customHeight="1">
      <c r="A2921" s="2">
        <v>14494.0</v>
      </c>
      <c r="B2921" s="2" t="s">
        <v>3201</v>
      </c>
      <c r="C2921" s="2" t="s">
        <v>6578</v>
      </c>
      <c r="D2921" s="2" t="s">
        <v>6579</v>
      </c>
      <c r="E2921" s="2" t="s">
        <v>20</v>
      </c>
      <c r="F2921" s="2">
        <v>9.0</v>
      </c>
      <c r="G2921" s="2">
        <v>235.0</v>
      </c>
      <c r="H2921" s="3" t="str">
        <f>HYPERLINK("http://ar.linkedin.com/pub/sebastian-pagano/2/54B/563","http://ar.linkedin.com/pub/sebastian-pagano/2/54B/563")</f>
        <v>http://ar.linkedin.com/pub/sebastian-pagano/2/54B/563</v>
      </c>
      <c r="I2921" s="2" t="s">
        <v>105</v>
      </c>
      <c r="J2921" s="2" t="s">
        <v>21</v>
      </c>
      <c r="K2921" s="2" t="s">
        <v>5727</v>
      </c>
    </row>
    <row r="2922" ht="15.75" customHeight="1">
      <c r="A2922" s="2">
        <v>14523.0</v>
      </c>
      <c r="B2922" s="2" t="s">
        <v>6580</v>
      </c>
      <c r="C2922" s="2" t="s">
        <v>6581</v>
      </c>
      <c r="D2922" s="2" t="s">
        <v>6582</v>
      </c>
      <c r="E2922" s="2" t="s">
        <v>20</v>
      </c>
      <c r="F2922" s="2">
        <v>1.0</v>
      </c>
      <c r="G2922" s="2">
        <v>302.0</v>
      </c>
      <c r="H2922" s="3" t="str">
        <f>HYPERLINK("http://ar.linkedin.com/pub/rosana-novoa/5/502/150","http://ar.linkedin.com/pub/rosana-novoa/5/502/150")</f>
        <v>http://ar.linkedin.com/pub/rosana-novoa/5/502/150</v>
      </c>
      <c r="I2922" s="2" t="s">
        <v>15</v>
      </c>
      <c r="J2922" s="2" t="s">
        <v>21</v>
      </c>
      <c r="K2922" s="2" t="s">
        <v>6124</v>
      </c>
    </row>
    <row r="2923" ht="15.75" customHeight="1">
      <c r="A2923" s="2">
        <v>14524.0</v>
      </c>
      <c r="B2923" s="2" t="s">
        <v>1163</v>
      </c>
      <c r="C2923" s="2" t="s">
        <v>6583</v>
      </c>
      <c r="D2923" s="2" t="s">
        <v>6584</v>
      </c>
      <c r="E2923" s="2" t="s">
        <v>6585</v>
      </c>
      <c r="F2923" s="2">
        <v>2.0</v>
      </c>
      <c r="G2923" s="2">
        <v>292.0</v>
      </c>
      <c r="H2923" s="3" t="str">
        <f>HYPERLINK("http://ar.linkedin.com/in/mariaanunez","http://ar.linkedin.com/in/mariaanunez")</f>
        <v>http://ar.linkedin.com/in/mariaanunez</v>
      </c>
      <c r="I2923" s="2" t="s">
        <v>279</v>
      </c>
      <c r="J2923" s="2" t="s">
        <v>53</v>
      </c>
      <c r="K2923" s="2" t="s">
        <v>5743</v>
      </c>
    </row>
    <row r="2924" ht="15.75" customHeight="1">
      <c r="A2924" s="2">
        <v>14531.0</v>
      </c>
      <c r="B2924" s="2" t="s">
        <v>6586</v>
      </c>
      <c r="C2924" s="2" t="s">
        <v>6587</v>
      </c>
      <c r="D2924" s="2" t="s">
        <v>3820</v>
      </c>
      <c r="E2924" s="2" t="s">
        <v>301</v>
      </c>
      <c r="F2924" s="2">
        <v>0.0</v>
      </c>
      <c r="G2924" s="2">
        <v>82.0</v>
      </c>
      <c r="H2924" s="3" t="str">
        <f>HYPERLINK("http://www.linkedin.com/pub/srikanth-pasham/5/552/824","http://www.linkedin.com/pub/srikanth-pasham/5/552/824")</f>
        <v>http://www.linkedin.com/pub/srikanth-pasham/5/552/824</v>
      </c>
      <c r="I2924" s="2" t="s">
        <v>1679</v>
      </c>
      <c r="J2924" s="2" t="s">
        <v>102</v>
      </c>
      <c r="K2924" s="2" t="s">
        <v>6588</v>
      </c>
    </row>
    <row r="2925" ht="15.75" customHeight="1">
      <c r="A2925" s="2">
        <v>14548.0</v>
      </c>
      <c r="B2925" s="2" t="s">
        <v>264</v>
      </c>
      <c r="C2925" s="2" t="s">
        <v>6589</v>
      </c>
      <c r="D2925" s="2" t="s">
        <v>13</v>
      </c>
      <c r="E2925" s="2" t="s">
        <v>20</v>
      </c>
      <c r="F2925" s="2">
        <v>0.0</v>
      </c>
      <c r="G2925" s="2">
        <v>276.0</v>
      </c>
      <c r="H2925" s="3" t="str">
        <f>HYPERLINK("http://www.linkedin.com/pub/andres-schmisser/b/3a/784","http://www.linkedin.com/pub/andres-schmisser/b/3a/784")</f>
        <v>http://www.linkedin.com/pub/andres-schmisser/b/3a/784</v>
      </c>
      <c r="I2925" s="2" t="s">
        <v>2268</v>
      </c>
      <c r="J2925" s="2" t="s">
        <v>21</v>
      </c>
      <c r="K2925" s="2" t="s">
        <v>5734</v>
      </c>
    </row>
    <row r="2926" ht="15.75" customHeight="1">
      <c r="A2926" s="2">
        <v>14558.0</v>
      </c>
      <c r="B2926" s="2" t="s">
        <v>6590</v>
      </c>
      <c r="C2926" s="2" t="s">
        <v>6591</v>
      </c>
      <c r="D2926" s="2" t="s">
        <v>2331</v>
      </c>
      <c r="E2926" s="2" t="s">
        <v>20</v>
      </c>
      <c r="F2926" s="2">
        <v>0.0</v>
      </c>
      <c r="G2926" s="2">
        <v>178.0</v>
      </c>
      <c r="H2926" s="3" t="str">
        <f>HYPERLINK("http://ar.linkedin.com/pub/aldo-gianelli/0/608/24B","http://ar.linkedin.com/pub/aldo-gianelli/0/608/24B")</f>
        <v>http://ar.linkedin.com/pub/aldo-gianelli/0/608/24B</v>
      </c>
      <c r="I2926" s="2" t="s">
        <v>15</v>
      </c>
      <c r="J2926" s="2" t="s">
        <v>21</v>
      </c>
      <c r="K2926" s="2" t="s">
        <v>5725</v>
      </c>
    </row>
    <row r="2927" ht="15.75" customHeight="1">
      <c r="A2927" s="2">
        <v>14600.0</v>
      </c>
      <c r="B2927" s="2" t="s">
        <v>238</v>
      </c>
      <c r="C2927" s="2" t="s">
        <v>6592</v>
      </c>
      <c r="D2927" s="2" t="s">
        <v>6593</v>
      </c>
      <c r="E2927" s="2" t="s">
        <v>20</v>
      </c>
      <c r="F2927" s="2">
        <v>5.0</v>
      </c>
      <c r="G2927" s="2">
        <v>386.0</v>
      </c>
      <c r="H2927" s="3" t="str">
        <f>HYPERLINK("http://ar.linkedin.com/in/juansanzone","http://ar.linkedin.com/in/juansanzone")</f>
        <v>http://ar.linkedin.com/in/juansanzone</v>
      </c>
      <c r="I2927" s="2" t="s">
        <v>910</v>
      </c>
      <c r="J2927" s="2" t="s">
        <v>21</v>
      </c>
      <c r="K2927" s="2" t="s">
        <v>5727</v>
      </c>
    </row>
    <row r="2928" ht="15.75" customHeight="1">
      <c r="A2928" s="2">
        <v>14609.0</v>
      </c>
      <c r="B2928" s="2" t="s">
        <v>70</v>
      </c>
      <c r="C2928" s="2" t="s">
        <v>6594</v>
      </c>
      <c r="D2928" s="2" t="s">
        <v>6595</v>
      </c>
      <c r="E2928" s="2" t="s">
        <v>20</v>
      </c>
      <c r="F2928" s="2">
        <v>13.0</v>
      </c>
      <c r="G2928" s="2">
        <v>500.0</v>
      </c>
      <c r="H2928" s="3" t="str">
        <f>HYPERLINK("http://ar.linkedin.com/in/gustavobrusco","http://ar.linkedin.com/in/gustavobrusco")</f>
        <v>http://ar.linkedin.com/in/gustavobrusco</v>
      </c>
      <c r="I2928" s="2" t="s">
        <v>1679</v>
      </c>
      <c r="J2928" s="2" t="s">
        <v>21</v>
      </c>
      <c r="K2928" s="2" t="s">
        <v>5727</v>
      </c>
    </row>
    <row r="2929" ht="15.75" customHeight="1">
      <c r="A2929" s="2">
        <v>14614.0</v>
      </c>
      <c r="B2929" s="2" t="s">
        <v>605</v>
      </c>
      <c r="C2929" s="2" t="s">
        <v>6596</v>
      </c>
      <c r="D2929" s="2" t="s">
        <v>6597</v>
      </c>
      <c r="E2929" s="2" t="s">
        <v>20</v>
      </c>
      <c r="F2929" s="2">
        <v>1.0</v>
      </c>
      <c r="G2929" s="2">
        <v>178.0</v>
      </c>
      <c r="H2929" s="3" t="str">
        <f>HYPERLINK("http://ar.linkedin.com/pub/roberto-arancio/12/933/474","http://ar.linkedin.com/pub/roberto-arancio/12/933/474")</f>
        <v>http://ar.linkedin.com/pub/roberto-arancio/12/933/474</v>
      </c>
      <c r="I2929" s="2" t="s">
        <v>15</v>
      </c>
      <c r="J2929" s="2" t="s">
        <v>21</v>
      </c>
      <c r="K2929" s="2" t="s">
        <v>5725</v>
      </c>
    </row>
    <row r="2930" ht="15.75" customHeight="1">
      <c r="A2930" s="2">
        <v>14623.0</v>
      </c>
      <c r="B2930" s="2" t="s">
        <v>6598</v>
      </c>
      <c r="C2930" s="2" t="s">
        <v>6599</v>
      </c>
      <c r="D2930" s="2" t="s">
        <v>13</v>
      </c>
      <c r="E2930" s="2" t="s">
        <v>20</v>
      </c>
      <c r="F2930" s="2">
        <v>0.0</v>
      </c>
      <c r="G2930" s="2">
        <v>177.0</v>
      </c>
      <c r="H2930" s="3" t="str">
        <f>HYPERLINK("http://www.linkedin.com/pub/shi-juan-chao/6/840/522","http://www.linkedin.com/pub/shi-juan-chao/6/840/522")</f>
        <v>http://www.linkedin.com/pub/shi-juan-chao/6/840/522</v>
      </c>
      <c r="I2930" s="2" t="s">
        <v>579</v>
      </c>
      <c r="J2930" s="2" t="s">
        <v>21</v>
      </c>
      <c r="K2930" s="2" t="s">
        <v>5734</v>
      </c>
    </row>
    <row r="2931" ht="15.75" customHeight="1">
      <c r="A2931" s="2">
        <v>14628.0</v>
      </c>
      <c r="B2931" s="2" t="s">
        <v>637</v>
      </c>
      <c r="C2931" s="2" t="s">
        <v>6600</v>
      </c>
      <c r="D2931" s="2" t="s">
        <v>6601</v>
      </c>
      <c r="E2931" s="2" t="s">
        <v>20</v>
      </c>
      <c r="F2931" s="2">
        <v>6.0</v>
      </c>
      <c r="G2931" s="2">
        <v>138.0</v>
      </c>
      <c r="H2931" s="3" t="str">
        <f>HYPERLINK("http://ar.linkedin.com/pub/leonardo-flores/3/214/222","http://ar.linkedin.com/pub/leonardo-flores/3/214/222")</f>
        <v>http://ar.linkedin.com/pub/leonardo-flores/3/214/222</v>
      </c>
      <c r="I2931" s="2" t="s">
        <v>2000</v>
      </c>
      <c r="J2931" s="2" t="s">
        <v>21</v>
      </c>
      <c r="K2931" s="2" t="s">
        <v>5727</v>
      </c>
    </row>
    <row r="2932" ht="15.75" customHeight="1">
      <c r="A2932" s="2">
        <v>14683.0</v>
      </c>
      <c r="B2932" s="2" t="s">
        <v>5723</v>
      </c>
      <c r="C2932" s="2" t="s">
        <v>6602</v>
      </c>
      <c r="D2932" s="2" t="s">
        <v>6603</v>
      </c>
      <c r="E2932" s="2" t="s">
        <v>20</v>
      </c>
      <c r="F2932" s="2">
        <v>7.0</v>
      </c>
      <c r="G2932" s="2">
        <v>500.0</v>
      </c>
      <c r="H2932" s="3" t="str">
        <f>HYPERLINK("http://ar.linkedin.com/pub/pablo-sojo/5/65A/B11","http://ar.linkedin.com/pub/pablo-sojo/5/65A/B11")</f>
        <v>http://ar.linkedin.com/pub/pablo-sojo/5/65A/B11</v>
      </c>
      <c r="I2932" s="2" t="s">
        <v>458</v>
      </c>
      <c r="J2932" s="2" t="s">
        <v>21</v>
      </c>
      <c r="K2932" s="2" t="s">
        <v>5727</v>
      </c>
    </row>
    <row r="2933" ht="15.75" customHeight="1">
      <c r="A2933" s="2">
        <v>14697.0</v>
      </c>
      <c r="B2933" s="2" t="s">
        <v>6604</v>
      </c>
      <c r="C2933" s="2" t="s">
        <v>13</v>
      </c>
      <c r="D2933" s="2" t="s">
        <v>13</v>
      </c>
      <c r="E2933" s="2" t="s">
        <v>701</v>
      </c>
      <c r="F2933" s="2">
        <v>15.0</v>
      </c>
      <c r="G2933" s="2">
        <v>500.0</v>
      </c>
      <c r="H2933" s="3" t="str">
        <f>HYPERLINK("http://www.linkedin.com/in/alecdickinson","http://www.linkedin.com/in/alecdickinson")</f>
        <v>http://www.linkedin.com/in/alecdickinson</v>
      </c>
      <c r="I2933" s="2" t="s">
        <v>69</v>
      </c>
      <c r="J2933" s="2" t="s">
        <v>702</v>
      </c>
      <c r="K2933" s="2" t="s">
        <v>5812</v>
      </c>
    </row>
    <row r="2934" ht="15.75" customHeight="1">
      <c r="A2934" s="2">
        <v>14703.0</v>
      </c>
      <c r="B2934" s="2" t="s">
        <v>193</v>
      </c>
      <c r="C2934" s="2" t="s">
        <v>6605</v>
      </c>
      <c r="D2934" s="2" t="s">
        <v>5668</v>
      </c>
      <c r="E2934" s="2" t="s">
        <v>20</v>
      </c>
      <c r="F2934" s="2">
        <v>1.0</v>
      </c>
      <c r="G2934" s="2">
        <v>500.0</v>
      </c>
      <c r="H2934" s="3" t="str">
        <f>HYPERLINK("http://ar.linkedin.com/pub/guillermo-labatte/2/643/31","http://ar.linkedin.com/pub/guillermo-labatte/2/643/31")</f>
        <v>http://ar.linkedin.com/pub/guillermo-labatte/2/643/31</v>
      </c>
      <c r="I2934" s="2" t="s">
        <v>15</v>
      </c>
      <c r="J2934" s="2" t="s">
        <v>21</v>
      </c>
      <c r="K2934" s="2" t="s">
        <v>5725</v>
      </c>
    </row>
    <row r="2935" ht="15.75" customHeight="1">
      <c r="A2935" s="2">
        <v>14705.0</v>
      </c>
      <c r="B2935" s="2" t="s">
        <v>6025</v>
      </c>
      <c r="C2935" s="2" t="s">
        <v>6546</v>
      </c>
      <c r="D2935" s="2" t="s">
        <v>6606</v>
      </c>
      <c r="E2935" s="2" t="s">
        <v>20</v>
      </c>
      <c r="F2935" s="2">
        <v>6.0</v>
      </c>
      <c r="G2935" s="2">
        <v>500.0</v>
      </c>
      <c r="H2935" s="3" t="str">
        <f>HYPERLINK("http://ar.linkedin.com/in/hzungri","http://ar.linkedin.com/in/hzungri")</f>
        <v>http://ar.linkedin.com/in/hzungri</v>
      </c>
      <c r="I2935" s="2" t="s">
        <v>1398</v>
      </c>
      <c r="J2935" s="2" t="s">
        <v>21</v>
      </c>
      <c r="K2935" s="2" t="s">
        <v>5727</v>
      </c>
    </row>
    <row r="2936" ht="15.75" customHeight="1">
      <c r="A2936" s="2">
        <v>14739.0</v>
      </c>
      <c r="B2936" s="2" t="s">
        <v>5078</v>
      </c>
      <c r="C2936" s="2" t="s">
        <v>6607</v>
      </c>
      <c r="D2936" s="2" t="s">
        <v>6608</v>
      </c>
      <c r="E2936" s="2" t="s">
        <v>20</v>
      </c>
      <c r="F2936" s="2">
        <v>0.0</v>
      </c>
      <c r="G2936" s="2">
        <v>152.0</v>
      </c>
      <c r="H2936" s="3" t="str">
        <f>HYPERLINK("http://ar.linkedin.com/pub/diego-de-marco/4/39/991","http://ar.linkedin.com/pub/diego-de-marco/4/39/991")</f>
        <v>http://ar.linkedin.com/pub/diego-de-marco/4/39/991</v>
      </c>
      <c r="I2936" s="2" t="s">
        <v>2023</v>
      </c>
      <c r="J2936" s="2" t="s">
        <v>21</v>
      </c>
      <c r="K2936" s="2" t="s">
        <v>6609</v>
      </c>
    </row>
    <row r="2937" ht="15.75" customHeight="1">
      <c r="A2937" s="2">
        <v>14758.0</v>
      </c>
      <c r="B2937" s="2" t="s">
        <v>1499</v>
      </c>
      <c r="C2937" s="2" t="s">
        <v>6610</v>
      </c>
      <c r="D2937" s="2" t="s">
        <v>6611</v>
      </c>
      <c r="E2937" s="2" t="s">
        <v>20</v>
      </c>
      <c r="F2937" s="2">
        <v>18.0</v>
      </c>
      <c r="G2937" s="2">
        <v>326.0</v>
      </c>
      <c r="H2937" s="3" t="str">
        <f>HYPERLINK("http://ar.linkedin.com/pub/adrian-catoraz/4/876/693","http://ar.linkedin.com/pub/adrian-catoraz/4/876/693")</f>
        <v>http://ar.linkedin.com/pub/adrian-catoraz/4/876/693</v>
      </c>
      <c r="I2937" s="2" t="s">
        <v>15</v>
      </c>
      <c r="J2937" s="2" t="s">
        <v>21</v>
      </c>
      <c r="K2937" s="2" t="s">
        <v>6075</v>
      </c>
    </row>
    <row r="2938" ht="15.75" customHeight="1">
      <c r="A2938" s="2">
        <v>14760.0</v>
      </c>
      <c r="B2938" s="2" t="s">
        <v>6219</v>
      </c>
      <c r="C2938" s="2" t="s">
        <v>6612</v>
      </c>
      <c r="D2938" s="2" t="s">
        <v>6613</v>
      </c>
      <c r="E2938" s="2" t="s">
        <v>20</v>
      </c>
      <c r="F2938" s="2">
        <v>0.0</v>
      </c>
      <c r="G2938" s="2">
        <v>263.0</v>
      </c>
      <c r="H2938" s="3" t="str">
        <f>HYPERLINK("http://ar.linkedin.com/pub/hugo-diorio/1/851/349","http://ar.linkedin.com/pub/hugo-diorio/1/851/349")</f>
        <v>http://ar.linkedin.com/pub/hugo-diorio/1/851/349</v>
      </c>
      <c r="I2938" s="2" t="s">
        <v>279</v>
      </c>
      <c r="J2938" s="2" t="s">
        <v>21</v>
      </c>
      <c r="K2938" s="2" t="s">
        <v>5734</v>
      </c>
    </row>
    <row r="2939" ht="15.75" customHeight="1">
      <c r="A2939" s="2">
        <v>14792.0</v>
      </c>
      <c r="B2939" s="2" t="s">
        <v>6614</v>
      </c>
      <c r="C2939" s="2" t="s">
        <v>6615</v>
      </c>
      <c r="D2939" s="2" t="s">
        <v>6616</v>
      </c>
      <c r="E2939" s="2" t="s">
        <v>20</v>
      </c>
      <c r="F2939" s="2">
        <v>5.0</v>
      </c>
      <c r="G2939" s="2">
        <v>365.0</v>
      </c>
      <c r="H2939" s="3" t="str">
        <f>HYPERLINK("http://ar.linkedin.com/in/fabioalexismanso","http://ar.linkedin.com/in/fabioalexismanso")</f>
        <v>http://ar.linkedin.com/in/fabioalexismanso</v>
      </c>
      <c r="I2939" s="2" t="s">
        <v>612</v>
      </c>
      <c r="J2939" s="2" t="s">
        <v>21</v>
      </c>
      <c r="K2939" s="2" t="s">
        <v>5743</v>
      </c>
    </row>
    <row r="2940" ht="15.75" customHeight="1">
      <c r="A2940" s="2">
        <v>14807.0</v>
      </c>
      <c r="B2940" s="2" t="s">
        <v>70</v>
      </c>
      <c r="C2940" s="2" t="s">
        <v>6617</v>
      </c>
      <c r="D2940" s="2" t="s">
        <v>6618</v>
      </c>
      <c r="E2940" s="2" t="s">
        <v>20</v>
      </c>
      <c r="F2940" s="2">
        <v>4.0</v>
      </c>
      <c r="G2940" s="2">
        <v>269.0</v>
      </c>
      <c r="H2940" s="3" t="str">
        <f>HYPERLINK("http://ar.linkedin.com/pub/gustavo-juarez/8/904/325","http://ar.linkedin.com/pub/gustavo-juarez/8/904/325")</f>
        <v>http://ar.linkedin.com/pub/gustavo-juarez/8/904/325</v>
      </c>
      <c r="I2940" s="2" t="s">
        <v>77</v>
      </c>
      <c r="J2940" s="2" t="s">
        <v>21</v>
      </c>
      <c r="K2940" s="2" t="s">
        <v>5731</v>
      </c>
    </row>
    <row r="2941" ht="15.75" customHeight="1">
      <c r="A2941" s="2">
        <v>14827.0</v>
      </c>
      <c r="B2941" s="2" t="s">
        <v>637</v>
      </c>
      <c r="C2941" s="2" t="s">
        <v>6619</v>
      </c>
      <c r="D2941" s="2" t="s">
        <v>6620</v>
      </c>
      <c r="E2941" s="2" t="s">
        <v>20</v>
      </c>
      <c r="F2941" s="2">
        <v>3.0</v>
      </c>
      <c r="G2941" s="2">
        <v>249.0</v>
      </c>
      <c r="H2941" s="3" t="str">
        <f>HYPERLINK("http://ar.linkedin.com/pub/leonardo-duran/5/27B/6B","http://ar.linkedin.com/pub/leonardo-duran/5/27B/6B")</f>
        <v>http://ar.linkedin.com/pub/leonardo-duran/5/27B/6B</v>
      </c>
      <c r="I2941" s="2" t="s">
        <v>1841</v>
      </c>
      <c r="J2941" s="2" t="s">
        <v>21</v>
      </c>
      <c r="K2941" s="2" t="s">
        <v>5727</v>
      </c>
    </row>
    <row r="2942" ht="15.75" customHeight="1">
      <c r="A2942" s="2">
        <v>14836.0</v>
      </c>
      <c r="B2942" s="2" t="s">
        <v>6467</v>
      </c>
      <c r="C2942" s="2" t="s">
        <v>6621</v>
      </c>
      <c r="D2942" s="2" t="s">
        <v>6281</v>
      </c>
      <c r="E2942" s="2" t="s">
        <v>20</v>
      </c>
      <c r="F2942" s="2">
        <v>0.0</v>
      </c>
      <c r="G2942" s="2">
        <v>179.0</v>
      </c>
      <c r="H2942" s="3" t="str">
        <f>HYPERLINK("http://ar.linkedin.com/pub/florencia-ortiz/18/570/83B","http://ar.linkedin.com/pub/florencia-ortiz/18/570/83B")</f>
        <v>http://ar.linkedin.com/pub/florencia-ortiz/18/570/83B</v>
      </c>
      <c r="I2942" s="2" t="s">
        <v>252</v>
      </c>
      <c r="J2942" s="2" t="s">
        <v>21</v>
      </c>
      <c r="K2942" s="2" t="s">
        <v>5734</v>
      </c>
    </row>
    <row r="2943" ht="15.75" customHeight="1">
      <c r="A2943" s="2">
        <v>14850.0</v>
      </c>
      <c r="B2943" s="2" t="s">
        <v>6622</v>
      </c>
      <c r="C2943" s="2" t="s">
        <v>6623</v>
      </c>
      <c r="D2943" s="2" t="s">
        <v>6624</v>
      </c>
      <c r="E2943" s="2" t="s">
        <v>20</v>
      </c>
      <c r="F2943" s="2">
        <v>12.0</v>
      </c>
      <c r="G2943" s="2">
        <v>181.0</v>
      </c>
      <c r="H2943" s="3" t="str">
        <f>HYPERLINK("http://ar.linkedin.com/pub/patricio-veltri/20/A11/54B","http://ar.linkedin.com/pub/patricio-veltri/20/A11/54B")</f>
        <v>http://ar.linkedin.com/pub/patricio-veltri/20/A11/54B</v>
      </c>
      <c r="I2943" s="2" t="s">
        <v>374</v>
      </c>
      <c r="J2943" s="2" t="s">
        <v>21</v>
      </c>
      <c r="K2943" s="2" t="s">
        <v>5727</v>
      </c>
    </row>
    <row r="2944" ht="15.75" customHeight="1">
      <c r="A2944" s="2">
        <v>14863.0</v>
      </c>
      <c r="B2944" s="2" t="s">
        <v>6004</v>
      </c>
      <c r="C2944" s="2" t="s">
        <v>6625</v>
      </c>
      <c r="D2944" s="2" t="s">
        <v>6626</v>
      </c>
      <c r="E2944" s="2" t="s">
        <v>20</v>
      </c>
      <c r="F2944" s="2">
        <v>4.0</v>
      </c>
      <c r="G2944" s="2">
        <v>240.0</v>
      </c>
      <c r="H2944" s="3" t="str">
        <f>HYPERLINK("http://ar.linkedin.com/in/juanmanuelbandeira","http://ar.linkedin.com/in/juanmanuelbandeira")</f>
        <v>http://ar.linkedin.com/in/juanmanuelbandeira</v>
      </c>
      <c r="I2944" s="2" t="s">
        <v>1679</v>
      </c>
      <c r="J2944" s="2" t="s">
        <v>21</v>
      </c>
      <c r="K2944" s="2" t="s">
        <v>5727</v>
      </c>
    </row>
    <row r="2945" ht="15.75" customHeight="1">
      <c r="A2945" s="2">
        <v>14866.0</v>
      </c>
      <c r="B2945" s="2" t="s">
        <v>5883</v>
      </c>
      <c r="C2945" s="2" t="s">
        <v>3696</v>
      </c>
      <c r="D2945" s="2" t="s">
        <v>289</v>
      </c>
      <c r="E2945" s="2" t="s">
        <v>20</v>
      </c>
      <c r="F2945" s="2">
        <v>0.0</v>
      </c>
      <c r="G2945" s="2">
        <v>214.0</v>
      </c>
      <c r="H2945" s="3" t="str">
        <f>HYPERLINK("http://ar.linkedin.com/pub/ariel-lomonaco/4/66B/ABA","http://ar.linkedin.com/pub/ariel-lomonaco/4/66B/ABA")</f>
        <v>http://ar.linkedin.com/pub/ariel-lomonaco/4/66B/ABA</v>
      </c>
      <c r="I2945" s="2" t="s">
        <v>48</v>
      </c>
      <c r="J2945" s="2" t="s">
        <v>21</v>
      </c>
      <c r="K2945" s="2" t="s">
        <v>5725</v>
      </c>
    </row>
    <row r="2946" ht="15.75" customHeight="1">
      <c r="A2946" s="2">
        <v>14923.0</v>
      </c>
      <c r="B2946" s="2" t="s">
        <v>1653</v>
      </c>
      <c r="C2946" s="2" t="s">
        <v>6627</v>
      </c>
      <c r="D2946" s="2" t="s">
        <v>6628</v>
      </c>
      <c r="E2946" s="2" t="s">
        <v>1407</v>
      </c>
      <c r="F2946" s="2">
        <v>0.0</v>
      </c>
      <c r="G2946" s="2">
        <v>179.0</v>
      </c>
      <c r="H2946" s="3" t="str">
        <f>HYPERLINK("http://www.linkedin.com/pub/doug-snitker/B/71B/156","http://www.linkedin.com/pub/doug-snitker/B/71B/156")</f>
        <v>http://www.linkedin.com/pub/doug-snitker/B/71B/156</v>
      </c>
      <c r="I2946" s="2" t="s">
        <v>1728</v>
      </c>
      <c r="J2946" s="2" t="s">
        <v>102</v>
      </c>
      <c r="K2946" s="2" t="s">
        <v>5743</v>
      </c>
    </row>
    <row r="2947" ht="15.75" customHeight="1">
      <c r="A2947" s="2">
        <v>14942.0</v>
      </c>
      <c r="B2947" s="2" t="s">
        <v>6629</v>
      </c>
      <c r="C2947" s="2" t="s">
        <v>6630</v>
      </c>
      <c r="D2947" s="2" t="s">
        <v>4567</v>
      </c>
      <c r="E2947" s="2" t="s">
        <v>491</v>
      </c>
      <c r="F2947" s="2">
        <v>7.0</v>
      </c>
      <c r="G2947" s="2">
        <v>263.0</v>
      </c>
      <c r="H2947" s="3" t="str">
        <f>HYPERLINK("http://www.linkedin.com/in/imedina","http://www.linkedin.com/in/imedina")</f>
        <v>http://www.linkedin.com/in/imedina</v>
      </c>
      <c r="I2947" s="2" t="s">
        <v>69</v>
      </c>
      <c r="J2947" s="2" t="s">
        <v>220</v>
      </c>
      <c r="K2947" s="2" t="s">
        <v>5819</v>
      </c>
    </row>
    <row r="2948" ht="15.75" customHeight="1">
      <c r="A2948" s="2">
        <v>14966.0</v>
      </c>
      <c r="B2948" s="2" t="s">
        <v>5828</v>
      </c>
      <c r="C2948" s="2" t="s">
        <v>6631</v>
      </c>
      <c r="D2948" s="2" t="s">
        <v>13</v>
      </c>
      <c r="E2948" s="2" t="s">
        <v>20</v>
      </c>
      <c r="F2948" s="2">
        <v>0.0</v>
      </c>
      <c r="G2948" s="2">
        <v>223.0</v>
      </c>
      <c r="H2948" s="3" t="str">
        <f>HYPERLINK("http://www.linkedin.com/pub/silvia-carradore/6/aa3/1a4","http://www.linkedin.com/pub/silvia-carradore/6/aa3/1a4")</f>
        <v>http://www.linkedin.com/pub/silvia-carradore/6/aa3/1a4</v>
      </c>
      <c r="I2948" s="2" t="s">
        <v>1237</v>
      </c>
      <c r="J2948" s="2" t="s">
        <v>21</v>
      </c>
      <c r="K2948" s="2" t="s">
        <v>5734</v>
      </c>
    </row>
    <row r="2949" ht="15.75" customHeight="1">
      <c r="A2949" s="2">
        <v>14978.0</v>
      </c>
      <c r="B2949" s="2" t="s">
        <v>6632</v>
      </c>
      <c r="C2949" s="2" t="s">
        <v>6633</v>
      </c>
      <c r="D2949" s="2" t="s">
        <v>6634</v>
      </c>
      <c r="E2949" s="2" t="s">
        <v>20</v>
      </c>
      <c r="F2949" s="2">
        <v>5.0</v>
      </c>
      <c r="G2949" s="2">
        <v>162.0</v>
      </c>
      <c r="H2949" s="3" t="str">
        <f>HYPERLINK("http://ar.linkedin.com/pub/nicol%C3%A1s-alejandro-padin-paez/10/192/770","http://ar.linkedin.com/pub/nicol%C3%A1s-alejandro-padin-paez/10/192/770")</f>
        <v>http://ar.linkedin.com/pub/nicol%C3%A1s-alejandro-padin-paez/10/192/770</v>
      </c>
      <c r="I2949" s="2" t="s">
        <v>15</v>
      </c>
      <c r="J2949" s="2" t="s">
        <v>21</v>
      </c>
      <c r="K2949" s="2" t="s">
        <v>5777</v>
      </c>
    </row>
    <row r="2950" ht="15.75" customHeight="1">
      <c r="A2950" s="2">
        <v>14988.0</v>
      </c>
      <c r="B2950" s="2" t="s">
        <v>5078</v>
      </c>
      <c r="C2950" s="2" t="s">
        <v>6635</v>
      </c>
      <c r="D2950" s="2" t="s">
        <v>13</v>
      </c>
      <c r="E2950" s="2" t="s">
        <v>20</v>
      </c>
      <c r="F2950" s="2">
        <v>0.0</v>
      </c>
      <c r="G2950" s="2">
        <v>396.0</v>
      </c>
      <c r="H2950" s="3" t="str">
        <f>HYPERLINK("http://www.linkedin.com/pub/diego-salle-mato/11/209/796","http://www.linkedin.com/pub/diego-salle-mato/11/209/796")</f>
        <v>http://www.linkedin.com/pub/diego-salle-mato/11/209/796</v>
      </c>
      <c r="I2950" s="2" t="s">
        <v>579</v>
      </c>
      <c r="J2950" s="2" t="s">
        <v>21</v>
      </c>
      <c r="K2950" s="2" t="s">
        <v>5848</v>
      </c>
    </row>
    <row r="2951" ht="15.75" customHeight="1">
      <c r="A2951" s="2">
        <v>15038.0</v>
      </c>
      <c r="B2951" s="2" t="s">
        <v>6252</v>
      </c>
      <c r="C2951" s="2" t="s">
        <v>6636</v>
      </c>
      <c r="D2951" s="2" t="s">
        <v>6637</v>
      </c>
      <c r="E2951" s="2" t="s">
        <v>20</v>
      </c>
      <c r="F2951" s="2">
        <v>2.0</v>
      </c>
      <c r="G2951" s="2">
        <v>500.0</v>
      </c>
      <c r="H2951" s="3" t="str">
        <f>HYPERLINK("http://ar.linkedin.com/in/spartnoy","http://ar.linkedin.com/in/spartnoy")</f>
        <v>http://ar.linkedin.com/in/spartnoy</v>
      </c>
      <c r="I2951" s="2" t="s">
        <v>77</v>
      </c>
      <c r="J2951" s="2" t="s">
        <v>21</v>
      </c>
      <c r="K2951" s="2" t="s">
        <v>5731</v>
      </c>
    </row>
    <row r="2952" ht="15.75" customHeight="1">
      <c r="A2952" s="2">
        <v>15087.0</v>
      </c>
      <c r="B2952" s="2" t="s">
        <v>227</v>
      </c>
      <c r="C2952" s="2" t="s">
        <v>6638</v>
      </c>
      <c r="D2952" s="2" t="s">
        <v>6297</v>
      </c>
      <c r="E2952" s="2" t="s">
        <v>20</v>
      </c>
      <c r="F2952" s="2">
        <v>1.0</v>
      </c>
      <c r="G2952" s="2">
        <v>459.0</v>
      </c>
      <c r="H2952" s="3" t="str">
        <f>HYPERLINK("http://ar.linkedin.com/in/jharan","http://ar.linkedin.com/in/jharan")</f>
        <v>http://ar.linkedin.com/in/jharan</v>
      </c>
      <c r="I2952" s="2" t="s">
        <v>15</v>
      </c>
      <c r="J2952" s="2" t="s">
        <v>21</v>
      </c>
      <c r="K2952" s="2" t="s">
        <v>5725</v>
      </c>
    </row>
    <row r="2953" ht="15.75" customHeight="1">
      <c r="A2953" s="2">
        <v>15093.0</v>
      </c>
      <c r="B2953" s="2" t="s">
        <v>6639</v>
      </c>
      <c r="C2953" s="2" t="s">
        <v>6640</v>
      </c>
      <c r="D2953" s="2" t="s">
        <v>6641</v>
      </c>
      <c r="E2953" s="2" t="s">
        <v>20</v>
      </c>
      <c r="F2953" s="2">
        <v>0.0</v>
      </c>
      <c r="G2953" s="2">
        <v>41.0</v>
      </c>
      <c r="H2953" s="3" t="str">
        <f>HYPERLINK("http://ar.linkedin.com/pub/luisa-cerar/0/13B/39","http://ar.linkedin.com/pub/luisa-cerar/0/13B/39")</f>
        <v>http://ar.linkedin.com/pub/luisa-cerar/0/13B/39</v>
      </c>
      <c r="I2953" s="2" t="s">
        <v>77</v>
      </c>
      <c r="J2953" s="2" t="s">
        <v>21</v>
      </c>
      <c r="K2953" s="2" t="s">
        <v>5785</v>
      </c>
    </row>
    <row r="2954" ht="15.75" customHeight="1">
      <c r="A2954" s="2">
        <v>15119.0</v>
      </c>
      <c r="B2954" s="2" t="s">
        <v>201</v>
      </c>
      <c r="C2954" s="2" t="s">
        <v>6642</v>
      </c>
      <c r="D2954" s="2" t="s">
        <v>6643</v>
      </c>
      <c r="E2954" s="2" t="s">
        <v>20</v>
      </c>
      <c r="F2954" s="2">
        <v>4.0</v>
      </c>
      <c r="G2954" s="2">
        <v>476.0</v>
      </c>
      <c r="H2954" s="3" t="str">
        <f>HYPERLINK("http://ar.linkedin.com/pub/natalia-kanefsck/10/360/934","http://ar.linkedin.com/pub/natalia-kanefsck/10/360/934")</f>
        <v>http://ar.linkedin.com/pub/natalia-kanefsck/10/360/934</v>
      </c>
      <c r="I2954" s="2" t="s">
        <v>599</v>
      </c>
      <c r="J2954" s="2" t="s">
        <v>21</v>
      </c>
      <c r="K2954" s="2" t="s">
        <v>5727</v>
      </c>
    </row>
    <row r="2955" ht="15.75" customHeight="1">
      <c r="A2955" s="2">
        <v>15127.0</v>
      </c>
      <c r="B2955" s="2" t="s">
        <v>6644</v>
      </c>
      <c r="C2955" s="2" t="s">
        <v>6645</v>
      </c>
      <c r="D2955" s="2" t="s">
        <v>6646</v>
      </c>
      <c r="E2955" s="2" t="s">
        <v>20</v>
      </c>
      <c r="F2955" s="2">
        <v>3.0</v>
      </c>
      <c r="G2955" s="2">
        <v>500.0</v>
      </c>
      <c r="H2955" s="3" t="str">
        <f>HYPERLINK("http://www.linkedin.com/pub/luis-carlos-berruezo/9/8a0/686","http://www.linkedin.com/pub/luis-carlos-berruezo/9/8a0/686")</f>
        <v>http://www.linkedin.com/pub/luis-carlos-berruezo/9/8a0/686</v>
      </c>
      <c r="I2955" s="2" t="s">
        <v>1237</v>
      </c>
      <c r="J2955" s="2" t="s">
        <v>21</v>
      </c>
      <c r="K2955" s="2" t="s">
        <v>5727</v>
      </c>
    </row>
    <row r="2956" ht="15.75" customHeight="1">
      <c r="A2956" s="2">
        <v>15139.0</v>
      </c>
      <c r="B2956" s="2" t="s">
        <v>6238</v>
      </c>
      <c r="C2956" s="2" t="s">
        <v>6647</v>
      </c>
      <c r="D2956" s="2" t="s">
        <v>6648</v>
      </c>
      <c r="E2956" s="2" t="s">
        <v>20</v>
      </c>
      <c r="F2956" s="2">
        <v>12.0</v>
      </c>
      <c r="G2956" s="2">
        <v>500.0</v>
      </c>
      <c r="H2956" s="3" t="str">
        <f>HYPERLINK("http://ar.linkedin.com/pub/soledad-raimondo/3/1A8/A77","http://ar.linkedin.com/pub/soledad-raimondo/3/1A8/A77")</f>
        <v>http://ar.linkedin.com/pub/soledad-raimondo/3/1A8/A77</v>
      </c>
      <c r="I2956" s="2" t="s">
        <v>621</v>
      </c>
      <c r="J2956" s="2" t="s">
        <v>21</v>
      </c>
      <c r="K2956" s="2" t="s">
        <v>5727</v>
      </c>
    </row>
    <row r="2957" ht="15.75" customHeight="1">
      <c r="A2957" s="2">
        <v>15144.0</v>
      </c>
      <c r="B2957" s="2" t="s">
        <v>5803</v>
      </c>
      <c r="C2957" s="2" t="s">
        <v>6649</v>
      </c>
      <c r="D2957" s="2" t="s">
        <v>6650</v>
      </c>
      <c r="E2957" s="2" t="s">
        <v>20</v>
      </c>
      <c r="F2957" s="2">
        <v>9.0</v>
      </c>
      <c r="G2957" s="2">
        <v>313.0</v>
      </c>
      <c r="H2957" s="3" t="str">
        <f>HYPERLINK("http://ar.linkedin.com/in/mcapuzzi","http://ar.linkedin.com/in/mcapuzzi")</f>
        <v>http://ar.linkedin.com/in/mcapuzzi</v>
      </c>
      <c r="I2957" s="2" t="s">
        <v>195</v>
      </c>
      <c r="J2957" s="2" t="s">
        <v>21</v>
      </c>
      <c r="K2957" s="2" t="s">
        <v>6096</v>
      </c>
    </row>
    <row r="2958" ht="15.75" customHeight="1">
      <c r="A2958" s="2">
        <v>15164.0</v>
      </c>
      <c r="B2958" s="2" t="s">
        <v>70</v>
      </c>
      <c r="C2958" s="2" t="s">
        <v>6651</v>
      </c>
      <c r="D2958" s="2" t="s">
        <v>6652</v>
      </c>
      <c r="E2958" s="2" t="s">
        <v>20</v>
      </c>
      <c r="F2958" s="2">
        <v>12.0</v>
      </c>
      <c r="G2958" s="2">
        <v>500.0</v>
      </c>
      <c r="H2958" s="3" t="str">
        <f>HYPERLINK("http://ar.linkedin.com/pub/gustavo-pintelos/0/65A/22A","http://ar.linkedin.com/pub/gustavo-pintelos/0/65A/22A")</f>
        <v>http://ar.linkedin.com/pub/gustavo-pintelos/0/65A/22A</v>
      </c>
      <c r="I2958" s="2" t="s">
        <v>1452</v>
      </c>
      <c r="J2958" s="2" t="s">
        <v>21</v>
      </c>
      <c r="K2958" s="2" t="s">
        <v>5785</v>
      </c>
    </row>
    <row r="2959" ht="15.75" customHeight="1">
      <c r="A2959" s="2">
        <v>15194.0</v>
      </c>
      <c r="B2959" s="2" t="s">
        <v>6653</v>
      </c>
      <c r="C2959" s="2" t="s">
        <v>6654</v>
      </c>
      <c r="D2959" s="2" t="s">
        <v>13</v>
      </c>
      <c r="E2959" s="2" t="s">
        <v>20</v>
      </c>
      <c r="F2959" s="2">
        <v>0.0</v>
      </c>
      <c r="G2959" s="2">
        <v>500.0</v>
      </c>
      <c r="H2959" s="3" t="str">
        <f>HYPERLINK("http://ar.linkedin.com/pub/tatiana-ehrman/A/64B/B1","http://ar.linkedin.com/pub/tatiana-ehrman/A/64B/B1")</f>
        <v>http://ar.linkedin.com/pub/tatiana-ehrman/A/64B/B1</v>
      </c>
      <c r="I2959" s="2" t="s">
        <v>458</v>
      </c>
      <c r="J2959" s="2" t="s">
        <v>21</v>
      </c>
      <c r="K2959" s="2" t="s">
        <v>5994</v>
      </c>
    </row>
    <row r="2960" ht="15.75" customHeight="1">
      <c r="A2960" s="2">
        <v>15211.0</v>
      </c>
      <c r="B2960" s="2" t="s">
        <v>5803</v>
      </c>
      <c r="C2960" s="2" t="s">
        <v>6655</v>
      </c>
      <c r="D2960" s="2" t="s">
        <v>6656</v>
      </c>
      <c r="E2960" s="2" t="s">
        <v>20</v>
      </c>
      <c r="F2960" s="2">
        <v>0.0</v>
      </c>
      <c r="G2960" s="2">
        <v>97.0</v>
      </c>
      <c r="H2960" s="3" t="str">
        <f>HYPERLINK("http://ar.linkedin.com/pub/mariano-lezcano/30/832/869","http://ar.linkedin.com/pub/mariano-lezcano/30/832/869")</f>
        <v>http://ar.linkedin.com/pub/mariano-lezcano/30/832/869</v>
      </c>
      <c r="I2960" s="2" t="s">
        <v>15</v>
      </c>
      <c r="J2960" s="2" t="s">
        <v>21</v>
      </c>
      <c r="K2960" s="2" t="s">
        <v>5725</v>
      </c>
    </row>
    <row r="2961" ht="15.75" customHeight="1">
      <c r="A2961" s="2">
        <v>15245.0</v>
      </c>
      <c r="B2961" s="2" t="s">
        <v>605</v>
      </c>
      <c r="C2961" s="2" t="s">
        <v>5211</v>
      </c>
      <c r="D2961" s="2" t="s">
        <v>6657</v>
      </c>
      <c r="E2961" s="2" t="s">
        <v>20</v>
      </c>
      <c r="F2961" s="2">
        <v>0.0</v>
      </c>
      <c r="G2961" s="2">
        <v>73.0</v>
      </c>
      <c r="H2961" s="3" t="str">
        <f>HYPERLINK("http://ar.linkedin.com/pub/roberto-bernstein/15/559/214","http://ar.linkedin.com/pub/roberto-bernstein/15/559/214")</f>
        <v>http://ar.linkedin.com/pub/roberto-bernstein/15/559/214</v>
      </c>
      <c r="I2961" s="2" t="s">
        <v>77</v>
      </c>
      <c r="J2961" s="2" t="s">
        <v>21</v>
      </c>
      <c r="K2961" s="2" t="s">
        <v>5848</v>
      </c>
    </row>
    <row r="2962" ht="15.75" customHeight="1">
      <c r="A2962" s="2">
        <v>15252.0</v>
      </c>
      <c r="B2962" s="2" t="s">
        <v>3299</v>
      </c>
      <c r="C2962" s="2" t="s">
        <v>6658</v>
      </c>
      <c r="D2962" s="2" t="s">
        <v>6659</v>
      </c>
      <c r="E2962" s="2" t="s">
        <v>20</v>
      </c>
      <c r="F2962" s="2">
        <v>0.0</v>
      </c>
      <c r="G2962" s="2">
        <v>188.0</v>
      </c>
      <c r="H2962" s="3" t="str">
        <f>HYPERLINK("http://ar.linkedin.com/in/zanardi","http://ar.linkedin.com/in/zanardi")</f>
        <v>http://ar.linkedin.com/in/zanardi</v>
      </c>
      <c r="I2962" s="2" t="s">
        <v>15</v>
      </c>
      <c r="J2962" s="2" t="s">
        <v>21</v>
      </c>
      <c r="K2962" s="2" t="s">
        <v>5725</v>
      </c>
    </row>
    <row r="2963" ht="15.75" customHeight="1">
      <c r="A2963" s="2">
        <v>15283.0</v>
      </c>
      <c r="B2963" s="2" t="s">
        <v>1545</v>
      </c>
      <c r="C2963" s="2" t="s">
        <v>6660</v>
      </c>
      <c r="D2963" s="2" t="s">
        <v>6661</v>
      </c>
      <c r="E2963" s="2" t="s">
        <v>628</v>
      </c>
      <c r="F2963" s="2">
        <v>0.0</v>
      </c>
      <c r="G2963" s="2">
        <v>17.0</v>
      </c>
      <c r="H2963" s="3" t="str">
        <f>HYPERLINK("http://www.linkedin.com/pub/patrick-feeney/17/618/493","http://www.linkedin.com/pub/patrick-feeney/17/618/493")</f>
        <v>http://www.linkedin.com/pub/patrick-feeney/17/618/493</v>
      </c>
      <c r="I2963" s="2" t="s">
        <v>374</v>
      </c>
      <c r="J2963" s="2" t="s">
        <v>102</v>
      </c>
      <c r="K2963" s="2" t="s">
        <v>5743</v>
      </c>
    </row>
    <row r="2964" ht="15.75" customHeight="1">
      <c r="A2964" s="2">
        <v>15294.0</v>
      </c>
      <c r="B2964" s="2" t="s">
        <v>6232</v>
      </c>
      <c r="C2964" s="2" t="s">
        <v>6662</v>
      </c>
      <c r="D2964" s="2" t="s">
        <v>6663</v>
      </c>
      <c r="E2964" s="2" t="s">
        <v>20</v>
      </c>
      <c r="F2964" s="2">
        <v>8.0</v>
      </c>
      <c r="G2964" s="2">
        <v>234.0</v>
      </c>
      <c r="H2964" s="3" t="str">
        <f>HYPERLINK("http://ar.linkedin.com/pub/emiliano-bottazzi/10/106/88","http://ar.linkedin.com/pub/emiliano-bottazzi/10/106/88")</f>
        <v>http://ar.linkedin.com/pub/emiliano-bottazzi/10/106/88</v>
      </c>
      <c r="I2964" s="2" t="s">
        <v>15</v>
      </c>
      <c r="J2964" s="2" t="s">
        <v>21</v>
      </c>
      <c r="K2964" s="2" t="s">
        <v>5777</v>
      </c>
    </row>
    <row r="2965" ht="15.75" customHeight="1">
      <c r="A2965" s="2">
        <v>15321.0</v>
      </c>
      <c r="B2965" s="2" t="s">
        <v>2488</v>
      </c>
      <c r="C2965" s="2" t="s">
        <v>6664</v>
      </c>
      <c r="D2965" s="2" t="s">
        <v>6665</v>
      </c>
      <c r="E2965" s="2" t="s">
        <v>4698</v>
      </c>
      <c r="F2965" s="2">
        <v>8.0</v>
      </c>
      <c r="G2965" s="2">
        <v>245.0</v>
      </c>
      <c r="H2965" s="3" t="str">
        <f>HYPERLINK("http://uk.linkedin.com/pub/manish-chaudhari/2/A03/277","http://uk.linkedin.com/pub/manish-chaudhari/2/A03/277")</f>
        <v>http://uk.linkedin.com/pub/manish-chaudhari/2/A03/277</v>
      </c>
      <c r="I2965" s="2" t="s">
        <v>2603</v>
      </c>
      <c r="J2965" s="2" t="s">
        <v>53</v>
      </c>
      <c r="K2965" s="2" t="s">
        <v>6075</v>
      </c>
    </row>
    <row r="2966" ht="15.75" customHeight="1">
      <c r="A2966" s="2">
        <v>15327.0</v>
      </c>
      <c r="B2966" s="2" t="s">
        <v>6666</v>
      </c>
      <c r="C2966" s="2" t="s">
        <v>6667</v>
      </c>
      <c r="D2966" s="2" t="s">
        <v>6668</v>
      </c>
      <c r="E2966" s="2" t="s">
        <v>20</v>
      </c>
      <c r="F2966" s="2">
        <v>0.0</v>
      </c>
      <c r="G2966" s="2">
        <v>238.0</v>
      </c>
      <c r="H2966" s="3" t="str">
        <f>HYPERLINK("http://ar.linkedin.com/pub/sebasti%C3%A1n-bord%C3%B3n/3/300/897","http://ar.linkedin.com/pub/sebasti%C3%A1n-bord%C3%B3n/3/300/897")</f>
        <v>http://ar.linkedin.com/pub/sebasti%C3%A1n-bord%C3%B3n/3/300/897</v>
      </c>
      <c r="I2966" s="2" t="s">
        <v>48</v>
      </c>
      <c r="J2966" s="2" t="s">
        <v>21</v>
      </c>
      <c r="K2966" s="2" t="s">
        <v>5725</v>
      </c>
    </row>
    <row r="2967" ht="15.75" customHeight="1">
      <c r="A2967" s="2">
        <v>15339.0</v>
      </c>
      <c r="B2967" s="2" t="s">
        <v>5681</v>
      </c>
      <c r="C2967" s="2" t="s">
        <v>206</v>
      </c>
      <c r="D2967" s="2" t="s">
        <v>6669</v>
      </c>
      <c r="E2967" s="2" t="s">
        <v>20</v>
      </c>
      <c r="F2967" s="2">
        <v>4.0</v>
      </c>
      <c r="G2967" s="2">
        <v>156.0</v>
      </c>
      <c r="H2967" s="3" t="str">
        <f>HYPERLINK("http://ar.linkedin.com/pub/damian-garcia/6/4A3/729","http://ar.linkedin.com/pub/damian-garcia/6/4A3/729")</f>
        <v>http://ar.linkedin.com/pub/damian-garcia/6/4A3/729</v>
      </c>
      <c r="I2967" s="2" t="s">
        <v>57</v>
      </c>
      <c r="J2967" s="2" t="s">
        <v>21</v>
      </c>
      <c r="K2967" s="2" t="s">
        <v>5727</v>
      </c>
    </row>
    <row r="2968" ht="15.75" customHeight="1">
      <c r="A2968" s="2">
        <v>15356.0</v>
      </c>
      <c r="B2968" s="2" t="s">
        <v>6670</v>
      </c>
      <c r="C2968" s="2" t="s">
        <v>6671</v>
      </c>
      <c r="D2968" s="2" t="s">
        <v>13</v>
      </c>
      <c r="E2968" s="2" t="s">
        <v>20</v>
      </c>
      <c r="F2968" s="2">
        <v>0.0</v>
      </c>
      <c r="G2968" s="2">
        <v>425.0</v>
      </c>
      <c r="H2968" s="3" t="str">
        <f>HYPERLINK("http://www.linkedin.com/pub/pablo-ernesto-vascello/8/908/247","http://www.linkedin.com/pub/pablo-ernesto-vascello/8/908/247")</f>
        <v>http://www.linkedin.com/pub/pablo-ernesto-vascello/8/908/247</v>
      </c>
      <c r="I2968" s="2" t="s">
        <v>579</v>
      </c>
      <c r="J2968" s="2" t="s">
        <v>21</v>
      </c>
      <c r="K2968" s="2" t="s">
        <v>5743</v>
      </c>
    </row>
    <row r="2969" ht="15.75" customHeight="1">
      <c r="A2969" s="2">
        <v>15367.0</v>
      </c>
      <c r="B2969" s="2" t="s">
        <v>5735</v>
      </c>
      <c r="C2969" s="2" t="s">
        <v>6672</v>
      </c>
      <c r="D2969" s="2" t="s">
        <v>6673</v>
      </c>
      <c r="E2969" s="2" t="s">
        <v>20</v>
      </c>
      <c r="F2969" s="2">
        <v>12.0</v>
      </c>
      <c r="G2969" s="2">
        <v>211.0</v>
      </c>
      <c r="H2969" s="3" t="str">
        <f>HYPERLINK("http://ar.linkedin.com/pub/german-pacio/25/579/29A","http://ar.linkedin.com/pub/german-pacio/25/579/29A")</f>
        <v>http://ar.linkedin.com/pub/german-pacio/25/579/29A</v>
      </c>
      <c r="I2969" s="2" t="s">
        <v>599</v>
      </c>
      <c r="J2969" s="2" t="s">
        <v>21</v>
      </c>
      <c r="K2969" s="2" t="s">
        <v>6075</v>
      </c>
    </row>
    <row r="2970" ht="15.75" customHeight="1">
      <c r="A2970" s="2">
        <v>15483.0</v>
      </c>
      <c r="B2970" s="2" t="s">
        <v>6674</v>
      </c>
      <c r="C2970" s="2" t="s">
        <v>6675</v>
      </c>
      <c r="D2970" s="2" t="s">
        <v>114</v>
      </c>
      <c r="E2970" s="2" t="s">
        <v>6676</v>
      </c>
      <c r="F2970" s="2">
        <v>8.0</v>
      </c>
      <c r="G2970" s="2">
        <v>500.0</v>
      </c>
      <c r="H2970" s="3" t="str">
        <f>HYPERLINK("http://br.linkedin.com/pub/jose-antonio-fechio/0/146/B51","http://br.linkedin.com/pub/jose-antonio-fechio/0/146/B51")</f>
        <v>http://br.linkedin.com/pub/jose-antonio-fechio/0/146/B51</v>
      </c>
      <c r="I2970" s="2" t="s">
        <v>15</v>
      </c>
      <c r="J2970" s="2" t="s">
        <v>34</v>
      </c>
      <c r="K2970" s="2" t="s">
        <v>5785</v>
      </c>
    </row>
    <row r="2971" ht="15.75" customHeight="1">
      <c r="A2971" s="2">
        <v>15550.0</v>
      </c>
      <c r="B2971" s="2" t="s">
        <v>1296</v>
      </c>
      <c r="C2971" s="2" t="s">
        <v>6677</v>
      </c>
      <c r="D2971" s="2" t="s">
        <v>6678</v>
      </c>
      <c r="E2971" s="2" t="s">
        <v>301</v>
      </c>
      <c r="F2971" s="2">
        <v>2.0</v>
      </c>
      <c r="G2971" s="2">
        <v>398.0</v>
      </c>
      <c r="H2971" s="3" t="str">
        <f>HYPERLINK("http://www.linkedin.com/in/nhuch","http://www.linkedin.com/in/nhuch")</f>
        <v>http://www.linkedin.com/in/nhuch</v>
      </c>
      <c r="I2971" s="2" t="s">
        <v>1507</v>
      </c>
      <c r="J2971" s="2" t="s">
        <v>102</v>
      </c>
      <c r="K2971" s="2" t="s">
        <v>5725</v>
      </c>
    </row>
    <row r="2972" ht="15.75" customHeight="1">
      <c r="A2972" s="2">
        <v>15635.0</v>
      </c>
      <c r="B2972" s="2" t="s">
        <v>2280</v>
      </c>
      <c r="C2972" s="2" t="s">
        <v>6679</v>
      </c>
      <c r="D2972" s="2" t="s">
        <v>13</v>
      </c>
      <c r="E2972" s="2" t="s">
        <v>931</v>
      </c>
      <c r="F2972" s="2">
        <v>6.0</v>
      </c>
      <c r="G2972" s="2">
        <v>500.0</v>
      </c>
      <c r="H2972" s="3" t="str">
        <f>HYPERLINK("http://www.linkedin.com/pub/anders-hakfelt/0/2b/4b8","http://www.linkedin.com/pub/anders-hakfelt/0/2b/4b8")</f>
        <v>http://www.linkedin.com/pub/anders-hakfelt/0/2b/4b8</v>
      </c>
      <c r="I2972" s="2" t="s">
        <v>77</v>
      </c>
      <c r="J2972" s="2" t="s">
        <v>53</v>
      </c>
      <c r="K2972" s="2" t="s">
        <v>5725</v>
      </c>
    </row>
    <row r="2973" ht="15.75" customHeight="1">
      <c r="A2973" s="2">
        <v>15844.0</v>
      </c>
      <c r="B2973" s="2" t="s">
        <v>3455</v>
      </c>
      <c r="C2973" s="2" t="s">
        <v>6680</v>
      </c>
      <c r="D2973" s="2" t="s">
        <v>289</v>
      </c>
      <c r="E2973" s="2" t="s">
        <v>122</v>
      </c>
      <c r="F2973" s="2">
        <v>0.0</v>
      </c>
      <c r="G2973" s="2">
        <v>283.0</v>
      </c>
      <c r="H2973" s="3" t="str">
        <f>HYPERLINK("http://uk.linkedin.com/pub/harry-panton/4/599/998","http://uk.linkedin.com/pub/harry-panton/4/599/998")</f>
        <v>http://uk.linkedin.com/pub/harry-panton/4/599/998</v>
      </c>
      <c r="I2973" s="2" t="s">
        <v>475</v>
      </c>
      <c r="J2973" s="2" t="s">
        <v>53</v>
      </c>
      <c r="K2973" s="2" t="s">
        <v>5785</v>
      </c>
    </row>
    <row r="2974" ht="15.75" customHeight="1">
      <c r="A2974" s="2">
        <v>15856.0</v>
      </c>
      <c r="B2974" s="2" t="s">
        <v>6681</v>
      </c>
      <c r="C2974" s="2" t="s">
        <v>6682</v>
      </c>
      <c r="D2974" s="2" t="s">
        <v>6683</v>
      </c>
      <c r="E2974" s="2" t="s">
        <v>1082</v>
      </c>
      <c r="F2974" s="2">
        <v>3.0</v>
      </c>
      <c r="G2974" s="2">
        <v>115.0</v>
      </c>
      <c r="H2974" s="3" t="str">
        <f>HYPERLINK("http://uk.linkedin.com/pub/emma-lovatt/3/A2B/309","http://uk.linkedin.com/pub/emma-lovatt/3/A2B/309")</f>
        <v>http://uk.linkedin.com/pub/emma-lovatt/3/A2B/309</v>
      </c>
      <c r="I2974" s="2" t="s">
        <v>318</v>
      </c>
      <c r="J2974" s="2" t="s">
        <v>53</v>
      </c>
      <c r="K2974" s="2" t="s">
        <v>5743</v>
      </c>
    </row>
    <row r="2975" ht="15.75" customHeight="1">
      <c r="A2975" s="2">
        <v>15912.0</v>
      </c>
      <c r="B2975" s="2" t="s">
        <v>3626</v>
      </c>
      <c r="C2975" s="2" t="s">
        <v>6684</v>
      </c>
      <c r="D2975" s="2" t="s">
        <v>114</v>
      </c>
      <c r="E2975" s="2" t="s">
        <v>20</v>
      </c>
      <c r="F2975" s="2" t="s">
        <v>13</v>
      </c>
      <c r="G2975" s="2">
        <v>500.0</v>
      </c>
      <c r="H2975" s="3" t="str">
        <f>HYPERLINK("http://ar.linkedin.com/pub/beatriz-campos/0/2B3/846","http://ar.linkedin.com/pub/beatriz-campos/0/2B3/846")</f>
        <v>http://ar.linkedin.com/pub/beatriz-campos/0/2B3/846</v>
      </c>
      <c r="I2975" s="2" t="s">
        <v>15</v>
      </c>
      <c r="J2975" s="2" t="s">
        <v>21</v>
      </c>
      <c r="K2975" s="2" t="s">
        <v>5725</v>
      </c>
    </row>
    <row r="2976" ht="15.75" customHeight="1">
      <c r="A2976" s="2">
        <v>15914.0</v>
      </c>
      <c r="B2976" s="2" t="s">
        <v>5078</v>
      </c>
      <c r="C2976" s="2" t="s">
        <v>6685</v>
      </c>
      <c r="D2976" s="2" t="s">
        <v>6686</v>
      </c>
      <c r="E2976" s="2" t="s">
        <v>20</v>
      </c>
      <c r="F2976" s="2" t="s">
        <v>13</v>
      </c>
      <c r="G2976" s="2">
        <v>137.0</v>
      </c>
      <c r="H2976" s="3" t="str">
        <f>HYPERLINK("http://ar.linkedin.com/pub/diego-iturbide/12/805/68","http://ar.linkedin.com/pub/diego-iturbide/12/805/68")</f>
        <v>http://ar.linkedin.com/pub/diego-iturbide/12/805/68</v>
      </c>
      <c r="I2976" s="2" t="s">
        <v>2046</v>
      </c>
      <c r="J2976" s="2" t="s">
        <v>21</v>
      </c>
      <c r="K2976" s="2" t="s">
        <v>5785</v>
      </c>
    </row>
    <row r="2977" ht="15.75" customHeight="1">
      <c r="A2977" s="2">
        <v>15928.0</v>
      </c>
      <c r="B2977" s="2" t="s">
        <v>6687</v>
      </c>
      <c r="C2977" s="2" t="s">
        <v>4233</v>
      </c>
      <c r="D2977" s="2" t="s">
        <v>6688</v>
      </c>
      <c r="E2977" s="2" t="s">
        <v>20</v>
      </c>
      <c r="F2977" s="2" t="s">
        <v>13</v>
      </c>
      <c r="G2977" s="2">
        <v>267.0</v>
      </c>
      <c r="H2977" s="3" t="str">
        <f>HYPERLINK("http://www.linkedin.com/pub/gabriel-rodrigo-gonzalez/3/575/622","http://www.linkedin.com/pub/gabriel-rodrigo-gonzalez/3/575/622")</f>
        <v>http://www.linkedin.com/pub/gabriel-rodrigo-gonzalez/3/575/622</v>
      </c>
      <c r="I2977" s="2" t="s">
        <v>48</v>
      </c>
      <c r="J2977" s="2" t="s">
        <v>21</v>
      </c>
      <c r="K2977" s="2" t="s">
        <v>5725</v>
      </c>
    </row>
    <row r="2978" ht="15.75" customHeight="1">
      <c r="A2978" s="2">
        <v>15936.0</v>
      </c>
      <c r="B2978" s="2" t="s">
        <v>5883</v>
      </c>
      <c r="C2978" s="2" t="s">
        <v>5924</v>
      </c>
      <c r="D2978" s="2" t="s">
        <v>6689</v>
      </c>
      <c r="E2978" s="2" t="s">
        <v>20</v>
      </c>
      <c r="F2978" s="2" t="s">
        <v>13</v>
      </c>
      <c r="G2978" s="2">
        <v>144.0</v>
      </c>
      <c r="H2978" s="3" t="str">
        <f>HYPERLINK("http://ar.linkedin.com/pub/ariel-alonso/0/A38/215","http://ar.linkedin.com/pub/ariel-alonso/0/A38/215")</f>
        <v>http://ar.linkedin.com/pub/ariel-alonso/0/A38/215</v>
      </c>
      <c r="I2978" s="2" t="s">
        <v>48</v>
      </c>
      <c r="J2978" s="2" t="s">
        <v>21</v>
      </c>
      <c r="K2978" s="2" t="s">
        <v>5725</v>
      </c>
    </row>
    <row r="2979" ht="15.75" customHeight="1">
      <c r="A2979" s="2">
        <v>15951.0</v>
      </c>
      <c r="B2979" s="2" t="s">
        <v>6690</v>
      </c>
      <c r="C2979" s="2" t="s">
        <v>6691</v>
      </c>
      <c r="D2979" s="2" t="s">
        <v>13</v>
      </c>
      <c r="E2979" s="2" t="s">
        <v>20</v>
      </c>
      <c r="F2979" s="2">
        <v>12.0</v>
      </c>
      <c r="G2979" s="2">
        <v>437.0</v>
      </c>
      <c r="H2979" s="3" t="str">
        <f>HYPERLINK("http://www.linkedin.com/pub/carlos-hern%C3%A1n-laschera/27/598/961","http://www.linkedin.com/pub/carlos-hern%C3%A1n-laschera/27/598/961")</f>
        <v>http://www.linkedin.com/pub/carlos-hern%C3%A1n-laschera/27/598/961</v>
      </c>
      <c r="I2979" s="2" t="s">
        <v>77</v>
      </c>
      <c r="J2979" s="2" t="s">
        <v>21</v>
      </c>
      <c r="K2979" s="2" t="s">
        <v>5848</v>
      </c>
    </row>
    <row r="2980" ht="15.75" customHeight="1">
      <c r="A2980" s="2">
        <v>15956.0</v>
      </c>
      <c r="B2980" s="2" t="s">
        <v>314</v>
      </c>
      <c r="C2980" s="2" t="s">
        <v>6692</v>
      </c>
      <c r="D2980" s="2" t="s">
        <v>13</v>
      </c>
      <c r="E2980" s="2" t="s">
        <v>20</v>
      </c>
      <c r="F2980" s="2">
        <v>0.0</v>
      </c>
      <c r="G2980" s="2">
        <v>435.0</v>
      </c>
      <c r="H2980" s="3" t="str">
        <f>HYPERLINK("http://www.linkedin.com/pub/marcos-p%C3%A9r%C3%A8s/13/445/b8a","http://www.linkedin.com/pub/marcos-p%C3%A9r%C3%A8s/13/445/b8a")</f>
        <v>http://www.linkedin.com/pub/marcos-p%C3%A9r%C3%A8s/13/445/b8a</v>
      </c>
      <c r="I2980" s="2" t="s">
        <v>57</v>
      </c>
      <c r="J2980" s="2" t="s">
        <v>21</v>
      </c>
      <c r="K2980" s="2" t="s">
        <v>5725</v>
      </c>
    </row>
    <row r="2981" ht="15.75" customHeight="1">
      <c r="A2981" s="2">
        <v>15961.0</v>
      </c>
      <c r="B2981" s="2" t="s">
        <v>6252</v>
      </c>
      <c r="C2981" s="2" t="s">
        <v>6693</v>
      </c>
      <c r="D2981" s="2" t="s">
        <v>6694</v>
      </c>
      <c r="E2981" s="2" t="s">
        <v>20</v>
      </c>
      <c r="F2981" s="2">
        <v>3.0</v>
      </c>
      <c r="G2981" s="2">
        <v>500.0</v>
      </c>
      <c r="H2981" s="3" t="str">
        <f>HYPERLINK("http://ar.linkedin.com/in/santiagofriedenthal","http://ar.linkedin.com/in/santiagofriedenthal")</f>
        <v>http://ar.linkedin.com/in/santiagofriedenthal</v>
      </c>
      <c r="I2981" s="2" t="s">
        <v>681</v>
      </c>
      <c r="J2981" s="2" t="s">
        <v>21</v>
      </c>
      <c r="K2981" s="2" t="s">
        <v>5727</v>
      </c>
    </row>
    <row r="2982" ht="15.75" customHeight="1">
      <c r="A2982" s="2">
        <v>16000.0</v>
      </c>
      <c r="B2982" s="2" t="s">
        <v>6695</v>
      </c>
      <c r="C2982" s="2" t="s">
        <v>6696</v>
      </c>
      <c r="D2982" s="2" t="s">
        <v>13</v>
      </c>
      <c r="E2982" s="2" t="s">
        <v>20</v>
      </c>
      <c r="F2982" s="2">
        <v>0.0</v>
      </c>
      <c r="G2982" s="2">
        <v>371.0</v>
      </c>
      <c r="H2982" s="3" t="str">
        <f>HYPERLINK("http://www.linkedin.com/pub/emiliano-javier-gonzalez-benedossi/20/196/285","http://www.linkedin.com/pub/emiliano-javier-gonzalez-benedossi/20/196/285")</f>
        <v>http://www.linkedin.com/pub/emiliano-javier-gonzalez-benedossi/20/196/285</v>
      </c>
      <c r="I2982" s="2" t="s">
        <v>77</v>
      </c>
      <c r="J2982" s="2" t="s">
        <v>21</v>
      </c>
      <c r="K2982" s="2" t="s">
        <v>5734</v>
      </c>
    </row>
    <row r="2983" ht="15.75" customHeight="1">
      <c r="A2983" s="2">
        <v>16043.0</v>
      </c>
      <c r="B2983" s="2" t="s">
        <v>146</v>
      </c>
      <c r="C2983" s="2" t="s">
        <v>6697</v>
      </c>
      <c r="D2983" s="2" t="s">
        <v>6698</v>
      </c>
      <c r="E2983" s="2" t="s">
        <v>20</v>
      </c>
      <c r="F2983" s="2">
        <v>9.0</v>
      </c>
      <c r="G2983" s="2">
        <v>342.0</v>
      </c>
      <c r="H2983" s="3" t="str">
        <f>HYPERLINK("http://ar.linkedin.com/in/enriqueblinder","http://ar.linkedin.com/in/enriqueblinder")</f>
        <v>http://ar.linkedin.com/in/enriqueblinder</v>
      </c>
      <c r="I2983" s="2" t="s">
        <v>279</v>
      </c>
      <c r="J2983" s="2" t="s">
        <v>21</v>
      </c>
      <c r="K2983" s="2" t="s">
        <v>5727</v>
      </c>
    </row>
    <row r="2984" ht="15.75" customHeight="1">
      <c r="A2984" s="2">
        <v>16062.0</v>
      </c>
      <c r="B2984" s="2" t="s">
        <v>6699</v>
      </c>
      <c r="C2984" s="2" t="s">
        <v>6700</v>
      </c>
      <c r="D2984" s="2" t="s">
        <v>6701</v>
      </c>
      <c r="E2984" s="2" t="s">
        <v>20</v>
      </c>
      <c r="F2984" s="2">
        <v>10.0</v>
      </c>
      <c r="G2984" s="2">
        <v>133.0</v>
      </c>
      <c r="H2984" s="3" t="str">
        <f>HYPERLINK("http://ar.linkedin.com/pub/javier-omar-tempestelli/20/689/810","http://ar.linkedin.com/pub/javier-omar-tempestelli/20/689/810")</f>
        <v>http://ar.linkedin.com/pub/javier-omar-tempestelli/20/689/810</v>
      </c>
      <c r="I2984" s="2" t="s">
        <v>844</v>
      </c>
      <c r="J2984" s="2" t="s">
        <v>21</v>
      </c>
      <c r="K2984" s="2" t="s">
        <v>5727</v>
      </c>
    </row>
    <row r="2985" ht="15.75" customHeight="1">
      <c r="A2985" s="2">
        <v>16108.0</v>
      </c>
      <c r="B2985" s="2" t="s">
        <v>5078</v>
      </c>
      <c r="C2985" s="2" t="s">
        <v>4847</v>
      </c>
      <c r="D2985" s="2" t="s">
        <v>6702</v>
      </c>
      <c r="E2985" s="2" t="s">
        <v>20</v>
      </c>
      <c r="F2985" s="2" t="s">
        <v>13</v>
      </c>
      <c r="G2985" s="2">
        <v>68.0</v>
      </c>
      <c r="H2985" s="3" t="str">
        <f>HYPERLINK("http://ar.linkedin.com/pub/diego-melo/11/98/B78","http://ar.linkedin.com/pub/diego-melo/11/98/B78")</f>
        <v>http://ar.linkedin.com/pub/diego-melo/11/98/B78</v>
      </c>
      <c r="I2985" s="2" t="s">
        <v>279</v>
      </c>
      <c r="J2985" s="2" t="s">
        <v>21</v>
      </c>
      <c r="K2985" s="2" t="s">
        <v>5734</v>
      </c>
    </row>
    <row r="2986" ht="15.75" customHeight="1">
      <c r="A2986" s="2">
        <v>16113.0</v>
      </c>
      <c r="B2986" s="2" t="s">
        <v>6703</v>
      </c>
      <c r="C2986" s="2" t="s">
        <v>5356</v>
      </c>
      <c r="D2986" s="2" t="s">
        <v>6704</v>
      </c>
      <c r="E2986" s="2" t="s">
        <v>20</v>
      </c>
      <c r="F2986" s="2">
        <v>19.0</v>
      </c>
      <c r="G2986" s="2">
        <v>500.0</v>
      </c>
      <c r="H2986" s="3" t="str">
        <f>HYPERLINK("http://ar.linkedin.com/in/marcelodanielmarino","http://ar.linkedin.com/in/marcelodanielmarino")</f>
        <v>http://ar.linkedin.com/in/marcelodanielmarino</v>
      </c>
      <c r="I2986" s="2" t="s">
        <v>279</v>
      </c>
      <c r="J2986" s="2" t="s">
        <v>21</v>
      </c>
      <c r="K2986" s="2" t="s">
        <v>5727</v>
      </c>
    </row>
    <row r="2987" ht="15.75" customHeight="1">
      <c r="A2987" s="2">
        <v>16127.0</v>
      </c>
      <c r="B2987" s="2" t="s">
        <v>3299</v>
      </c>
      <c r="C2987" s="2" t="s">
        <v>6705</v>
      </c>
      <c r="D2987" s="2" t="s">
        <v>6706</v>
      </c>
      <c r="E2987" s="2" t="s">
        <v>20</v>
      </c>
      <c r="F2987" s="2">
        <v>36.0</v>
      </c>
      <c r="G2987" s="2">
        <v>500.0</v>
      </c>
      <c r="H2987" s="3" t="str">
        <f>HYPERLINK("http://ar.linkedin.com/pub/fabian-descalzo/A/A15/8A6","http://ar.linkedin.com/pub/fabian-descalzo/A/A15/8A6")</f>
        <v>http://ar.linkedin.com/pub/fabian-descalzo/A/A15/8A6</v>
      </c>
      <c r="I2987" s="2" t="s">
        <v>160</v>
      </c>
      <c r="J2987" s="2" t="s">
        <v>21</v>
      </c>
      <c r="K2987" s="2" t="s">
        <v>5731</v>
      </c>
    </row>
    <row r="2988" ht="15.75" customHeight="1">
      <c r="A2988" s="2">
        <v>16130.0</v>
      </c>
      <c r="B2988" s="2" t="s">
        <v>253</v>
      </c>
      <c r="C2988" s="2" t="s">
        <v>6707</v>
      </c>
      <c r="D2988" s="2" t="s">
        <v>6708</v>
      </c>
      <c r="E2988" s="2" t="s">
        <v>20</v>
      </c>
      <c r="F2988" s="2">
        <v>12.0</v>
      </c>
      <c r="G2988" s="2">
        <v>500.0</v>
      </c>
      <c r="H2988" s="3" t="str">
        <f>HYPERLINK("http://ar.linkedin.com/pub/fernando-andina/26/962/5B6","http://ar.linkedin.com/pub/fernando-andina/26/962/5B6")</f>
        <v>http://ar.linkedin.com/pub/fernando-andina/26/962/5B6</v>
      </c>
      <c r="I2988" s="2" t="s">
        <v>669</v>
      </c>
      <c r="J2988" s="2" t="s">
        <v>21</v>
      </c>
      <c r="K2988" s="2" t="s">
        <v>5743</v>
      </c>
    </row>
    <row r="2989" ht="15.75" customHeight="1">
      <c r="A2989" s="2">
        <v>16140.0</v>
      </c>
      <c r="B2989" s="2" t="s">
        <v>6709</v>
      </c>
      <c r="C2989" s="2" t="s">
        <v>6710</v>
      </c>
      <c r="D2989" s="2" t="s">
        <v>6711</v>
      </c>
      <c r="E2989" s="2" t="s">
        <v>20</v>
      </c>
      <c r="F2989" s="2">
        <v>4.0</v>
      </c>
      <c r="G2989" s="2">
        <v>223.0</v>
      </c>
      <c r="H2989" s="3" t="str">
        <f>HYPERLINK("http://ar.linkedin.com/in/eloycasin","http://ar.linkedin.com/in/eloycasin")</f>
        <v>http://ar.linkedin.com/in/eloycasin</v>
      </c>
      <c r="I2989" s="2" t="s">
        <v>579</v>
      </c>
      <c r="J2989" s="2" t="s">
        <v>21</v>
      </c>
      <c r="K2989" s="2" t="s">
        <v>5731</v>
      </c>
    </row>
    <row r="2990" ht="15.75" customHeight="1">
      <c r="A2990" s="2">
        <v>16141.0</v>
      </c>
      <c r="B2990" s="2" t="s">
        <v>45</v>
      </c>
      <c r="C2990" s="2" t="s">
        <v>6712</v>
      </c>
      <c r="D2990" s="2" t="s">
        <v>6713</v>
      </c>
      <c r="E2990" s="2" t="s">
        <v>20</v>
      </c>
      <c r="F2990" s="2">
        <v>15.0</v>
      </c>
      <c r="G2990" s="2">
        <v>125.0</v>
      </c>
      <c r="H2990" s="3" t="str">
        <f>HYPERLINK("http://ar.linkedin.com/pub/carlos-sirino/3/207/3B8","http://ar.linkedin.com/pub/carlos-sirino/3/207/3B8")</f>
        <v>http://ar.linkedin.com/pub/carlos-sirino/3/207/3B8</v>
      </c>
      <c r="I2990" s="2" t="s">
        <v>579</v>
      </c>
      <c r="J2990" s="2" t="s">
        <v>21</v>
      </c>
      <c r="K2990" s="2" t="s">
        <v>5743</v>
      </c>
    </row>
    <row r="2991" ht="15.75" customHeight="1">
      <c r="A2991" s="2">
        <v>16163.0</v>
      </c>
      <c r="B2991" s="2" t="s">
        <v>677</v>
      </c>
      <c r="C2991" s="2" t="s">
        <v>6714</v>
      </c>
      <c r="D2991" s="2" t="s">
        <v>6715</v>
      </c>
      <c r="E2991" s="2" t="s">
        <v>20</v>
      </c>
      <c r="F2991" s="2">
        <v>1.0</v>
      </c>
      <c r="G2991" s="2">
        <v>121.0</v>
      </c>
      <c r="H2991" s="3" t="str">
        <f>HYPERLINK("http://ar.linkedin.com/pub/daniel-debello/A/67B/88","http://ar.linkedin.com/pub/daniel-debello/A/67B/88")</f>
        <v>http://ar.linkedin.com/pub/daniel-debello/A/67B/88</v>
      </c>
      <c r="I2991" s="2" t="s">
        <v>77</v>
      </c>
      <c r="J2991" s="2" t="s">
        <v>21</v>
      </c>
      <c r="K2991" s="2" t="s">
        <v>5848</v>
      </c>
    </row>
    <row r="2992" ht="15.75" customHeight="1">
      <c r="A2992" s="2">
        <v>16182.0</v>
      </c>
      <c r="B2992" s="2" t="s">
        <v>6716</v>
      </c>
      <c r="C2992" s="2" t="s">
        <v>6207</v>
      </c>
      <c r="D2992" s="2" t="s">
        <v>266</v>
      </c>
      <c r="E2992" s="2" t="s">
        <v>20</v>
      </c>
      <c r="F2992" s="2">
        <v>1.0</v>
      </c>
      <c r="G2992" s="2">
        <v>174.0</v>
      </c>
      <c r="H2992" s="3" t="str">
        <f>HYPERLINK("http://ar.linkedin.com/pub/claudia-alvarez/6/630/538","http://ar.linkedin.com/pub/claudia-alvarez/6/630/538")</f>
        <v>http://ar.linkedin.com/pub/claudia-alvarez/6/630/538</v>
      </c>
      <c r="I2992" s="2" t="s">
        <v>77</v>
      </c>
      <c r="J2992" s="2" t="s">
        <v>21</v>
      </c>
      <c r="K2992" s="2" t="s">
        <v>5785</v>
      </c>
    </row>
    <row r="2993" ht="15.75" customHeight="1">
      <c r="A2993" s="2">
        <v>16190.0</v>
      </c>
      <c r="B2993" s="2" t="s">
        <v>540</v>
      </c>
      <c r="C2993" s="2" t="s">
        <v>6717</v>
      </c>
      <c r="D2993" s="2" t="s">
        <v>6718</v>
      </c>
      <c r="E2993" s="2" t="s">
        <v>20</v>
      </c>
      <c r="F2993" s="2">
        <v>4.0</v>
      </c>
      <c r="G2993" s="2">
        <v>319.0</v>
      </c>
      <c r="H2993" s="3" t="str">
        <f>HYPERLINK("http://ar.linkedin.com/in/crmigliaccio","http://ar.linkedin.com/in/crmigliaccio")</f>
        <v>http://ar.linkedin.com/in/crmigliaccio</v>
      </c>
      <c r="I2993" s="2" t="s">
        <v>279</v>
      </c>
      <c r="J2993" s="2" t="s">
        <v>21</v>
      </c>
      <c r="K2993" s="2" t="s">
        <v>5727</v>
      </c>
    </row>
    <row r="2994" ht="15.75" customHeight="1">
      <c r="A2994" s="2">
        <v>16223.0</v>
      </c>
      <c r="B2994" s="2" t="s">
        <v>6719</v>
      </c>
      <c r="C2994" s="2" t="s">
        <v>6655</v>
      </c>
      <c r="D2994" s="2" t="s">
        <v>13</v>
      </c>
      <c r="E2994" s="2" t="s">
        <v>20</v>
      </c>
      <c r="F2994" s="2">
        <v>0.0</v>
      </c>
      <c r="G2994" s="2">
        <v>500.0</v>
      </c>
      <c r="H2994" s="3" t="str">
        <f>HYPERLINK("http://www.linkedin.com/pub/anabel-soledad-lezcano/25/765/b3b","http://www.linkedin.com/pub/anabel-soledad-lezcano/25/765/b3b")</f>
        <v>http://www.linkedin.com/pub/anabel-soledad-lezcano/25/765/b3b</v>
      </c>
      <c r="I2994" s="2" t="s">
        <v>15</v>
      </c>
      <c r="J2994" s="2" t="s">
        <v>21</v>
      </c>
      <c r="K2994" s="2" t="s">
        <v>5727</v>
      </c>
    </row>
    <row r="2995" ht="15.75" customHeight="1">
      <c r="A2995" s="2">
        <v>16240.0</v>
      </c>
      <c r="B2995" s="2" t="s">
        <v>1919</v>
      </c>
      <c r="C2995" s="2" t="s">
        <v>6720</v>
      </c>
      <c r="D2995" s="2" t="s">
        <v>2440</v>
      </c>
      <c r="E2995" s="2" t="s">
        <v>166</v>
      </c>
      <c r="F2995" s="2">
        <v>3.0</v>
      </c>
      <c r="G2995" s="2">
        <v>248.0</v>
      </c>
      <c r="H2995" s="3" t="str">
        <f>HYPERLINK("http://www.linkedin.com/pub/larry-minarcik/0/BA3/868","http://www.linkedin.com/pub/larry-minarcik/0/BA3/868")</f>
        <v>http://www.linkedin.com/pub/larry-minarcik/0/BA3/868</v>
      </c>
      <c r="I2995" s="2" t="s">
        <v>681</v>
      </c>
      <c r="J2995" s="2" t="s">
        <v>102</v>
      </c>
      <c r="K2995" s="2" t="s">
        <v>6118</v>
      </c>
    </row>
    <row r="2996" ht="15.75" customHeight="1">
      <c r="A2996" s="2">
        <v>16244.0</v>
      </c>
      <c r="B2996" s="2" t="s">
        <v>5171</v>
      </c>
      <c r="C2996" s="2" t="s">
        <v>3278</v>
      </c>
      <c r="D2996" s="2" t="s">
        <v>6721</v>
      </c>
      <c r="E2996" s="2" t="s">
        <v>325</v>
      </c>
      <c r="F2996" s="2">
        <v>14.0</v>
      </c>
      <c r="G2996" s="2">
        <v>498.0</v>
      </c>
      <c r="H2996" s="3" t="str">
        <f>HYPERLINK("http://www.linkedin.com/in/baker333","http://www.linkedin.com/in/baker333")</f>
        <v>http://www.linkedin.com/in/baker333</v>
      </c>
      <c r="I2996" s="2" t="s">
        <v>240</v>
      </c>
      <c r="J2996" s="2" t="s">
        <v>102</v>
      </c>
      <c r="K2996" s="2" t="s">
        <v>6722</v>
      </c>
    </row>
    <row r="2997" ht="15.75" customHeight="1">
      <c r="A2997" s="2">
        <v>16317.0</v>
      </c>
      <c r="B2997" s="2" t="s">
        <v>5883</v>
      </c>
      <c r="C2997" s="2" t="s">
        <v>6723</v>
      </c>
      <c r="D2997" s="2" t="s">
        <v>6724</v>
      </c>
      <c r="E2997" s="2" t="s">
        <v>6725</v>
      </c>
      <c r="F2997" s="2">
        <v>5.0</v>
      </c>
      <c r="G2997" s="2">
        <v>500.0</v>
      </c>
      <c r="H2997" s="3" t="str">
        <f>HYPERLINK("http://www.linkedin.com/in/aeckstein","http://www.linkedin.com/in/aeckstein")</f>
        <v>http://www.linkedin.com/in/aeckstein</v>
      </c>
      <c r="I2997" s="2" t="s">
        <v>326</v>
      </c>
      <c r="J2997" s="2" t="s">
        <v>53</v>
      </c>
      <c r="K2997" s="2" t="s">
        <v>5743</v>
      </c>
    </row>
    <row r="2998" ht="15.75" customHeight="1">
      <c r="A2998" s="2">
        <v>16320.0</v>
      </c>
      <c r="B2998" s="2" t="s">
        <v>5922</v>
      </c>
      <c r="C2998" s="2" t="s">
        <v>6726</v>
      </c>
      <c r="D2998" s="2" t="s">
        <v>13</v>
      </c>
      <c r="E2998" s="2" t="s">
        <v>91</v>
      </c>
      <c r="F2998" s="2">
        <v>5.0</v>
      </c>
      <c r="G2998" s="2">
        <v>500.0</v>
      </c>
      <c r="H2998" s="3" t="str">
        <f>HYPERLINK("http://www.linkedin.com/pub/gabriela-margaride/1/a24/872","http://www.linkedin.com/pub/gabriela-margaride/1/a24/872")</f>
        <v>http://www.linkedin.com/pub/gabriela-margaride/1/a24/872</v>
      </c>
      <c r="I2998" s="2" t="s">
        <v>248</v>
      </c>
      <c r="J2998" s="2" t="s">
        <v>34</v>
      </c>
      <c r="K2998" s="2" t="s">
        <v>5727</v>
      </c>
    </row>
    <row r="2999" ht="15.75" customHeight="1">
      <c r="A2999" s="2">
        <v>16326.0</v>
      </c>
      <c r="B2999" s="2" t="s">
        <v>423</v>
      </c>
      <c r="C2999" s="2" t="s">
        <v>6727</v>
      </c>
      <c r="D2999" s="2" t="s">
        <v>6728</v>
      </c>
      <c r="E2999" s="2" t="s">
        <v>122</v>
      </c>
      <c r="F2999" s="2">
        <v>18.0</v>
      </c>
      <c r="G2999" s="2">
        <v>500.0</v>
      </c>
      <c r="H2999" s="3" t="str">
        <f>HYPERLINK("http://uk.linkedin.com/pub/carolina-vallasciani/0/9B1/966","http://uk.linkedin.com/pub/carolina-vallasciani/0/9B1/966")</f>
        <v>http://uk.linkedin.com/pub/carolina-vallasciani/0/9B1/966</v>
      </c>
      <c r="I2999" s="2" t="s">
        <v>873</v>
      </c>
      <c r="J2999" s="2" t="s">
        <v>53</v>
      </c>
      <c r="K2999" s="2" t="s">
        <v>5743</v>
      </c>
    </row>
    <row r="3000" ht="15.75" customHeight="1">
      <c r="A3000" s="2">
        <v>16354.0</v>
      </c>
      <c r="B3000" s="2" t="s">
        <v>703</v>
      </c>
      <c r="C3000" s="2" t="s">
        <v>6729</v>
      </c>
      <c r="D3000" s="2" t="s">
        <v>6730</v>
      </c>
      <c r="E3000" s="2" t="s">
        <v>20</v>
      </c>
      <c r="F3000" s="2">
        <v>3.0</v>
      </c>
      <c r="G3000" s="2">
        <v>500.0</v>
      </c>
      <c r="H3000" s="3" t="str">
        <f>HYPERLINK("http://ar.linkedin.com/in/rafaelvincenti","http://ar.linkedin.com/in/rafaelvincenti")</f>
        <v>http://ar.linkedin.com/in/rafaelvincenti</v>
      </c>
      <c r="I3000" s="2" t="s">
        <v>844</v>
      </c>
      <c r="J3000" s="2" t="s">
        <v>21</v>
      </c>
      <c r="K3000" s="2" t="s">
        <v>5727</v>
      </c>
    </row>
    <row r="3001" ht="15.75" customHeight="1">
      <c r="A3001" s="2">
        <v>16369.0</v>
      </c>
      <c r="B3001" s="2" t="s">
        <v>540</v>
      </c>
      <c r="C3001" s="2" t="s">
        <v>6731</v>
      </c>
      <c r="D3001" s="2" t="s">
        <v>6732</v>
      </c>
      <c r="E3001" s="2" t="s">
        <v>20</v>
      </c>
      <c r="F3001" s="2" t="s">
        <v>13</v>
      </c>
      <c r="G3001" s="2">
        <v>198.0</v>
      </c>
      <c r="H3001" s="3" t="str">
        <f>HYPERLINK("http://ar.linkedin.com/in/christianhein","http://ar.linkedin.com/in/christianhein")</f>
        <v>http://ar.linkedin.com/in/christianhein</v>
      </c>
      <c r="I3001" s="2" t="s">
        <v>15</v>
      </c>
      <c r="J3001" s="2" t="s">
        <v>21</v>
      </c>
      <c r="K3001" s="2" t="s">
        <v>5725</v>
      </c>
    </row>
    <row r="3002" ht="15.75" customHeight="1">
      <c r="A3002" s="2">
        <v>16382.0</v>
      </c>
      <c r="B3002" s="2" t="s">
        <v>6733</v>
      </c>
      <c r="C3002" s="2" t="s">
        <v>6734</v>
      </c>
      <c r="D3002" s="2" t="s">
        <v>6735</v>
      </c>
      <c r="E3002" s="2" t="s">
        <v>20</v>
      </c>
      <c r="F3002" s="2">
        <v>3.0</v>
      </c>
      <c r="G3002" s="2">
        <v>214.0</v>
      </c>
      <c r="H3002" s="3" t="str">
        <f>HYPERLINK("http://ar.linkedin.com/in/lmgiorni","http://ar.linkedin.com/in/lmgiorni")</f>
        <v>http://ar.linkedin.com/in/lmgiorni</v>
      </c>
      <c r="I3002" s="2" t="s">
        <v>188</v>
      </c>
      <c r="J3002" s="2" t="s">
        <v>21</v>
      </c>
      <c r="K3002" s="2" t="s">
        <v>5727</v>
      </c>
    </row>
    <row r="3003" ht="15.75" customHeight="1">
      <c r="A3003" s="2">
        <v>16394.0</v>
      </c>
      <c r="B3003" s="2" t="s">
        <v>227</v>
      </c>
      <c r="C3003" s="2" t="s">
        <v>6736</v>
      </c>
      <c r="D3003" s="2"/>
      <c r="E3003" s="2" t="s">
        <v>20</v>
      </c>
      <c r="F3003" s="2" t="s">
        <v>13</v>
      </c>
      <c r="G3003" s="2">
        <v>184.0</v>
      </c>
      <c r="H3003" s="3" t="str">
        <f>HYPERLINK("http://ar.linkedin.com/pub/jorge-serrano/0/1B5/A4A","http://ar.linkedin.com/pub/jorge-serrano/0/1B5/A4A")</f>
        <v>http://ar.linkedin.com/pub/jorge-serrano/0/1B5/A4A</v>
      </c>
      <c r="I3003" s="2" t="s">
        <v>48</v>
      </c>
      <c r="J3003" s="2" t="s">
        <v>21</v>
      </c>
      <c r="K3003" s="2" t="s">
        <v>5725</v>
      </c>
    </row>
    <row r="3004" ht="15.75" customHeight="1">
      <c r="A3004" s="2">
        <v>16431.0</v>
      </c>
      <c r="B3004" s="2" t="s">
        <v>5078</v>
      </c>
      <c r="C3004" s="2" t="s">
        <v>2721</v>
      </c>
      <c r="D3004" s="2" t="s">
        <v>42</v>
      </c>
      <c r="E3004" s="2" t="s">
        <v>20</v>
      </c>
      <c r="F3004" s="2">
        <v>4.0</v>
      </c>
      <c r="G3004" s="2">
        <v>500.0</v>
      </c>
      <c r="H3004" s="3" t="str">
        <f>HYPERLINK("http://ar.linkedin.com/pub/diego-levi/6/618/13","http://ar.linkedin.com/pub/diego-levi/6/618/13")</f>
        <v>http://ar.linkedin.com/pub/diego-levi/6/618/13</v>
      </c>
      <c r="I3004" s="2" t="s">
        <v>105</v>
      </c>
      <c r="J3004" s="2" t="s">
        <v>21</v>
      </c>
      <c r="K3004" s="2" t="s">
        <v>5727</v>
      </c>
    </row>
    <row r="3005" ht="15.75" customHeight="1">
      <c r="A3005" s="2">
        <v>16440.0</v>
      </c>
      <c r="B3005" s="2" t="s">
        <v>4147</v>
      </c>
      <c r="C3005" s="2" t="s">
        <v>6737</v>
      </c>
      <c r="D3005" s="2" t="s">
        <v>6738</v>
      </c>
      <c r="E3005" s="2" t="s">
        <v>1041</v>
      </c>
      <c r="F3005" s="2" t="s">
        <v>13</v>
      </c>
      <c r="G3005" s="2">
        <v>115.0</v>
      </c>
      <c r="H3005" s="3" t="str">
        <f>HYPERLINK("http://www.linkedin.com/in/venkatchigurupati","http://www.linkedin.com/in/venkatchigurupati")</f>
        <v>http://www.linkedin.com/in/venkatchigurupati</v>
      </c>
      <c r="I3005" s="2" t="s">
        <v>77</v>
      </c>
      <c r="J3005" s="2" t="s">
        <v>102</v>
      </c>
      <c r="K3005" s="2" t="s">
        <v>6739</v>
      </c>
    </row>
    <row r="3006" ht="15.75" customHeight="1">
      <c r="A3006" s="2">
        <v>16472.0</v>
      </c>
      <c r="B3006" s="2" t="s">
        <v>515</v>
      </c>
      <c r="C3006" s="2" t="s">
        <v>6740</v>
      </c>
      <c r="D3006" s="2" t="s">
        <v>13</v>
      </c>
      <c r="E3006" s="2" t="s">
        <v>20</v>
      </c>
      <c r="F3006" s="2">
        <v>0.0</v>
      </c>
      <c r="G3006" s="2">
        <v>266.0</v>
      </c>
      <c r="H3006" s="3" t="str">
        <f>HYPERLINK("http://www.linkedin.com/pub/juan-ignacio-esperon/17/351/b76","http://www.linkedin.com/pub/juan-ignacio-esperon/17/351/b76")</f>
        <v>http://www.linkedin.com/pub/juan-ignacio-esperon/17/351/b76</v>
      </c>
      <c r="I3006" s="2" t="s">
        <v>77</v>
      </c>
      <c r="J3006" s="2" t="s">
        <v>21</v>
      </c>
      <c r="K3006" s="2" t="s">
        <v>6741</v>
      </c>
    </row>
    <row r="3007" ht="15.75" customHeight="1">
      <c r="A3007" s="2">
        <v>16474.0</v>
      </c>
      <c r="B3007" s="2" t="s">
        <v>609</v>
      </c>
      <c r="C3007" s="2" t="s">
        <v>6742</v>
      </c>
      <c r="D3007" s="2" t="s">
        <v>13</v>
      </c>
      <c r="E3007" s="2" t="s">
        <v>20</v>
      </c>
      <c r="F3007" s="2">
        <v>0.0</v>
      </c>
      <c r="G3007" s="2">
        <v>500.0</v>
      </c>
      <c r="H3007" s="3" t="str">
        <f>HYPERLINK("http://www.linkedin.com/pub/ricardo-braverman/0/924/a18","http://www.linkedin.com/pub/ricardo-braverman/0/924/a18")</f>
        <v>http://www.linkedin.com/pub/ricardo-braverman/0/924/a18</v>
      </c>
      <c r="I3007" s="2" t="s">
        <v>15</v>
      </c>
      <c r="J3007" s="2" t="s">
        <v>21</v>
      </c>
      <c r="K3007" s="2" t="s">
        <v>5725</v>
      </c>
    </row>
    <row r="3008" ht="15.75" customHeight="1">
      <c r="A3008" s="2">
        <v>16477.0</v>
      </c>
      <c r="B3008" s="2" t="s">
        <v>5871</v>
      </c>
      <c r="C3008" s="2" t="s">
        <v>6743</v>
      </c>
      <c r="D3008" s="2" t="s">
        <v>6744</v>
      </c>
      <c r="E3008" s="2" t="s">
        <v>20</v>
      </c>
      <c r="F3008" s="2" t="s">
        <v>13</v>
      </c>
      <c r="G3008" s="2">
        <v>218.0</v>
      </c>
      <c r="H3008" s="3" t="str">
        <f>HYPERLINK("http://ar.linkedin.com/in/sabrinasoria","http://ar.linkedin.com/in/sabrinasoria")</f>
        <v>http://ar.linkedin.com/in/sabrinasoria</v>
      </c>
      <c r="I3008" s="2" t="s">
        <v>77</v>
      </c>
      <c r="J3008" s="2" t="s">
        <v>21</v>
      </c>
      <c r="K3008" s="2" t="s">
        <v>5848</v>
      </c>
    </row>
    <row r="3009" ht="15.75" customHeight="1">
      <c r="A3009" s="2">
        <v>16493.0</v>
      </c>
      <c r="B3009" s="2" t="s">
        <v>6061</v>
      </c>
      <c r="C3009" s="2" t="s">
        <v>1574</v>
      </c>
      <c r="D3009" s="2" t="s">
        <v>6745</v>
      </c>
      <c r="E3009" s="2" t="s">
        <v>20</v>
      </c>
      <c r="F3009" s="2" t="s">
        <v>13</v>
      </c>
      <c r="G3009" s="2">
        <v>95.0</v>
      </c>
      <c r="H3009" s="3" t="str">
        <f>HYPERLINK("http://ar.linkedin.com/pub/agustin-pinto/9/7B2/AA7","http://ar.linkedin.com/pub/agustin-pinto/9/7B2/AA7")</f>
        <v>http://ar.linkedin.com/pub/agustin-pinto/9/7B2/AA7</v>
      </c>
      <c r="I3009" s="2" t="s">
        <v>77</v>
      </c>
      <c r="J3009" s="2" t="s">
        <v>21</v>
      </c>
      <c r="K3009" s="2" t="s">
        <v>6746</v>
      </c>
    </row>
    <row r="3010" ht="15.75" customHeight="1">
      <c r="A3010" s="2">
        <v>16496.0</v>
      </c>
      <c r="B3010" s="2" t="s">
        <v>677</v>
      </c>
      <c r="C3010" s="2" t="s">
        <v>3943</v>
      </c>
      <c r="D3010" s="2" t="s">
        <v>6747</v>
      </c>
      <c r="E3010" s="2" t="s">
        <v>20</v>
      </c>
      <c r="F3010" s="2">
        <v>2.0</v>
      </c>
      <c r="G3010" s="2">
        <v>277.0</v>
      </c>
      <c r="H3010" s="3" t="str">
        <f>HYPERLINK("http://ar.linkedin.com/in/danielrodriguezargentina","http://ar.linkedin.com/in/danielrodriguezargentina")</f>
        <v>http://ar.linkedin.com/in/danielrodriguezargentina</v>
      </c>
      <c r="I3010" s="2" t="s">
        <v>15</v>
      </c>
      <c r="J3010" s="2" t="s">
        <v>21</v>
      </c>
      <c r="K3010" s="2" t="s">
        <v>5777</v>
      </c>
    </row>
    <row r="3011" ht="15.75" customHeight="1">
      <c r="A3011" s="2">
        <v>16502.0</v>
      </c>
      <c r="B3011" s="2" t="s">
        <v>862</v>
      </c>
      <c r="C3011" s="2" t="s">
        <v>6630</v>
      </c>
      <c r="D3011" s="2" t="s">
        <v>6748</v>
      </c>
      <c r="E3011" s="2" t="s">
        <v>20</v>
      </c>
      <c r="F3011" s="2">
        <v>1.0</v>
      </c>
      <c r="G3011" s="2">
        <v>139.0</v>
      </c>
      <c r="H3011" s="3" t="str">
        <f>HYPERLINK("http://ar.linkedin.com/pub/gabriel-medina/12/252/33A","http://ar.linkedin.com/pub/gabriel-medina/12/252/33A")</f>
        <v>http://ar.linkedin.com/pub/gabriel-medina/12/252/33A</v>
      </c>
      <c r="I3011" s="2" t="s">
        <v>160</v>
      </c>
      <c r="J3011" s="2" t="s">
        <v>21</v>
      </c>
      <c r="K3011" s="2" t="s">
        <v>5848</v>
      </c>
    </row>
    <row r="3012" ht="15.75" customHeight="1">
      <c r="A3012" s="2">
        <v>16565.0</v>
      </c>
      <c r="B3012" s="2" t="s">
        <v>3550</v>
      </c>
      <c r="C3012" s="2" t="s">
        <v>6749</v>
      </c>
      <c r="D3012" s="2" t="s">
        <v>75</v>
      </c>
      <c r="E3012" s="2" t="s">
        <v>20</v>
      </c>
      <c r="F3012" s="2">
        <v>3.0</v>
      </c>
      <c r="G3012" s="2">
        <v>185.0</v>
      </c>
      <c r="H3012" s="3" t="str">
        <f>HYPERLINK("http://ar.linkedin.com/in/nicolasenriorigarcia","http://ar.linkedin.com/in/nicolasenriorigarcia")</f>
        <v>http://ar.linkedin.com/in/nicolasenriorigarcia</v>
      </c>
      <c r="I3012" s="2" t="s">
        <v>6750</v>
      </c>
      <c r="J3012" s="2" t="s">
        <v>21</v>
      </c>
      <c r="K3012" s="2" t="s">
        <v>5743</v>
      </c>
    </row>
    <row r="3013" ht="15.75" customHeight="1">
      <c r="A3013" s="2">
        <v>16569.0</v>
      </c>
      <c r="B3013" s="2" t="s">
        <v>6751</v>
      </c>
      <c r="C3013" s="2" t="s">
        <v>6752</v>
      </c>
      <c r="D3013" s="2" t="s">
        <v>6753</v>
      </c>
      <c r="E3013" s="2" t="s">
        <v>20</v>
      </c>
      <c r="F3013" s="2" t="s">
        <v>13</v>
      </c>
      <c r="G3013" s="2">
        <v>128.0</v>
      </c>
      <c r="H3013" s="3" t="str">
        <f>HYPERLINK("http://ar.linkedin.com/pub/rub%C3%A9n-riedel/2/3A9/B73","http://ar.linkedin.com/pub/rub%C3%A9n-riedel/2/3A9/B73")</f>
        <v>http://ar.linkedin.com/pub/rub%C3%A9n-riedel/2/3A9/B73</v>
      </c>
      <c r="I3013" s="2" t="s">
        <v>48</v>
      </c>
      <c r="J3013" s="2" t="s">
        <v>21</v>
      </c>
      <c r="K3013" s="2" t="s">
        <v>5725</v>
      </c>
    </row>
    <row r="3014" ht="15.75" customHeight="1">
      <c r="A3014" s="2">
        <v>16575.0</v>
      </c>
      <c r="B3014" s="2" t="s">
        <v>4503</v>
      </c>
      <c r="C3014" s="2" t="s">
        <v>6754</v>
      </c>
      <c r="D3014" s="2" t="s">
        <v>6755</v>
      </c>
      <c r="E3014" s="2" t="s">
        <v>20</v>
      </c>
      <c r="F3014" s="2">
        <v>4.0</v>
      </c>
      <c r="G3014" s="2">
        <v>335.0</v>
      </c>
      <c r="H3014" s="3" t="str">
        <f>HYPERLINK("http://ar.linkedin.com/in/fcuadrado","http://ar.linkedin.com/in/fcuadrado")</f>
        <v>http://ar.linkedin.com/in/fcuadrado</v>
      </c>
      <c r="I3014" s="2" t="s">
        <v>1094</v>
      </c>
      <c r="J3014" s="2" t="s">
        <v>21</v>
      </c>
      <c r="K3014" s="2" t="s">
        <v>6075</v>
      </c>
    </row>
    <row r="3015" ht="15.75" customHeight="1">
      <c r="A3015" s="2">
        <v>16581.0</v>
      </c>
      <c r="B3015" s="2" t="s">
        <v>6756</v>
      </c>
      <c r="C3015" s="2" t="s">
        <v>6757</v>
      </c>
      <c r="D3015" s="2" t="s">
        <v>6197</v>
      </c>
      <c r="E3015" s="2" t="s">
        <v>20</v>
      </c>
      <c r="F3015" s="2" t="s">
        <v>13</v>
      </c>
      <c r="G3015" s="2">
        <v>9.0</v>
      </c>
      <c r="H3015" s="3" t="str">
        <f>HYPERLINK("http://ar.linkedin.com/pub/vanina-andrea-papa/0/50A/539","http://ar.linkedin.com/pub/vanina-andrea-papa/0/50A/539")</f>
        <v>http://ar.linkedin.com/pub/vanina-andrea-papa/0/50A/539</v>
      </c>
      <c r="I3015" s="2" t="s">
        <v>48</v>
      </c>
      <c r="J3015" s="2" t="s">
        <v>21</v>
      </c>
      <c r="K3015" s="2" t="s">
        <v>5785</v>
      </c>
    </row>
    <row r="3016" ht="15.75" customHeight="1">
      <c r="A3016" s="2">
        <v>16603.0</v>
      </c>
      <c r="B3016" s="2" t="s">
        <v>5582</v>
      </c>
      <c r="C3016" s="2" t="s">
        <v>1617</v>
      </c>
      <c r="D3016" s="2" t="s">
        <v>5863</v>
      </c>
      <c r="E3016" s="2" t="s">
        <v>20</v>
      </c>
      <c r="F3016" s="2">
        <v>2.0</v>
      </c>
      <c r="G3016" s="2">
        <v>466.0</v>
      </c>
      <c r="H3016" s="3" t="str">
        <f>HYPERLINK("http://ar.linkedin.com/pub/sandra-ryan/4/560/AAB","http://ar.linkedin.com/pub/sandra-ryan/4/560/AAB")</f>
        <v>http://ar.linkedin.com/pub/sandra-ryan/4/560/AAB</v>
      </c>
      <c r="I3016" s="2" t="s">
        <v>669</v>
      </c>
      <c r="J3016" s="2" t="s">
        <v>21</v>
      </c>
      <c r="K3016" s="2" t="s">
        <v>6075</v>
      </c>
    </row>
    <row r="3017" ht="15.75" customHeight="1">
      <c r="A3017" s="2">
        <v>16611.0</v>
      </c>
      <c r="B3017" s="2" t="s">
        <v>353</v>
      </c>
      <c r="C3017" s="2" t="s">
        <v>6758</v>
      </c>
      <c r="D3017" s="2" t="s">
        <v>6759</v>
      </c>
      <c r="E3017" s="2" t="s">
        <v>20</v>
      </c>
      <c r="F3017" s="2">
        <v>11.0</v>
      </c>
      <c r="G3017" s="2">
        <v>253.0</v>
      </c>
      <c r="H3017" s="3" t="str">
        <f>HYPERLINK("http://ar.linkedin.com/pub/alejandro-petruzzelli/7/901/208","http://ar.linkedin.com/pub/alejandro-petruzzelli/7/901/208")</f>
        <v>http://ar.linkedin.com/pub/alejandro-petruzzelli/7/901/208</v>
      </c>
      <c r="I3017" s="2" t="s">
        <v>77</v>
      </c>
      <c r="J3017" s="2" t="s">
        <v>21</v>
      </c>
      <c r="K3017" s="2" t="s">
        <v>5725</v>
      </c>
    </row>
    <row r="3018" ht="15.75" customHeight="1">
      <c r="A3018" s="2">
        <v>16618.0</v>
      </c>
      <c r="B3018" s="2" t="s">
        <v>5794</v>
      </c>
      <c r="C3018" s="2" t="s">
        <v>6760</v>
      </c>
      <c r="D3018" s="2" t="s">
        <v>6761</v>
      </c>
      <c r="E3018" s="2" t="s">
        <v>20</v>
      </c>
      <c r="F3018" s="2">
        <v>2.0</v>
      </c>
      <c r="G3018" s="2">
        <v>255.0</v>
      </c>
      <c r="H3018" s="3" t="str">
        <f>HYPERLINK("http://ar.linkedin.com/pub/silvina-moscuzza/9/641/B03","http://ar.linkedin.com/pub/silvina-moscuzza/9/641/B03")</f>
        <v>http://ar.linkedin.com/pub/silvina-moscuzza/9/641/B03</v>
      </c>
      <c r="I3018" s="2" t="s">
        <v>48</v>
      </c>
      <c r="J3018" s="2" t="s">
        <v>21</v>
      </c>
      <c r="K3018" s="2" t="s">
        <v>5777</v>
      </c>
    </row>
    <row r="3019" ht="15.75" customHeight="1">
      <c r="A3019" s="2">
        <v>16632.0</v>
      </c>
      <c r="B3019" s="2" t="s">
        <v>152</v>
      </c>
      <c r="C3019" s="2" t="s">
        <v>6762</v>
      </c>
      <c r="D3019" s="2" t="s">
        <v>3377</v>
      </c>
      <c r="E3019" s="2" t="s">
        <v>20</v>
      </c>
      <c r="F3019" s="2">
        <v>2.0</v>
      </c>
      <c r="G3019" s="2">
        <v>254.0</v>
      </c>
      <c r="H3019" s="3" t="str">
        <f>HYPERLINK("http://ar.linkedin.com/in/ecrimi","http://ar.linkedin.com/in/ecrimi")</f>
        <v>http://ar.linkedin.com/in/ecrimi</v>
      </c>
      <c r="I3019" s="2" t="s">
        <v>714</v>
      </c>
      <c r="J3019" s="2" t="s">
        <v>21</v>
      </c>
      <c r="K3019" s="2" t="s">
        <v>5727</v>
      </c>
    </row>
    <row r="3020" ht="15.75" customHeight="1">
      <c r="A3020" s="2">
        <v>16674.0</v>
      </c>
      <c r="B3020" s="2" t="s">
        <v>341</v>
      </c>
      <c r="C3020" s="2" t="s">
        <v>6763</v>
      </c>
      <c r="D3020" s="2"/>
      <c r="E3020" s="2" t="s">
        <v>2429</v>
      </c>
      <c r="F3020" s="2">
        <v>3.0</v>
      </c>
      <c r="G3020" s="2">
        <v>500.0</v>
      </c>
      <c r="H3020" s="3" t="str">
        <f>HYPERLINK("http://www.linkedin.com/pub/kevin-dishun/0/651/469","http://www.linkedin.com/pub/kevin-dishun/0/651/469")</f>
        <v>http://www.linkedin.com/pub/kevin-dishun/0/651/469</v>
      </c>
      <c r="I3020" s="2" t="s">
        <v>240</v>
      </c>
      <c r="J3020" s="2" t="s">
        <v>102</v>
      </c>
      <c r="K3020" s="2" t="s">
        <v>5727</v>
      </c>
    </row>
    <row r="3021" ht="15.75" customHeight="1">
      <c r="A3021" s="2">
        <v>16679.0</v>
      </c>
      <c r="B3021" s="2" t="s">
        <v>671</v>
      </c>
      <c r="C3021" s="2" t="s">
        <v>6764</v>
      </c>
      <c r="D3021" s="2" t="s">
        <v>13</v>
      </c>
      <c r="E3021" s="2" t="s">
        <v>20</v>
      </c>
      <c r="F3021" s="2">
        <v>0.0</v>
      </c>
      <c r="G3021" s="2">
        <v>291.0</v>
      </c>
      <c r="H3021" s="3" t="str">
        <f>HYPERLINK("http://www.linkedin.com/pub/mariana-plazzotta/5/630/2a6","http://www.linkedin.com/pub/mariana-plazzotta/5/630/2a6")</f>
        <v>http://www.linkedin.com/pub/mariana-plazzotta/5/630/2a6</v>
      </c>
      <c r="I3021" s="2" t="s">
        <v>48</v>
      </c>
      <c r="J3021" s="2" t="s">
        <v>21</v>
      </c>
      <c r="K3021" s="2" t="s">
        <v>6124</v>
      </c>
    </row>
    <row r="3022" ht="15.75" customHeight="1">
      <c r="A3022" s="2">
        <v>16680.0</v>
      </c>
      <c r="B3022" s="2" t="s">
        <v>6765</v>
      </c>
      <c r="C3022" s="2" t="s">
        <v>6766</v>
      </c>
      <c r="D3022" s="2" t="s">
        <v>13</v>
      </c>
      <c r="E3022" s="2" t="s">
        <v>701</v>
      </c>
      <c r="F3022" s="2">
        <v>0.0</v>
      </c>
      <c r="G3022" s="2">
        <v>500.0</v>
      </c>
      <c r="H3022" s="3" t="str">
        <f>HYPERLINK("http://www.linkedin.com/pub/gaston-aprile/a/646/b31","http://www.linkedin.com/pub/gaston-aprile/a/646/b31")</f>
        <v>http://www.linkedin.com/pub/gaston-aprile/a/646/b31</v>
      </c>
      <c r="I3022" s="2" t="s">
        <v>15</v>
      </c>
      <c r="J3022" s="2" t="s">
        <v>702</v>
      </c>
      <c r="K3022" s="2" t="s">
        <v>6124</v>
      </c>
    </row>
    <row r="3023" ht="15.75" customHeight="1">
      <c r="A3023" s="2">
        <v>16682.0</v>
      </c>
      <c r="B3023" s="2" t="s">
        <v>1454</v>
      </c>
      <c r="C3023" s="2" t="s">
        <v>6767</v>
      </c>
      <c r="D3023" s="2" t="s">
        <v>13</v>
      </c>
      <c r="E3023" s="2" t="s">
        <v>20</v>
      </c>
      <c r="F3023" s="2">
        <v>0.0</v>
      </c>
      <c r="G3023" s="2">
        <v>455.0</v>
      </c>
      <c r="H3023" s="3" t="str">
        <f>HYPERLINK("http://www.linkedin.com/pub/alan-jalife/0/9aa/b02","http://www.linkedin.com/pub/alan-jalife/0/9aa/b02")</f>
        <v>http://www.linkedin.com/pub/alan-jalife/0/9aa/b02</v>
      </c>
      <c r="I3023" s="2" t="s">
        <v>48</v>
      </c>
      <c r="J3023" s="2" t="s">
        <v>21</v>
      </c>
      <c r="K3023" s="2" t="s">
        <v>5725</v>
      </c>
    </row>
    <row r="3024" ht="15.75" customHeight="1">
      <c r="A3024" s="2">
        <v>16700.0</v>
      </c>
      <c r="B3024" s="2" t="s">
        <v>6768</v>
      </c>
      <c r="C3024" s="2" t="s">
        <v>4264</v>
      </c>
      <c r="D3024" s="2" t="s">
        <v>13</v>
      </c>
      <c r="E3024" s="2" t="s">
        <v>20</v>
      </c>
      <c r="F3024" s="2">
        <v>10.0</v>
      </c>
      <c r="G3024" s="2">
        <v>480.0</v>
      </c>
      <c r="H3024" s="3" t="str">
        <f>HYPERLINK("http://www.linkedin.com/pub/mariano-alejandro-gonz%C3%A1lez/6/5b/734","http://www.linkedin.com/pub/mariano-alejandro-gonz%C3%A1lez/6/5b/734")</f>
        <v>http://www.linkedin.com/pub/mariano-alejandro-gonz%C3%A1lez/6/5b/734</v>
      </c>
      <c r="I3024" s="2" t="s">
        <v>15</v>
      </c>
      <c r="J3024" s="2" t="s">
        <v>21</v>
      </c>
      <c r="K3024" s="2" t="s">
        <v>5727</v>
      </c>
    </row>
    <row r="3025" ht="15.75" customHeight="1">
      <c r="A3025" s="2">
        <v>16706.0</v>
      </c>
      <c r="B3025" s="2" t="s">
        <v>5078</v>
      </c>
      <c r="C3025" s="2" t="s">
        <v>6769</v>
      </c>
      <c r="D3025" s="2" t="s">
        <v>6770</v>
      </c>
      <c r="E3025" s="2" t="s">
        <v>20</v>
      </c>
      <c r="F3025" s="2">
        <v>3.0</v>
      </c>
      <c r="G3025" s="2">
        <v>500.0</v>
      </c>
      <c r="H3025" s="3" t="str">
        <f>HYPERLINK("http://ar.linkedin.com/in/diegonaya","http://ar.linkedin.com/in/diegonaya")</f>
        <v>http://ar.linkedin.com/in/diegonaya</v>
      </c>
      <c r="I3025" s="2" t="s">
        <v>172</v>
      </c>
      <c r="J3025" s="2" t="s">
        <v>21</v>
      </c>
      <c r="K3025" s="2" t="s">
        <v>5727</v>
      </c>
    </row>
    <row r="3026" ht="15.75" customHeight="1">
      <c r="A3026" s="2">
        <v>16715.0</v>
      </c>
      <c r="B3026" s="2" t="s">
        <v>59</v>
      </c>
      <c r="C3026" s="2" t="s">
        <v>6771</v>
      </c>
      <c r="D3026" s="2" t="s">
        <v>6772</v>
      </c>
      <c r="E3026" s="2" t="s">
        <v>20</v>
      </c>
      <c r="F3026" s="2" t="s">
        <v>13</v>
      </c>
      <c r="G3026" s="2">
        <v>22.0</v>
      </c>
      <c r="H3026" s="3" t="str">
        <f>HYPERLINK("http://ar.linkedin.com/pub/martin-naya/23/782/624","http://ar.linkedin.com/pub/martin-naya/23/782/624")</f>
        <v>http://ar.linkedin.com/pub/martin-naya/23/782/624</v>
      </c>
      <c r="I3026" s="2" t="s">
        <v>48</v>
      </c>
      <c r="J3026" s="2" t="s">
        <v>21</v>
      </c>
      <c r="K3026" s="2" t="s">
        <v>5819</v>
      </c>
    </row>
    <row r="3027" ht="15.75" customHeight="1">
      <c r="A3027" s="2">
        <v>16764.0</v>
      </c>
      <c r="B3027" s="2" t="s">
        <v>5723</v>
      </c>
      <c r="C3027" s="2" t="s">
        <v>6773</v>
      </c>
      <c r="D3027" s="2" t="s">
        <v>6774</v>
      </c>
      <c r="E3027" s="2" t="s">
        <v>20</v>
      </c>
      <c r="F3027" s="2">
        <v>11.0</v>
      </c>
      <c r="G3027" s="2">
        <v>431.0</v>
      </c>
      <c r="H3027" s="3" t="str">
        <f>HYPERLINK("http://ar.linkedin.com/pub/pablo-freixas/7/B02/95","http://ar.linkedin.com/pub/pablo-freixas/7/B02/95")</f>
        <v>http://ar.linkedin.com/pub/pablo-freixas/7/B02/95</v>
      </c>
      <c r="I3027" s="2" t="s">
        <v>77</v>
      </c>
      <c r="J3027" s="2" t="s">
        <v>21</v>
      </c>
      <c r="K3027" s="2" t="s">
        <v>5731</v>
      </c>
    </row>
    <row r="3028" ht="15.75" customHeight="1">
      <c r="A3028" s="2">
        <v>16765.0</v>
      </c>
      <c r="B3028" s="2" t="s">
        <v>6775</v>
      </c>
      <c r="C3028" s="2" t="s">
        <v>6776</v>
      </c>
      <c r="D3028" s="2" t="s">
        <v>6095</v>
      </c>
      <c r="E3028" s="2" t="s">
        <v>20</v>
      </c>
      <c r="F3028" s="2">
        <v>2.0</v>
      </c>
      <c r="G3028" s="2">
        <v>217.0</v>
      </c>
      <c r="H3028" s="3" t="str">
        <f>HYPERLINK("http://ar.linkedin.com/pub/maria-soledad-piazza/19/AAA/B4B","http://ar.linkedin.com/pub/maria-soledad-piazza/19/AAA/B4B")</f>
        <v>http://ar.linkedin.com/pub/maria-soledad-piazza/19/AAA/B4B</v>
      </c>
      <c r="I3028" s="2" t="s">
        <v>6777</v>
      </c>
      <c r="J3028" s="2" t="s">
        <v>21</v>
      </c>
      <c r="K3028" s="2" t="s">
        <v>5727</v>
      </c>
    </row>
    <row r="3029" ht="15.75" customHeight="1">
      <c r="A3029" s="2">
        <v>16783.0</v>
      </c>
      <c r="B3029" s="2" t="s">
        <v>6778</v>
      </c>
      <c r="C3029" s="2" t="s">
        <v>4640</v>
      </c>
      <c r="D3029" s="2" t="s">
        <v>6779</v>
      </c>
      <c r="E3029" s="2" t="s">
        <v>20</v>
      </c>
      <c r="F3029" s="2">
        <v>5.0</v>
      </c>
      <c r="G3029" s="2">
        <v>217.0</v>
      </c>
      <c r="H3029" s="3" t="str">
        <f>HYPERLINK("http://ar.linkedin.com/in/julietamartino","http://ar.linkedin.com/in/julietamartino")</f>
        <v>http://ar.linkedin.com/in/julietamartino</v>
      </c>
      <c r="I3029" s="2" t="s">
        <v>105</v>
      </c>
      <c r="J3029" s="2" t="s">
        <v>21</v>
      </c>
      <c r="K3029" s="2" t="s">
        <v>5727</v>
      </c>
    </row>
    <row r="3030" ht="15.75" customHeight="1">
      <c r="A3030" s="2">
        <v>16785.0</v>
      </c>
      <c r="B3030" s="2" t="s">
        <v>6780</v>
      </c>
      <c r="C3030" s="2" t="s">
        <v>6781</v>
      </c>
      <c r="D3030" s="2" t="s">
        <v>6782</v>
      </c>
      <c r="E3030" s="2" t="s">
        <v>20</v>
      </c>
      <c r="F3030" s="2">
        <v>10.0</v>
      </c>
      <c r="G3030" s="2">
        <v>500.0</v>
      </c>
      <c r="H3030" s="3" t="str">
        <f>HYPERLINK("http://ar.linkedin.com/pub/ariel-dar%C3%ADo-achcar/27/B97/120","http://ar.linkedin.com/pub/ariel-dar%C3%ADo-achcar/27/B97/120")</f>
        <v>http://ar.linkedin.com/pub/ariel-dar%C3%ADo-achcar/27/B97/120</v>
      </c>
      <c r="I3030" s="2" t="s">
        <v>137</v>
      </c>
      <c r="J3030" s="2" t="s">
        <v>21</v>
      </c>
      <c r="K3030" s="2" t="s">
        <v>6388</v>
      </c>
    </row>
    <row r="3031" ht="15.75" customHeight="1">
      <c r="A3031" s="2">
        <v>16790.0</v>
      </c>
      <c r="B3031" s="2" t="s">
        <v>6783</v>
      </c>
      <c r="C3031" s="2" t="s">
        <v>6784</v>
      </c>
      <c r="D3031" s="2" t="s">
        <v>6785</v>
      </c>
      <c r="E3031" s="2" t="s">
        <v>20</v>
      </c>
      <c r="F3031" s="2">
        <v>4.0</v>
      </c>
      <c r="G3031" s="2">
        <v>500.0</v>
      </c>
      <c r="H3031" s="3" t="str">
        <f>HYPERLINK("http://ar.linkedin.com/pub/silvana-petrone/26/298/291","http://ar.linkedin.com/pub/silvana-petrone/26/298/291")</f>
        <v>http://ar.linkedin.com/pub/silvana-petrone/26/298/291</v>
      </c>
      <c r="I3031" s="2" t="s">
        <v>3857</v>
      </c>
      <c r="J3031" s="2" t="s">
        <v>21</v>
      </c>
      <c r="K3031" s="2" t="s">
        <v>5727</v>
      </c>
    </row>
    <row r="3032" ht="15.75" customHeight="1">
      <c r="A3032" s="2">
        <v>16796.0</v>
      </c>
      <c r="B3032" s="2" t="s">
        <v>2333</v>
      </c>
      <c r="C3032" s="2" t="s">
        <v>6786</v>
      </c>
      <c r="D3032" s="2" t="s">
        <v>13</v>
      </c>
      <c r="E3032" s="2" t="s">
        <v>20</v>
      </c>
      <c r="F3032" s="2">
        <v>0.0</v>
      </c>
      <c r="G3032" s="2">
        <v>204.0</v>
      </c>
      <c r="H3032" s="3" t="str">
        <f>HYPERLINK("http://www.linkedin.com/pub/gloria-catinari/18/50/791","http://www.linkedin.com/pub/gloria-catinari/18/50/791")</f>
        <v>http://www.linkedin.com/pub/gloria-catinari/18/50/791</v>
      </c>
      <c r="I3032" s="2" t="s">
        <v>268</v>
      </c>
      <c r="J3032" s="2" t="s">
        <v>21</v>
      </c>
      <c r="K3032" s="2" t="s">
        <v>5785</v>
      </c>
    </row>
    <row r="3033" ht="15.75" customHeight="1">
      <c r="A3033" s="2">
        <v>16800.0</v>
      </c>
      <c r="B3033" s="2" t="s">
        <v>221</v>
      </c>
      <c r="C3033" s="2" t="s">
        <v>6787</v>
      </c>
      <c r="D3033" s="2" t="s">
        <v>6788</v>
      </c>
      <c r="E3033" s="2" t="s">
        <v>1190</v>
      </c>
      <c r="F3033" s="2">
        <v>10.0</v>
      </c>
      <c r="G3033" s="2">
        <v>313.0</v>
      </c>
      <c r="H3033" s="3" t="str">
        <f>HYPERLINK("http://www.linkedin.com/in/memesanza2007","http://www.linkedin.com/in/memesanza2007")</f>
        <v>http://www.linkedin.com/in/memesanza2007</v>
      </c>
      <c r="I3033" s="2" t="s">
        <v>240</v>
      </c>
      <c r="J3033" s="2" t="s">
        <v>102</v>
      </c>
      <c r="K3033" s="2" t="s">
        <v>6388</v>
      </c>
    </row>
    <row r="3034" ht="15.75" customHeight="1">
      <c r="A3034" s="2">
        <v>16845.0</v>
      </c>
      <c r="B3034" s="2" t="s">
        <v>45</v>
      </c>
      <c r="C3034" s="2" t="s">
        <v>6789</v>
      </c>
      <c r="D3034" s="2" t="s">
        <v>6790</v>
      </c>
      <c r="E3034" s="2" t="s">
        <v>20</v>
      </c>
      <c r="F3034" s="2">
        <v>3.0</v>
      </c>
      <c r="G3034" s="2">
        <v>277.0</v>
      </c>
      <c r="H3034" s="3" t="str">
        <f>HYPERLINK("http://ar.linkedin.com/pub/carlos-escalada/1/68/B06","http://ar.linkedin.com/pub/carlos-escalada/1/68/B06")</f>
        <v>http://ar.linkedin.com/pub/carlos-escalada/1/68/B06</v>
      </c>
      <c r="I3034" s="2" t="s">
        <v>669</v>
      </c>
      <c r="J3034" s="2" t="s">
        <v>21</v>
      </c>
      <c r="K3034" s="2" t="s">
        <v>5727</v>
      </c>
    </row>
    <row r="3035" ht="15.75" customHeight="1">
      <c r="A3035" s="2">
        <v>16881.0</v>
      </c>
      <c r="B3035" s="2" t="s">
        <v>45</v>
      </c>
      <c r="C3035" s="2" t="s">
        <v>6791</v>
      </c>
      <c r="D3035" s="2" t="s">
        <v>6792</v>
      </c>
      <c r="E3035" s="2" t="s">
        <v>20</v>
      </c>
      <c r="F3035" s="2">
        <v>3.0</v>
      </c>
      <c r="G3035" s="2">
        <v>500.0</v>
      </c>
      <c r="H3035" s="3" t="str">
        <f>HYPERLINK("http://ar.linkedin.com/pub/carlos-vargas-eguinoa/2/779/38","http://ar.linkedin.com/pub/carlos-vargas-eguinoa/2/779/38")</f>
        <v>http://ar.linkedin.com/pub/carlos-vargas-eguinoa/2/779/38</v>
      </c>
      <c r="I3035" s="2" t="s">
        <v>57</v>
      </c>
      <c r="J3035" s="2" t="s">
        <v>21</v>
      </c>
      <c r="K3035" s="2" t="s">
        <v>5727</v>
      </c>
    </row>
    <row r="3036" ht="15.75" customHeight="1">
      <c r="A3036" s="2">
        <v>16882.0</v>
      </c>
      <c r="B3036" s="2" t="s">
        <v>6793</v>
      </c>
      <c r="C3036" s="2" t="s">
        <v>6794</v>
      </c>
      <c r="D3036" s="2" t="s">
        <v>6795</v>
      </c>
      <c r="E3036" s="2" t="s">
        <v>20</v>
      </c>
      <c r="F3036" s="2">
        <v>25.0</v>
      </c>
      <c r="G3036" s="2">
        <v>500.0</v>
      </c>
      <c r="H3036" s="3" t="str">
        <f>HYPERLINK("http://ar.linkedin.com/in/augustoferrari","http://ar.linkedin.com/in/augustoferrari")</f>
        <v>http://ar.linkedin.com/in/augustoferrari</v>
      </c>
      <c r="I3036" s="2" t="s">
        <v>96</v>
      </c>
      <c r="J3036" s="2" t="s">
        <v>21</v>
      </c>
      <c r="K3036" s="2" t="s">
        <v>5727</v>
      </c>
    </row>
    <row r="3037" ht="15.75" customHeight="1">
      <c r="A3037" s="2">
        <v>16889.0</v>
      </c>
      <c r="B3037" s="2" t="s">
        <v>6252</v>
      </c>
      <c r="C3037" s="2" t="s">
        <v>6796</v>
      </c>
      <c r="D3037" s="2" t="s">
        <v>6797</v>
      </c>
      <c r="E3037" s="2" t="s">
        <v>20</v>
      </c>
      <c r="F3037" s="2">
        <v>15.0</v>
      </c>
      <c r="G3037" s="2">
        <v>500.0</v>
      </c>
      <c r="H3037" s="3" t="str">
        <f>HYPERLINK("http://ar.linkedin.com/in/santiagocardarelli","http://ar.linkedin.com/in/santiagocardarelli")</f>
        <v>http://ar.linkedin.com/in/santiagocardarelli</v>
      </c>
      <c r="I3037" s="2" t="s">
        <v>612</v>
      </c>
      <c r="J3037" s="2" t="s">
        <v>21</v>
      </c>
      <c r="K3037" s="2" t="s">
        <v>5727</v>
      </c>
    </row>
    <row r="3038" ht="15.75" customHeight="1">
      <c r="A3038" s="2">
        <v>16894.0</v>
      </c>
      <c r="B3038" s="2" t="s">
        <v>6798</v>
      </c>
      <c r="C3038" s="2" t="s">
        <v>6799</v>
      </c>
      <c r="D3038" s="2" t="s">
        <v>6800</v>
      </c>
      <c r="E3038" s="2" t="s">
        <v>20</v>
      </c>
      <c r="F3038" s="2">
        <v>7.0</v>
      </c>
      <c r="G3038" s="2">
        <v>500.0</v>
      </c>
      <c r="H3038" s="3" t="str">
        <f>HYPERLINK("http://ar.linkedin.com/in/gbrey","http://ar.linkedin.com/in/gbrey")</f>
        <v>http://ar.linkedin.com/in/gbrey</v>
      </c>
      <c r="I3038" s="2" t="s">
        <v>172</v>
      </c>
      <c r="J3038" s="2" t="s">
        <v>21</v>
      </c>
      <c r="K3038" s="2" t="s">
        <v>5727</v>
      </c>
    </row>
    <row r="3039" ht="15.75" customHeight="1">
      <c r="A3039" s="2">
        <v>16896.0</v>
      </c>
      <c r="B3039" s="2" t="s">
        <v>5803</v>
      </c>
      <c r="C3039" s="2" t="s">
        <v>6801</v>
      </c>
      <c r="D3039" s="2" t="s">
        <v>13</v>
      </c>
      <c r="E3039" s="2" t="s">
        <v>20</v>
      </c>
      <c r="F3039" s="2">
        <v>5.0</v>
      </c>
      <c r="G3039" s="2">
        <v>330.0</v>
      </c>
      <c r="H3039" s="3" t="str">
        <f>HYPERLINK("http://www.linkedin.com/pub/mariano-calvari/4/93a/437","http://www.linkedin.com/pub/mariano-calvari/4/93a/437")</f>
        <v>http://www.linkedin.com/pub/mariano-calvari/4/93a/437</v>
      </c>
      <c r="I3039" s="2" t="s">
        <v>15</v>
      </c>
      <c r="J3039" s="2" t="s">
        <v>21</v>
      </c>
      <c r="K3039" s="2" t="s">
        <v>5725</v>
      </c>
    </row>
    <row r="3040" ht="15.75" customHeight="1">
      <c r="A3040" s="2">
        <v>16897.0</v>
      </c>
      <c r="B3040" s="2" t="s">
        <v>2508</v>
      </c>
      <c r="C3040" s="2" t="s">
        <v>6802</v>
      </c>
      <c r="D3040" s="2" t="s">
        <v>6803</v>
      </c>
      <c r="E3040" s="2" t="s">
        <v>20</v>
      </c>
      <c r="F3040" s="2">
        <v>15.0</v>
      </c>
      <c r="G3040" s="2">
        <v>228.0</v>
      </c>
      <c r="H3040" s="3" t="str">
        <f>HYPERLINK("http://ar.linkedin.com/in/elgalu","http://ar.linkedin.com/in/elgalu")</f>
        <v>http://ar.linkedin.com/in/elgalu</v>
      </c>
      <c r="I3040" s="2" t="s">
        <v>1740</v>
      </c>
      <c r="J3040" s="2" t="s">
        <v>21</v>
      </c>
      <c r="K3040" s="2" t="s">
        <v>5727</v>
      </c>
    </row>
    <row r="3041" ht="15.75" customHeight="1">
      <c r="A3041" s="2">
        <v>16958.0</v>
      </c>
      <c r="B3041" s="2" t="s">
        <v>506</v>
      </c>
      <c r="C3041" s="2" t="s">
        <v>6804</v>
      </c>
      <c r="D3041" s="2" t="s">
        <v>6805</v>
      </c>
      <c r="E3041" s="2" t="s">
        <v>6806</v>
      </c>
      <c r="F3041" s="2">
        <v>0.0</v>
      </c>
      <c r="G3041" s="2">
        <v>203.0</v>
      </c>
      <c r="H3041" s="3" t="str">
        <f>HYPERLINK("http://mx.linkedin.com/pub/jose-ayala-partida/26/665/432","http://mx.linkedin.com/pub/jose-ayala-partida/26/665/432")</f>
        <v>http://mx.linkedin.com/pub/jose-ayala-partida/26/665/432</v>
      </c>
      <c r="I3041" s="2" t="s">
        <v>15</v>
      </c>
      <c r="J3041" s="2" t="s">
        <v>28</v>
      </c>
      <c r="K3041" s="2" t="s">
        <v>6807</v>
      </c>
    </row>
    <row r="3042" ht="15.75" customHeight="1">
      <c r="A3042" s="2">
        <v>16977.0</v>
      </c>
      <c r="B3042" s="2" t="s">
        <v>227</v>
      </c>
      <c r="C3042" s="2" t="s">
        <v>6808</v>
      </c>
      <c r="D3042" s="2" t="s">
        <v>6809</v>
      </c>
      <c r="E3042" s="2" t="s">
        <v>20</v>
      </c>
      <c r="F3042" s="2">
        <v>2.0</v>
      </c>
      <c r="G3042" s="2">
        <v>241.0</v>
      </c>
      <c r="H3042" s="3" t="str">
        <f>HYPERLINK("http://ar.linkedin.com/pub/jorge-bonifacio/27/904/394","http://ar.linkedin.com/pub/jorge-bonifacio/27/904/394")</f>
        <v>http://ar.linkedin.com/pub/jorge-bonifacio/27/904/394</v>
      </c>
      <c r="I3042" s="2" t="s">
        <v>579</v>
      </c>
      <c r="J3042" s="2" t="s">
        <v>21</v>
      </c>
      <c r="K3042" s="2" t="s">
        <v>5731</v>
      </c>
    </row>
    <row r="3043" ht="15.75" customHeight="1">
      <c r="A3043" s="2">
        <v>17007.0</v>
      </c>
      <c r="B3043" s="2" t="s">
        <v>1163</v>
      </c>
      <c r="C3043" s="2" t="s">
        <v>6810</v>
      </c>
      <c r="D3043" s="2" t="s">
        <v>6811</v>
      </c>
      <c r="E3043" s="2" t="s">
        <v>20</v>
      </c>
      <c r="F3043" s="2">
        <v>10.0</v>
      </c>
      <c r="G3043" s="2">
        <v>315.0</v>
      </c>
      <c r="H3043" s="3" t="str">
        <f>HYPERLINK("http://ar.linkedin.com/pub/maria-pinedo/14/675/355","http://ar.linkedin.com/pub/maria-pinedo/14/675/355")</f>
        <v>http://ar.linkedin.com/pub/maria-pinedo/14/675/355</v>
      </c>
      <c r="I3043" s="2" t="s">
        <v>105</v>
      </c>
      <c r="J3043" s="2" t="s">
        <v>21</v>
      </c>
      <c r="K3043" s="2" t="s">
        <v>5727</v>
      </c>
    </row>
    <row r="3044" ht="15.75" customHeight="1">
      <c r="A3044" s="2">
        <v>17009.0</v>
      </c>
      <c r="B3044" s="2" t="s">
        <v>1163</v>
      </c>
      <c r="C3044" s="2" t="s">
        <v>6812</v>
      </c>
      <c r="D3044" s="2" t="s">
        <v>6813</v>
      </c>
      <c r="E3044" s="2" t="s">
        <v>20</v>
      </c>
      <c r="F3044" s="2">
        <v>6.0</v>
      </c>
      <c r="G3044" s="2">
        <v>500.0</v>
      </c>
      <c r="H3044" s="3" t="str">
        <f>HYPERLINK("http://ar.linkedin.com/pub/maria-peluffo/10/329/941","http://ar.linkedin.com/pub/maria-peluffo/10/329/941")</f>
        <v>http://ar.linkedin.com/pub/maria-peluffo/10/329/941</v>
      </c>
      <c r="I3044" s="2" t="s">
        <v>318</v>
      </c>
      <c r="J3044" s="2" t="s">
        <v>21</v>
      </c>
      <c r="K3044" s="2" t="s">
        <v>5727</v>
      </c>
    </row>
    <row r="3045" ht="15.75" customHeight="1">
      <c r="A3045" s="2">
        <v>17011.0</v>
      </c>
      <c r="B3045" s="2" t="s">
        <v>5078</v>
      </c>
      <c r="C3045" s="2" t="s">
        <v>6814</v>
      </c>
      <c r="D3045" s="2" t="s">
        <v>6815</v>
      </c>
      <c r="E3045" s="2" t="s">
        <v>20</v>
      </c>
      <c r="F3045" s="2">
        <v>2.0</v>
      </c>
      <c r="G3045" s="2">
        <v>500.0</v>
      </c>
      <c r="H3045" s="3" t="str">
        <f>HYPERLINK("http://www.linkedin.com/in/diegobetancor","http://www.linkedin.com/in/diegobetancor")</f>
        <v>http://www.linkedin.com/in/diegobetancor</v>
      </c>
      <c r="I3045" s="2" t="s">
        <v>195</v>
      </c>
      <c r="J3045" s="2" t="s">
        <v>21</v>
      </c>
      <c r="K3045" s="2" t="s">
        <v>6816</v>
      </c>
    </row>
    <row r="3046" ht="15.75" customHeight="1">
      <c r="A3046" s="2">
        <v>17015.0</v>
      </c>
      <c r="B3046" s="2" t="s">
        <v>6817</v>
      </c>
      <c r="C3046" s="2" t="s">
        <v>6543</v>
      </c>
      <c r="D3046" s="2" t="s">
        <v>6818</v>
      </c>
      <c r="E3046" s="2" t="s">
        <v>20</v>
      </c>
      <c r="F3046" s="2">
        <v>3.0</v>
      </c>
      <c r="G3046" s="2">
        <v>500.0</v>
      </c>
      <c r="H3046" s="3" t="str">
        <f>HYPERLINK("http://ar.linkedin.com/pub/epifanio-blanco/0/508/7","http://ar.linkedin.com/pub/epifanio-blanco/0/508/7")</f>
        <v>http://ar.linkedin.com/pub/epifanio-blanco/0/508/7</v>
      </c>
      <c r="I3046" s="2" t="s">
        <v>326</v>
      </c>
      <c r="J3046" s="2" t="s">
        <v>21</v>
      </c>
      <c r="K3046" s="2" t="s">
        <v>5727</v>
      </c>
    </row>
    <row r="3047" ht="15.75" customHeight="1">
      <c r="A3047" s="2">
        <v>17035.0</v>
      </c>
      <c r="B3047" s="2" t="s">
        <v>5389</v>
      </c>
      <c r="C3047" s="2" t="s">
        <v>6819</v>
      </c>
      <c r="D3047" s="2" t="s">
        <v>6820</v>
      </c>
      <c r="E3047" s="2" t="s">
        <v>20</v>
      </c>
      <c r="F3047" s="2" t="s">
        <v>13</v>
      </c>
      <c r="G3047" s="2">
        <v>37.0</v>
      </c>
      <c r="H3047" s="3" t="str">
        <f>HYPERLINK("http://ar.linkedin.com/pub/paula-buentes/26/45B/892","http://ar.linkedin.com/pub/paula-buentes/26/45B/892")</f>
        <v>http://ar.linkedin.com/pub/paula-buentes/26/45B/892</v>
      </c>
      <c r="I3047" s="2" t="s">
        <v>195</v>
      </c>
      <c r="J3047" s="2" t="s">
        <v>21</v>
      </c>
      <c r="K3047" s="2" t="s">
        <v>5865</v>
      </c>
    </row>
    <row r="3048" ht="15.75" customHeight="1">
      <c r="A3048" s="2">
        <v>17134.0</v>
      </c>
      <c r="B3048" s="2" t="s">
        <v>6821</v>
      </c>
      <c r="C3048" s="2" t="s">
        <v>6822</v>
      </c>
      <c r="D3048" s="2" t="s">
        <v>13</v>
      </c>
      <c r="E3048" s="2" t="s">
        <v>20</v>
      </c>
      <c r="F3048" s="2">
        <v>1.0</v>
      </c>
      <c r="G3048" s="2">
        <v>69.0</v>
      </c>
      <c r="H3048" s="3" t="str">
        <f>HYPERLINK("http://www.linkedin.com/pub/rommel-pereira-otero/13/916/318","http://www.linkedin.com/pub/rommel-pereira-otero/13/916/318")</f>
        <v>http://www.linkedin.com/pub/rommel-pereira-otero/13/916/318</v>
      </c>
      <c r="I3048" s="2" t="s">
        <v>910</v>
      </c>
      <c r="J3048" s="2" t="s">
        <v>21</v>
      </c>
      <c r="K3048" s="2" t="s">
        <v>5734</v>
      </c>
    </row>
    <row r="3049" ht="15.75" customHeight="1">
      <c r="A3049" s="2">
        <v>17141.0</v>
      </c>
      <c r="B3049" s="2" t="s">
        <v>6823</v>
      </c>
      <c r="C3049" s="2" t="s">
        <v>3943</v>
      </c>
      <c r="D3049" s="2" t="s">
        <v>6824</v>
      </c>
      <c r="E3049" s="2" t="s">
        <v>20</v>
      </c>
      <c r="F3049" s="2">
        <v>16.0</v>
      </c>
      <c r="G3049" s="2">
        <v>500.0</v>
      </c>
      <c r="H3049" s="3" t="str">
        <f>HYPERLINK("http://ar.linkedin.com/in/arodriguez61","http://ar.linkedin.com/in/arodriguez61")</f>
        <v>http://ar.linkedin.com/in/arodriguez61</v>
      </c>
      <c r="I3049" s="2" t="s">
        <v>599</v>
      </c>
      <c r="J3049" s="2" t="s">
        <v>21</v>
      </c>
      <c r="K3049" s="2" t="s">
        <v>5727</v>
      </c>
    </row>
    <row r="3050" ht="15.75" customHeight="1">
      <c r="A3050" s="2">
        <v>17149.0</v>
      </c>
      <c r="B3050" s="2" t="s">
        <v>5389</v>
      </c>
      <c r="C3050" s="2" t="s">
        <v>6825</v>
      </c>
      <c r="D3050" s="2" t="s">
        <v>6826</v>
      </c>
      <c r="E3050" s="2" t="s">
        <v>20</v>
      </c>
      <c r="F3050" s="2">
        <v>8.0</v>
      </c>
      <c r="G3050" s="2">
        <v>313.0</v>
      </c>
      <c r="H3050" s="3" t="str">
        <f>HYPERLINK("http://ar.linkedin.com/in/pdelprato","http://ar.linkedin.com/in/pdelprato")</f>
        <v>http://ar.linkedin.com/in/pdelprato</v>
      </c>
      <c r="I3050" s="2" t="s">
        <v>105</v>
      </c>
      <c r="J3050" s="2" t="s">
        <v>21</v>
      </c>
      <c r="K3050" s="2" t="s">
        <v>5727</v>
      </c>
    </row>
    <row r="3051" ht="15.75" customHeight="1">
      <c r="A3051" s="2">
        <v>17152.0</v>
      </c>
      <c r="B3051" s="2" t="s">
        <v>238</v>
      </c>
      <c r="C3051" s="2" t="s">
        <v>6827</v>
      </c>
      <c r="D3051" s="2" t="s">
        <v>6828</v>
      </c>
      <c r="E3051" s="2" t="s">
        <v>20</v>
      </c>
      <c r="F3051" s="2" t="s">
        <v>13</v>
      </c>
      <c r="G3051" s="2">
        <v>195.0</v>
      </c>
      <c r="H3051" s="3" t="str">
        <f>HYPERLINK("http://ar.linkedin.com/pub/juan-sorroche/6/4B/675","http://ar.linkedin.com/pub/juan-sorroche/6/4B/675")</f>
        <v>http://ar.linkedin.com/pub/juan-sorroche/6/4B/675</v>
      </c>
      <c r="I3051" s="2" t="s">
        <v>279</v>
      </c>
      <c r="J3051" s="2" t="s">
        <v>21</v>
      </c>
      <c r="K3051" s="2" t="s">
        <v>5734</v>
      </c>
    </row>
    <row r="3052" ht="15.75" customHeight="1">
      <c r="A3052" s="2">
        <v>17153.0</v>
      </c>
      <c r="B3052" s="2" t="s">
        <v>6829</v>
      </c>
      <c r="C3052" s="2" t="s">
        <v>6830</v>
      </c>
      <c r="D3052" s="2" t="s">
        <v>13</v>
      </c>
      <c r="E3052" s="2" t="s">
        <v>20</v>
      </c>
      <c r="F3052" s="2">
        <v>0.0</v>
      </c>
      <c r="G3052" s="2">
        <v>500.0</v>
      </c>
      <c r="H3052" s="3" t="str">
        <f>HYPERLINK("http://www.linkedin.com/pub/alejo-f-l%C3%B3pez-lecube/0/316/488","http://www.linkedin.com/pub/alejo-f-l%C3%B3pez-lecube/0/316/488")</f>
        <v>http://www.linkedin.com/pub/alejo-f-l%C3%B3pez-lecube/0/316/488</v>
      </c>
      <c r="I3052" s="2" t="s">
        <v>15</v>
      </c>
      <c r="J3052" s="2" t="s">
        <v>21</v>
      </c>
      <c r="K3052" s="2" t="s">
        <v>5725</v>
      </c>
    </row>
    <row r="3053" ht="15.75" customHeight="1">
      <c r="A3053" s="2">
        <v>17170.0</v>
      </c>
      <c r="B3053" s="2" t="s">
        <v>6622</v>
      </c>
      <c r="C3053" s="2" t="s">
        <v>6831</v>
      </c>
      <c r="D3053" s="2" t="s">
        <v>42</v>
      </c>
      <c r="E3053" s="2" t="s">
        <v>20</v>
      </c>
      <c r="F3053" s="2">
        <v>5.0</v>
      </c>
      <c r="G3053" s="2">
        <v>500.0</v>
      </c>
      <c r="H3053" s="3" t="str">
        <f>HYPERLINK("http://ar.linkedin.com/in/patriciowatson","http://ar.linkedin.com/in/patriciowatson")</f>
        <v>http://ar.linkedin.com/in/patriciowatson</v>
      </c>
      <c r="I3053" s="2" t="s">
        <v>6777</v>
      </c>
      <c r="J3053" s="2" t="s">
        <v>21</v>
      </c>
      <c r="K3053" s="2" t="s">
        <v>5743</v>
      </c>
    </row>
    <row r="3054" ht="15.75" customHeight="1">
      <c r="A3054" s="2">
        <v>17171.0</v>
      </c>
      <c r="B3054" s="2" t="s">
        <v>5389</v>
      </c>
      <c r="C3054" s="2" t="s">
        <v>6832</v>
      </c>
      <c r="D3054" s="2" t="s">
        <v>13</v>
      </c>
      <c r="E3054" s="2" t="s">
        <v>20</v>
      </c>
      <c r="F3054" s="2">
        <v>0.0</v>
      </c>
      <c r="G3054" s="2">
        <v>500.0</v>
      </c>
      <c r="H3054" s="3" t="str">
        <f>HYPERLINK("http://www.linkedin.com/pub/paula-c%C3%A1nepa/6/96b/3ab","http://www.linkedin.com/pub/paula-c%C3%A1nepa/6/96b/3ab")</f>
        <v>http://www.linkedin.com/pub/paula-c%C3%A1nepa/6/96b/3ab</v>
      </c>
      <c r="I3054" s="2" t="s">
        <v>105</v>
      </c>
      <c r="J3054" s="2" t="s">
        <v>21</v>
      </c>
      <c r="K3054" s="2" t="s">
        <v>5727</v>
      </c>
    </row>
    <row r="3055" ht="15.75" customHeight="1">
      <c r="A3055" s="2">
        <v>17199.0</v>
      </c>
      <c r="B3055" s="2" t="s">
        <v>5915</v>
      </c>
      <c r="C3055" s="2" t="s">
        <v>6833</v>
      </c>
      <c r="D3055" s="2" t="s">
        <v>6834</v>
      </c>
      <c r="E3055" s="2" t="s">
        <v>20</v>
      </c>
      <c r="F3055" s="2">
        <v>2.0</v>
      </c>
      <c r="G3055" s="2">
        <v>316.0</v>
      </c>
      <c r="H3055" s="3" t="str">
        <f>HYPERLINK("http://ar.linkedin.com/in/ceciliarojo","http://ar.linkedin.com/in/ceciliarojo")</f>
        <v>http://ar.linkedin.com/in/ceciliarojo</v>
      </c>
      <c r="I3055" s="2" t="s">
        <v>77</v>
      </c>
      <c r="J3055" s="2" t="s">
        <v>21</v>
      </c>
      <c r="K3055" s="2" t="s">
        <v>5731</v>
      </c>
    </row>
    <row r="3056" ht="15.75" customHeight="1">
      <c r="A3056" s="2">
        <v>17202.0</v>
      </c>
      <c r="B3056" s="2" t="s">
        <v>6835</v>
      </c>
      <c r="C3056" s="2" t="s">
        <v>6836</v>
      </c>
      <c r="D3056" s="2" t="s">
        <v>13</v>
      </c>
      <c r="E3056" s="2" t="s">
        <v>20</v>
      </c>
      <c r="F3056" s="2">
        <v>4.0</v>
      </c>
      <c r="G3056" s="2">
        <v>500.0</v>
      </c>
      <c r="H3056" s="3" t="str">
        <f>HYPERLINK("http://www.linkedin.com/pub/marisa-alejandra-coria/1b/13b/895","http://www.linkedin.com/pub/marisa-alejandra-coria/1b/13b/895")</f>
        <v>http://www.linkedin.com/pub/marisa-alejandra-coria/1b/13b/895</v>
      </c>
      <c r="I3056" s="2" t="s">
        <v>77</v>
      </c>
      <c r="J3056" s="2" t="s">
        <v>21</v>
      </c>
      <c r="K3056" s="2" t="s">
        <v>5731</v>
      </c>
    </row>
    <row r="3057" ht="15.75" customHeight="1">
      <c r="A3057" s="2">
        <v>17215.0</v>
      </c>
      <c r="B3057" s="2" t="s">
        <v>511</v>
      </c>
      <c r="C3057" s="2" t="s">
        <v>6837</v>
      </c>
      <c r="D3057" s="2" t="s">
        <v>6838</v>
      </c>
      <c r="E3057" s="2" t="s">
        <v>20</v>
      </c>
      <c r="F3057" s="2">
        <v>1.0</v>
      </c>
      <c r="G3057" s="2">
        <v>166.0</v>
      </c>
      <c r="H3057" s="3" t="str">
        <f>HYPERLINK("http://ar.linkedin.com/pub/mike-bachmann/0/67A/712","http://ar.linkedin.com/pub/mike-bachmann/0/67A/712")</f>
        <v>http://ar.linkedin.com/pub/mike-bachmann/0/67A/712</v>
      </c>
      <c r="I3057" s="2" t="s">
        <v>77</v>
      </c>
      <c r="J3057" s="2" t="s">
        <v>21</v>
      </c>
      <c r="K3057" s="2" t="s">
        <v>5785</v>
      </c>
    </row>
    <row r="3058" ht="15.75" customHeight="1">
      <c r="A3058" s="2">
        <v>17228.0</v>
      </c>
      <c r="B3058" s="2" t="s">
        <v>70</v>
      </c>
      <c r="C3058" s="2" t="s">
        <v>6839</v>
      </c>
      <c r="D3058" s="2" t="s">
        <v>13</v>
      </c>
      <c r="E3058" s="2" t="s">
        <v>20</v>
      </c>
      <c r="F3058" s="2">
        <v>0.0</v>
      </c>
      <c r="G3058" s="2">
        <v>500.0</v>
      </c>
      <c r="H3058" s="3" t="str">
        <f>HYPERLINK("http://www.linkedin.com/pub/gustavo-sorotski/0/b4a/758","http://www.linkedin.com/pub/gustavo-sorotski/0/b4a/758")</f>
        <v>http://www.linkedin.com/pub/gustavo-sorotski/0/b4a/758</v>
      </c>
      <c r="I3058" s="2" t="s">
        <v>910</v>
      </c>
      <c r="J3058" s="2" t="s">
        <v>21</v>
      </c>
      <c r="K3058" s="2" t="s">
        <v>5734</v>
      </c>
    </row>
    <row r="3059" ht="15.75" customHeight="1">
      <c r="A3059" s="2">
        <v>17230.0</v>
      </c>
      <c r="B3059" s="2" t="s">
        <v>253</v>
      </c>
      <c r="C3059" s="2" t="s">
        <v>6840</v>
      </c>
      <c r="D3059" s="2" t="s">
        <v>6841</v>
      </c>
      <c r="E3059" s="2" t="s">
        <v>20</v>
      </c>
      <c r="F3059" s="2">
        <v>2.0</v>
      </c>
      <c r="G3059" s="2">
        <v>500.0</v>
      </c>
      <c r="H3059" s="3" t="str">
        <f>HYPERLINK("http://ar.linkedin.com/in/fernandocuneolibarona","http://ar.linkedin.com/in/fernandocuneolibarona")</f>
        <v>http://ar.linkedin.com/in/fernandocuneolibarona</v>
      </c>
      <c r="I3059" s="2" t="s">
        <v>910</v>
      </c>
      <c r="J3059" s="2" t="s">
        <v>21</v>
      </c>
      <c r="K3059" s="2" t="s">
        <v>5727</v>
      </c>
    </row>
    <row r="3060" ht="15.75" customHeight="1">
      <c r="A3060" s="2">
        <v>17338.0</v>
      </c>
      <c r="B3060" s="2" t="s">
        <v>3072</v>
      </c>
      <c r="C3060" s="2" t="s">
        <v>6842</v>
      </c>
      <c r="D3060" s="2" t="s">
        <v>6843</v>
      </c>
      <c r="E3060" s="2" t="s">
        <v>20</v>
      </c>
      <c r="F3060" s="2">
        <v>1.0</v>
      </c>
      <c r="G3060" s="2">
        <v>485.0</v>
      </c>
      <c r="H3060" s="3" t="str">
        <f>HYPERLINK("http://ar.linkedin.com/in/lmassuh","http://ar.linkedin.com/in/lmassuh")</f>
        <v>http://ar.linkedin.com/in/lmassuh</v>
      </c>
      <c r="I3060" s="2" t="s">
        <v>1452</v>
      </c>
      <c r="J3060" s="2" t="s">
        <v>21</v>
      </c>
      <c r="K3060" s="2" t="s">
        <v>5727</v>
      </c>
    </row>
    <row r="3061" ht="15.75" customHeight="1">
      <c r="A3061" s="2">
        <v>17353.0</v>
      </c>
      <c r="B3061" s="2" t="s">
        <v>353</v>
      </c>
      <c r="C3061" s="2" t="s">
        <v>6844</v>
      </c>
      <c r="D3061" s="2" t="s">
        <v>6845</v>
      </c>
      <c r="E3061" s="2" t="s">
        <v>20</v>
      </c>
      <c r="F3061" s="2">
        <v>8.0</v>
      </c>
      <c r="G3061" s="2">
        <v>196.0</v>
      </c>
      <c r="H3061" s="3" t="str">
        <f>HYPERLINK("http://ar.linkedin.com/in/alejandrogallegos","http://ar.linkedin.com/in/alejandrogallegos")</f>
        <v>http://ar.linkedin.com/in/alejandrogallegos</v>
      </c>
      <c r="I3061" s="2" t="s">
        <v>1421</v>
      </c>
      <c r="J3061" s="2" t="s">
        <v>21</v>
      </c>
      <c r="K3061" s="2" t="s">
        <v>5727</v>
      </c>
    </row>
    <row r="3062" ht="15.75" customHeight="1">
      <c r="A3062" s="2">
        <v>17425.0</v>
      </c>
      <c r="B3062" s="2" t="s">
        <v>6846</v>
      </c>
      <c r="C3062" s="2" t="s">
        <v>6847</v>
      </c>
      <c r="D3062" s="2" t="s">
        <v>6848</v>
      </c>
      <c r="E3062" s="2" t="s">
        <v>20</v>
      </c>
      <c r="F3062" s="2" t="s">
        <v>13</v>
      </c>
      <c r="G3062" s="2">
        <v>137.0</v>
      </c>
      <c r="H3062" s="3" t="str">
        <f>HYPERLINK("http://ar.linkedin.com/pub/maria-ines-robles/14/A66/4A","http://ar.linkedin.com/pub/maria-ines-robles/14/A66/4A")</f>
        <v>http://ar.linkedin.com/pub/maria-ines-robles/14/A66/4A</v>
      </c>
      <c r="I3062" s="2" t="s">
        <v>48</v>
      </c>
      <c r="J3062" s="2" t="s">
        <v>21</v>
      </c>
      <c r="K3062" s="2" t="s">
        <v>5725</v>
      </c>
    </row>
    <row r="3063" ht="15.75" customHeight="1">
      <c r="A3063" s="2">
        <v>17448.0</v>
      </c>
      <c r="B3063" s="2" t="s">
        <v>6025</v>
      </c>
      <c r="C3063" s="2" t="s">
        <v>6849</v>
      </c>
      <c r="D3063" s="2" t="s">
        <v>6850</v>
      </c>
      <c r="E3063" s="2" t="s">
        <v>20</v>
      </c>
      <c r="F3063" s="2" t="s">
        <v>13</v>
      </c>
      <c r="G3063" s="2">
        <v>164.0</v>
      </c>
      <c r="H3063" s="3" t="str">
        <f>HYPERLINK("http://ar.linkedin.com/in/hernanforni","http://ar.linkedin.com/in/hernanforni")</f>
        <v>http://ar.linkedin.com/in/hernanforni</v>
      </c>
      <c r="I3063" s="2" t="s">
        <v>77</v>
      </c>
      <c r="J3063" s="2" t="s">
        <v>21</v>
      </c>
      <c r="K3063" s="2" t="s">
        <v>5848</v>
      </c>
    </row>
    <row r="3064" ht="15.75" customHeight="1">
      <c r="A3064" s="2">
        <v>17457.0</v>
      </c>
      <c r="B3064" s="2" t="s">
        <v>6243</v>
      </c>
      <c r="C3064" s="2" t="s">
        <v>6851</v>
      </c>
      <c r="D3064" s="2" t="s">
        <v>6852</v>
      </c>
      <c r="E3064" s="2" t="s">
        <v>20</v>
      </c>
      <c r="F3064" s="2">
        <v>2.0</v>
      </c>
      <c r="G3064" s="2">
        <v>398.0</v>
      </c>
      <c r="H3064" s="3" t="str">
        <f>HYPERLINK("http://ar.linkedin.com/pub/evangelina-dedovich/0/BA4/822","http://ar.linkedin.com/pub/evangelina-dedovich/0/BA4/822")</f>
        <v>http://ar.linkedin.com/pub/evangelina-dedovich/0/BA4/822</v>
      </c>
      <c r="I3064" s="2" t="s">
        <v>326</v>
      </c>
      <c r="J3064" s="2" t="s">
        <v>21</v>
      </c>
      <c r="K3064" s="2" t="s">
        <v>5727</v>
      </c>
    </row>
    <row r="3065" ht="15.75" customHeight="1">
      <c r="A3065" s="2">
        <v>17459.0</v>
      </c>
      <c r="B3065" s="2" t="s">
        <v>6083</v>
      </c>
      <c r="C3065" s="2" t="s">
        <v>6853</v>
      </c>
      <c r="D3065" s="2" t="s">
        <v>6854</v>
      </c>
      <c r="E3065" s="2" t="s">
        <v>20</v>
      </c>
      <c r="F3065" s="2">
        <v>3.0</v>
      </c>
      <c r="G3065" s="2">
        <v>274.0</v>
      </c>
      <c r="H3065" s="3" t="str">
        <f>HYPERLINK("http://ar.linkedin.com/in/mtavelli","http://ar.linkedin.com/in/mtavelli")</f>
        <v>http://ar.linkedin.com/in/mtavelli</v>
      </c>
      <c r="I3065" s="2" t="s">
        <v>77</v>
      </c>
      <c r="J3065" s="2" t="s">
        <v>21</v>
      </c>
      <c r="K3065" s="2" t="s">
        <v>5731</v>
      </c>
    </row>
    <row r="3066" ht="15.75" customHeight="1">
      <c r="A3066" s="2">
        <v>17461.0</v>
      </c>
      <c r="B3066" s="2" t="s">
        <v>677</v>
      </c>
      <c r="C3066" s="2" t="s">
        <v>6855</v>
      </c>
      <c r="D3066" s="2" t="s">
        <v>950</v>
      </c>
      <c r="E3066" s="2" t="s">
        <v>20</v>
      </c>
      <c r="F3066" s="2">
        <v>5.0</v>
      </c>
      <c r="G3066" s="2">
        <v>219.0</v>
      </c>
      <c r="H3066" s="3" t="str">
        <f>HYPERLINK("http://ar.linkedin.com/in/kolodzinski","http://ar.linkedin.com/in/kolodzinski")</f>
        <v>http://ar.linkedin.com/in/kolodzinski</v>
      </c>
      <c r="I3066" s="2" t="s">
        <v>119</v>
      </c>
      <c r="J3066" s="2" t="s">
        <v>21</v>
      </c>
      <c r="K3066" s="2" t="s">
        <v>5725</v>
      </c>
    </row>
    <row r="3067" ht="15.75" customHeight="1">
      <c r="A3067" s="2">
        <v>17462.0</v>
      </c>
      <c r="B3067" s="2" t="s">
        <v>6856</v>
      </c>
      <c r="C3067" s="2" t="s">
        <v>6857</v>
      </c>
      <c r="D3067" s="2" t="s">
        <v>6858</v>
      </c>
      <c r="E3067" s="2" t="s">
        <v>20</v>
      </c>
      <c r="F3067" s="2">
        <v>7.0</v>
      </c>
      <c r="G3067" s="2">
        <v>500.0</v>
      </c>
      <c r="H3067" s="3" t="str">
        <f>HYPERLINK("http://ar.linkedin.com/in/germanisern","http://ar.linkedin.com/in/germanisern")</f>
        <v>http://ar.linkedin.com/in/germanisern</v>
      </c>
      <c r="I3067" s="2" t="s">
        <v>2574</v>
      </c>
      <c r="J3067" s="2" t="s">
        <v>21</v>
      </c>
      <c r="K3067" s="2" t="s">
        <v>5727</v>
      </c>
    </row>
    <row r="3068" ht="15.75" customHeight="1">
      <c r="A3068" s="2">
        <v>17474.0</v>
      </c>
      <c r="B3068" s="2" t="s">
        <v>3175</v>
      </c>
      <c r="C3068" s="2" t="s">
        <v>6859</v>
      </c>
      <c r="D3068" s="2" t="s">
        <v>6860</v>
      </c>
      <c r="E3068" s="2" t="s">
        <v>20</v>
      </c>
      <c r="F3068" s="2">
        <v>1.0</v>
      </c>
      <c r="G3068" s="2">
        <v>223.0</v>
      </c>
      <c r="H3068" s="3" t="str">
        <f>HYPERLINK("http://ar.linkedin.com/pub/daniela-cerutti/21/344/63","http://ar.linkedin.com/pub/daniela-cerutti/21/344/63")</f>
        <v>http://ar.linkedin.com/pub/daniela-cerutti/21/344/63</v>
      </c>
      <c r="I3068" s="2" t="s">
        <v>105</v>
      </c>
      <c r="J3068" s="2" t="s">
        <v>21</v>
      </c>
      <c r="K3068" s="2" t="s">
        <v>5725</v>
      </c>
    </row>
    <row r="3069" ht="15.75" customHeight="1">
      <c r="A3069" s="2">
        <v>17482.0</v>
      </c>
      <c r="B3069" s="2" t="s">
        <v>6861</v>
      </c>
      <c r="C3069" s="2" t="s">
        <v>6862</v>
      </c>
      <c r="D3069" s="2" t="s">
        <v>13</v>
      </c>
      <c r="E3069" s="2" t="s">
        <v>20</v>
      </c>
      <c r="F3069" s="2">
        <v>0.0</v>
      </c>
      <c r="G3069" s="2">
        <v>500.0</v>
      </c>
      <c r="H3069" s="3" t="str">
        <f>HYPERLINK("http://www.linkedin.com/pub/juan-eduardo-sellar%C3%A9s/30/7bb/621","http://www.linkedin.com/pub/juan-eduardo-sellar%C3%A9s/30/7bb/621")</f>
        <v>http://www.linkedin.com/pub/juan-eduardo-sellar%C3%A9s/30/7bb/621</v>
      </c>
      <c r="I3069" s="2" t="s">
        <v>195</v>
      </c>
      <c r="J3069" s="2" t="s">
        <v>21</v>
      </c>
      <c r="K3069" s="2" t="s">
        <v>5865</v>
      </c>
    </row>
    <row r="3070" ht="15.75" customHeight="1">
      <c r="A3070" s="2">
        <v>17484.0</v>
      </c>
      <c r="B3070" s="2" t="s">
        <v>5723</v>
      </c>
      <c r="C3070" s="2" t="s">
        <v>6863</v>
      </c>
      <c r="D3070" s="2" t="s">
        <v>6864</v>
      </c>
      <c r="E3070" s="2" t="s">
        <v>20</v>
      </c>
      <c r="F3070" s="2" t="s">
        <v>13</v>
      </c>
      <c r="G3070" s="2">
        <v>500.0</v>
      </c>
      <c r="H3070" s="3" t="str">
        <f>HYPERLINK("http://ar.linkedin.com/pub/pablo-greco/14/2A8/76A","http://ar.linkedin.com/pub/pablo-greco/14/2A8/76A")</f>
        <v>http://ar.linkedin.com/pub/pablo-greco/14/2A8/76A</v>
      </c>
      <c r="I3070" s="2" t="s">
        <v>195</v>
      </c>
      <c r="J3070" s="2" t="s">
        <v>21</v>
      </c>
      <c r="K3070" s="2" t="s">
        <v>6865</v>
      </c>
    </row>
    <row r="3071" ht="15.75" customHeight="1">
      <c r="A3071" s="2">
        <v>17495.0</v>
      </c>
      <c r="B3071" s="2" t="s">
        <v>6866</v>
      </c>
      <c r="C3071" s="2" t="s">
        <v>6867</v>
      </c>
      <c r="D3071" s="2" t="s">
        <v>13</v>
      </c>
      <c r="E3071" s="2" t="s">
        <v>20</v>
      </c>
      <c r="F3071" s="2">
        <v>0.0</v>
      </c>
      <c r="G3071" s="2">
        <v>165.0</v>
      </c>
      <c r="H3071" s="3" t="str">
        <f>HYPERLINK("http://www.linkedin.com/pub/tom%C3%A1s-nahuel-gigante/25/755/252","http://www.linkedin.com/pub/tom%C3%A1s-nahuel-gigante/25/755/252")</f>
        <v>http://www.linkedin.com/pub/tom%C3%A1s-nahuel-gigante/25/755/252</v>
      </c>
      <c r="I3071" s="2" t="s">
        <v>2285</v>
      </c>
      <c r="J3071" s="2" t="s">
        <v>21</v>
      </c>
      <c r="K3071" s="2" t="s">
        <v>5848</v>
      </c>
    </row>
    <row r="3072" ht="15.75" customHeight="1">
      <c r="A3072" s="2">
        <v>17499.0</v>
      </c>
      <c r="B3072" s="2" t="s">
        <v>6666</v>
      </c>
      <c r="C3072" s="2" t="s">
        <v>6868</v>
      </c>
      <c r="D3072" s="2" t="s">
        <v>6869</v>
      </c>
      <c r="E3072" s="2" t="s">
        <v>20</v>
      </c>
      <c r="F3072" s="2">
        <v>15.0</v>
      </c>
      <c r="G3072" s="2">
        <v>482.0</v>
      </c>
      <c r="H3072" s="3" t="str">
        <f>HYPERLINK("http://ar.linkedin.com/in/sebastianaxelirud","http://ar.linkedin.com/in/sebastianaxelirud")</f>
        <v>http://ar.linkedin.com/in/sebastianaxelirud</v>
      </c>
      <c r="I3072" s="2" t="s">
        <v>77</v>
      </c>
      <c r="J3072" s="2" t="s">
        <v>21</v>
      </c>
      <c r="K3072" s="2" t="s">
        <v>5743</v>
      </c>
    </row>
    <row r="3073" ht="15.75" customHeight="1">
      <c r="A3073" s="2">
        <v>17521.0</v>
      </c>
      <c r="B3073" s="2" t="s">
        <v>6870</v>
      </c>
      <c r="C3073" s="2" t="s">
        <v>6871</v>
      </c>
      <c r="D3073" s="2" t="s">
        <v>6872</v>
      </c>
      <c r="E3073" s="2" t="s">
        <v>20</v>
      </c>
      <c r="F3073" s="2">
        <v>2.0</v>
      </c>
      <c r="G3073" s="2">
        <v>172.0</v>
      </c>
      <c r="H3073" s="3" t="str">
        <f>HYPERLINK("http://ar.linkedin.com/pub/melina-costantino/23/220/440","http://ar.linkedin.com/pub/melina-costantino/23/220/440")</f>
        <v>http://ar.linkedin.com/pub/melina-costantino/23/220/440</v>
      </c>
      <c r="I3073" s="2" t="s">
        <v>231</v>
      </c>
      <c r="J3073" s="2" t="s">
        <v>21</v>
      </c>
      <c r="K3073" s="2" t="s">
        <v>5727</v>
      </c>
    </row>
    <row r="3074" ht="15.75" customHeight="1">
      <c r="A3074" s="2">
        <v>17523.0</v>
      </c>
      <c r="B3074" s="2" t="s">
        <v>6873</v>
      </c>
      <c r="C3074" s="2" t="s">
        <v>6874</v>
      </c>
      <c r="D3074" s="2" t="s">
        <v>6875</v>
      </c>
      <c r="E3074" s="2" t="s">
        <v>20</v>
      </c>
      <c r="F3074" s="2">
        <v>8.0</v>
      </c>
      <c r="G3074" s="2">
        <v>500.0</v>
      </c>
      <c r="H3074" s="3" t="str">
        <f>HYPERLINK("http://ar.linkedin.com/pub/%C3%A1ngeles-celeste-curia/22/909/512","http://ar.linkedin.com/pub/%C3%A1ngeles-celeste-curia/22/909/512")</f>
        <v>http://ar.linkedin.com/pub/%C3%A1ngeles-celeste-curia/22/909/512</v>
      </c>
      <c r="I3074" s="2" t="s">
        <v>608</v>
      </c>
      <c r="J3074" s="2" t="s">
        <v>21</v>
      </c>
      <c r="K3074" s="2" t="s">
        <v>5727</v>
      </c>
    </row>
    <row r="3075" ht="15.75" customHeight="1">
      <c r="A3075" s="2">
        <v>17532.0</v>
      </c>
      <c r="B3075" s="2" t="s">
        <v>6339</v>
      </c>
      <c r="C3075" s="2" t="s">
        <v>6876</v>
      </c>
      <c r="D3075" s="2" t="s">
        <v>6877</v>
      </c>
      <c r="E3075" s="2" t="s">
        <v>20</v>
      </c>
      <c r="F3075" s="2">
        <v>15.0</v>
      </c>
      <c r="G3075" s="2">
        <v>500.0</v>
      </c>
      <c r="H3075" s="3" t="str">
        <f>HYPERLINK("http://ar.linkedin.com/in/estebanpierazzoli","http://ar.linkedin.com/in/estebanpierazzoli")</f>
        <v>http://ar.linkedin.com/in/estebanpierazzoli</v>
      </c>
      <c r="I3075" s="2" t="s">
        <v>669</v>
      </c>
      <c r="J3075" s="2" t="s">
        <v>21</v>
      </c>
      <c r="K3075" s="2" t="s">
        <v>5727</v>
      </c>
    </row>
    <row r="3076" ht="15.75" customHeight="1">
      <c r="A3076" s="2">
        <v>17548.0</v>
      </c>
      <c r="B3076" s="2" t="s">
        <v>6167</v>
      </c>
      <c r="C3076" s="2" t="s">
        <v>6541</v>
      </c>
      <c r="D3076" s="2" t="s">
        <v>6878</v>
      </c>
      <c r="E3076" s="2" t="s">
        <v>20</v>
      </c>
      <c r="F3076" s="2">
        <v>5.0</v>
      </c>
      <c r="G3076" s="2">
        <v>500.0</v>
      </c>
      <c r="H3076" s="3" t="str">
        <f>HYPERLINK("http://ar.linkedin.com/pub/jimena-barrionuevo/11/476/874","http://ar.linkedin.com/pub/jimena-barrionuevo/11/476/874")</f>
        <v>http://ar.linkedin.com/pub/jimena-barrionuevo/11/476/874</v>
      </c>
      <c r="I3076" s="2" t="s">
        <v>248</v>
      </c>
      <c r="J3076" s="2" t="s">
        <v>21</v>
      </c>
      <c r="K3076" s="2" t="s">
        <v>6096</v>
      </c>
    </row>
    <row r="3077" ht="15.75" customHeight="1">
      <c r="A3077" s="2">
        <v>17561.0</v>
      </c>
      <c r="B3077" s="2" t="s">
        <v>238</v>
      </c>
      <c r="C3077" s="2" t="s">
        <v>6879</v>
      </c>
      <c r="D3077" s="2" t="s">
        <v>13</v>
      </c>
      <c r="E3077" s="2" t="s">
        <v>20</v>
      </c>
      <c r="F3077" s="2">
        <v>1.0</v>
      </c>
      <c r="G3077" s="2">
        <v>178.0</v>
      </c>
      <c r="H3077" s="3" t="str">
        <f>HYPERLINK("http://www.linkedin.com/pub/juan-demarin/4/350/417","http://www.linkedin.com/pub/juan-demarin/4/350/417")</f>
        <v>http://www.linkedin.com/pub/juan-demarin/4/350/417</v>
      </c>
      <c r="I3077" s="2" t="s">
        <v>560</v>
      </c>
      <c r="J3077" s="2" t="s">
        <v>21</v>
      </c>
      <c r="K3077" s="2" t="s">
        <v>5785</v>
      </c>
    </row>
    <row r="3078" ht="15.75" customHeight="1">
      <c r="A3078" s="2">
        <v>17596.0</v>
      </c>
      <c r="B3078" s="2" t="s">
        <v>5389</v>
      </c>
      <c r="C3078" s="2" t="s">
        <v>6859</v>
      </c>
      <c r="D3078" s="2" t="s">
        <v>6880</v>
      </c>
      <c r="E3078" s="2" t="s">
        <v>3130</v>
      </c>
      <c r="F3078" s="2">
        <v>4.0</v>
      </c>
      <c r="G3078" s="2">
        <v>500.0</v>
      </c>
      <c r="H3078" s="3" t="str">
        <f>HYPERLINK("http://ar.linkedin.com/in/paulacerutti","http://ar.linkedin.com/in/paulacerutti")</f>
        <v>http://ar.linkedin.com/in/paulacerutti</v>
      </c>
      <c r="I3078" s="2" t="s">
        <v>2725</v>
      </c>
      <c r="J3078" s="2" t="s">
        <v>102</v>
      </c>
      <c r="K3078" s="2" t="s">
        <v>6118</v>
      </c>
    </row>
    <row r="3079" ht="15.75" customHeight="1">
      <c r="A3079" s="2">
        <v>17616.0</v>
      </c>
      <c r="B3079" s="2" t="s">
        <v>6881</v>
      </c>
      <c r="C3079" s="2" t="s">
        <v>6882</v>
      </c>
      <c r="D3079" s="2" t="s">
        <v>13</v>
      </c>
      <c r="E3079" s="2" t="s">
        <v>20</v>
      </c>
      <c r="F3079" s="2">
        <v>0.0</v>
      </c>
      <c r="G3079" s="2">
        <v>500.0</v>
      </c>
      <c r="H3079" s="3" t="str">
        <f>HYPERLINK("http://www.linkedin.com/pub/dolores-castelli/18/a63/670","http://www.linkedin.com/pub/dolores-castelli/18/a63/670")</f>
        <v>http://www.linkedin.com/pub/dolores-castelli/18/a63/670</v>
      </c>
      <c r="I3079" s="2" t="s">
        <v>458</v>
      </c>
      <c r="J3079" s="2" t="s">
        <v>21</v>
      </c>
      <c r="K3079" s="2" t="s">
        <v>5785</v>
      </c>
    </row>
    <row r="3080" ht="15.75" customHeight="1">
      <c r="A3080" s="2">
        <v>17623.0</v>
      </c>
      <c r="B3080" s="2" t="s">
        <v>358</v>
      </c>
      <c r="C3080" s="2" t="s">
        <v>6883</v>
      </c>
      <c r="D3080" s="2" t="s">
        <v>6884</v>
      </c>
      <c r="E3080" s="2" t="s">
        <v>20</v>
      </c>
      <c r="F3080" s="2">
        <v>7.0</v>
      </c>
      <c r="G3080" s="2">
        <v>500.0</v>
      </c>
      <c r="H3080" s="3" t="str">
        <f>HYPERLINK("http://ar.linkedin.com/pub/marcelo-klappenbach/A/431/4A0","http://ar.linkedin.com/pub/marcelo-klappenbach/A/431/4A0")</f>
        <v>http://ar.linkedin.com/pub/marcelo-klappenbach/A/431/4A0</v>
      </c>
      <c r="I3080" s="2" t="s">
        <v>2574</v>
      </c>
      <c r="J3080" s="2" t="s">
        <v>21</v>
      </c>
      <c r="K3080" s="2" t="s">
        <v>5727</v>
      </c>
    </row>
    <row r="3081" ht="15.75" customHeight="1">
      <c r="A3081" s="2">
        <v>17634.0</v>
      </c>
      <c r="B3081" s="2" t="s">
        <v>5883</v>
      </c>
      <c r="C3081" s="2" t="s">
        <v>6885</v>
      </c>
      <c r="D3081" s="2" t="s">
        <v>6886</v>
      </c>
      <c r="E3081" s="2" t="s">
        <v>20</v>
      </c>
      <c r="F3081" s="2">
        <v>6.0</v>
      </c>
      <c r="G3081" s="2">
        <v>500.0</v>
      </c>
      <c r="H3081" s="3" t="str">
        <f>HYPERLINK("http://ar.linkedin.com/pub/ariel-traverso/28/208/1A2","http://ar.linkedin.com/pub/ariel-traverso/28/208/1A2")</f>
        <v>http://ar.linkedin.com/pub/ariel-traverso/28/208/1A2</v>
      </c>
      <c r="I3081" s="2" t="s">
        <v>105</v>
      </c>
      <c r="J3081" s="2" t="s">
        <v>21</v>
      </c>
      <c r="K3081" s="2" t="s">
        <v>5727</v>
      </c>
    </row>
    <row r="3082" ht="15.75" customHeight="1">
      <c r="A3082" s="2">
        <v>17640.0</v>
      </c>
      <c r="B3082" s="2" t="s">
        <v>5681</v>
      </c>
      <c r="C3082" s="2" t="s">
        <v>6887</v>
      </c>
      <c r="D3082" s="2" t="s">
        <v>304</v>
      </c>
      <c r="E3082" s="2" t="s">
        <v>20</v>
      </c>
      <c r="F3082" s="2">
        <v>5.0</v>
      </c>
      <c r="G3082" s="2">
        <v>500.0</v>
      </c>
      <c r="H3082" s="3" t="str">
        <f>HYPERLINK("http://ar.linkedin.com/pub/damian-jankowski/0/B90/36","http://ar.linkedin.com/pub/damian-jankowski/0/B90/36")</f>
        <v>http://ar.linkedin.com/pub/damian-jankowski/0/B90/36</v>
      </c>
      <c r="I3082" s="2" t="s">
        <v>57</v>
      </c>
      <c r="J3082" s="2" t="s">
        <v>21</v>
      </c>
      <c r="K3082" s="2" t="s">
        <v>5727</v>
      </c>
    </row>
    <row r="3083" ht="15.75" customHeight="1">
      <c r="A3083" s="2">
        <v>17649.0</v>
      </c>
      <c r="B3083" s="2" t="s">
        <v>3692</v>
      </c>
      <c r="C3083" s="2" t="s">
        <v>6888</v>
      </c>
      <c r="D3083" s="2" t="s">
        <v>6889</v>
      </c>
      <c r="E3083" s="2" t="s">
        <v>20</v>
      </c>
      <c r="F3083" s="2">
        <v>6.0</v>
      </c>
      <c r="G3083" s="2">
        <v>500.0</v>
      </c>
      <c r="H3083" s="3" t="str">
        <f>HYPERLINK("http://ar.linkedin.com/in/federicoplanas","http://ar.linkedin.com/in/federicoplanas")</f>
        <v>http://ar.linkedin.com/in/federicoplanas</v>
      </c>
      <c r="I3083" s="2" t="s">
        <v>15</v>
      </c>
      <c r="J3083" s="2" t="s">
        <v>21</v>
      </c>
      <c r="K3083" s="2" t="s">
        <v>5777</v>
      </c>
    </row>
    <row r="3084" ht="15.75" customHeight="1">
      <c r="A3084" s="2">
        <v>17657.0</v>
      </c>
      <c r="B3084" s="2" t="s">
        <v>3268</v>
      </c>
      <c r="C3084" s="2" t="s">
        <v>6890</v>
      </c>
      <c r="D3084" s="2" t="s">
        <v>6069</v>
      </c>
      <c r="E3084" s="2" t="s">
        <v>20</v>
      </c>
      <c r="F3084" s="2">
        <v>4.0</v>
      </c>
      <c r="G3084" s="2">
        <v>291.0</v>
      </c>
      <c r="H3084" s="3" t="str">
        <f>HYPERLINK("http://ar.linkedin.com/in/patriciaonieva","http://ar.linkedin.com/in/patriciaonieva")</f>
        <v>http://ar.linkedin.com/in/patriciaonieva</v>
      </c>
      <c r="I3084" s="2" t="s">
        <v>2603</v>
      </c>
      <c r="J3084" s="2" t="s">
        <v>21</v>
      </c>
      <c r="K3084" s="2" t="s">
        <v>6891</v>
      </c>
    </row>
    <row r="3085" ht="15.75" customHeight="1">
      <c r="A3085" s="2">
        <v>17750.0</v>
      </c>
      <c r="B3085" s="2" t="s">
        <v>5723</v>
      </c>
      <c r="C3085" s="2" t="s">
        <v>6794</v>
      </c>
      <c r="D3085" s="2" t="s">
        <v>6892</v>
      </c>
      <c r="E3085" s="2" t="s">
        <v>20</v>
      </c>
      <c r="F3085" s="2">
        <v>5.0</v>
      </c>
      <c r="G3085" s="2">
        <v>290.0</v>
      </c>
      <c r="H3085" s="3" t="str">
        <f>HYPERLINK("http://ar.linkedin.com/pub/pablo-ferrari/0/383/97B","http://ar.linkedin.com/pub/pablo-ferrari/0/383/97B")</f>
        <v>http://ar.linkedin.com/pub/pablo-ferrari/0/383/97B</v>
      </c>
      <c r="I3085" s="2" t="s">
        <v>579</v>
      </c>
      <c r="J3085" s="2" t="s">
        <v>21</v>
      </c>
      <c r="K3085" s="2" t="s">
        <v>5743</v>
      </c>
    </row>
    <row r="3086" ht="15.75" customHeight="1">
      <c r="A3086" s="2">
        <v>17758.0</v>
      </c>
      <c r="B3086" s="2" t="s">
        <v>1309</v>
      </c>
      <c r="C3086" s="2" t="s">
        <v>6893</v>
      </c>
      <c r="D3086" s="2" t="s">
        <v>6894</v>
      </c>
      <c r="E3086" s="2" t="s">
        <v>20</v>
      </c>
      <c r="F3086" s="2">
        <v>3.0</v>
      </c>
      <c r="G3086" s="2">
        <v>156.0</v>
      </c>
      <c r="H3086" s="3" t="str">
        <f>HYPERLINK("http://ar.linkedin.com/in/ahantsch","http://ar.linkedin.com/in/ahantsch")</f>
        <v>http://ar.linkedin.com/in/ahantsch</v>
      </c>
      <c r="I3086" s="2" t="s">
        <v>696</v>
      </c>
      <c r="J3086" s="2" t="s">
        <v>21</v>
      </c>
      <c r="K3086" s="2" t="s">
        <v>5743</v>
      </c>
    </row>
    <row r="3087" ht="15.75" customHeight="1">
      <c r="A3087" s="2">
        <v>17759.0</v>
      </c>
      <c r="B3087" s="2" t="s">
        <v>6895</v>
      </c>
      <c r="C3087" s="2" t="s">
        <v>6896</v>
      </c>
      <c r="D3087" s="2" t="s">
        <v>6897</v>
      </c>
      <c r="E3087" s="2" t="s">
        <v>20</v>
      </c>
      <c r="F3087" s="2">
        <v>3.0</v>
      </c>
      <c r="G3087" s="2">
        <v>321.0</v>
      </c>
      <c r="H3087" s="3" t="str">
        <f>HYPERLINK("http://ar.linkedin.com/in/anabelencastro","http://ar.linkedin.com/in/anabelencastro")</f>
        <v>http://ar.linkedin.com/in/anabelencastro</v>
      </c>
      <c r="I3087" s="2" t="s">
        <v>344</v>
      </c>
      <c r="J3087" s="2" t="s">
        <v>21</v>
      </c>
      <c r="K3087" s="2" t="s">
        <v>5727</v>
      </c>
    </row>
    <row r="3088" ht="15.75" customHeight="1">
      <c r="A3088" s="2">
        <v>17763.0</v>
      </c>
      <c r="B3088" s="2" t="s">
        <v>371</v>
      </c>
      <c r="C3088" s="2" t="s">
        <v>6898</v>
      </c>
      <c r="D3088" s="2" t="s">
        <v>2302</v>
      </c>
      <c r="E3088" s="2" t="s">
        <v>20</v>
      </c>
      <c r="F3088" s="2">
        <v>2.0</v>
      </c>
      <c r="G3088" s="2">
        <v>470.0</v>
      </c>
      <c r="H3088" s="3" t="str">
        <f>HYPERLINK("http://ar.linkedin.com/pub/cristina-canzani/A/38/76","http://ar.linkedin.com/pub/cristina-canzani/A/38/76")</f>
        <v>http://ar.linkedin.com/pub/cristina-canzani/A/38/76</v>
      </c>
      <c r="I3088" s="2" t="s">
        <v>696</v>
      </c>
      <c r="J3088" s="2" t="s">
        <v>21</v>
      </c>
      <c r="K3088" s="2" t="s">
        <v>5731</v>
      </c>
    </row>
    <row r="3089" ht="15.75" customHeight="1">
      <c r="A3089" s="2">
        <v>17764.0</v>
      </c>
      <c r="B3089" s="2" t="s">
        <v>6899</v>
      </c>
      <c r="C3089" s="2" t="s">
        <v>6900</v>
      </c>
      <c r="D3089" s="2" t="s">
        <v>3590</v>
      </c>
      <c r="E3089" s="2" t="s">
        <v>20</v>
      </c>
      <c r="F3089" s="2" t="s">
        <v>13</v>
      </c>
      <c r="G3089" s="2">
        <v>68.0</v>
      </c>
      <c r="H3089" s="3" t="str">
        <f>HYPERLINK("http://ar.linkedin.com/pub/eduardo-a-maggi/22/536/838","http://ar.linkedin.com/pub/eduardo-a-maggi/22/536/838")</f>
        <v>http://ar.linkedin.com/pub/eduardo-a-maggi/22/536/838</v>
      </c>
      <c r="I3089" s="2" t="s">
        <v>696</v>
      </c>
      <c r="J3089" s="2" t="s">
        <v>21</v>
      </c>
      <c r="K3089" s="2" t="s">
        <v>5848</v>
      </c>
    </row>
    <row r="3090" ht="15.75" customHeight="1">
      <c r="A3090" s="2">
        <v>17804.0</v>
      </c>
      <c r="B3090" s="2" t="s">
        <v>6901</v>
      </c>
      <c r="C3090" s="2" t="s">
        <v>6902</v>
      </c>
      <c r="D3090" s="2" t="s">
        <v>6903</v>
      </c>
      <c r="E3090" s="2" t="s">
        <v>20</v>
      </c>
      <c r="F3090" s="2">
        <v>16.0</v>
      </c>
      <c r="G3090" s="2">
        <v>500.0</v>
      </c>
      <c r="H3090" s="3" t="str">
        <f>HYPERLINK("http://ar.linkedin.com/pub/hernan-ariel-gonzalez-matteo/11/640/550","http://ar.linkedin.com/pub/hernan-ariel-gonzalez-matteo/11/640/550")</f>
        <v>http://ar.linkedin.com/pub/hernan-ariel-gonzalez-matteo/11/640/550</v>
      </c>
      <c r="I3090" s="2" t="s">
        <v>231</v>
      </c>
      <c r="J3090" s="2" t="s">
        <v>21</v>
      </c>
      <c r="K3090" s="2" t="s">
        <v>5743</v>
      </c>
    </row>
    <row r="3091" ht="15.75" customHeight="1">
      <c r="A3091" s="2">
        <v>17808.0</v>
      </c>
      <c r="B3091" s="2" t="s">
        <v>253</v>
      </c>
      <c r="C3091" s="2" t="s">
        <v>6904</v>
      </c>
      <c r="D3091" s="2" t="s">
        <v>13</v>
      </c>
      <c r="E3091" s="2" t="s">
        <v>20</v>
      </c>
      <c r="F3091" s="2">
        <v>0.0</v>
      </c>
      <c r="G3091" s="2">
        <v>435.0</v>
      </c>
      <c r="H3091" s="3" t="str">
        <f>HYPERLINK("http://www.linkedin.com/pub/fernando-ricagno/0/a23/8a0","http://www.linkedin.com/pub/fernando-ricagno/0/a23/8a0")</f>
        <v>http://www.linkedin.com/pub/fernando-ricagno/0/a23/8a0</v>
      </c>
      <c r="I3091" s="2" t="s">
        <v>15</v>
      </c>
      <c r="J3091" s="2" t="s">
        <v>21</v>
      </c>
      <c r="K3091" s="2" t="s">
        <v>5725</v>
      </c>
    </row>
    <row r="3092" ht="15.75" customHeight="1">
      <c r="A3092" s="2">
        <v>17877.0</v>
      </c>
      <c r="B3092" s="2" t="s">
        <v>5582</v>
      </c>
      <c r="C3092" s="2" t="s">
        <v>6905</v>
      </c>
      <c r="D3092" s="2" t="s">
        <v>2302</v>
      </c>
      <c r="E3092" s="2" t="s">
        <v>20</v>
      </c>
      <c r="F3092" s="2">
        <v>1.0</v>
      </c>
      <c r="G3092" s="2">
        <v>418.0</v>
      </c>
      <c r="H3092" s="3" t="str">
        <f>HYPERLINK("http://ar.linkedin.com/pub/sandra-rouget/2/690/B07","http://ar.linkedin.com/pub/sandra-rouget/2/690/B07")</f>
        <v>http://ar.linkedin.com/pub/sandra-rouget/2/690/B07</v>
      </c>
      <c r="I3092" s="2" t="s">
        <v>15</v>
      </c>
      <c r="J3092" s="2" t="s">
        <v>21</v>
      </c>
      <c r="K3092" s="2" t="s">
        <v>5725</v>
      </c>
    </row>
    <row r="3093" ht="15.75" customHeight="1">
      <c r="A3093" s="2">
        <v>17879.0</v>
      </c>
      <c r="B3093" s="2" t="s">
        <v>1230</v>
      </c>
      <c r="C3093" s="2" t="s">
        <v>6906</v>
      </c>
      <c r="D3093" s="2" t="s">
        <v>47</v>
      </c>
      <c r="E3093" s="2" t="s">
        <v>20</v>
      </c>
      <c r="F3093" s="2">
        <v>0.0</v>
      </c>
      <c r="G3093" s="2">
        <v>227.0</v>
      </c>
      <c r="H3093" s="3" t="str">
        <f>HYPERLINK("http://ar.linkedin.com/pub/alberto-luque/6/986/7B9","http://ar.linkedin.com/pub/alberto-luque/6/986/7B9")</f>
        <v>http://ar.linkedin.com/pub/alberto-luque/6/986/7B9</v>
      </c>
      <c r="I3093" s="2" t="s">
        <v>365</v>
      </c>
      <c r="J3093" s="2" t="s">
        <v>21</v>
      </c>
      <c r="K3093" s="2" t="s">
        <v>5725</v>
      </c>
    </row>
    <row r="3094" ht="15.75" customHeight="1">
      <c r="A3094" s="2">
        <v>17886.0</v>
      </c>
      <c r="B3094" s="2" t="s">
        <v>358</v>
      </c>
      <c r="C3094" s="2" t="s">
        <v>6907</v>
      </c>
      <c r="D3094" s="2" t="s">
        <v>6908</v>
      </c>
      <c r="E3094" s="2" t="s">
        <v>20</v>
      </c>
      <c r="F3094" s="2">
        <v>1.0</v>
      </c>
      <c r="G3094" s="2">
        <v>500.0</v>
      </c>
      <c r="H3094" s="3" t="str">
        <f>HYPERLINK("http://www.linkedin.com/pub/marcelo-chouhy/4/b9b/b9a","http://www.linkedin.com/pub/marcelo-chouhy/4/b9b/b9a")</f>
        <v>http://www.linkedin.com/pub/marcelo-chouhy/4/b9b/b9a</v>
      </c>
      <c r="I3094" s="2" t="s">
        <v>15</v>
      </c>
      <c r="J3094" s="2" t="s">
        <v>21</v>
      </c>
      <c r="K3094" s="2" t="s">
        <v>6342</v>
      </c>
    </row>
    <row r="3095" ht="15.75" customHeight="1">
      <c r="A3095" s="2">
        <v>17887.0</v>
      </c>
      <c r="B3095" s="2" t="s">
        <v>1528</v>
      </c>
      <c r="C3095" s="2" t="s">
        <v>6909</v>
      </c>
      <c r="D3095" s="2" t="s">
        <v>13</v>
      </c>
      <c r="E3095" s="2" t="s">
        <v>20</v>
      </c>
      <c r="F3095" s="2">
        <v>0.0</v>
      </c>
      <c r="G3095" s="2">
        <v>312.0</v>
      </c>
      <c r="H3095" s="3" t="str">
        <f>HYPERLINK("http://www.linkedin.com/pub/guido-cambiasso/a/914/674","http://www.linkedin.com/pub/guido-cambiasso/a/914/674")</f>
        <v>http://www.linkedin.com/pub/guido-cambiasso/a/914/674</v>
      </c>
      <c r="I3095" s="2" t="s">
        <v>15</v>
      </c>
      <c r="J3095" s="2" t="s">
        <v>21</v>
      </c>
      <c r="K3095" s="2" t="s">
        <v>5848</v>
      </c>
    </row>
    <row r="3096" ht="15.75" customHeight="1">
      <c r="A3096" s="2">
        <v>17892.0</v>
      </c>
      <c r="B3096" s="2" t="s">
        <v>6910</v>
      </c>
      <c r="C3096" s="2" t="s">
        <v>362</v>
      </c>
      <c r="D3096" s="2" t="s">
        <v>13</v>
      </c>
      <c r="E3096" s="2" t="s">
        <v>20</v>
      </c>
      <c r="F3096" s="2">
        <v>1.0</v>
      </c>
      <c r="G3096" s="2">
        <v>500.0</v>
      </c>
      <c r="H3096" s="3" t="str">
        <f>HYPERLINK("http://www.linkedin.com/pub/dolder-javier/1/456/587","http://www.linkedin.com/pub/dolder-javier/1/456/587")</f>
        <v>http://www.linkedin.com/pub/dolder-javier/1/456/587</v>
      </c>
      <c r="I3096" s="2" t="s">
        <v>77</v>
      </c>
      <c r="J3096" s="2" t="s">
        <v>21</v>
      </c>
      <c r="K3096" s="2" t="s">
        <v>5785</v>
      </c>
    </row>
    <row r="3097" ht="15.75" customHeight="1">
      <c r="A3097" s="2">
        <v>17894.0</v>
      </c>
      <c r="B3097" s="2" t="s">
        <v>353</v>
      </c>
      <c r="C3097" s="2" t="s">
        <v>6911</v>
      </c>
      <c r="D3097" s="2" t="s">
        <v>6912</v>
      </c>
      <c r="E3097" s="2" t="s">
        <v>20</v>
      </c>
      <c r="F3097" s="2" t="s">
        <v>13</v>
      </c>
      <c r="G3097" s="2">
        <v>67.0</v>
      </c>
      <c r="H3097" s="3" t="str">
        <f>HYPERLINK("http://ar.linkedin.com/pub/alejandro-alculumbre/B/68B/81","http://ar.linkedin.com/pub/alejandro-alculumbre/B/68B/81")</f>
        <v>http://ar.linkedin.com/pub/alejandro-alculumbre/B/68B/81</v>
      </c>
      <c r="I3097" s="2" t="s">
        <v>1507</v>
      </c>
      <c r="J3097" s="2" t="s">
        <v>21</v>
      </c>
      <c r="K3097" s="2" t="s">
        <v>6722</v>
      </c>
    </row>
    <row r="3098" ht="15.75" customHeight="1">
      <c r="A3098" s="2">
        <v>17916.0</v>
      </c>
      <c r="B3098" s="2" t="s">
        <v>5808</v>
      </c>
      <c r="C3098" s="2" t="s">
        <v>6913</v>
      </c>
      <c r="D3098" s="2" t="s">
        <v>6914</v>
      </c>
      <c r="E3098" s="2" t="s">
        <v>20</v>
      </c>
      <c r="F3098" s="2" t="s">
        <v>13</v>
      </c>
      <c r="G3098" s="2">
        <v>414.0</v>
      </c>
      <c r="H3098" s="3" t="str">
        <f>HYPERLINK("http://ar.linkedin.com/pub/matias-heinrich/2/23B/A68","http://ar.linkedin.com/pub/matias-heinrich/2/23B/A68")</f>
        <v>http://ar.linkedin.com/pub/matias-heinrich/2/23B/A68</v>
      </c>
      <c r="I3098" s="2" t="s">
        <v>77</v>
      </c>
      <c r="J3098" s="2" t="s">
        <v>21</v>
      </c>
      <c r="K3098" s="2" t="s">
        <v>5785</v>
      </c>
    </row>
    <row r="3099" ht="15.75" customHeight="1">
      <c r="A3099" s="2">
        <v>17929.0</v>
      </c>
      <c r="B3099" s="2" t="s">
        <v>6915</v>
      </c>
      <c r="C3099" s="2" t="s">
        <v>6916</v>
      </c>
      <c r="D3099" s="2" t="s">
        <v>6917</v>
      </c>
      <c r="E3099" s="2" t="s">
        <v>122</v>
      </c>
      <c r="F3099" s="2">
        <v>1.0</v>
      </c>
      <c r="G3099" s="2">
        <v>500.0</v>
      </c>
      <c r="H3099" s="3" t="str">
        <f>HYPERLINK("http://uk.linkedin.com/pub/yann-roche/A/A37/581","http://uk.linkedin.com/pub/yann-roche/A/A37/581")</f>
        <v>http://uk.linkedin.com/pub/yann-roche/A/A37/581</v>
      </c>
      <c r="I3099" s="2" t="s">
        <v>77</v>
      </c>
      <c r="J3099" s="2" t="s">
        <v>53</v>
      </c>
      <c r="K3099" s="2" t="s">
        <v>6918</v>
      </c>
    </row>
    <row r="3100" ht="15.75" customHeight="1">
      <c r="A3100" s="2">
        <v>17944.0</v>
      </c>
      <c r="B3100" s="2" t="s">
        <v>2727</v>
      </c>
      <c r="C3100" s="2" t="s">
        <v>6919</v>
      </c>
      <c r="D3100" s="2" t="s">
        <v>6920</v>
      </c>
      <c r="E3100" s="2" t="s">
        <v>20</v>
      </c>
      <c r="F3100" s="2">
        <v>9.0</v>
      </c>
      <c r="G3100" s="2">
        <v>500.0</v>
      </c>
      <c r="H3100" s="3" t="str">
        <f>HYPERLINK("http://ar.linkedin.com/in/monicavilanova","http://ar.linkedin.com/in/monicavilanova")</f>
        <v>http://ar.linkedin.com/in/monicavilanova</v>
      </c>
      <c r="I3100" s="2" t="s">
        <v>1679</v>
      </c>
      <c r="J3100" s="2" t="s">
        <v>21</v>
      </c>
      <c r="K3100" s="2" t="s">
        <v>5743</v>
      </c>
    </row>
    <row r="3101" ht="15.75" customHeight="1">
      <c r="A3101" s="2">
        <v>17947.0</v>
      </c>
      <c r="B3101" s="2" t="s">
        <v>6921</v>
      </c>
      <c r="C3101" s="2" t="s">
        <v>6922</v>
      </c>
      <c r="D3101" s="2" t="s">
        <v>13</v>
      </c>
      <c r="E3101" s="2" t="s">
        <v>20</v>
      </c>
      <c r="F3101" s="2">
        <v>0.0</v>
      </c>
      <c r="G3101" s="2">
        <v>500.0</v>
      </c>
      <c r="H3101" s="3" t="str">
        <f>HYPERLINK("http://www.linkedin.com/pub/dina-sznirer/0/246/428","http://www.linkedin.com/pub/dina-sznirer/0/246/428")</f>
        <v>http://www.linkedin.com/pub/dina-sznirer/0/246/428</v>
      </c>
      <c r="I3101" s="2" t="s">
        <v>458</v>
      </c>
      <c r="J3101" s="2" t="s">
        <v>21</v>
      </c>
      <c r="K3101" s="2" t="s">
        <v>5727</v>
      </c>
    </row>
    <row r="3102" ht="15.75" customHeight="1">
      <c r="A3102" s="2">
        <v>17967.0</v>
      </c>
      <c r="B3102" s="2" t="s">
        <v>433</v>
      </c>
      <c r="C3102" s="2" t="s">
        <v>2019</v>
      </c>
      <c r="D3102" s="2" t="s">
        <v>6923</v>
      </c>
      <c r="E3102" s="2" t="s">
        <v>6924</v>
      </c>
      <c r="F3102" s="2">
        <v>4.0</v>
      </c>
      <c r="G3102" s="2">
        <v>448.0</v>
      </c>
      <c r="H3102" s="3" t="str">
        <f>HYPERLINK("http://uk.linkedin.com/pub/andy-turner/8/A32/827","http://uk.linkedin.com/pub/andy-turner/8/A32/827")</f>
        <v>http://uk.linkedin.com/pub/andy-turner/8/A32/827</v>
      </c>
      <c r="I3102" s="2" t="s">
        <v>663</v>
      </c>
      <c r="J3102" s="2" t="s">
        <v>53</v>
      </c>
      <c r="K3102" s="2" t="s">
        <v>5743</v>
      </c>
    </row>
    <row r="3103" ht="15.75" customHeight="1">
      <c r="A3103" s="2">
        <v>18014.0</v>
      </c>
      <c r="B3103" s="2" t="s">
        <v>1517</v>
      </c>
      <c r="C3103" s="2" t="s">
        <v>6925</v>
      </c>
      <c r="D3103" s="2" t="s">
        <v>6926</v>
      </c>
      <c r="E3103" s="2" t="s">
        <v>20</v>
      </c>
      <c r="F3103" s="2">
        <v>1.0</v>
      </c>
      <c r="G3103" s="2">
        <v>469.0</v>
      </c>
      <c r="H3103" s="3" t="str">
        <f>HYPERLINK("http://ar.linkedin.com/pub/carla-marcelli/0/243/160","http://ar.linkedin.com/pub/carla-marcelli/0/243/160")</f>
        <v>http://ar.linkedin.com/pub/carla-marcelli/0/243/160</v>
      </c>
      <c r="I3103" s="2" t="s">
        <v>15</v>
      </c>
      <c r="J3103" s="2" t="s">
        <v>21</v>
      </c>
      <c r="K3103" s="2" t="s">
        <v>5725</v>
      </c>
    </row>
    <row r="3104" ht="15.75" customHeight="1">
      <c r="A3104" s="2">
        <v>18067.0</v>
      </c>
      <c r="B3104" s="2" t="s">
        <v>6167</v>
      </c>
      <c r="C3104" s="2" t="s">
        <v>6927</v>
      </c>
      <c r="D3104" s="2" t="s">
        <v>5958</v>
      </c>
      <c r="E3104" s="2" t="s">
        <v>20</v>
      </c>
      <c r="F3104" s="2">
        <v>8.0</v>
      </c>
      <c r="G3104" s="2">
        <v>179.0</v>
      </c>
      <c r="H3104" s="3" t="str">
        <f>HYPERLINK("http://ar.linkedin.com/in/jimenaferriol","http://ar.linkedin.com/in/jimenaferriol")</f>
        <v>http://ar.linkedin.com/in/jimenaferriol</v>
      </c>
      <c r="I3104" s="2" t="s">
        <v>105</v>
      </c>
      <c r="J3104" s="2" t="s">
        <v>21</v>
      </c>
      <c r="K3104" s="2" t="s">
        <v>5727</v>
      </c>
    </row>
    <row r="3105" ht="15.75" customHeight="1">
      <c r="A3105" s="2">
        <v>18071.0</v>
      </c>
      <c r="B3105" s="2" t="s">
        <v>353</v>
      </c>
      <c r="C3105" s="2" t="s">
        <v>6928</v>
      </c>
      <c r="D3105" s="2" t="s">
        <v>6929</v>
      </c>
      <c r="E3105" s="2" t="s">
        <v>20</v>
      </c>
      <c r="F3105" s="2">
        <v>1.0</v>
      </c>
      <c r="G3105" s="2">
        <v>225.0</v>
      </c>
      <c r="H3105" s="3" t="str">
        <f>HYPERLINK("http://ar.linkedin.com/pub/alejandro-zalazar/2/409/515","http://ar.linkedin.com/pub/alejandro-zalazar/2/409/515")</f>
        <v>http://ar.linkedin.com/pub/alejandro-zalazar/2/409/515</v>
      </c>
      <c r="I3105" s="2" t="s">
        <v>15</v>
      </c>
      <c r="J3105" s="2" t="s">
        <v>21</v>
      </c>
      <c r="K3105" s="2" t="s">
        <v>5725</v>
      </c>
    </row>
    <row r="3106" ht="15.75" customHeight="1">
      <c r="A3106" s="2">
        <v>18081.0</v>
      </c>
      <c r="B3106" s="2" t="s">
        <v>6930</v>
      </c>
      <c r="C3106" s="2" t="s">
        <v>6931</v>
      </c>
      <c r="D3106" s="2" t="s">
        <v>13</v>
      </c>
      <c r="E3106" s="2" t="s">
        <v>6932</v>
      </c>
      <c r="F3106" s="2">
        <v>0.0</v>
      </c>
      <c r="G3106" s="2">
        <v>474.0</v>
      </c>
      <c r="H3106" s="3" t="str">
        <f>HYPERLINK("http://www.linkedin.com/pub/dario-busco/4/343/575","http://www.linkedin.com/pub/dario-busco/4/343/575")</f>
        <v>http://www.linkedin.com/pub/dario-busco/4/343/575</v>
      </c>
      <c r="I3106" s="2" t="s">
        <v>279</v>
      </c>
      <c r="J3106" s="2" t="s">
        <v>1803</v>
      </c>
      <c r="K3106" s="2" t="s">
        <v>5743</v>
      </c>
    </row>
    <row r="3107" ht="15.75" customHeight="1">
      <c r="A3107" s="2">
        <v>18117.0</v>
      </c>
      <c r="B3107" s="2" t="s">
        <v>227</v>
      </c>
      <c r="C3107" s="2" t="s">
        <v>1951</v>
      </c>
      <c r="D3107" s="2" t="s">
        <v>6933</v>
      </c>
      <c r="E3107" s="2" t="s">
        <v>20</v>
      </c>
      <c r="F3107" s="2">
        <v>3.0</v>
      </c>
      <c r="G3107" s="2">
        <v>500.0</v>
      </c>
      <c r="H3107" s="3" t="str">
        <f>HYPERLINK("http://ar.linkedin.com/pub/jorge-amadeo/5/426/A62","http://ar.linkedin.com/pub/jorge-amadeo/5/426/A62")</f>
        <v>http://ar.linkedin.com/pub/jorge-amadeo/5/426/A62</v>
      </c>
      <c r="I3107" s="2" t="s">
        <v>714</v>
      </c>
      <c r="J3107" s="2" t="s">
        <v>21</v>
      </c>
      <c r="K3107" s="2" t="s">
        <v>5727</v>
      </c>
    </row>
    <row r="3108" ht="15.75" customHeight="1">
      <c r="A3108" s="2">
        <v>18137.0</v>
      </c>
      <c r="B3108" s="2" t="s">
        <v>5415</v>
      </c>
      <c r="C3108" s="2" t="s">
        <v>6934</v>
      </c>
      <c r="D3108" s="2" t="s">
        <v>6935</v>
      </c>
      <c r="E3108" s="2" t="s">
        <v>20</v>
      </c>
      <c r="F3108" s="2">
        <v>3.0</v>
      </c>
      <c r="G3108" s="2">
        <v>500.0</v>
      </c>
      <c r="H3108" s="3" t="str">
        <f>HYPERLINK("http://ar.linkedin.com/pub/cristian-gandrup/12/446/155","http://ar.linkedin.com/pub/cristian-gandrup/12/446/155")</f>
        <v>http://ar.linkedin.com/pub/cristian-gandrup/12/446/155</v>
      </c>
      <c r="I3108" s="2" t="s">
        <v>105</v>
      </c>
      <c r="J3108" s="2" t="s">
        <v>21</v>
      </c>
      <c r="K3108" s="2" t="s">
        <v>6936</v>
      </c>
    </row>
    <row r="3109" ht="15.75" customHeight="1">
      <c r="A3109" s="2">
        <v>18145.0</v>
      </c>
      <c r="B3109" s="2" t="s">
        <v>2727</v>
      </c>
      <c r="C3109" s="2" t="s">
        <v>6937</v>
      </c>
      <c r="D3109" s="2" t="s">
        <v>6938</v>
      </c>
      <c r="E3109" s="2" t="s">
        <v>20</v>
      </c>
      <c r="F3109" s="2" t="s">
        <v>13</v>
      </c>
      <c r="G3109" s="2">
        <v>1.0</v>
      </c>
      <c r="H3109" s="3" t="str">
        <f>HYPERLINK("http://ar.linkedin.com/pub/monica-merodio/29/A71/B8B","http://ar.linkedin.com/pub/monica-merodio/29/A71/B8B")</f>
        <v>http://ar.linkedin.com/pub/monica-merodio/29/A71/B8B</v>
      </c>
      <c r="I3109" s="2" t="s">
        <v>15</v>
      </c>
      <c r="J3109" s="2" t="s">
        <v>21</v>
      </c>
      <c r="K3109" s="2" t="s">
        <v>5819</v>
      </c>
    </row>
    <row r="3110" ht="15.75" customHeight="1">
      <c r="A3110" s="2">
        <v>18162.0</v>
      </c>
      <c r="B3110" s="2" t="s">
        <v>6939</v>
      </c>
      <c r="C3110" s="2" t="s">
        <v>6940</v>
      </c>
      <c r="D3110" s="2" t="s">
        <v>6941</v>
      </c>
      <c r="E3110" s="2" t="s">
        <v>20</v>
      </c>
      <c r="F3110" s="2">
        <v>1.0</v>
      </c>
      <c r="G3110" s="2">
        <v>267.0</v>
      </c>
      <c r="H3110" s="3" t="str">
        <f>HYPERLINK("http://ar.linkedin.com/in/pablosz","http://ar.linkedin.com/in/pablosz")</f>
        <v>http://ar.linkedin.com/in/pablosz</v>
      </c>
      <c r="I3110" s="2" t="s">
        <v>15</v>
      </c>
      <c r="J3110" s="2" t="s">
        <v>21</v>
      </c>
      <c r="K3110" s="2" t="s">
        <v>5725</v>
      </c>
    </row>
    <row r="3111" ht="15.75" customHeight="1">
      <c r="A3111" s="2">
        <v>18167.0</v>
      </c>
      <c r="B3111" s="2" t="s">
        <v>431</v>
      </c>
      <c r="C3111" s="2" t="s">
        <v>6942</v>
      </c>
      <c r="D3111" s="2" t="s">
        <v>6943</v>
      </c>
      <c r="E3111" s="2" t="s">
        <v>20</v>
      </c>
      <c r="F3111" s="2">
        <v>5.0</v>
      </c>
      <c r="G3111" s="2">
        <v>500.0</v>
      </c>
      <c r="H3111" s="3" t="str">
        <f>HYPERLINK("http://ar.linkedin.com/in/rabulafia","http://ar.linkedin.com/in/rabulafia")</f>
        <v>http://ar.linkedin.com/in/rabulafia</v>
      </c>
      <c r="I3111" s="2" t="s">
        <v>77</v>
      </c>
      <c r="J3111" s="2" t="s">
        <v>21</v>
      </c>
      <c r="K3111" s="2" t="s">
        <v>5913</v>
      </c>
    </row>
    <row r="3112" ht="15.75" customHeight="1">
      <c r="A3112" s="2">
        <v>18256.0</v>
      </c>
      <c r="B3112" s="2" t="s">
        <v>5415</v>
      </c>
      <c r="C3112" s="2" t="s">
        <v>6944</v>
      </c>
      <c r="D3112" s="2" t="s">
        <v>6275</v>
      </c>
      <c r="E3112" s="2" t="s">
        <v>20</v>
      </c>
      <c r="F3112" s="2">
        <v>14.0</v>
      </c>
      <c r="G3112" s="2">
        <v>192.0</v>
      </c>
      <c r="H3112" s="3" t="str">
        <f>HYPERLINK("http://ar.linkedin.com/in/cristianmensegues","http://ar.linkedin.com/in/cristianmensegues")</f>
        <v>http://ar.linkedin.com/in/cristianmensegues</v>
      </c>
      <c r="I3112" s="2" t="s">
        <v>599</v>
      </c>
      <c r="J3112" s="2" t="s">
        <v>21</v>
      </c>
      <c r="K3112" s="2" t="s">
        <v>5727</v>
      </c>
    </row>
    <row r="3113" ht="15.75" customHeight="1">
      <c r="A3113" s="2">
        <v>18267.0</v>
      </c>
      <c r="B3113" s="2" t="s">
        <v>6945</v>
      </c>
      <c r="C3113" s="2" t="s">
        <v>6946</v>
      </c>
      <c r="D3113" s="2" t="s">
        <v>13</v>
      </c>
      <c r="E3113" s="2" t="s">
        <v>20</v>
      </c>
      <c r="F3113" s="2">
        <v>0.0</v>
      </c>
      <c r="G3113" s="2">
        <v>500.0</v>
      </c>
      <c r="H3113" s="3" t="str">
        <f>HYPERLINK("http://www.linkedin.com/pub/optierp-sistemas/2a/3a2/a34","http://www.linkedin.com/pub/optierp-sistemas/2a/3a2/a34")</f>
        <v>http://www.linkedin.com/pub/optierp-sistemas/2a/3a2/a34</v>
      </c>
      <c r="I3113" s="2" t="s">
        <v>458</v>
      </c>
      <c r="J3113" s="2" t="s">
        <v>21</v>
      </c>
      <c r="K3113" s="2" t="s">
        <v>5734</v>
      </c>
    </row>
    <row r="3114" ht="15.75" customHeight="1">
      <c r="A3114" s="2">
        <v>18269.0</v>
      </c>
      <c r="B3114" s="2" t="s">
        <v>3378</v>
      </c>
      <c r="C3114" s="2" t="s">
        <v>6947</v>
      </c>
      <c r="D3114" s="2" t="s">
        <v>5249</v>
      </c>
      <c r="E3114" s="2" t="s">
        <v>20</v>
      </c>
      <c r="F3114" s="2" t="s">
        <v>13</v>
      </c>
      <c r="G3114" s="2">
        <v>260.0</v>
      </c>
      <c r="H3114" s="3" t="str">
        <f>HYPERLINK("http://ar.linkedin.com/pub/julia-miranda/1/796/238","http://ar.linkedin.com/pub/julia-miranda/1/796/238")</f>
        <v>http://ar.linkedin.com/pub/julia-miranda/1/796/238</v>
      </c>
      <c r="I3114" s="2" t="s">
        <v>48</v>
      </c>
      <c r="J3114" s="2" t="s">
        <v>21</v>
      </c>
      <c r="K3114" s="2" t="s">
        <v>5725</v>
      </c>
    </row>
    <row r="3115" ht="15.75" customHeight="1">
      <c r="A3115" s="2">
        <v>18278.0</v>
      </c>
      <c r="B3115" s="2" t="s">
        <v>6948</v>
      </c>
      <c r="C3115" s="2" t="s">
        <v>6949</v>
      </c>
      <c r="D3115" s="2" t="s">
        <v>6950</v>
      </c>
      <c r="E3115" s="2" t="s">
        <v>20</v>
      </c>
      <c r="F3115" s="2" t="s">
        <v>13</v>
      </c>
      <c r="G3115" s="2">
        <v>223.0</v>
      </c>
      <c r="H3115" s="3" t="str">
        <f>HYPERLINK("http://ar.linkedin.com/pub/mar%C3%ADa-pellitta/23/38A/865","http://ar.linkedin.com/pub/mar%C3%ADa-pellitta/23/38A/865")</f>
        <v>http://ar.linkedin.com/pub/mar%C3%ADa-pellitta/23/38A/865</v>
      </c>
      <c r="I3115" s="2" t="s">
        <v>579</v>
      </c>
      <c r="J3115" s="2" t="s">
        <v>21</v>
      </c>
      <c r="K3115" s="2" t="s">
        <v>6342</v>
      </c>
    </row>
    <row r="3116" ht="15.75" customHeight="1">
      <c r="A3116" s="2">
        <v>18310.0</v>
      </c>
      <c r="B3116" s="2" t="s">
        <v>227</v>
      </c>
      <c r="C3116" s="2" t="s">
        <v>6951</v>
      </c>
      <c r="D3116" s="2" t="s">
        <v>6952</v>
      </c>
      <c r="E3116" s="2" t="s">
        <v>20</v>
      </c>
      <c r="F3116" s="2">
        <v>23.0</v>
      </c>
      <c r="G3116" s="2">
        <v>500.0</v>
      </c>
      <c r="H3116" s="3" t="str">
        <f>HYPERLINK("http://ar.linkedin.com/pub/jorge-sabatini/23/72A/678","http://ar.linkedin.com/pub/jorge-sabatini/23/72A/678")</f>
        <v>http://ar.linkedin.com/pub/jorge-sabatini/23/72A/678</v>
      </c>
      <c r="I3116" s="2" t="s">
        <v>560</v>
      </c>
      <c r="J3116" s="2" t="s">
        <v>21</v>
      </c>
      <c r="K3116" s="2" t="s">
        <v>5727</v>
      </c>
    </row>
    <row r="3117" ht="15.75" customHeight="1">
      <c r="A3117" s="2">
        <v>18327.0</v>
      </c>
      <c r="B3117" s="2" t="s">
        <v>3847</v>
      </c>
      <c r="C3117" s="2" t="s">
        <v>6953</v>
      </c>
      <c r="D3117" s="2" t="s">
        <v>6954</v>
      </c>
      <c r="E3117" s="2" t="s">
        <v>888</v>
      </c>
      <c r="F3117" s="2">
        <v>3.0</v>
      </c>
      <c r="G3117" s="2">
        <v>428.0</v>
      </c>
      <c r="H3117" s="3" t="str">
        <f>HYPERLINK("http://www.linkedin.com/pub/victor-tenorio/5/663/63","http://www.linkedin.com/pub/victor-tenorio/5/663/63")</f>
        <v>http://www.linkedin.com/pub/victor-tenorio/5/663/63</v>
      </c>
      <c r="I3117" s="2" t="s">
        <v>240</v>
      </c>
      <c r="J3117" s="2" t="s">
        <v>102</v>
      </c>
      <c r="K3117" s="2" t="s">
        <v>6955</v>
      </c>
    </row>
    <row r="3118" ht="15.75" customHeight="1">
      <c r="A3118" s="2">
        <v>18345.0</v>
      </c>
      <c r="B3118" s="2" t="s">
        <v>146</v>
      </c>
      <c r="C3118" s="2" t="s">
        <v>6956</v>
      </c>
      <c r="D3118" s="2" t="s">
        <v>6957</v>
      </c>
      <c r="E3118" s="2" t="s">
        <v>20</v>
      </c>
      <c r="F3118" s="2" t="s">
        <v>13</v>
      </c>
      <c r="G3118" s="2">
        <v>322.0</v>
      </c>
      <c r="H3118" s="3" t="str">
        <f>HYPERLINK("http://ar.linkedin.com/pub/enrique-arce/0/266/28","http://ar.linkedin.com/pub/enrique-arce/0/266/28")</f>
        <v>http://ar.linkedin.com/pub/enrique-arce/0/266/28</v>
      </c>
      <c r="I3118" s="2" t="s">
        <v>15</v>
      </c>
      <c r="J3118" s="2" t="s">
        <v>21</v>
      </c>
      <c r="K3118" s="2" t="s">
        <v>5725</v>
      </c>
    </row>
    <row r="3119" ht="15.75" customHeight="1">
      <c r="A3119" s="2">
        <v>18354.0</v>
      </c>
      <c r="B3119" s="2" t="s">
        <v>227</v>
      </c>
      <c r="C3119" s="2" t="s">
        <v>6958</v>
      </c>
      <c r="D3119" s="2" t="s">
        <v>118</v>
      </c>
      <c r="E3119" s="2" t="s">
        <v>20</v>
      </c>
      <c r="F3119" s="2">
        <v>8.0</v>
      </c>
      <c r="G3119" s="2">
        <v>455.0</v>
      </c>
      <c r="H3119" s="3" t="str">
        <f>HYPERLINK("http://ar.linkedin.com/pub/jorge-ferreiro/0/386/462","http://ar.linkedin.com/pub/jorge-ferreiro/0/386/462")</f>
        <v>http://ar.linkedin.com/pub/jorge-ferreiro/0/386/462</v>
      </c>
      <c r="I3119" s="2" t="s">
        <v>77</v>
      </c>
      <c r="J3119" s="2" t="s">
        <v>21</v>
      </c>
      <c r="K3119" s="2" t="s">
        <v>5743</v>
      </c>
    </row>
    <row r="3120" ht="15.75" customHeight="1">
      <c r="A3120" s="2">
        <v>18362.0</v>
      </c>
      <c r="B3120" s="2" t="s">
        <v>59</v>
      </c>
      <c r="C3120" s="2" t="s">
        <v>6959</v>
      </c>
      <c r="D3120" s="2" t="s">
        <v>13</v>
      </c>
      <c r="E3120" s="2" t="s">
        <v>20</v>
      </c>
      <c r="F3120" s="2">
        <v>13.0</v>
      </c>
      <c r="G3120" s="2">
        <v>500.0</v>
      </c>
      <c r="H3120" s="3" t="str">
        <f>HYPERLINK("http://www.linkedin.com/pub/martin-tropper/0/484/4a4","http://www.linkedin.com/pub/martin-tropper/0/484/4a4")</f>
        <v>http://www.linkedin.com/pub/martin-tropper/0/484/4a4</v>
      </c>
      <c r="I3120" s="2" t="s">
        <v>873</v>
      </c>
      <c r="J3120" s="2" t="s">
        <v>21</v>
      </c>
      <c r="K3120" s="2" t="s">
        <v>5734</v>
      </c>
    </row>
    <row r="3121" ht="15.75" customHeight="1">
      <c r="A3121" s="2">
        <v>18365.0</v>
      </c>
      <c r="B3121" s="2" t="s">
        <v>6960</v>
      </c>
      <c r="C3121" s="2" t="s">
        <v>6961</v>
      </c>
      <c r="D3121" s="2" t="s">
        <v>6962</v>
      </c>
      <c r="E3121" s="2" t="s">
        <v>20</v>
      </c>
      <c r="F3121" s="2" t="s">
        <v>13</v>
      </c>
      <c r="G3121" s="2">
        <v>251.0</v>
      </c>
      <c r="H3121" s="3" t="str">
        <f>HYPERLINK("http://ar.linkedin.com/pub/ezequiel-alfredo-pignatta/1B/481/635","http://ar.linkedin.com/pub/ezequiel-alfredo-pignatta/1B/481/635")</f>
        <v>http://ar.linkedin.com/pub/ezequiel-alfredo-pignatta/1B/481/635</v>
      </c>
      <c r="I3121" s="2" t="s">
        <v>669</v>
      </c>
      <c r="J3121" s="2" t="s">
        <v>21</v>
      </c>
      <c r="K3121" s="2" t="s">
        <v>5725</v>
      </c>
    </row>
    <row r="3122" ht="15.75" customHeight="1">
      <c r="A3122" s="2">
        <v>18384.0</v>
      </c>
      <c r="B3122" s="2" t="s">
        <v>511</v>
      </c>
      <c r="C3122" s="2" t="s">
        <v>5400</v>
      </c>
      <c r="D3122" s="2" t="s">
        <v>6963</v>
      </c>
      <c r="E3122" s="2" t="s">
        <v>3005</v>
      </c>
      <c r="F3122" s="2">
        <v>0.0</v>
      </c>
      <c r="G3122" s="2">
        <v>56.0</v>
      </c>
      <c r="H3122" s="3" t="str">
        <f>HYPERLINK("http://www.linkedin.com/pub/mike-denny/4/500/466","http://www.linkedin.com/pub/mike-denny/4/500/466")</f>
        <v>http://www.linkedin.com/pub/mike-denny/4/500/466</v>
      </c>
      <c r="I3122" s="2" t="s">
        <v>2831</v>
      </c>
      <c r="J3122" s="2" t="s">
        <v>102</v>
      </c>
      <c r="K3122" s="2" t="s">
        <v>6588</v>
      </c>
    </row>
    <row r="3123" ht="15.75" customHeight="1">
      <c r="A3123" s="2">
        <v>18429.0</v>
      </c>
      <c r="B3123" s="2" t="s">
        <v>5078</v>
      </c>
      <c r="C3123" s="2" t="s">
        <v>6964</v>
      </c>
      <c r="D3123" s="2" t="s">
        <v>6965</v>
      </c>
      <c r="E3123" s="2" t="s">
        <v>20</v>
      </c>
      <c r="F3123" s="2">
        <v>5.0</v>
      </c>
      <c r="G3123" s="2">
        <v>290.0</v>
      </c>
      <c r="H3123" s="3" t="str">
        <f>HYPERLINK("http://ar.linkedin.com/in/dvukov","http://ar.linkedin.com/in/dvukov")</f>
        <v>http://ar.linkedin.com/in/dvukov</v>
      </c>
      <c r="I3123" s="2" t="s">
        <v>77</v>
      </c>
      <c r="J3123" s="2" t="s">
        <v>21</v>
      </c>
      <c r="K3123" s="2" t="s">
        <v>5731</v>
      </c>
    </row>
    <row r="3124" ht="15.75" customHeight="1">
      <c r="A3124" s="2">
        <v>18437.0</v>
      </c>
      <c r="B3124" s="2" t="s">
        <v>6966</v>
      </c>
      <c r="C3124" s="2" t="s">
        <v>6967</v>
      </c>
      <c r="D3124" s="2" t="s">
        <v>6968</v>
      </c>
      <c r="E3124" s="2" t="s">
        <v>701</v>
      </c>
      <c r="F3124" s="2">
        <v>2.0</v>
      </c>
      <c r="G3124" s="2">
        <v>500.0</v>
      </c>
      <c r="H3124" s="3" t="str">
        <f>HYPERLINK("http://www.linkedin.com/in/julianzarate","http://www.linkedin.com/in/julianzarate")</f>
        <v>http://www.linkedin.com/in/julianzarate</v>
      </c>
      <c r="I3124" s="2" t="s">
        <v>15</v>
      </c>
      <c r="J3124" s="2" t="s">
        <v>702</v>
      </c>
      <c r="K3124" s="2" t="s">
        <v>5982</v>
      </c>
    </row>
    <row r="3125" ht="15.75" customHeight="1">
      <c r="A3125" s="2">
        <v>18438.0</v>
      </c>
      <c r="B3125" s="2" t="s">
        <v>1528</v>
      </c>
      <c r="C3125" s="2" t="s">
        <v>6969</v>
      </c>
      <c r="D3125" s="2" t="s">
        <v>335</v>
      </c>
      <c r="E3125" s="2" t="s">
        <v>20</v>
      </c>
      <c r="F3125" s="2" t="s">
        <v>13</v>
      </c>
      <c r="G3125" s="2">
        <v>140.0</v>
      </c>
      <c r="H3125" s="3" t="str">
        <f>HYPERLINK("http://ar.linkedin.com/pub/guido-militello/9/8B5/535","http://ar.linkedin.com/pub/guido-militello/9/8B5/535")</f>
        <v>http://ar.linkedin.com/pub/guido-militello/9/8B5/535</v>
      </c>
      <c r="I3125" s="2" t="s">
        <v>15</v>
      </c>
      <c r="J3125" s="2" t="s">
        <v>21</v>
      </c>
      <c r="K3125" s="2" t="s">
        <v>6970</v>
      </c>
    </row>
    <row r="3126" ht="15.75" customHeight="1">
      <c r="A3126" s="2">
        <v>18446.0</v>
      </c>
      <c r="B3126" s="2" t="s">
        <v>329</v>
      </c>
      <c r="C3126" s="2" t="s">
        <v>6971</v>
      </c>
      <c r="D3126" s="2" t="s">
        <v>13</v>
      </c>
      <c r="E3126" s="2" t="s">
        <v>20</v>
      </c>
      <c r="F3126" s="2">
        <v>0.0</v>
      </c>
      <c r="G3126" s="2">
        <v>56.0</v>
      </c>
      <c r="H3126" s="3" t="str">
        <f>HYPERLINK("http://www.linkedin.com/pub/juan-pablo-juanpi/6/6b0/505","http://www.linkedin.com/pub/juan-pablo-juanpi/6/6b0/505")</f>
        <v>http://www.linkedin.com/pub/juan-pablo-juanpi/6/6b0/505</v>
      </c>
      <c r="I3126" s="2" t="s">
        <v>48</v>
      </c>
      <c r="J3126" s="2" t="s">
        <v>21</v>
      </c>
      <c r="K3126" s="2" t="s">
        <v>6124</v>
      </c>
    </row>
    <row r="3127" ht="15.75" customHeight="1">
      <c r="A3127" s="2">
        <v>18465.0</v>
      </c>
      <c r="B3127" s="2" t="s">
        <v>23</v>
      </c>
      <c r="C3127" s="2" t="s">
        <v>2848</v>
      </c>
      <c r="D3127" s="2" t="s">
        <v>6972</v>
      </c>
      <c r="E3127" s="2" t="s">
        <v>20</v>
      </c>
      <c r="F3127" s="2">
        <v>6.0</v>
      </c>
      <c r="G3127" s="2">
        <v>139.0</v>
      </c>
      <c r="H3127" s="3" t="str">
        <f>HYPERLINK("http://ar.linkedin.com/pub/julio-lima/5/AA3/265","http://ar.linkedin.com/pub/julio-lima/5/AA3/265")</f>
        <v>http://ar.linkedin.com/pub/julio-lima/5/AA3/265</v>
      </c>
      <c r="I3127" s="2" t="s">
        <v>681</v>
      </c>
      <c r="J3127" s="2" t="s">
        <v>21</v>
      </c>
      <c r="K3127" s="2" t="s">
        <v>6973</v>
      </c>
    </row>
    <row r="3128" ht="15.75" customHeight="1">
      <c r="A3128" s="2">
        <v>18491.0</v>
      </c>
      <c r="B3128" s="2" t="s">
        <v>6974</v>
      </c>
      <c r="C3128" s="2" t="s">
        <v>880</v>
      </c>
      <c r="D3128" s="2" t="s">
        <v>2440</v>
      </c>
      <c r="E3128" s="2" t="s">
        <v>20</v>
      </c>
      <c r="F3128" s="2">
        <v>4.0</v>
      </c>
      <c r="G3128" s="2">
        <v>285.0</v>
      </c>
      <c r="H3128" s="3" t="str">
        <f>HYPERLINK("http://ar.linkedin.com/in/navarroaxel","http://ar.linkedin.com/in/navarroaxel")</f>
        <v>http://ar.linkedin.com/in/navarroaxel</v>
      </c>
      <c r="I3128" s="2" t="s">
        <v>48</v>
      </c>
      <c r="J3128" s="2" t="s">
        <v>21</v>
      </c>
      <c r="K3128" s="2" t="s">
        <v>5777</v>
      </c>
    </row>
    <row r="3129" ht="15.75" customHeight="1">
      <c r="A3129" s="2">
        <v>18544.0</v>
      </c>
      <c r="B3129" s="2" t="s">
        <v>6975</v>
      </c>
      <c r="C3129" s="2" t="s">
        <v>4486</v>
      </c>
      <c r="D3129" s="2" t="s">
        <v>6976</v>
      </c>
      <c r="E3129" s="2" t="s">
        <v>20</v>
      </c>
      <c r="F3129" s="2">
        <v>22.0</v>
      </c>
      <c r="G3129" s="2">
        <v>294.0</v>
      </c>
      <c r="H3129" s="3" t="str">
        <f>HYPERLINK("http://ar.linkedin.com/in/fernandezsm","http://ar.linkedin.com/in/fernandezsm")</f>
        <v>http://ar.linkedin.com/in/fernandezsm</v>
      </c>
      <c r="I3129" s="2" t="s">
        <v>96</v>
      </c>
      <c r="J3129" s="2" t="s">
        <v>21</v>
      </c>
      <c r="K3129" s="2" t="s">
        <v>5727</v>
      </c>
    </row>
    <row r="3130" ht="15.75" customHeight="1">
      <c r="A3130" s="2">
        <v>18556.0</v>
      </c>
      <c r="B3130" s="2" t="s">
        <v>6977</v>
      </c>
      <c r="C3130" s="2" t="s">
        <v>6978</v>
      </c>
      <c r="D3130" s="2" t="s">
        <v>6979</v>
      </c>
      <c r="E3130" s="2" t="s">
        <v>20</v>
      </c>
      <c r="F3130" s="2">
        <v>7.0</v>
      </c>
      <c r="G3130" s="2">
        <v>500.0</v>
      </c>
      <c r="H3130" s="3" t="str">
        <f>HYPERLINK("http://www.linkedin.com/in/mauriciolombardo","http://www.linkedin.com/in/mauriciolombardo")</f>
        <v>http://www.linkedin.com/in/mauriciolombardo</v>
      </c>
      <c r="I3130" s="2" t="s">
        <v>48</v>
      </c>
      <c r="J3130" s="2" t="s">
        <v>21</v>
      </c>
      <c r="K3130" s="2" t="s">
        <v>5727</v>
      </c>
    </row>
    <row r="3131" ht="15.75" customHeight="1">
      <c r="A3131" s="2">
        <v>18586.0</v>
      </c>
      <c r="B3131" s="2" t="s">
        <v>5723</v>
      </c>
      <c r="C3131" s="2" t="s">
        <v>6980</v>
      </c>
      <c r="D3131" s="2" t="s">
        <v>13</v>
      </c>
      <c r="E3131" s="2" t="s">
        <v>20</v>
      </c>
      <c r="F3131" s="2">
        <v>0.0</v>
      </c>
      <c r="G3131" s="2">
        <v>500.0</v>
      </c>
      <c r="H3131" s="3" t="str">
        <f>HYPERLINK("http://www.linkedin.com/pub/pablo-schcolnik/8/b93/a09","http://www.linkedin.com/pub/pablo-schcolnik/8/b93/a09")</f>
        <v>http://www.linkedin.com/pub/pablo-schcolnik/8/b93/a09</v>
      </c>
      <c r="I3131" s="2" t="s">
        <v>326</v>
      </c>
      <c r="J3131" s="2" t="s">
        <v>21</v>
      </c>
      <c r="K3131" s="2" t="s">
        <v>6342</v>
      </c>
    </row>
    <row r="3132" ht="15.75" customHeight="1">
      <c r="A3132" s="2">
        <v>18596.0</v>
      </c>
      <c r="B3132" s="2" t="s">
        <v>671</v>
      </c>
      <c r="C3132" s="2" t="s">
        <v>6981</v>
      </c>
      <c r="D3132" s="2" t="s">
        <v>6982</v>
      </c>
      <c r="E3132" s="2" t="s">
        <v>20</v>
      </c>
      <c r="F3132" s="2">
        <v>2.0</v>
      </c>
      <c r="G3132" s="2">
        <v>500.0</v>
      </c>
      <c r="H3132" s="3" t="str">
        <f>HYPERLINK("http://ar.linkedin.com/pub/mariana-di-bella/A/875/3A9","http://ar.linkedin.com/pub/mariana-di-bella/A/875/3A9")</f>
        <v>http://ar.linkedin.com/pub/mariana-di-bella/A/875/3A9</v>
      </c>
      <c r="I3132" s="2" t="s">
        <v>6777</v>
      </c>
      <c r="J3132" s="2" t="s">
        <v>21</v>
      </c>
      <c r="K3132" s="2" t="s">
        <v>5727</v>
      </c>
    </row>
    <row r="3133" ht="15.75" customHeight="1">
      <c r="A3133" s="2">
        <v>18624.0</v>
      </c>
      <c r="B3133" s="2" t="s">
        <v>6983</v>
      </c>
      <c r="C3133" s="2" t="s">
        <v>3538</v>
      </c>
      <c r="D3133" s="2" t="s">
        <v>6984</v>
      </c>
      <c r="E3133" s="2" t="s">
        <v>20</v>
      </c>
      <c r="F3133" s="2">
        <v>1.0</v>
      </c>
      <c r="G3133" s="2">
        <v>271.0</v>
      </c>
      <c r="H3133" s="3" t="str">
        <f>HYPERLINK("http://ar.linkedin.com/pub/bettxandys-arenas/23/23A/864","http://ar.linkedin.com/pub/bettxandys-arenas/23/23A/864")</f>
        <v>http://ar.linkedin.com/pub/bettxandys-arenas/23/23A/864</v>
      </c>
      <c r="I3133" s="2" t="s">
        <v>195</v>
      </c>
      <c r="J3133" s="2" t="s">
        <v>21</v>
      </c>
      <c r="K3133" s="2" t="s">
        <v>5865</v>
      </c>
    </row>
    <row r="3134" ht="15.75" customHeight="1">
      <c r="A3134" s="2">
        <v>18656.0</v>
      </c>
      <c r="B3134" s="2" t="s">
        <v>3776</v>
      </c>
      <c r="C3134" s="2" t="s">
        <v>6985</v>
      </c>
      <c r="D3134" s="2" t="s">
        <v>13</v>
      </c>
      <c r="E3134" s="2" t="s">
        <v>20</v>
      </c>
      <c r="F3134" s="2">
        <v>3.0</v>
      </c>
      <c r="G3134" s="2">
        <v>500.0</v>
      </c>
      <c r="H3134" s="3" t="str">
        <f>HYPERLINK("http://www.linkedin.com/pub/pedro-lag%C3%BCes/12/25a/255","http://www.linkedin.com/pub/pedro-lag%C3%BCes/12/25a/255")</f>
        <v>http://www.linkedin.com/pub/pedro-lag%C3%BCes/12/25a/255</v>
      </c>
      <c r="I3134" s="2" t="s">
        <v>458</v>
      </c>
      <c r="J3134" s="2" t="s">
        <v>21</v>
      </c>
      <c r="K3134" s="2" t="s">
        <v>5727</v>
      </c>
    </row>
    <row r="3135" ht="15.75" customHeight="1">
      <c r="A3135" s="2">
        <v>18682.0</v>
      </c>
      <c r="B3135" s="2" t="s">
        <v>5849</v>
      </c>
      <c r="C3135" s="2" t="s">
        <v>6986</v>
      </c>
      <c r="D3135" s="2" t="s">
        <v>6987</v>
      </c>
      <c r="E3135" s="2" t="s">
        <v>20</v>
      </c>
      <c r="F3135" s="2" t="s">
        <v>13</v>
      </c>
      <c r="G3135" s="2">
        <v>400.0</v>
      </c>
      <c r="H3135" s="3" t="str">
        <f>HYPERLINK("http://ar.linkedin.com/pub/facundo-verna/14/317/28","http://ar.linkedin.com/pub/facundo-verna/14/317/28")</f>
        <v>http://ar.linkedin.com/pub/facundo-verna/14/317/28</v>
      </c>
      <c r="I3135" s="2" t="s">
        <v>579</v>
      </c>
      <c r="J3135" s="2" t="s">
        <v>21</v>
      </c>
      <c r="K3135" s="2" t="s">
        <v>5848</v>
      </c>
    </row>
    <row r="3136" ht="15.75" customHeight="1">
      <c r="A3136" s="2">
        <v>18688.0</v>
      </c>
      <c r="B3136" s="2" t="s">
        <v>6988</v>
      </c>
      <c r="C3136" s="2" t="s">
        <v>4389</v>
      </c>
      <c r="D3136" s="2" t="s">
        <v>6989</v>
      </c>
      <c r="E3136" s="2" t="s">
        <v>20</v>
      </c>
      <c r="F3136" s="2" t="s">
        <v>13</v>
      </c>
      <c r="G3136" s="2">
        <v>41.0</v>
      </c>
      <c r="H3136" s="3" t="str">
        <f>HYPERLINK("http://ar.linkedin.com/pub/ernesto-dorfman/0/284/33","http://ar.linkedin.com/pub/ernesto-dorfman/0/284/33")</f>
        <v>http://ar.linkedin.com/pub/ernesto-dorfman/0/284/33</v>
      </c>
      <c r="I3136" s="2" t="s">
        <v>105</v>
      </c>
      <c r="J3136" s="2" t="s">
        <v>21</v>
      </c>
      <c r="K3136" s="2" t="s">
        <v>5725</v>
      </c>
    </row>
    <row r="3137" ht="15.75" customHeight="1">
      <c r="A3137" s="2">
        <v>18713.0</v>
      </c>
      <c r="B3137" s="2" t="s">
        <v>6990</v>
      </c>
      <c r="C3137" s="2" t="s">
        <v>6991</v>
      </c>
      <c r="D3137" s="2" t="s">
        <v>13</v>
      </c>
      <c r="E3137" s="2" t="s">
        <v>20</v>
      </c>
      <c r="F3137" s="2">
        <v>0.0</v>
      </c>
      <c r="G3137" s="2">
        <v>500.0</v>
      </c>
      <c r="H3137" s="3" t="str">
        <f>HYPERLINK("http://www.linkedin.com/pub/carola-pradas/a/320/170","http://www.linkedin.com/pub/carola-pradas/a/320/170")</f>
        <v>http://www.linkedin.com/pub/carola-pradas/a/320/170</v>
      </c>
      <c r="I3137" s="2" t="s">
        <v>2046</v>
      </c>
      <c r="J3137" s="2" t="s">
        <v>21</v>
      </c>
      <c r="K3137" s="2" t="s">
        <v>5725</v>
      </c>
    </row>
    <row r="3138" ht="15.75" customHeight="1">
      <c r="A3138" s="2">
        <v>18746.0</v>
      </c>
      <c r="B3138" s="2" t="s">
        <v>6992</v>
      </c>
      <c r="C3138" s="2" t="s">
        <v>4486</v>
      </c>
      <c r="D3138" s="2" t="s">
        <v>6993</v>
      </c>
      <c r="E3138" s="2" t="s">
        <v>20</v>
      </c>
      <c r="F3138" s="2">
        <v>4.0</v>
      </c>
      <c r="G3138" s="2">
        <v>500.0</v>
      </c>
      <c r="H3138" s="3" t="str">
        <f>HYPERLINK("http://ar.linkedin.com/in/solfernandez","http://ar.linkedin.com/in/solfernandez")</f>
        <v>http://ar.linkedin.com/in/solfernandez</v>
      </c>
      <c r="I3138" s="2" t="s">
        <v>1948</v>
      </c>
      <c r="J3138" s="2" t="s">
        <v>21</v>
      </c>
      <c r="K3138" s="2" t="s">
        <v>5727</v>
      </c>
    </row>
    <row r="3139" ht="15.75" customHeight="1">
      <c r="A3139" s="2">
        <v>18769.0</v>
      </c>
      <c r="B3139" s="2" t="s">
        <v>6994</v>
      </c>
      <c r="C3139" s="2" t="s">
        <v>6995</v>
      </c>
      <c r="D3139" s="2" t="s">
        <v>6996</v>
      </c>
      <c r="E3139" s="2" t="s">
        <v>255</v>
      </c>
      <c r="F3139" s="2">
        <v>5.0</v>
      </c>
      <c r="G3139" s="2">
        <v>340.0</v>
      </c>
      <c r="H3139" s="3" t="str">
        <f>HYPERLINK("http://www.linkedin.com/in/santamariagrace","http://www.linkedin.com/in/santamariagrace")</f>
        <v>http://www.linkedin.com/in/santamariagrace</v>
      </c>
      <c r="I3139" s="2" t="s">
        <v>1507</v>
      </c>
      <c r="J3139" s="2" t="s">
        <v>102</v>
      </c>
      <c r="K3139" s="2" t="s">
        <v>5725</v>
      </c>
    </row>
    <row r="3140" ht="15.75" customHeight="1">
      <c r="A3140" s="2">
        <v>18774.0</v>
      </c>
      <c r="B3140" s="2" t="s">
        <v>3201</v>
      </c>
      <c r="C3140" s="2" t="s">
        <v>6997</v>
      </c>
      <c r="D3140" s="2" t="s">
        <v>6998</v>
      </c>
      <c r="E3140" s="2" t="s">
        <v>20</v>
      </c>
      <c r="F3140" s="2">
        <v>2.0</v>
      </c>
      <c r="G3140" s="2">
        <v>114.0</v>
      </c>
      <c r="H3140" s="3" t="str">
        <f>HYPERLINK("http://ar.linkedin.com/pub/sebastian-gilardoni/1A/9/489","http://ar.linkedin.com/pub/sebastian-gilardoni/1A/9/489")</f>
        <v>http://ar.linkedin.com/pub/sebastian-gilardoni/1A/9/489</v>
      </c>
      <c r="I3140" s="2" t="s">
        <v>470</v>
      </c>
      <c r="J3140" s="2" t="s">
        <v>21</v>
      </c>
      <c r="K3140" s="2" t="s">
        <v>5727</v>
      </c>
    </row>
    <row r="3141" ht="15.75" customHeight="1">
      <c r="A3141" s="2">
        <v>18870.0</v>
      </c>
      <c r="B3141" s="2" t="s">
        <v>6999</v>
      </c>
      <c r="C3141" s="2" t="s">
        <v>7000</v>
      </c>
      <c r="D3141" s="2" t="s">
        <v>7001</v>
      </c>
      <c r="E3141" s="2" t="s">
        <v>20</v>
      </c>
      <c r="F3141" s="2">
        <v>4.0</v>
      </c>
      <c r="G3141" s="2">
        <v>500.0</v>
      </c>
      <c r="H3141" s="3" t="str">
        <f>HYPERLINK("http://ar.linkedin.com/pub/bernardo-jos-r-zquin/2A/236/89A","http://ar.linkedin.com/pub/bernardo-jos-r-zquin/2A/236/89A")</f>
        <v>http://ar.linkedin.com/pub/bernardo-jos-r-zquin/2A/236/89A</v>
      </c>
      <c r="I3141" s="2" t="s">
        <v>470</v>
      </c>
      <c r="J3141" s="2" t="s">
        <v>21</v>
      </c>
      <c r="K3141" s="2" t="s">
        <v>5727</v>
      </c>
    </row>
    <row r="3142" ht="15.75" customHeight="1">
      <c r="A3142" s="2">
        <v>18871.0</v>
      </c>
      <c r="B3142" s="2" t="s">
        <v>7002</v>
      </c>
      <c r="C3142" s="2" t="s">
        <v>7003</v>
      </c>
      <c r="D3142" s="2" t="s">
        <v>7004</v>
      </c>
      <c r="E3142" s="2" t="s">
        <v>20</v>
      </c>
      <c r="F3142" s="2">
        <v>4.0</v>
      </c>
      <c r="G3142" s="2">
        <v>500.0</v>
      </c>
      <c r="H3142" s="3" t="str">
        <f>HYPERLINK("http://ar.linkedin.com/in/rominasolfernandez","http://ar.linkedin.com/in/rominasolfernandez")</f>
        <v>http://ar.linkedin.com/in/rominasolfernandez</v>
      </c>
      <c r="I3142" s="2" t="s">
        <v>77</v>
      </c>
      <c r="J3142" s="2" t="s">
        <v>21</v>
      </c>
      <c r="K3142" s="2" t="s">
        <v>5731</v>
      </c>
    </row>
    <row r="3143" ht="15.75" customHeight="1">
      <c r="A3143" s="2">
        <v>18872.0</v>
      </c>
      <c r="B3143" s="2" t="s">
        <v>3072</v>
      </c>
      <c r="C3143" s="2" t="s">
        <v>7005</v>
      </c>
      <c r="D3143" s="2"/>
      <c r="E3143" s="2" t="s">
        <v>1190</v>
      </c>
      <c r="F3143" s="2">
        <v>0.0</v>
      </c>
      <c r="G3143" s="2">
        <v>500.0</v>
      </c>
      <c r="H3143" s="3" t="str">
        <f>HYPERLINK("http://www.linkedin.com/pub/luis-goicouria/0/5B/75A","http://www.linkedin.com/pub/luis-goicouria/0/5B/75A")</f>
        <v>http://www.linkedin.com/pub/luis-goicouria/0/5B/75A</v>
      </c>
      <c r="I3143" s="2" t="s">
        <v>326</v>
      </c>
      <c r="J3143" s="2" t="s">
        <v>102</v>
      </c>
      <c r="K3143" s="2" t="s">
        <v>5743</v>
      </c>
    </row>
    <row r="3144" ht="15.75" customHeight="1">
      <c r="A3144" s="2">
        <v>18905.0</v>
      </c>
      <c r="B3144" s="2" t="s">
        <v>5849</v>
      </c>
      <c r="C3144" s="2" t="s">
        <v>3392</v>
      </c>
      <c r="D3144" s="2" t="s">
        <v>7006</v>
      </c>
      <c r="E3144" s="2" t="s">
        <v>20</v>
      </c>
      <c r="F3144" s="2">
        <v>2.0</v>
      </c>
      <c r="G3144" s="2">
        <v>500.0</v>
      </c>
      <c r="H3144" s="3" t="str">
        <f>HYPERLINK("http://ar.linkedin.com/in/facundolopez","http://ar.linkedin.com/in/facundolopez")</f>
        <v>http://ar.linkedin.com/in/facundolopez</v>
      </c>
      <c r="I3144" s="2" t="s">
        <v>318</v>
      </c>
      <c r="J3144" s="2" t="s">
        <v>21</v>
      </c>
      <c r="K3144" s="2" t="s">
        <v>5727</v>
      </c>
    </row>
    <row r="3145" ht="15.75" customHeight="1">
      <c r="A3145" s="2">
        <v>18908.0</v>
      </c>
      <c r="B3145" s="2" t="s">
        <v>7007</v>
      </c>
      <c r="C3145" s="2" t="s">
        <v>7008</v>
      </c>
      <c r="D3145" s="2" t="s">
        <v>13</v>
      </c>
      <c r="E3145" s="2" t="s">
        <v>20</v>
      </c>
      <c r="F3145" s="2">
        <v>0.0</v>
      </c>
      <c r="G3145" s="2">
        <v>500.0</v>
      </c>
      <c r="H3145" s="3" t="str">
        <f>HYPERLINK("http://www.linkedin.com/pub/maria-laura-scatassa/22/804/409","http://www.linkedin.com/pub/maria-laura-scatassa/22/804/409")</f>
        <v>http://www.linkedin.com/pub/maria-laura-scatassa/22/804/409</v>
      </c>
      <c r="I3145" s="2" t="s">
        <v>195</v>
      </c>
      <c r="J3145" s="2" t="s">
        <v>21</v>
      </c>
      <c r="K3145" s="2" t="s">
        <v>5725</v>
      </c>
    </row>
    <row r="3146" ht="15.75" customHeight="1">
      <c r="A3146" s="2">
        <v>18910.0</v>
      </c>
      <c r="B3146" s="2" t="s">
        <v>6339</v>
      </c>
      <c r="C3146" s="2" t="s">
        <v>7009</v>
      </c>
      <c r="D3146" s="2" t="s">
        <v>289</v>
      </c>
      <c r="E3146" s="2" t="s">
        <v>20</v>
      </c>
      <c r="F3146" s="2">
        <v>3.0</v>
      </c>
      <c r="G3146" s="2">
        <v>500.0</v>
      </c>
      <c r="H3146" s="3" t="str">
        <f>HYPERLINK("http://ar.linkedin.com/in/estebangallego","http://ar.linkedin.com/in/estebangallego")</f>
        <v>http://ar.linkedin.com/in/estebangallego</v>
      </c>
      <c r="I3146" s="2" t="s">
        <v>105</v>
      </c>
      <c r="J3146" s="2" t="s">
        <v>21</v>
      </c>
      <c r="K3146" s="2" t="s">
        <v>5727</v>
      </c>
    </row>
    <row r="3147" ht="15.75" customHeight="1">
      <c r="A3147" s="2">
        <v>18946.0</v>
      </c>
      <c r="B3147" s="2" t="s">
        <v>7010</v>
      </c>
      <c r="C3147" s="2" t="s">
        <v>7011</v>
      </c>
      <c r="D3147" s="2" t="s">
        <v>7012</v>
      </c>
      <c r="E3147" s="2" t="s">
        <v>20</v>
      </c>
      <c r="F3147" s="2">
        <v>9.0</v>
      </c>
      <c r="G3147" s="2">
        <v>500.0</v>
      </c>
      <c r="H3147" s="3" t="str">
        <f>HYPERLINK("http://ar.linkedin.com/pub/mar%C3%ADa-silvina-marchesotti/15/675/6BA","http://ar.linkedin.com/pub/mar%C3%ADa-silvina-marchesotti/15/675/6BA")</f>
        <v>http://ar.linkedin.com/pub/mar%C3%ADa-silvina-marchesotti/15/675/6BA</v>
      </c>
      <c r="I3147" s="2" t="s">
        <v>2443</v>
      </c>
      <c r="J3147" s="2" t="s">
        <v>21</v>
      </c>
      <c r="K3147" s="2" t="s">
        <v>5727</v>
      </c>
    </row>
    <row r="3148" ht="15.75" customHeight="1">
      <c r="A3148" s="2">
        <v>18986.0</v>
      </c>
      <c r="B3148" s="2" t="s">
        <v>5723</v>
      </c>
      <c r="C3148" s="2" t="s">
        <v>7013</v>
      </c>
      <c r="D3148" s="2" t="s">
        <v>13</v>
      </c>
      <c r="E3148" s="2" t="s">
        <v>20</v>
      </c>
      <c r="F3148" s="2">
        <v>0.0</v>
      </c>
      <c r="G3148" s="2">
        <v>163.0</v>
      </c>
      <c r="H3148" s="3" t="str">
        <f>HYPERLINK("http://www.linkedin.com/pub/pablo-trozzoli/0/676/2a2","http://www.linkedin.com/pub/pablo-trozzoli/0/676/2a2")</f>
        <v>http://www.linkedin.com/pub/pablo-trozzoli/0/676/2a2</v>
      </c>
      <c r="I3148" s="2" t="s">
        <v>446</v>
      </c>
      <c r="J3148" s="2" t="s">
        <v>21</v>
      </c>
      <c r="K3148" s="2" t="s">
        <v>5785</v>
      </c>
    </row>
    <row r="3149" ht="15.75" customHeight="1">
      <c r="A3149" s="2">
        <v>18995.0</v>
      </c>
      <c r="B3149" s="2" t="s">
        <v>6653</v>
      </c>
      <c r="C3149" s="2" t="s">
        <v>7014</v>
      </c>
      <c r="D3149" s="2" t="s">
        <v>7015</v>
      </c>
      <c r="E3149" s="2" t="s">
        <v>20</v>
      </c>
      <c r="F3149" s="2" t="s">
        <v>13</v>
      </c>
      <c r="G3149" s="2">
        <v>93.0</v>
      </c>
      <c r="H3149" s="3" t="str">
        <f>HYPERLINK("http://ar.linkedin.com/pub/tatiana-lozano/23/3B5/B49","http://ar.linkedin.com/pub/tatiana-lozano/23/3B5/B49")</f>
        <v>http://ar.linkedin.com/pub/tatiana-lozano/23/3B5/B49</v>
      </c>
      <c r="I3149" s="2" t="s">
        <v>105</v>
      </c>
      <c r="J3149" s="2" t="s">
        <v>21</v>
      </c>
      <c r="K3149" s="2" t="s">
        <v>5725</v>
      </c>
    </row>
    <row r="3150" ht="15.75" customHeight="1">
      <c r="A3150" s="2">
        <v>19000.0</v>
      </c>
      <c r="B3150" s="2" t="s">
        <v>5389</v>
      </c>
      <c r="C3150" s="2" t="s">
        <v>7016</v>
      </c>
      <c r="D3150" s="2" t="s">
        <v>7017</v>
      </c>
      <c r="E3150" s="2" t="s">
        <v>20</v>
      </c>
      <c r="F3150" s="2">
        <v>6.0</v>
      </c>
      <c r="G3150" s="2">
        <v>500.0</v>
      </c>
      <c r="H3150" s="3" t="str">
        <f>HYPERLINK("http://ar.linkedin.com/pub/paula-penedo/12/6B7/130","http://ar.linkedin.com/pub/paula-penedo/12/6B7/130")</f>
        <v>http://ar.linkedin.com/pub/paula-penedo/12/6B7/130</v>
      </c>
      <c r="I3150" s="2" t="s">
        <v>1740</v>
      </c>
      <c r="J3150" s="2" t="s">
        <v>21</v>
      </c>
      <c r="K3150" s="2" t="s">
        <v>5727</v>
      </c>
    </row>
    <row r="3151" ht="15.75" customHeight="1">
      <c r="A3151" s="2">
        <v>19018.0</v>
      </c>
      <c r="B3151" s="2" t="s">
        <v>5813</v>
      </c>
      <c r="C3151" s="2" t="s">
        <v>7018</v>
      </c>
      <c r="D3151" s="2" t="s">
        <v>7019</v>
      </c>
      <c r="E3151" s="2" t="s">
        <v>7020</v>
      </c>
      <c r="F3151" s="2">
        <v>0.0</v>
      </c>
      <c r="G3151" s="2">
        <v>500.0</v>
      </c>
      <c r="H3151" s="3" t="str">
        <f>HYPERLINK("http://www.linkedin.com/pub/emanuel-morales/30/538/893","http://www.linkedin.com/pub/emanuel-morales/30/538/893")</f>
        <v>http://www.linkedin.com/pub/emanuel-morales/30/538/893</v>
      </c>
      <c r="I3151" s="2" t="s">
        <v>374</v>
      </c>
      <c r="J3151" s="2" t="s">
        <v>102</v>
      </c>
      <c r="K3151" s="2" t="s">
        <v>6588</v>
      </c>
    </row>
    <row r="3152" ht="15.75" customHeight="1">
      <c r="A3152" s="2">
        <v>19026.0</v>
      </c>
      <c r="B3152" s="2" t="s">
        <v>358</v>
      </c>
      <c r="C3152" s="2" t="s">
        <v>3943</v>
      </c>
      <c r="D3152" s="2" t="s">
        <v>4461</v>
      </c>
      <c r="E3152" s="2" t="s">
        <v>20</v>
      </c>
      <c r="F3152" s="2">
        <v>2.0</v>
      </c>
      <c r="G3152" s="2">
        <v>500.0</v>
      </c>
      <c r="H3152" s="3" t="str">
        <f>HYPERLINK("http://ar.linkedin.com/pub/marcelo-rodriguez/2/1A/254","http://ar.linkedin.com/pub/marcelo-rodriguez/2/1A/254")</f>
        <v>http://ar.linkedin.com/pub/marcelo-rodriguez/2/1A/254</v>
      </c>
      <c r="I3152" s="2" t="s">
        <v>77</v>
      </c>
      <c r="J3152" s="2" t="s">
        <v>21</v>
      </c>
      <c r="K3152" s="2" t="s">
        <v>5743</v>
      </c>
    </row>
    <row r="3153" ht="15.75" customHeight="1">
      <c r="A3153" s="2">
        <v>19028.0</v>
      </c>
      <c r="B3153" s="2" t="s">
        <v>6793</v>
      </c>
      <c r="C3153" s="2" t="s">
        <v>7021</v>
      </c>
      <c r="D3153" s="2" t="s">
        <v>7022</v>
      </c>
      <c r="E3153" s="2" t="s">
        <v>20</v>
      </c>
      <c r="F3153" s="2" t="s">
        <v>13</v>
      </c>
      <c r="G3153" s="2">
        <v>500.0</v>
      </c>
      <c r="H3153" s="3" t="str">
        <f>HYPERLINK("http://ar.linkedin.com/pub/augusto-kestelboim/0/202/688","http://ar.linkedin.com/pub/augusto-kestelboim/0/202/688")</f>
        <v>http://ar.linkedin.com/pub/augusto-kestelboim/0/202/688</v>
      </c>
      <c r="I3153" s="2" t="s">
        <v>77</v>
      </c>
      <c r="J3153" s="2" t="s">
        <v>21</v>
      </c>
      <c r="K3153" s="2" t="s">
        <v>5785</v>
      </c>
    </row>
    <row r="3154" ht="15.75" customHeight="1">
      <c r="A3154" s="2">
        <v>19046.0</v>
      </c>
      <c r="B3154" s="2" t="s">
        <v>329</v>
      </c>
      <c r="C3154" s="2" t="s">
        <v>7023</v>
      </c>
      <c r="D3154" s="2" t="s">
        <v>42</v>
      </c>
      <c r="E3154" s="2" t="s">
        <v>20</v>
      </c>
      <c r="F3154" s="2">
        <v>3.0</v>
      </c>
      <c r="G3154" s="2">
        <v>500.0</v>
      </c>
      <c r="H3154" s="3" t="str">
        <f>HYPERLINK("http://ar.linkedin.com/in/juanpgauthier","http://ar.linkedin.com/in/juanpgauthier")</f>
        <v>http://ar.linkedin.com/in/juanpgauthier</v>
      </c>
      <c r="I3154" s="2" t="s">
        <v>1740</v>
      </c>
      <c r="J3154" s="2" t="s">
        <v>21</v>
      </c>
      <c r="K3154" s="2" t="s">
        <v>5727</v>
      </c>
    </row>
    <row r="3155" ht="15.75" customHeight="1">
      <c r="A3155" s="2">
        <v>19053.0</v>
      </c>
      <c r="B3155" s="2" t="s">
        <v>7024</v>
      </c>
      <c r="C3155" s="2" t="s">
        <v>4729</v>
      </c>
      <c r="D3155" s="2" t="s">
        <v>7025</v>
      </c>
      <c r="E3155" s="2" t="s">
        <v>20</v>
      </c>
      <c r="F3155" s="2">
        <v>0.0</v>
      </c>
      <c r="G3155" s="2">
        <v>297.0</v>
      </c>
      <c r="H3155" s="3" t="str">
        <f>HYPERLINK("http://www.linkedin.com/in/washingtonperez","http://www.linkedin.com/in/washingtonperez")</f>
        <v>http://www.linkedin.com/in/washingtonperez</v>
      </c>
      <c r="I3155" s="2" t="s">
        <v>2268</v>
      </c>
      <c r="J3155" s="2" t="s">
        <v>21</v>
      </c>
      <c r="K3155" s="2" t="s">
        <v>5734</v>
      </c>
    </row>
    <row r="3156" ht="15.75" customHeight="1">
      <c r="A3156" s="2">
        <v>19070.0</v>
      </c>
      <c r="B3156" s="2" t="s">
        <v>5959</v>
      </c>
      <c r="C3156" s="2" t="s">
        <v>7026</v>
      </c>
      <c r="D3156" s="2" t="s">
        <v>3691</v>
      </c>
      <c r="E3156" s="2" t="s">
        <v>20</v>
      </c>
      <c r="F3156" s="2" t="s">
        <v>13</v>
      </c>
      <c r="G3156" s="2">
        <v>99.0</v>
      </c>
      <c r="H3156" s="3" t="str">
        <f>HYPERLINK("http://ar.linkedin.com/pub/clara-silvano-lima/30/611/283","http://ar.linkedin.com/pub/clara-silvano-lima/30/611/283")</f>
        <v>http://ar.linkedin.com/pub/clara-silvano-lima/30/611/283</v>
      </c>
      <c r="I3156" s="2" t="s">
        <v>2268</v>
      </c>
      <c r="J3156" s="2" t="s">
        <v>21</v>
      </c>
      <c r="K3156" s="2" t="s">
        <v>5734</v>
      </c>
    </row>
    <row r="3157" ht="15.75" customHeight="1">
      <c r="A3157" s="2">
        <v>19080.0</v>
      </c>
      <c r="B3157" s="2" t="s">
        <v>7027</v>
      </c>
      <c r="C3157" s="2" t="s">
        <v>7028</v>
      </c>
      <c r="D3157" s="2" t="s">
        <v>7029</v>
      </c>
      <c r="E3157" s="2" t="s">
        <v>20</v>
      </c>
      <c r="F3157" s="2">
        <v>9.0</v>
      </c>
      <c r="G3157" s="2">
        <v>186.0</v>
      </c>
      <c r="H3157" s="3" t="str">
        <f>HYPERLINK("http://ar.linkedin.com/in/agustinagagliardi","http://ar.linkedin.com/in/agustinagagliardi")</f>
        <v>http://ar.linkedin.com/in/agustinagagliardi</v>
      </c>
      <c r="I3157" s="2" t="s">
        <v>608</v>
      </c>
      <c r="J3157" s="2" t="s">
        <v>21</v>
      </c>
      <c r="K3157" s="2" t="s">
        <v>5727</v>
      </c>
    </row>
    <row r="3158" ht="15.75" customHeight="1">
      <c r="A3158" s="2">
        <v>19105.0</v>
      </c>
      <c r="B3158" s="2" t="s">
        <v>7030</v>
      </c>
      <c r="C3158" s="2" t="s">
        <v>1983</v>
      </c>
      <c r="D3158" s="2" t="s">
        <v>7031</v>
      </c>
      <c r="E3158" s="2" t="s">
        <v>701</v>
      </c>
      <c r="F3158" s="2">
        <v>7.0</v>
      </c>
      <c r="G3158" s="2">
        <v>500.0</v>
      </c>
      <c r="H3158" s="3" t="str">
        <f>HYPERLINK("http://www.linkedin.com/pub/dario-osvaldo-quintas/19/648/a59","http://www.linkedin.com/pub/dario-osvaldo-quintas/19/648/a59")</f>
        <v>http://www.linkedin.com/pub/dario-osvaldo-quintas/19/648/a59</v>
      </c>
      <c r="I3158" s="2" t="s">
        <v>15</v>
      </c>
      <c r="J3158" s="2" t="s">
        <v>702</v>
      </c>
      <c r="K3158" s="2" t="s">
        <v>7032</v>
      </c>
    </row>
    <row r="3159" ht="15.75" customHeight="1">
      <c r="A3159" s="2">
        <v>19108.0</v>
      </c>
      <c r="B3159" s="2" t="s">
        <v>7033</v>
      </c>
      <c r="C3159" s="2" t="s">
        <v>7034</v>
      </c>
      <c r="D3159" s="2" t="s">
        <v>13</v>
      </c>
      <c r="E3159" s="2" t="s">
        <v>7035</v>
      </c>
      <c r="F3159" s="2">
        <v>4.0</v>
      </c>
      <c r="G3159" s="2">
        <v>500.0</v>
      </c>
      <c r="H3159" s="3" t="str">
        <f>HYPERLINK("http://www.linkedin.com/pub/rosely-del-castillo-celado/28/516/a53","http://www.linkedin.com/pub/rosely-del-castillo-celado/28/516/a53")</f>
        <v>http://www.linkedin.com/pub/rosely-del-castillo-celado/28/516/a53</v>
      </c>
      <c r="I3159" s="2" t="s">
        <v>105</v>
      </c>
      <c r="J3159" s="2" t="s">
        <v>102</v>
      </c>
      <c r="K3159" s="2" t="s">
        <v>5929</v>
      </c>
    </row>
    <row r="3160" ht="15.75" customHeight="1">
      <c r="A3160" s="2">
        <v>19116.0</v>
      </c>
      <c r="B3160" s="2" t="s">
        <v>3178</v>
      </c>
      <c r="C3160" s="2" t="s">
        <v>7036</v>
      </c>
      <c r="D3160" s="2" t="s">
        <v>7037</v>
      </c>
      <c r="E3160" s="2" t="s">
        <v>20</v>
      </c>
      <c r="F3160" s="2" t="s">
        <v>13</v>
      </c>
      <c r="G3160" s="2">
        <v>82.0</v>
      </c>
      <c r="H3160" s="3" t="str">
        <f>HYPERLINK("http://ar.linkedin.com/pub/lucas-fuster/17/608/4A1","http://ar.linkedin.com/pub/lucas-fuster/17/608/4A1")</f>
        <v>http://ar.linkedin.com/pub/lucas-fuster/17/608/4A1</v>
      </c>
      <c r="I3160" s="2" t="s">
        <v>15</v>
      </c>
      <c r="J3160" s="2" t="s">
        <v>21</v>
      </c>
      <c r="K3160" s="2" t="s">
        <v>6124</v>
      </c>
    </row>
    <row r="3161" ht="15.75" customHeight="1">
      <c r="A3161" s="2">
        <v>19129.0</v>
      </c>
      <c r="B3161" s="2" t="s">
        <v>5883</v>
      </c>
      <c r="C3161" s="2" t="s">
        <v>7038</v>
      </c>
      <c r="D3161" s="2" t="s">
        <v>7039</v>
      </c>
      <c r="E3161" s="2" t="s">
        <v>20</v>
      </c>
      <c r="F3161" s="2">
        <v>2.0</v>
      </c>
      <c r="G3161" s="2">
        <v>465.0</v>
      </c>
      <c r="H3161" s="3" t="str">
        <f>HYPERLINK("http://ar.linkedin.com/pub/ariel-bachiller/6/8B/622","http://ar.linkedin.com/pub/ariel-bachiller/6/8B/622")</f>
        <v>http://ar.linkedin.com/pub/ariel-bachiller/6/8B/622</v>
      </c>
      <c r="I3161" s="2" t="s">
        <v>873</v>
      </c>
      <c r="J3161" s="2" t="s">
        <v>21</v>
      </c>
      <c r="K3161" s="2" t="s">
        <v>5727</v>
      </c>
    </row>
    <row r="3162" ht="15.75" customHeight="1">
      <c r="A3162" s="2">
        <v>19142.0</v>
      </c>
      <c r="B3162" s="2" t="s">
        <v>6238</v>
      </c>
      <c r="C3162" s="2" t="s">
        <v>6564</v>
      </c>
      <c r="D3162" s="2" t="s">
        <v>6404</v>
      </c>
      <c r="E3162" s="2" t="s">
        <v>20</v>
      </c>
      <c r="F3162" s="2" t="s">
        <v>13</v>
      </c>
      <c r="G3162" s="2">
        <v>65.0</v>
      </c>
      <c r="H3162" s="3" t="str">
        <f>HYPERLINK("http://ar.linkedin.com/pub/soledad-dur%C3%A1n/1A/302/228","http://ar.linkedin.com/pub/soledad-dur%C3%A1n/1A/302/228")</f>
        <v>http://ar.linkedin.com/pub/soledad-dur%C3%A1n/1A/302/228</v>
      </c>
      <c r="I3162" s="2" t="s">
        <v>15</v>
      </c>
      <c r="J3162" s="2" t="s">
        <v>21</v>
      </c>
      <c r="K3162" s="2" t="s">
        <v>5725</v>
      </c>
    </row>
    <row r="3163" ht="15.75" customHeight="1">
      <c r="A3163" s="2">
        <v>19149.0</v>
      </c>
      <c r="B3163" s="2" t="s">
        <v>7040</v>
      </c>
      <c r="C3163" s="2" t="s">
        <v>7041</v>
      </c>
      <c r="D3163" s="2" t="s">
        <v>13</v>
      </c>
      <c r="E3163" s="2" t="s">
        <v>20</v>
      </c>
      <c r="F3163" s="2">
        <v>1.0</v>
      </c>
      <c r="G3163" s="2">
        <v>174.0</v>
      </c>
      <c r="H3163" s="3" t="str">
        <f>HYPERLINK("http://www.linkedin.com/pub/mariano-lucas-moraca/27/ab1/171","http://www.linkedin.com/pub/mariano-lucas-moraca/27/ab1/171")</f>
        <v>http://www.linkedin.com/pub/mariano-lucas-moraca/27/ab1/171</v>
      </c>
      <c r="I3163" s="2" t="s">
        <v>77</v>
      </c>
      <c r="J3163" s="2" t="s">
        <v>21</v>
      </c>
      <c r="K3163" s="2" t="s">
        <v>5848</v>
      </c>
    </row>
    <row r="3164" ht="15.75" customHeight="1">
      <c r="A3164" s="2">
        <v>19153.0</v>
      </c>
      <c r="B3164" s="2" t="s">
        <v>253</v>
      </c>
      <c r="C3164" s="2" t="s">
        <v>7042</v>
      </c>
      <c r="D3164" s="2" t="s">
        <v>7043</v>
      </c>
      <c r="E3164" s="2" t="s">
        <v>20</v>
      </c>
      <c r="F3164" s="2">
        <v>2.0</v>
      </c>
      <c r="G3164" s="2">
        <v>101.0</v>
      </c>
      <c r="H3164" s="3" t="str">
        <f>HYPERLINK("http://ar.linkedin.com/pub/fernando-ferrel/17/603/720","http://ar.linkedin.com/pub/fernando-ferrel/17/603/720")</f>
        <v>http://ar.linkedin.com/pub/fernando-ferrel/17/603/720</v>
      </c>
      <c r="I3164" s="2" t="s">
        <v>77</v>
      </c>
      <c r="J3164" s="2" t="s">
        <v>21</v>
      </c>
      <c r="K3164" s="2" t="s">
        <v>5731</v>
      </c>
    </row>
    <row r="3165" ht="15.75" customHeight="1">
      <c r="A3165" s="2">
        <v>19155.0</v>
      </c>
      <c r="B3165" s="2" t="s">
        <v>637</v>
      </c>
      <c r="C3165" s="2" t="s">
        <v>7044</v>
      </c>
      <c r="D3165" s="2" t="s">
        <v>7045</v>
      </c>
      <c r="E3165" s="2" t="s">
        <v>20</v>
      </c>
      <c r="F3165" s="2" t="s">
        <v>13</v>
      </c>
      <c r="G3165" s="2">
        <v>312.0</v>
      </c>
      <c r="H3165" s="3" t="str">
        <f>HYPERLINK("http://ar.linkedin.com/in/leonardocortese","http://ar.linkedin.com/in/leonardocortese")</f>
        <v>http://ar.linkedin.com/in/leonardocortese</v>
      </c>
      <c r="I3165" s="2" t="s">
        <v>77</v>
      </c>
      <c r="J3165" s="2" t="s">
        <v>21</v>
      </c>
      <c r="K3165" s="2" t="s">
        <v>5848</v>
      </c>
    </row>
    <row r="3166" ht="15.75" customHeight="1">
      <c r="A3166" s="2">
        <v>19158.0</v>
      </c>
      <c r="B3166" s="2" t="s">
        <v>7046</v>
      </c>
      <c r="C3166" s="2" t="s">
        <v>7047</v>
      </c>
      <c r="D3166" s="2" t="s">
        <v>7048</v>
      </c>
      <c r="E3166" s="2" t="s">
        <v>20</v>
      </c>
      <c r="F3166" s="2" t="s">
        <v>13</v>
      </c>
      <c r="G3166" s="2">
        <v>500.0</v>
      </c>
      <c r="H3166" s="3" t="str">
        <f>HYPERLINK("http://ar.linkedin.com/pub/nicol-s-augusto-luchi/2B/33A/604","http://ar.linkedin.com/pub/nicol-s-augusto-luchi/2B/33A/604")</f>
        <v>http://ar.linkedin.com/pub/nicol-s-augusto-luchi/2B/33A/604</v>
      </c>
      <c r="I3166" s="2" t="s">
        <v>458</v>
      </c>
      <c r="J3166" s="2" t="s">
        <v>21</v>
      </c>
      <c r="K3166" s="2" t="s">
        <v>5734</v>
      </c>
    </row>
    <row r="3167" ht="15.75" customHeight="1">
      <c r="A3167" s="2">
        <v>19165.0</v>
      </c>
      <c r="B3167" s="2" t="s">
        <v>7049</v>
      </c>
      <c r="C3167" s="2" t="s">
        <v>7050</v>
      </c>
      <c r="D3167" s="2" t="s">
        <v>7051</v>
      </c>
      <c r="E3167" s="2" t="s">
        <v>20</v>
      </c>
      <c r="F3167" s="2">
        <v>1.0</v>
      </c>
      <c r="G3167" s="2">
        <v>382.0</v>
      </c>
      <c r="H3167" s="3" t="str">
        <f>HYPERLINK("http://ar.linkedin.com/in/laureanopasina","http://ar.linkedin.com/in/laureanopasina")</f>
        <v>http://ar.linkedin.com/in/laureanopasina</v>
      </c>
      <c r="I3167" s="2" t="s">
        <v>77</v>
      </c>
      <c r="J3167" s="2" t="s">
        <v>21</v>
      </c>
      <c r="K3167" s="2" t="s">
        <v>6342</v>
      </c>
    </row>
    <row r="3168" ht="15.75" customHeight="1">
      <c r="A3168" s="2">
        <v>19170.0</v>
      </c>
      <c r="B3168" s="2" t="s">
        <v>5846</v>
      </c>
      <c r="C3168" s="2" t="s">
        <v>7052</v>
      </c>
      <c r="D3168" s="2" t="s">
        <v>7053</v>
      </c>
      <c r="E3168" s="2" t="s">
        <v>20</v>
      </c>
      <c r="F3168" s="2">
        <v>2.0</v>
      </c>
      <c r="G3168" s="2">
        <v>500.0</v>
      </c>
      <c r="H3168" s="3" t="str">
        <f>HYPERLINK("http://ar.linkedin.com/pub/horacio-gennari/0/82A/4A1","http://ar.linkedin.com/pub/horacio-gennari/0/82A/4A1")</f>
        <v>http://ar.linkedin.com/pub/horacio-gennari/0/82A/4A1</v>
      </c>
      <c r="I3168" s="2" t="s">
        <v>57</v>
      </c>
      <c r="J3168" s="2" t="s">
        <v>21</v>
      </c>
      <c r="K3168" s="2" t="s">
        <v>5727</v>
      </c>
    </row>
    <row r="3169" ht="15.75" customHeight="1">
      <c r="A3169" s="2">
        <v>19174.0</v>
      </c>
      <c r="B3169" s="2" t="s">
        <v>7054</v>
      </c>
      <c r="C3169" s="2" t="s">
        <v>7055</v>
      </c>
      <c r="D3169" s="2" t="s">
        <v>13</v>
      </c>
      <c r="E3169" s="2" t="s">
        <v>20</v>
      </c>
      <c r="F3169" s="2">
        <v>0.0</v>
      </c>
      <c r="G3169" s="2">
        <v>500.0</v>
      </c>
      <c r="H3169" s="3" t="str">
        <f>HYPERLINK("http://www.linkedin.com/pub/gerardo-e-mirco/1b/b02/507","http://www.linkedin.com/pub/gerardo-e-mirco/1b/b02/507")</f>
        <v>http://www.linkedin.com/pub/gerardo-e-mirco/1b/b02/507</v>
      </c>
      <c r="I3169" s="2" t="s">
        <v>344</v>
      </c>
      <c r="J3169" s="2" t="s">
        <v>21</v>
      </c>
      <c r="K3169" s="2" t="s">
        <v>5785</v>
      </c>
    </row>
    <row r="3170" ht="15.75" customHeight="1">
      <c r="A3170" s="2">
        <v>19223.0</v>
      </c>
      <c r="B3170" s="2" t="s">
        <v>362</v>
      </c>
      <c r="C3170" s="2" t="s">
        <v>7056</v>
      </c>
      <c r="D3170" s="2" t="s">
        <v>7057</v>
      </c>
      <c r="E3170" s="2" t="s">
        <v>20</v>
      </c>
      <c r="F3170" s="2">
        <v>2.0</v>
      </c>
      <c r="G3170" s="2">
        <v>194.0</v>
      </c>
      <c r="H3170" s="3" t="str">
        <f>HYPERLINK("http://ar.linkedin.com/pub/javier-congil/30/8B2/390","http://ar.linkedin.com/pub/javier-congil/30/8B2/390")</f>
        <v>http://ar.linkedin.com/pub/javier-congil/30/8B2/390</v>
      </c>
      <c r="I3170" s="2" t="s">
        <v>579</v>
      </c>
      <c r="J3170" s="2" t="s">
        <v>21</v>
      </c>
      <c r="K3170" s="2" t="s">
        <v>7058</v>
      </c>
    </row>
    <row r="3171" ht="15.75" customHeight="1">
      <c r="A3171" s="2">
        <v>19224.0</v>
      </c>
      <c r="B3171" s="2" t="s">
        <v>7059</v>
      </c>
      <c r="C3171" s="2" t="s">
        <v>7060</v>
      </c>
      <c r="D3171" s="2" t="s">
        <v>7061</v>
      </c>
      <c r="E3171" s="2" t="s">
        <v>20</v>
      </c>
      <c r="F3171" s="2">
        <v>11.0</v>
      </c>
      <c r="G3171" s="2">
        <v>500.0</v>
      </c>
      <c r="H3171" s="3" t="str">
        <f>HYPERLINK("http://ar.linkedin.com/in/jorgequipildor","http://ar.linkedin.com/in/jorgequipildor")</f>
        <v>http://ar.linkedin.com/in/jorgequipildor</v>
      </c>
      <c r="I3171" s="2" t="s">
        <v>579</v>
      </c>
      <c r="J3171" s="2" t="s">
        <v>21</v>
      </c>
      <c r="K3171" s="2" t="s">
        <v>5731</v>
      </c>
    </row>
    <row r="3172" ht="15.75" customHeight="1">
      <c r="A3172" s="2">
        <v>19226.0</v>
      </c>
      <c r="B3172" s="2" t="s">
        <v>423</v>
      </c>
      <c r="C3172" s="2" t="s">
        <v>675</v>
      </c>
      <c r="D3172" s="2" t="s">
        <v>7062</v>
      </c>
      <c r="E3172" s="2" t="s">
        <v>20</v>
      </c>
      <c r="F3172" s="2">
        <v>2.0</v>
      </c>
      <c r="G3172" s="2">
        <v>300.0</v>
      </c>
      <c r="H3172" s="3" t="str">
        <f>HYPERLINK("http://ar.linkedin.com/pub/carolina-torres/20/508/A91","http://ar.linkedin.com/pub/carolina-torres/20/508/A91")</f>
        <v>http://ar.linkedin.com/pub/carolina-torres/20/508/A91</v>
      </c>
      <c r="I3172" s="2" t="s">
        <v>579</v>
      </c>
      <c r="J3172" s="2" t="s">
        <v>21</v>
      </c>
      <c r="K3172" s="2" t="s">
        <v>5731</v>
      </c>
    </row>
    <row r="3173" ht="15.75" customHeight="1">
      <c r="A3173" s="2">
        <v>19227.0</v>
      </c>
      <c r="B3173" s="2" t="s">
        <v>59</v>
      </c>
      <c r="C3173" s="2" t="s">
        <v>7063</v>
      </c>
      <c r="D3173" s="2" t="s">
        <v>7064</v>
      </c>
      <c r="E3173" s="2" t="s">
        <v>20</v>
      </c>
      <c r="F3173" s="2" t="s">
        <v>13</v>
      </c>
      <c r="G3173" s="2">
        <v>125.0</v>
      </c>
      <c r="H3173" s="3" t="str">
        <f>HYPERLINK("http://ar.linkedin.com/pub/martin-carnicero/9/439/85B","http://ar.linkedin.com/pub/martin-carnicero/9/439/85B")</f>
        <v>http://ar.linkedin.com/pub/martin-carnicero/9/439/85B</v>
      </c>
      <c r="I3173" s="2" t="s">
        <v>696</v>
      </c>
      <c r="J3173" s="2" t="s">
        <v>21</v>
      </c>
      <c r="K3173" s="2" t="s">
        <v>5848</v>
      </c>
    </row>
    <row r="3174" ht="15.75" customHeight="1">
      <c r="A3174" s="2">
        <v>19269.0</v>
      </c>
      <c r="B3174" s="2" t="s">
        <v>7065</v>
      </c>
      <c r="C3174" s="2" t="s">
        <v>7066</v>
      </c>
      <c r="D3174" s="2" t="s">
        <v>7067</v>
      </c>
      <c r="E3174" s="2" t="s">
        <v>20</v>
      </c>
      <c r="F3174" s="2">
        <v>1.0</v>
      </c>
      <c r="G3174" s="2">
        <v>371.0</v>
      </c>
      <c r="H3174" s="3" t="str">
        <f>HYPERLINK("http://ar.linkedin.com/pub/lourdes-dearmas/6/230/63","http://ar.linkedin.com/pub/lourdes-dearmas/6/230/63")</f>
        <v>http://ar.linkedin.com/pub/lourdes-dearmas/6/230/63</v>
      </c>
      <c r="I3174" s="2" t="s">
        <v>344</v>
      </c>
      <c r="J3174" s="2" t="s">
        <v>21</v>
      </c>
      <c r="K3174" s="2" t="s">
        <v>5785</v>
      </c>
    </row>
    <row r="3175" ht="15.75" customHeight="1">
      <c r="A3175" s="2">
        <v>19281.0</v>
      </c>
      <c r="B3175" s="2" t="s">
        <v>6417</v>
      </c>
      <c r="C3175" s="2" t="s">
        <v>6556</v>
      </c>
      <c r="D3175" s="2" t="s">
        <v>7068</v>
      </c>
      <c r="E3175" s="2" t="s">
        <v>20</v>
      </c>
      <c r="F3175" s="2">
        <v>5.0</v>
      </c>
      <c r="G3175" s="2">
        <v>500.0</v>
      </c>
      <c r="H3175" s="3" t="str">
        <f>HYPERLINK("http://ar.linkedin.com/pub/gonzalo-dominguez/12/A9A/5B6","http://ar.linkedin.com/pub/gonzalo-dominguez/12/A9A/5B6")</f>
        <v>http://ar.linkedin.com/pub/gonzalo-dominguez/12/A9A/5B6</v>
      </c>
      <c r="I3175" s="2" t="s">
        <v>231</v>
      </c>
      <c r="J3175" s="2" t="s">
        <v>21</v>
      </c>
      <c r="K3175" s="2" t="s">
        <v>5727</v>
      </c>
    </row>
    <row r="3176" ht="15.75" customHeight="1">
      <c r="A3176" s="2">
        <v>19293.0</v>
      </c>
      <c r="B3176" s="2" t="s">
        <v>5803</v>
      </c>
      <c r="C3176" s="2" t="s">
        <v>7069</v>
      </c>
      <c r="D3176" s="2" t="s">
        <v>13</v>
      </c>
      <c r="E3176" s="2" t="s">
        <v>20</v>
      </c>
      <c r="F3176" s="2">
        <v>9.0</v>
      </c>
      <c r="G3176" s="2">
        <v>500.0</v>
      </c>
      <c r="H3176" s="3" t="str">
        <f>HYPERLINK("http://www.linkedin.com/pub/mariano-panepucci/21/3a9/80","http://www.linkedin.com/pub/mariano-panepucci/21/3a9/80")</f>
        <v>http://www.linkedin.com/pub/mariano-panepucci/21/3a9/80</v>
      </c>
      <c r="I3176" s="2" t="s">
        <v>2443</v>
      </c>
      <c r="J3176" s="2" t="s">
        <v>21</v>
      </c>
      <c r="K3176" s="2" t="s">
        <v>5727</v>
      </c>
    </row>
    <row r="3177" ht="15.75" customHeight="1">
      <c r="A3177" s="2">
        <v>19298.0</v>
      </c>
      <c r="B3177" s="2" t="s">
        <v>605</v>
      </c>
      <c r="C3177" s="2" t="s">
        <v>6951</v>
      </c>
      <c r="D3177" s="2" t="s">
        <v>6549</v>
      </c>
      <c r="E3177" s="2" t="s">
        <v>20</v>
      </c>
      <c r="F3177" s="2" t="s">
        <v>13</v>
      </c>
      <c r="G3177" s="2">
        <v>363.0</v>
      </c>
      <c r="H3177" s="3" t="str">
        <f>HYPERLINK("http://ar.linkedin.com/pub/roberto-sabatini/2A/4B4/6A1","http://ar.linkedin.com/pub/roberto-sabatini/2A/4B4/6A1")</f>
        <v>http://ar.linkedin.com/pub/roberto-sabatini/2A/4B4/6A1</v>
      </c>
      <c r="I3177" s="2" t="s">
        <v>132</v>
      </c>
      <c r="J3177" s="2" t="s">
        <v>21</v>
      </c>
      <c r="K3177" s="2" t="s">
        <v>5785</v>
      </c>
    </row>
    <row r="3178" ht="15.75" customHeight="1">
      <c r="A3178" s="2">
        <v>19299.0</v>
      </c>
      <c r="B3178" s="2" t="s">
        <v>7070</v>
      </c>
      <c r="C3178" s="2" t="s">
        <v>7071</v>
      </c>
      <c r="D3178" s="2" t="s">
        <v>7072</v>
      </c>
      <c r="E3178" s="2" t="s">
        <v>20</v>
      </c>
      <c r="F3178" s="2">
        <v>3.0</v>
      </c>
      <c r="G3178" s="2">
        <v>417.0</v>
      </c>
      <c r="H3178" s="3" t="str">
        <f>HYPERLINK("http://ar.linkedin.com/in/amaranghello","http://ar.linkedin.com/in/amaranghello")</f>
        <v>http://ar.linkedin.com/in/amaranghello</v>
      </c>
      <c r="I3178" s="2" t="s">
        <v>2443</v>
      </c>
      <c r="J3178" s="2" t="s">
        <v>21</v>
      </c>
      <c r="K3178" s="2" t="s">
        <v>5727</v>
      </c>
    </row>
    <row r="3179" ht="15.75" customHeight="1">
      <c r="A3179" s="2">
        <v>19309.0</v>
      </c>
      <c r="B3179" s="2" t="s">
        <v>1829</v>
      </c>
      <c r="C3179" s="2" t="s">
        <v>7073</v>
      </c>
      <c r="D3179" s="2" t="s">
        <v>7074</v>
      </c>
      <c r="E3179" s="2" t="s">
        <v>20</v>
      </c>
      <c r="F3179" s="2">
        <v>6.0</v>
      </c>
      <c r="G3179" s="2">
        <v>500.0</v>
      </c>
      <c r="H3179" s="3" t="str">
        <f>HYPERLINK("http://ar.linkedin.com/in/borishicke","http://ar.linkedin.com/in/borishicke")</f>
        <v>http://ar.linkedin.com/in/borishicke</v>
      </c>
      <c r="I3179" s="2" t="s">
        <v>2443</v>
      </c>
      <c r="J3179" s="2" t="s">
        <v>21</v>
      </c>
      <c r="K3179" s="2" t="s">
        <v>5727</v>
      </c>
    </row>
    <row r="3180" ht="15.75" customHeight="1">
      <c r="A3180" s="2">
        <v>19320.0</v>
      </c>
      <c r="B3180" s="2" t="s">
        <v>1230</v>
      </c>
      <c r="C3180" s="2" t="s">
        <v>7075</v>
      </c>
      <c r="D3180" s="2" t="s">
        <v>835</v>
      </c>
      <c r="E3180" s="2" t="s">
        <v>20</v>
      </c>
      <c r="F3180" s="2">
        <v>29.0</v>
      </c>
      <c r="G3180" s="2">
        <v>500.0</v>
      </c>
      <c r="H3180" s="3" t="str">
        <f>HYPERLINK("http://ar.linkedin.com/pub/alberto-pignataro/7/593/B77","http://ar.linkedin.com/pub/alberto-pignataro/7/593/B77")</f>
        <v>http://ar.linkedin.com/pub/alberto-pignataro/7/593/B77</v>
      </c>
      <c r="I3180" s="2" t="s">
        <v>579</v>
      </c>
      <c r="J3180" s="2" t="s">
        <v>21</v>
      </c>
      <c r="K3180" s="2" t="s">
        <v>5743</v>
      </c>
    </row>
    <row r="3181" ht="15.75" customHeight="1">
      <c r="A3181" s="2">
        <v>19336.0</v>
      </c>
      <c r="B3181" s="2" t="s">
        <v>353</v>
      </c>
      <c r="C3181" s="2" t="s">
        <v>7076</v>
      </c>
      <c r="D3181" s="2" t="s">
        <v>7077</v>
      </c>
      <c r="E3181" s="2" t="s">
        <v>20</v>
      </c>
      <c r="F3181" s="2" t="s">
        <v>13</v>
      </c>
      <c r="G3181" s="2">
        <v>470.0</v>
      </c>
      <c r="H3181" s="3" t="str">
        <f>HYPERLINK("http://ar.linkedin.com/in/alejandrosassone","http://ar.linkedin.com/in/alejandrosassone")</f>
        <v>http://ar.linkedin.com/in/alejandrosassone</v>
      </c>
      <c r="I3181" s="2" t="s">
        <v>2443</v>
      </c>
      <c r="J3181" s="2" t="s">
        <v>21</v>
      </c>
      <c r="K3181" s="2" t="s">
        <v>5785</v>
      </c>
    </row>
    <row r="3182" ht="15.75" customHeight="1">
      <c r="A3182" s="2">
        <v>19352.0</v>
      </c>
      <c r="B3182" s="2" t="s">
        <v>7078</v>
      </c>
      <c r="C3182" s="2" t="s">
        <v>7079</v>
      </c>
      <c r="D3182" s="2" t="s">
        <v>7080</v>
      </c>
      <c r="E3182" s="2" t="s">
        <v>20</v>
      </c>
      <c r="F3182" s="2">
        <v>2.0</v>
      </c>
      <c r="G3182" s="2">
        <v>500.0</v>
      </c>
      <c r="H3182" s="3" t="str">
        <f>HYPERLINK("http://www.linkedin.com/pub/ezequiel-fetter/27/242/1a","http://www.linkedin.com/pub/ezequiel-fetter/27/242/1a")</f>
        <v>http://www.linkedin.com/pub/ezequiel-fetter/27/242/1a</v>
      </c>
      <c r="I3182" s="2" t="s">
        <v>132</v>
      </c>
      <c r="J3182" s="2" t="s">
        <v>21</v>
      </c>
      <c r="K3182" s="2" t="s">
        <v>5727</v>
      </c>
    </row>
    <row r="3183" ht="15.75" customHeight="1">
      <c r="A3183" s="2">
        <v>19355.0</v>
      </c>
      <c r="B3183" s="2" t="s">
        <v>501</v>
      </c>
      <c r="C3183" s="2" t="s">
        <v>675</v>
      </c>
      <c r="D3183" s="2" t="s">
        <v>7081</v>
      </c>
      <c r="E3183" s="2" t="s">
        <v>20</v>
      </c>
      <c r="F3183" s="2">
        <v>41.0</v>
      </c>
      <c r="G3183" s="2">
        <v>470.0</v>
      </c>
      <c r="H3183" s="3" t="str">
        <f>HYPERLINK("http://ar.linkedin.com/in/franciscotorres","http://ar.linkedin.com/in/franciscotorres")</f>
        <v>http://ar.linkedin.com/in/franciscotorres</v>
      </c>
      <c r="I3183" s="2" t="s">
        <v>48</v>
      </c>
      <c r="J3183" s="2" t="s">
        <v>21</v>
      </c>
      <c r="K3183" s="2" t="s">
        <v>6588</v>
      </c>
    </row>
    <row r="3184" ht="15.75" customHeight="1">
      <c r="A3184" s="2">
        <v>19361.0</v>
      </c>
      <c r="B3184" s="2" t="s">
        <v>3165</v>
      </c>
      <c r="C3184" s="2" t="s">
        <v>7082</v>
      </c>
      <c r="D3184" s="2" t="s">
        <v>7083</v>
      </c>
      <c r="E3184" s="2" t="s">
        <v>20</v>
      </c>
      <c r="F3184" s="2" t="s">
        <v>13</v>
      </c>
      <c r="G3184" s="2">
        <v>188.0</v>
      </c>
      <c r="H3184" s="3" t="str">
        <f>HYPERLINK("http://ar.linkedin.com/pub/luciana-mor%C3%A1n/10/6B2/520","http://ar.linkedin.com/pub/luciana-mor%C3%A1n/10/6B2/520")</f>
        <v>http://ar.linkedin.com/pub/luciana-mor%C3%A1n/10/6B2/520</v>
      </c>
      <c r="I3184" s="2" t="s">
        <v>15</v>
      </c>
      <c r="J3184" s="2" t="s">
        <v>21</v>
      </c>
      <c r="K3184" s="2" t="s">
        <v>6124</v>
      </c>
    </row>
    <row r="3185" ht="15.75" customHeight="1">
      <c r="A3185" s="2">
        <v>19405.0</v>
      </c>
      <c r="B3185" s="2" t="s">
        <v>6622</v>
      </c>
      <c r="C3185" s="2" t="s">
        <v>7084</v>
      </c>
      <c r="D3185" s="2" t="s">
        <v>7085</v>
      </c>
      <c r="E3185" s="2" t="s">
        <v>20</v>
      </c>
      <c r="F3185" s="2" t="s">
        <v>13</v>
      </c>
      <c r="G3185" s="2">
        <v>71.0</v>
      </c>
      <c r="H3185" s="3" t="str">
        <f>HYPERLINK("http://ar.linkedin.com/pub/patricio-corvalan/23/317/215","http://ar.linkedin.com/pub/patricio-corvalan/23/317/215")</f>
        <v>http://ar.linkedin.com/pub/patricio-corvalan/23/317/215</v>
      </c>
      <c r="I3185" s="2" t="s">
        <v>2268</v>
      </c>
      <c r="J3185" s="2" t="s">
        <v>21</v>
      </c>
      <c r="K3185" s="2" t="s">
        <v>5734</v>
      </c>
    </row>
    <row r="3186" ht="15.75" customHeight="1">
      <c r="A3186" s="2">
        <v>19412.0</v>
      </c>
      <c r="B3186" s="2" t="s">
        <v>7086</v>
      </c>
      <c r="C3186" s="2" t="s">
        <v>1903</v>
      </c>
      <c r="D3186" s="2" t="s">
        <v>7087</v>
      </c>
      <c r="E3186" s="2" t="s">
        <v>20</v>
      </c>
      <c r="F3186" s="2">
        <v>4.0</v>
      </c>
      <c r="G3186" s="2">
        <v>157.0</v>
      </c>
      <c r="H3186" s="3" t="str">
        <f>HYPERLINK("http://ar.linkedin.com/in/mauroeg","http://ar.linkedin.com/in/mauroeg")</f>
        <v>http://ar.linkedin.com/in/mauroeg</v>
      </c>
      <c r="I3186" s="2" t="s">
        <v>77</v>
      </c>
      <c r="J3186" s="2" t="s">
        <v>21</v>
      </c>
      <c r="K3186" s="2" t="s">
        <v>5731</v>
      </c>
    </row>
    <row r="3187" ht="15.75" customHeight="1">
      <c r="A3187" s="2">
        <v>19457.0</v>
      </c>
      <c r="B3187" s="2" t="s">
        <v>238</v>
      </c>
      <c r="C3187" s="2" t="s">
        <v>7088</v>
      </c>
      <c r="D3187" s="2" t="s">
        <v>7089</v>
      </c>
      <c r="E3187" s="2" t="s">
        <v>20</v>
      </c>
      <c r="F3187" s="2" t="s">
        <v>13</v>
      </c>
      <c r="G3187" s="2">
        <v>99.0</v>
      </c>
      <c r="H3187" s="3" t="str">
        <f>HYPERLINK("http://ar.linkedin.com/pub/juan-ceciliano/21/AA3/31B","http://ar.linkedin.com/pub/juan-ceciliano/21/AA3/31B")</f>
        <v>http://ar.linkedin.com/pub/juan-ceciliano/21/AA3/31B</v>
      </c>
      <c r="I3187" s="2" t="s">
        <v>77</v>
      </c>
      <c r="J3187" s="2" t="s">
        <v>21</v>
      </c>
      <c r="K3187" s="2" t="s">
        <v>5848</v>
      </c>
    </row>
    <row r="3188" ht="15.75" customHeight="1">
      <c r="A3188" s="2">
        <v>19460.0</v>
      </c>
      <c r="B3188" s="2" t="s">
        <v>3550</v>
      </c>
      <c r="C3188" s="2" t="s">
        <v>7090</v>
      </c>
      <c r="D3188" s="2" t="s">
        <v>7091</v>
      </c>
      <c r="E3188" s="2" t="s">
        <v>20</v>
      </c>
      <c r="F3188" s="2" t="s">
        <v>13</v>
      </c>
      <c r="G3188" s="2">
        <v>127.0</v>
      </c>
      <c r="H3188" s="3" t="str">
        <f>HYPERLINK("http://ar.linkedin.com/pub/nicolas-letticugna/1B/A07/B09","http://ar.linkedin.com/pub/nicolas-letticugna/1B/A07/B09")</f>
        <v>http://ar.linkedin.com/pub/nicolas-letticugna/1B/A07/B09</v>
      </c>
      <c r="I3188" s="2" t="s">
        <v>77</v>
      </c>
      <c r="J3188" s="2" t="s">
        <v>21</v>
      </c>
      <c r="K3188" s="2" t="s">
        <v>5848</v>
      </c>
    </row>
    <row r="3189" ht="15.75" customHeight="1">
      <c r="A3189" s="2">
        <v>19466.0</v>
      </c>
      <c r="B3189" s="2" t="s">
        <v>862</v>
      </c>
      <c r="C3189" s="2" t="s">
        <v>7092</v>
      </c>
      <c r="D3189" s="2" t="s">
        <v>7093</v>
      </c>
      <c r="E3189" s="2" t="s">
        <v>20</v>
      </c>
      <c r="F3189" s="2" t="s">
        <v>13</v>
      </c>
      <c r="G3189" s="2">
        <v>266.0</v>
      </c>
      <c r="H3189" s="3" t="str">
        <f>HYPERLINK("http://ar.linkedin.com/pub/gabriel-nicora/13/302/1A3","http://ar.linkedin.com/pub/gabriel-nicora/13/302/1A3")</f>
        <v>http://ar.linkedin.com/pub/gabriel-nicora/13/302/1A3</v>
      </c>
      <c r="I3189" s="2" t="s">
        <v>15</v>
      </c>
      <c r="J3189" s="2" t="s">
        <v>21</v>
      </c>
      <c r="K3189" s="2" t="s">
        <v>5725</v>
      </c>
    </row>
    <row r="3190" ht="15.75" customHeight="1">
      <c r="A3190" s="2">
        <v>19468.0</v>
      </c>
      <c r="B3190" s="2" t="s">
        <v>5078</v>
      </c>
      <c r="C3190" s="2" t="s">
        <v>7094</v>
      </c>
      <c r="D3190" s="2" t="s">
        <v>7095</v>
      </c>
      <c r="E3190" s="2" t="s">
        <v>20</v>
      </c>
      <c r="F3190" s="2">
        <v>11.0</v>
      </c>
      <c r="G3190" s="2">
        <v>255.0</v>
      </c>
      <c r="H3190" s="3" t="str">
        <f>HYPERLINK("http://ar.linkedin.com/pub/diego-durante/28/759/B9B","http://ar.linkedin.com/pub/diego-durante/28/759/B9B")</f>
        <v>http://ar.linkedin.com/pub/diego-durante/28/759/B9B</v>
      </c>
      <c r="I3190" s="2" t="s">
        <v>1679</v>
      </c>
      <c r="J3190" s="2" t="s">
        <v>21</v>
      </c>
      <c r="K3190" s="2" t="s">
        <v>5727</v>
      </c>
    </row>
    <row r="3191" ht="15.75" customHeight="1">
      <c r="A3191" s="2">
        <v>19470.0</v>
      </c>
      <c r="B3191" s="2" t="s">
        <v>7096</v>
      </c>
      <c r="C3191" s="2" t="s">
        <v>7097</v>
      </c>
      <c r="D3191" s="2" t="s">
        <v>7098</v>
      </c>
      <c r="E3191" s="2" t="s">
        <v>20</v>
      </c>
      <c r="F3191" s="2">
        <v>4.0</v>
      </c>
      <c r="G3191" s="2">
        <v>426.0</v>
      </c>
      <c r="H3191" s="3" t="str">
        <f>HYPERLINK("http://ar.linkedin.com/pub/valeria-eransus/15/436/978","http://ar.linkedin.com/pub/valeria-eransus/15/436/978")</f>
        <v>http://ar.linkedin.com/pub/valeria-eransus/15/436/978</v>
      </c>
      <c r="I3191" s="2" t="s">
        <v>1390</v>
      </c>
      <c r="J3191" s="2" t="s">
        <v>21</v>
      </c>
      <c r="K3191" s="2" t="s">
        <v>5727</v>
      </c>
    </row>
    <row r="3192" ht="15.75" customHeight="1">
      <c r="A3192" s="2">
        <v>19499.0</v>
      </c>
      <c r="B3192" s="2" t="s">
        <v>2436</v>
      </c>
      <c r="C3192" s="2" t="s">
        <v>7099</v>
      </c>
      <c r="D3192" s="2" t="s">
        <v>7100</v>
      </c>
      <c r="E3192" s="2" t="s">
        <v>20</v>
      </c>
      <c r="F3192" s="2">
        <v>5.0</v>
      </c>
      <c r="G3192" s="2">
        <v>339.0</v>
      </c>
      <c r="H3192" s="3" t="str">
        <f>HYPERLINK("http://ar.linkedin.com/pub/antonio-faccin/0/215/432","http://ar.linkedin.com/pub/antonio-faccin/0/215/432")</f>
        <v>http://ar.linkedin.com/pub/antonio-faccin/0/215/432</v>
      </c>
      <c r="I3192" s="2" t="s">
        <v>252</v>
      </c>
      <c r="J3192" s="2" t="s">
        <v>21</v>
      </c>
      <c r="K3192" s="2" t="s">
        <v>5727</v>
      </c>
    </row>
    <row r="3193" ht="15.75" customHeight="1">
      <c r="A3193" s="2">
        <v>19523.0</v>
      </c>
      <c r="B3193" s="2" t="s">
        <v>5723</v>
      </c>
      <c r="C3193" s="2" t="s">
        <v>7101</v>
      </c>
      <c r="D3193" s="2" t="s">
        <v>7102</v>
      </c>
      <c r="E3193" s="2" t="s">
        <v>20</v>
      </c>
      <c r="F3193" s="2" t="s">
        <v>13</v>
      </c>
      <c r="G3193" s="2">
        <v>224.0</v>
      </c>
      <c r="H3193" s="3" t="str">
        <f>HYPERLINK("http://ar.linkedin.com/pub/pablo-nunzio/1/922/400","http://ar.linkedin.com/pub/pablo-nunzio/1/922/400")</f>
        <v>http://ar.linkedin.com/pub/pablo-nunzio/1/922/400</v>
      </c>
      <c r="I3193" s="2" t="s">
        <v>48</v>
      </c>
      <c r="J3193" s="2" t="s">
        <v>21</v>
      </c>
      <c r="K3193" s="2" t="s">
        <v>5725</v>
      </c>
    </row>
    <row r="3194" ht="15.75" customHeight="1">
      <c r="A3194" s="2">
        <v>19535.0</v>
      </c>
      <c r="B3194" s="2" t="s">
        <v>353</v>
      </c>
      <c r="C3194" s="2" t="s">
        <v>7103</v>
      </c>
      <c r="D3194" s="2" t="s">
        <v>7104</v>
      </c>
      <c r="E3194" s="2" t="s">
        <v>20</v>
      </c>
      <c r="F3194" s="2">
        <v>6.0</v>
      </c>
      <c r="G3194" s="2">
        <v>500.0</v>
      </c>
      <c r="H3194" s="3" t="str">
        <f>HYPERLINK("http://ar.linkedin.com/in/alejandrovieira","http://ar.linkedin.com/in/alejandrovieira")</f>
        <v>http://ar.linkedin.com/in/alejandrovieira</v>
      </c>
      <c r="I3194" s="2" t="s">
        <v>1398</v>
      </c>
      <c r="J3194" s="2" t="s">
        <v>21</v>
      </c>
      <c r="K3194" s="2" t="s">
        <v>5734</v>
      </c>
    </row>
    <row r="3195" ht="15.75" customHeight="1">
      <c r="A3195" s="2">
        <v>19542.0</v>
      </c>
      <c r="B3195" s="2" t="s">
        <v>5681</v>
      </c>
      <c r="C3195" s="2" t="s">
        <v>1729</v>
      </c>
      <c r="D3195" s="2" t="s">
        <v>7105</v>
      </c>
      <c r="E3195" s="2" t="s">
        <v>20</v>
      </c>
      <c r="F3195" s="2">
        <v>2.0</v>
      </c>
      <c r="G3195" s="2">
        <v>217.0</v>
      </c>
      <c r="H3195" s="3" t="str">
        <f>HYPERLINK("http://ar.linkedin.com/pub/damian-martinez/21/441/544","http://ar.linkedin.com/pub/damian-martinez/21/441/544")</f>
        <v>http://ar.linkedin.com/pub/damian-martinez/21/441/544</v>
      </c>
      <c r="I3195" s="2" t="s">
        <v>2443</v>
      </c>
      <c r="J3195" s="2" t="s">
        <v>21</v>
      </c>
      <c r="K3195" s="2" t="s">
        <v>5727</v>
      </c>
    </row>
    <row r="3196" ht="15.75" customHeight="1">
      <c r="A3196" s="2">
        <v>19544.0</v>
      </c>
      <c r="B3196" s="2" t="s">
        <v>6622</v>
      </c>
      <c r="C3196" s="2" t="s">
        <v>7106</v>
      </c>
      <c r="D3196" s="2" t="s">
        <v>7107</v>
      </c>
      <c r="E3196" s="2" t="s">
        <v>20</v>
      </c>
      <c r="F3196" s="2" t="s">
        <v>13</v>
      </c>
      <c r="G3196" s="2">
        <v>199.0</v>
      </c>
      <c r="H3196" s="3" t="str">
        <f>HYPERLINK("http://ar.linkedin.com/pub/patricio-kenny/7/BB9/6B4","http://ar.linkedin.com/pub/patricio-kenny/7/BB9/6B4")</f>
        <v>http://ar.linkedin.com/pub/patricio-kenny/7/BB9/6B4</v>
      </c>
      <c r="I3196" s="2" t="s">
        <v>252</v>
      </c>
      <c r="J3196" s="2" t="s">
        <v>21</v>
      </c>
      <c r="K3196" s="2" t="s">
        <v>5994</v>
      </c>
    </row>
    <row r="3197" ht="15.75" customHeight="1">
      <c r="A3197" s="2">
        <v>19557.0</v>
      </c>
      <c r="B3197" s="2" t="s">
        <v>7108</v>
      </c>
      <c r="C3197" s="2" t="s">
        <v>6467</v>
      </c>
      <c r="D3197" s="2" t="s">
        <v>6761</v>
      </c>
      <c r="E3197" s="2" t="s">
        <v>20</v>
      </c>
      <c r="F3197" s="2">
        <v>8.0</v>
      </c>
      <c r="G3197" s="2">
        <v>500.0</v>
      </c>
      <c r="H3197" s="3" t="str">
        <f>HYPERLINK("http://ar.linkedin.com/in/florenciabeccar","http://ar.linkedin.com/in/florenciabeccar")</f>
        <v>http://ar.linkedin.com/in/florenciabeccar</v>
      </c>
      <c r="I3197" s="2" t="s">
        <v>48</v>
      </c>
      <c r="J3197" s="2" t="s">
        <v>21</v>
      </c>
      <c r="K3197" s="2" t="s">
        <v>5777</v>
      </c>
    </row>
    <row r="3198" ht="15.75" customHeight="1">
      <c r="A3198" s="2">
        <v>19569.0</v>
      </c>
      <c r="B3198" s="2" t="s">
        <v>4304</v>
      </c>
      <c r="C3198" s="2" t="s">
        <v>7109</v>
      </c>
      <c r="D3198" s="2" t="s">
        <v>13</v>
      </c>
      <c r="E3198" s="2" t="s">
        <v>20</v>
      </c>
      <c r="F3198" s="2">
        <v>0.0</v>
      </c>
      <c r="G3198" s="2">
        <v>193.0</v>
      </c>
      <c r="H3198" s="3" t="str">
        <f>HYPERLINK("http://www.linkedin.com/pub/leandro-zirpoli/3/35a/7b","http://www.linkedin.com/pub/leandro-zirpoli/3/35a/7b")</f>
        <v>http://www.linkedin.com/pub/leandro-zirpoli/3/35a/7b</v>
      </c>
      <c r="I3198" s="2" t="s">
        <v>1237</v>
      </c>
      <c r="J3198" s="2" t="s">
        <v>21</v>
      </c>
      <c r="K3198" s="2" t="s">
        <v>5734</v>
      </c>
    </row>
    <row r="3199" ht="15.75" customHeight="1">
      <c r="A3199" s="2">
        <v>19647.0</v>
      </c>
      <c r="B3199" s="2" t="s">
        <v>4922</v>
      </c>
      <c r="C3199" s="2" t="s">
        <v>7110</v>
      </c>
      <c r="D3199" s="2" t="s">
        <v>13</v>
      </c>
      <c r="E3199" s="2" t="s">
        <v>7111</v>
      </c>
      <c r="F3199" s="2">
        <v>8.0</v>
      </c>
      <c r="G3199" s="2">
        <v>305.0</v>
      </c>
      <c r="H3199" s="3" t="str">
        <f>HYPERLINK("http://www.linkedin.com/pub/debra-depuy/3/a51/744","http://www.linkedin.com/pub/debra-depuy/3/a51/744")</f>
        <v>http://www.linkedin.com/pub/debra-depuy/3/a51/744</v>
      </c>
      <c r="I3199" s="2" t="s">
        <v>15</v>
      </c>
      <c r="J3199" s="2" t="s">
        <v>102</v>
      </c>
      <c r="K3199" s="2" t="s">
        <v>6118</v>
      </c>
    </row>
    <row r="3200" ht="15.75" customHeight="1">
      <c r="A3200" s="2">
        <v>19709.0</v>
      </c>
      <c r="B3200" s="2" t="s">
        <v>7112</v>
      </c>
      <c r="C3200" s="2" t="s">
        <v>7113</v>
      </c>
      <c r="D3200" s="2" t="s">
        <v>7114</v>
      </c>
      <c r="E3200" s="2" t="s">
        <v>20</v>
      </c>
      <c r="F3200" s="2">
        <v>3.0</v>
      </c>
      <c r="G3200" s="2">
        <v>500.0</v>
      </c>
      <c r="H3200" s="3" t="str">
        <f>HYPERLINK("http://ar.linkedin.com/in/sergioreynoso","http://ar.linkedin.com/in/sergioreynoso")</f>
        <v>http://ar.linkedin.com/in/sergioreynoso</v>
      </c>
      <c r="I3200" s="2" t="s">
        <v>4327</v>
      </c>
      <c r="J3200" s="2" t="s">
        <v>21</v>
      </c>
      <c r="K3200" s="2" t="s">
        <v>5727</v>
      </c>
    </row>
    <row r="3201" ht="15.75" customHeight="1">
      <c r="A3201" s="2">
        <v>19740.0</v>
      </c>
      <c r="B3201" s="2" t="s">
        <v>6025</v>
      </c>
      <c r="C3201" s="2" t="s">
        <v>7115</v>
      </c>
      <c r="D3201" s="2" t="s">
        <v>42</v>
      </c>
      <c r="E3201" s="2" t="s">
        <v>20</v>
      </c>
      <c r="F3201" s="2">
        <v>6.0</v>
      </c>
      <c r="G3201" s="2">
        <v>91.0</v>
      </c>
      <c r="H3201" s="3" t="str">
        <f>HYPERLINK("http://ar.linkedin.com/pub/hernan-zinik/4/246/967","http://ar.linkedin.com/pub/hernan-zinik/4/246/967")</f>
        <v>http://ar.linkedin.com/pub/hernan-zinik/4/246/967</v>
      </c>
      <c r="I3201" s="2" t="s">
        <v>629</v>
      </c>
      <c r="J3201" s="2" t="s">
        <v>21</v>
      </c>
      <c r="K3201" s="2" t="s">
        <v>5725</v>
      </c>
    </row>
    <row r="3202" ht="15.75" customHeight="1">
      <c r="A3202" s="2">
        <v>19757.0</v>
      </c>
      <c r="B3202" s="2" t="s">
        <v>6765</v>
      </c>
      <c r="C3202" s="2" t="s">
        <v>7116</v>
      </c>
      <c r="D3202" s="2" t="s">
        <v>7117</v>
      </c>
      <c r="E3202" s="2" t="s">
        <v>20</v>
      </c>
      <c r="F3202" s="2">
        <v>17.0</v>
      </c>
      <c r="G3202" s="2">
        <v>500.0</v>
      </c>
      <c r="H3202" s="3" t="str">
        <f>HYPERLINK("http://ar.linkedin.com/in/gastonalgaze","http://ar.linkedin.com/in/gastonalgaze")</f>
        <v>http://ar.linkedin.com/in/gastonalgaze</v>
      </c>
      <c r="I3202" s="2" t="s">
        <v>910</v>
      </c>
      <c r="J3202" s="2" t="s">
        <v>21</v>
      </c>
      <c r="K3202" s="2" t="s">
        <v>5727</v>
      </c>
    </row>
    <row r="3203" ht="15.75" customHeight="1">
      <c r="A3203" s="2">
        <v>19768.0</v>
      </c>
      <c r="B3203" s="2" t="s">
        <v>4304</v>
      </c>
      <c r="C3203" s="2" t="s">
        <v>7118</v>
      </c>
      <c r="D3203" s="2" t="s">
        <v>7119</v>
      </c>
      <c r="E3203" s="2" t="s">
        <v>20</v>
      </c>
      <c r="F3203" s="2">
        <v>5.0</v>
      </c>
      <c r="G3203" s="2">
        <v>500.0</v>
      </c>
      <c r="H3203" s="3" t="str">
        <f>HYPERLINK("http://ar.linkedin.com/pub/leandro-galli/9/285/853","http://ar.linkedin.com/pub/leandro-galli/9/285/853")</f>
        <v>http://ar.linkedin.com/pub/leandro-galli/9/285/853</v>
      </c>
      <c r="I3203" s="2" t="s">
        <v>115</v>
      </c>
      <c r="J3203" s="2" t="s">
        <v>21</v>
      </c>
      <c r="K3203" s="2" t="s">
        <v>5727</v>
      </c>
    </row>
    <row r="3204" ht="15.75" customHeight="1">
      <c r="A3204" s="2">
        <v>19782.0</v>
      </c>
      <c r="B3204" s="2" t="s">
        <v>7120</v>
      </c>
      <c r="C3204" s="2" t="s">
        <v>7121</v>
      </c>
      <c r="D3204" s="2" t="s">
        <v>7122</v>
      </c>
      <c r="E3204" s="2" t="s">
        <v>20</v>
      </c>
      <c r="F3204" s="2">
        <v>1.0</v>
      </c>
      <c r="G3204" s="2">
        <v>217.0</v>
      </c>
      <c r="H3204" s="3" t="str">
        <f>HYPERLINK("http://ar.linkedin.com/pub/garcilaso-jordana/3/1A8/605","http://ar.linkedin.com/pub/garcilaso-jordana/3/1A8/605")</f>
        <v>http://ar.linkedin.com/pub/garcilaso-jordana/3/1A8/605</v>
      </c>
      <c r="I3204" s="2" t="s">
        <v>48</v>
      </c>
      <c r="J3204" s="2" t="s">
        <v>21</v>
      </c>
      <c r="K3204" s="2" t="s">
        <v>5725</v>
      </c>
    </row>
    <row r="3205" ht="15.75" customHeight="1">
      <c r="A3205" s="2">
        <v>19809.0</v>
      </c>
      <c r="B3205" s="2" t="s">
        <v>5890</v>
      </c>
      <c r="C3205" s="2" t="s">
        <v>7123</v>
      </c>
      <c r="D3205" s="2" t="s">
        <v>7124</v>
      </c>
      <c r="E3205" s="2" t="s">
        <v>20</v>
      </c>
      <c r="F3205" s="2">
        <v>6.0</v>
      </c>
      <c r="G3205" s="2">
        <v>500.0</v>
      </c>
      <c r="H3205" s="3" t="str">
        <f>HYPERLINK("http://ar.linkedin.com/in/pablodanielbarbi","http://ar.linkedin.com/in/pablodanielbarbi")</f>
        <v>http://ar.linkedin.com/in/pablodanielbarbi</v>
      </c>
      <c r="I3205" s="2" t="s">
        <v>119</v>
      </c>
      <c r="J3205" s="2" t="s">
        <v>21</v>
      </c>
      <c r="K3205" s="2" t="s">
        <v>6206</v>
      </c>
    </row>
    <row r="3206" ht="15.75" customHeight="1">
      <c r="A3206" s="2">
        <v>19820.0</v>
      </c>
      <c r="B3206" s="2" t="s">
        <v>3201</v>
      </c>
      <c r="C3206" s="2" t="s">
        <v>7125</v>
      </c>
      <c r="D3206" s="2" t="s">
        <v>13</v>
      </c>
      <c r="E3206" s="2" t="s">
        <v>20</v>
      </c>
      <c r="F3206" s="2">
        <v>0.0</v>
      </c>
      <c r="G3206" s="2">
        <v>378.0</v>
      </c>
      <c r="H3206" s="3" t="str">
        <f>HYPERLINK("http://www.linkedin.com/pub/sebastian-caldumbide/15/733/836","http://www.linkedin.com/pub/sebastian-caldumbide/15/733/836")</f>
        <v>http://www.linkedin.com/pub/sebastian-caldumbide/15/733/836</v>
      </c>
      <c r="I3206" s="2" t="s">
        <v>458</v>
      </c>
      <c r="J3206" s="2" t="s">
        <v>21</v>
      </c>
      <c r="K3206" s="2" t="s">
        <v>5848</v>
      </c>
    </row>
    <row r="3207" ht="15.75" customHeight="1">
      <c r="A3207" s="2">
        <v>19840.0</v>
      </c>
      <c r="B3207" s="2" t="s">
        <v>7126</v>
      </c>
      <c r="C3207" s="2" t="s">
        <v>7127</v>
      </c>
      <c r="D3207" s="2" t="s">
        <v>7128</v>
      </c>
      <c r="E3207" s="2" t="s">
        <v>20</v>
      </c>
      <c r="F3207" s="2">
        <v>1.0</v>
      </c>
      <c r="G3207" s="2">
        <v>212.0</v>
      </c>
      <c r="H3207" s="3" t="str">
        <f>HYPERLINK("http://ar.linkedin.com/in/eassefi","http://ar.linkedin.com/in/eassefi")</f>
        <v>http://ar.linkedin.com/in/eassefi</v>
      </c>
      <c r="I3207" s="2" t="s">
        <v>77</v>
      </c>
      <c r="J3207" s="2" t="s">
        <v>21</v>
      </c>
      <c r="K3207" s="2" t="s">
        <v>5848</v>
      </c>
    </row>
    <row r="3208" ht="15.75" customHeight="1">
      <c r="A3208" s="2">
        <v>19841.0</v>
      </c>
      <c r="B3208" s="2" t="s">
        <v>609</v>
      </c>
      <c r="C3208" s="2" t="s">
        <v>7129</v>
      </c>
      <c r="D3208" s="2" t="s">
        <v>13</v>
      </c>
      <c r="E3208" s="2" t="s">
        <v>20</v>
      </c>
      <c r="F3208" s="2">
        <v>0.0</v>
      </c>
      <c r="G3208" s="2">
        <v>333.0</v>
      </c>
      <c r="H3208" s="3" t="str">
        <f>HYPERLINK("http://www.linkedin.com/pub/ricardo-caldes/1/8a5/613","http://www.linkedin.com/pub/ricardo-caldes/1/8a5/613")</f>
        <v>http://www.linkedin.com/pub/ricardo-caldes/1/8a5/613</v>
      </c>
      <c r="I3208" s="2" t="s">
        <v>696</v>
      </c>
      <c r="J3208" s="2" t="s">
        <v>21</v>
      </c>
      <c r="K3208" s="2" t="s">
        <v>5785</v>
      </c>
    </row>
    <row r="3209" ht="15.75" customHeight="1">
      <c r="A3209" s="2">
        <v>19865.0</v>
      </c>
      <c r="B3209" s="2" t="s">
        <v>6012</v>
      </c>
      <c r="C3209" s="2" t="s">
        <v>7130</v>
      </c>
      <c r="D3209" s="2" t="s">
        <v>7131</v>
      </c>
      <c r="E3209" s="2" t="s">
        <v>20</v>
      </c>
      <c r="F3209" s="2">
        <v>12.0</v>
      </c>
      <c r="G3209" s="2">
        <v>500.0</v>
      </c>
      <c r="H3209" s="3" t="str">
        <f>HYPERLINK("http://ar.linkedin.com/pub/hern%C3%A1n-britos/11/451/726","http://ar.linkedin.com/pub/hern%C3%A1n-britos/11/451/726")</f>
        <v>http://ar.linkedin.com/pub/hern%C3%A1n-britos/11/451/726</v>
      </c>
      <c r="I3209" s="2" t="s">
        <v>458</v>
      </c>
      <c r="J3209" s="2" t="s">
        <v>21</v>
      </c>
      <c r="K3209" s="2" t="s">
        <v>7132</v>
      </c>
    </row>
    <row r="3210" ht="15.75" customHeight="1">
      <c r="A3210" s="2">
        <v>19872.0</v>
      </c>
      <c r="B3210" s="2" t="s">
        <v>314</v>
      </c>
      <c r="C3210" s="2" t="s">
        <v>7133</v>
      </c>
      <c r="D3210" s="2" t="s">
        <v>13</v>
      </c>
      <c r="E3210" s="2" t="s">
        <v>20</v>
      </c>
      <c r="F3210" s="2">
        <v>0.0</v>
      </c>
      <c r="G3210" s="2">
        <v>270.0</v>
      </c>
      <c r="H3210" s="3" t="str">
        <f>HYPERLINK("http://www.linkedin.com/pub/marcos-impalea/5/6b/8a2","http://www.linkedin.com/pub/marcos-impalea/5/6b/8a2")</f>
        <v>http://www.linkedin.com/pub/marcos-impalea/5/6b/8a2</v>
      </c>
      <c r="I3210" s="2" t="s">
        <v>15</v>
      </c>
      <c r="J3210" s="2" t="s">
        <v>21</v>
      </c>
      <c r="K3210" s="2" t="s">
        <v>5725</v>
      </c>
    </row>
    <row r="3211" ht="15.75" customHeight="1">
      <c r="A3211" s="2">
        <v>19886.0</v>
      </c>
      <c r="B3211" s="2" t="s">
        <v>3201</v>
      </c>
      <c r="C3211" s="2" t="s">
        <v>6794</v>
      </c>
      <c r="D3211" s="2" t="s">
        <v>7134</v>
      </c>
      <c r="E3211" s="2" t="s">
        <v>20</v>
      </c>
      <c r="F3211" s="2">
        <v>10.0</v>
      </c>
      <c r="G3211" s="2">
        <v>500.0</v>
      </c>
      <c r="H3211" s="3" t="str">
        <f>HYPERLINK("http://ar.linkedin.com/in/ferrarisebastian","http://ar.linkedin.com/in/ferrarisebastian")</f>
        <v>http://ar.linkedin.com/in/ferrarisebastian</v>
      </c>
      <c r="I3211" s="2" t="s">
        <v>248</v>
      </c>
      <c r="J3211" s="2" t="s">
        <v>21</v>
      </c>
      <c r="K3211" s="2" t="s">
        <v>6046</v>
      </c>
    </row>
    <row r="3212" ht="15.75" customHeight="1">
      <c r="A3212" s="2">
        <v>19927.0</v>
      </c>
      <c r="B3212" s="2" t="s">
        <v>677</v>
      </c>
      <c r="C3212" s="2" t="s">
        <v>1448</v>
      </c>
      <c r="D3212" s="2" t="s">
        <v>7135</v>
      </c>
      <c r="E3212" s="2" t="s">
        <v>20</v>
      </c>
      <c r="F3212" s="2">
        <v>6.0</v>
      </c>
      <c r="G3212" s="2">
        <v>188.0</v>
      </c>
      <c r="H3212" s="3" t="str">
        <f>HYPERLINK("http://ar.linkedin.com/in/daniking","http://ar.linkedin.com/in/daniking")</f>
        <v>http://ar.linkedin.com/in/daniking</v>
      </c>
      <c r="I3212" s="2" t="s">
        <v>69</v>
      </c>
      <c r="J3212" s="2" t="s">
        <v>21</v>
      </c>
      <c r="K3212" s="2" t="s">
        <v>5777</v>
      </c>
    </row>
    <row r="3213" ht="15.75" customHeight="1">
      <c r="A3213" s="2">
        <v>19948.0</v>
      </c>
      <c r="B3213" s="2" t="s">
        <v>353</v>
      </c>
      <c r="C3213" s="2" t="s">
        <v>7136</v>
      </c>
      <c r="D3213" s="2" t="s">
        <v>13</v>
      </c>
      <c r="E3213" s="2" t="s">
        <v>20</v>
      </c>
      <c r="F3213" s="2">
        <v>8.0</v>
      </c>
      <c r="G3213" s="2">
        <v>287.0</v>
      </c>
      <c r="H3213" s="3" t="str">
        <f>HYPERLINK("http://www.linkedin.com/pub/alejandro-mainardi/1/969/144","http://www.linkedin.com/pub/alejandro-mainardi/1/969/144")</f>
        <v>http://www.linkedin.com/pub/alejandro-mainardi/1/969/144</v>
      </c>
      <c r="I3213" s="2" t="s">
        <v>579</v>
      </c>
      <c r="J3213" s="2" t="s">
        <v>21</v>
      </c>
      <c r="K3213" s="2" t="s">
        <v>5725</v>
      </c>
    </row>
    <row r="3214" ht="15.75" customHeight="1">
      <c r="A3214" s="2">
        <v>19990.0</v>
      </c>
      <c r="B3214" s="2" t="s">
        <v>70</v>
      </c>
      <c r="C3214" s="2" t="s">
        <v>6244</v>
      </c>
      <c r="D3214" s="2" t="s">
        <v>7137</v>
      </c>
      <c r="E3214" s="2" t="s">
        <v>20</v>
      </c>
      <c r="F3214" s="2">
        <v>2.0</v>
      </c>
      <c r="G3214" s="2">
        <v>205.0</v>
      </c>
      <c r="H3214" s="3" t="str">
        <f>HYPERLINK("http://ar.linkedin.com/in/gustavosuarez","http://ar.linkedin.com/in/gustavosuarez")</f>
        <v>http://ar.linkedin.com/in/gustavosuarez</v>
      </c>
      <c r="I3214" s="2" t="s">
        <v>681</v>
      </c>
      <c r="J3214" s="2" t="s">
        <v>21</v>
      </c>
      <c r="K3214" s="2" t="s">
        <v>5727</v>
      </c>
    </row>
    <row r="3215" ht="15.75" customHeight="1">
      <c r="A3215" s="2">
        <v>19992.0</v>
      </c>
      <c r="B3215" s="2" t="s">
        <v>540</v>
      </c>
      <c r="C3215" s="2" t="s">
        <v>7138</v>
      </c>
      <c r="D3215" s="2" t="s">
        <v>7139</v>
      </c>
      <c r="E3215" s="2" t="s">
        <v>20</v>
      </c>
      <c r="F3215" s="2">
        <v>3.0</v>
      </c>
      <c r="G3215" s="2">
        <v>443.0</v>
      </c>
      <c r="H3215" s="3" t="str">
        <f>HYPERLINK("http://ar.linkedin.com/in/christiansabino","http://ar.linkedin.com/in/christiansabino")</f>
        <v>http://ar.linkedin.com/in/christiansabino</v>
      </c>
      <c r="I3215" s="2" t="s">
        <v>279</v>
      </c>
      <c r="J3215" s="2" t="s">
        <v>21</v>
      </c>
      <c r="K3215" s="2" t="s">
        <v>5727</v>
      </c>
    </row>
    <row r="3216" ht="15.75" customHeight="1">
      <c r="A3216" s="2">
        <v>19997.0</v>
      </c>
      <c r="B3216" s="2" t="s">
        <v>7140</v>
      </c>
      <c r="C3216" s="2" t="s">
        <v>7141</v>
      </c>
      <c r="D3216" s="2" t="s">
        <v>7142</v>
      </c>
      <c r="E3216" s="2" t="s">
        <v>20</v>
      </c>
      <c r="F3216" s="2" t="s">
        <v>13</v>
      </c>
      <c r="G3216" s="2">
        <v>52.0</v>
      </c>
      <c r="H3216" s="3" t="str">
        <f>HYPERLINK("http://ar.linkedin.com/pub/norberto-kwist/5/374/B29","http://ar.linkedin.com/pub/norberto-kwist/5/374/B29")</f>
        <v>http://ar.linkedin.com/pub/norberto-kwist/5/374/B29</v>
      </c>
      <c r="I3216" s="2" t="s">
        <v>195</v>
      </c>
      <c r="J3216" s="2" t="s">
        <v>21</v>
      </c>
      <c r="K3216" s="2" t="s">
        <v>5865</v>
      </c>
    </row>
    <row r="3217" ht="15.75" customHeight="1">
      <c r="A3217" s="2">
        <v>20024.0</v>
      </c>
      <c r="B3217" s="2" t="s">
        <v>59</v>
      </c>
      <c r="C3217" s="2" t="s">
        <v>7143</v>
      </c>
      <c r="D3217" s="2" t="s">
        <v>7144</v>
      </c>
      <c r="E3217" s="2" t="s">
        <v>20</v>
      </c>
      <c r="F3217" s="2">
        <v>1.0</v>
      </c>
      <c r="G3217" s="2">
        <v>165.0</v>
      </c>
      <c r="H3217" s="3" t="str">
        <f>HYPERLINK("http://ar.linkedin.com/pub/martin-arco/15/B7/B7B","http://ar.linkedin.com/pub/martin-arco/15/B7/B7B")</f>
        <v>http://ar.linkedin.com/pub/martin-arco/15/B7/B7B</v>
      </c>
      <c r="I3217" s="2" t="s">
        <v>119</v>
      </c>
      <c r="J3217" s="2" t="s">
        <v>21</v>
      </c>
      <c r="K3217" s="2" t="s">
        <v>5785</v>
      </c>
    </row>
    <row r="3218" ht="15.75" customHeight="1">
      <c r="A3218" s="2">
        <v>20032.0</v>
      </c>
      <c r="B3218" s="2" t="s">
        <v>7145</v>
      </c>
      <c r="C3218" s="2" t="s">
        <v>7146</v>
      </c>
      <c r="D3218" s="2" t="s">
        <v>7147</v>
      </c>
      <c r="E3218" s="2" t="s">
        <v>20</v>
      </c>
      <c r="F3218" s="2">
        <v>14.0</v>
      </c>
      <c r="G3218" s="2">
        <v>266.0</v>
      </c>
      <c r="H3218" s="3" t="str">
        <f>HYPERLINK("http://ar.linkedin.com/in/federicoramos","http://ar.linkedin.com/in/federicoramos")</f>
        <v>http://ar.linkedin.com/in/federicoramos</v>
      </c>
      <c r="I3218" s="2" t="s">
        <v>279</v>
      </c>
      <c r="J3218" s="2" t="s">
        <v>21</v>
      </c>
      <c r="K3218" s="2" t="s">
        <v>5727</v>
      </c>
    </row>
    <row r="3219" ht="15.75" customHeight="1">
      <c r="A3219" s="2">
        <v>20033.0</v>
      </c>
      <c r="B3219" s="2" t="s">
        <v>5874</v>
      </c>
      <c r="C3219" s="2" t="s">
        <v>7148</v>
      </c>
      <c r="D3219" s="2" t="s">
        <v>7149</v>
      </c>
      <c r="E3219" s="2" t="s">
        <v>20</v>
      </c>
      <c r="F3219" s="2">
        <v>2.0</v>
      </c>
      <c r="G3219" s="2">
        <v>107.0</v>
      </c>
      <c r="H3219" s="3" t="str">
        <f>HYPERLINK("http://ar.linkedin.com/pub/juan-carlos-espinosa/4/6B4/727","http://ar.linkedin.com/pub/juan-carlos-espinosa/4/6B4/727")</f>
        <v>http://ar.linkedin.com/pub/juan-carlos-espinosa/4/6B4/727</v>
      </c>
      <c r="I3219" s="2" t="s">
        <v>579</v>
      </c>
      <c r="J3219" s="2" t="s">
        <v>21</v>
      </c>
      <c r="K3219" s="2" t="s">
        <v>5731</v>
      </c>
    </row>
    <row r="3220" ht="15.75" customHeight="1">
      <c r="A3220" s="2">
        <v>20037.0</v>
      </c>
      <c r="B3220" s="2" t="s">
        <v>5415</v>
      </c>
      <c r="C3220" s="2" t="s">
        <v>6508</v>
      </c>
      <c r="D3220" s="2" t="s">
        <v>7150</v>
      </c>
      <c r="E3220" s="2" t="s">
        <v>20</v>
      </c>
      <c r="F3220" s="2">
        <v>5.0</v>
      </c>
      <c r="G3220" s="2">
        <v>243.0</v>
      </c>
      <c r="H3220" s="3" t="str">
        <f>HYPERLINK("http://ar.linkedin.com/pub/cristian-sanchez/4/A41/57A","http://ar.linkedin.com/pub/cristian-sanchez/4/A41/57A")</f>
        <v>http://ar.linkedin.com/pub/cristian-sanchez/4/A41/57A</v>
      </c>
      <c r="I3220" s="2" t="s">
        <v>167</v>
      </c>
      <c r="J3220" s="2" t="s">
        <v>21</v>
      </c>
      <c r="K3220" s="2" t="s">
        <v>5727</v>
      </c>
    </row>
    <row r="3221" ht="15.75" customHeight="1">
      <c r="A3221" s="2">
        <v>20081.0</v>
      </c>
      <c r="B3221" s="2" t="s">
        <v>5728</v>
      </c>
      <c r="C3221" s="2" t="s">
        <v>7151</v>
      </c>
      <c r="D3221" s="2" t="s">
        <v>7152</v>
      </c>
      <c r="E3221" s="2" t="s">
        <v>20</v>
      </c>
      <c r="F3221" s="2">
        <v>5.0</v>
      </c>
      <c r="G3221" s="2">
        <v>180.0</v>
      </c>
      <c r="H3221" s="3" t="str">
        <f>HYPERLINK("http://ar.linkedin.com/in/maximilianosigmund","http://ar.linkedin.com/in/maximilianosigmund")</f>
        <v>http://ar.linkedin.com/in/maximilianosigmund</v>
      </c>
      <c r="I3221" s="2" t="s">
        <v>344</v>
      </c>
      <c r="J3221" s="2" t="s">
        <v>21</v>
      </c>
      <c r="K3221" s="2" t="s">
        <v>5727</v>
      </c>
    </row>
    <row r="3222" ht="15.75" customHeight="1">
      <c r="A3222" s="2">
        <v>20084.0</v>
      </c>
      <c r="B3222" s="2" t="s">
        <v>6012</v>
      </c>
      <c r="C3222" s="2" t="s">
        <v>7153</v>
      </c>
      <c r="D3222" s="2" t="s">
        <v>7154</v>
      </c>
      <c r="E3222" s="2" t="s">
        <v>20</v>
      </c>
      <c r="F3222" s="2">
        <v>6.0</v>
      </c>
      <c r="G3222" s="2">
        <v>500.0</v>
      </c>
      <c r="H3222" s="3" t="str">
        <f>HYPERLINK("http://ar.linkedin.com/pub/hern-n-vittino/6/5A/9A8","http://ar.linkedin.com/pub/hern-n-vittino/6/5A/9A8")</f>
        <v>http://ar.linkedin.com/pub/hern-n-vittino/6/5A/9A8</v>
      </c>
      <c r="I3222" s="2" t="s">
        <v>132</v>
      </c>
      <c r="J3222" s="2" t="s">
        <v>21</v>
      </c>
      <c r="K3222" s="2" t="s">
        <v>5727</v>
      </c>
    </row>
    <row r="3223" ht="15.75" customHeight="1">
      <c r="A3223" s="2">
        <v>20086.0</v>
      </c>
      <c r="B3223" s="2" t="s">
        <v>7155</v>
      </c>
      <c r="C3223" s="2" t="s">
        <v>7156</v>
      </c>
      <c r="D3223" s="2" t="s">
        <v>7157</v>
      </c>
      <c r="E3223" s="2" t="s">
        <v>20</v>
      </c>
      <c r="F3223" s="2">
        <v>1.0</v>
      </c>
      <c r="G3223" s="2">
        <v>302.0</v>
      </c>
      <c r="H3223" s="3" t="str">
        <f>HYPERLINK("http://ar.linkedin.com/in/humbertoduchen","http://ar.linkedin.com/in/humbertoduchen")</f>
        <v>http://ar.linkedin.com/in/humbertoduchen</v>
      </c>
      <c r="I3223" s="2" t="s">
        <v>252</v>
      </c>
      <c r="J3223" s="2" t="s">
        <v>21</v>
      </c>
      <c r="K3223" s="2" t="s">
        <v>5994</v>
      </c>
    </row>
    <row r="3224" ht="15.75" customHeight="1">
      <c r="A3224" s="2">
        <v>20117.0</v>
      </c>
      <c r="B3224" s="2" t="s">
        <v>7158</v>
      </c>
      <c r="C3224" s="2" t="s">
        <v>7159</v>
      </c>
      <c r="D3224" s="2" t="s">
        <v>7160</v>
      </c>
      <c r="E3224" s="2" t="s">
        <v>20</v>
      </c>
      <c r="F3224" s="2" t="s">
        <v>13</v>
      </c>
      <c r="G3224" s="2">
        <v>181.0</v>
      </c>
      <c r="H3224" s="3" t="str">
        <f>HYPERLINK("http://ar.linkedin.com/pub/nahuel-zej%C3%A1n-ju%C3%A1rez/26/B49/8A7","http://ar.linkedin.com/pub/nahuel-zej%C3%A1n-ju%C3%A1rez/26/B49/8A7")</f>
        <v>http://ar.linkedin.com/pub/nahuel-zej%C3%A1n-ju%C3%A1rez/26/B49/8A7</v>
      </c>
      <c r="I3224" s="2" t="s">
        <v>15</v>
      </c>
      <c r="J3224" s="2" t="s">
        <v>21</v>
      </c>
      <c r="K3224" s="2" t="s">
        <v>6124</v>
      </c>
    </row>
    <row r="3225" ht="15.75" customHeight="1">
      <c r="A3225" s="2">
        <v>20157.0</v>
      </c>
      <c r="B3225" s="2" t="s">
        <v>7161</v>
      </c>
      <c r="C3225" s="2" t="s">
        <v>6207</v>
      </c>
      <c r="D3225" s="2" t="s">
        <v>7162</v>
      </c>
      <c r="E3225" s="2" t="s">
        <v>20</v>
      </c>
      <c r="F3225" s="2">
        <v>0.0</v>
      </c>
      <c r="G3225" s="2">
        <v>500.0</v>
      </c>
      <c r="H3225" s="3" t="str">
        <f>HYPERLINK("http://www.linkedin.com/in/martindiegoalvarez","http://www.linkedin.com/in/martindiegoalvarez")</f>
        <v>http://www.linkedin.com/in/martindiegoalvarez</v>
      </c>
      <c r="I3225" s="2" t="s">
        <v>279</v>
      </c>
      <c r="J3225" s="2" t="s">
        <v>21</v>
      </c>
      <c r="K3225" s="2" t="s">
        <v>5734</v>
      </c>
    </row>
    <row r="3226" ht="15.75" customHeight="1">
      <c r="A3226" s="2">
        <v>20171.0</v>
      </c>
      <c r="B3226" s="2" t="s">
        <v>7163</v>
      </c>
      <c r="C3226" s="2" t="s">
        <v>740</v>
      </c>
      <c r="D3226" s="2" t="s">
        <v>7164</v>
      </c>
      <c r="E3226" s="2" t="s">
        <v>20</v>
      </c>
      <c r="F3226" s="2">
        <v>21.0</v>
      </c>
      <c r="G3226" s="2">
        <v>500.0</v>
      </c>
      <c r="H3226" s="3" t="str">
        <f>HYPERLINK("http://ar.linkedin.com/in/patriciajsilva","http://ar.linkedin.com/in/patriciajsilva")</f>
        <v>http://ar.linkedin.com/in/patriciajsilva</v>
      </c>
      <c r="I3226" s="2" t="s">
        <v>105</v>
      </c>
      <c r="J3226" s="2" t="s">
        <v>21</v>
      </c>
      <c r="K3226" s="2" t="s">
        <v>5727</v>
      </c>
    </row>
    <row r="3227" ht="15.75" customHeight="1">
      <c r="A3227" s="2">
        <v>20174.0</v>
      </c>
      <c r="B3227" s="2" t="s">
        <v>431</v>
      </c>
      <c r="C3227" s="2" t="s">
        <v>7165</v>
      </c>
      <c r="D3227" s="2" t="s">
        <v>7166</v>
      </c>
      <c r="E3227" s="2" t="s">
        <v>20</v>
      </c>
      <c r="F3227" s="2">
        <v>2.0</v>
      </c>
      <c r="G3227" s="2">
        <v>168.0</v>
      </c>
      <c r="H3227" s="3" t="str">
        <f>HYPERLINK("http://ar.linkedin.com/pub/rodrigo-perello/9/809/735","http://ar.linkedin.com/pub/rodrigo-perello/9/809/735")</f>
        <v>http://ar.linkedin.com/pub/rodrigo-perello/9/809/735</v>
      </c>
      <c r="I3227" s="2" t="s">
        <v>1948</v>
      </c>
      <c r="J3227" s="2" t="s">
        <v>21</v>
      </c>
      <c r="K3227" s="2" t="s">
        <v>5727</v>
      </c>
    </row>
    <row r="3228" ht="15.75" customHeight="1">
      <c r="A3228" s="2">
        <v>20178.0</v>
      </c>
      <c r="B3228" s="2" t="s">
        <v>7167</v>
      </c>
      <c r="C3228" s="2" t="s">
        <v>6412</v>
      </c>
      <c r="D3228" s="2" t="s">
        <v>42</v>
      </c>
      <c r="E3228" s="2" t="s">
        <v>20</v>
      </c>
      <c r="F3228" s="2" t="s">
        <v>13</v>
      </c>
      <c r="G3228" s="2">
        <v>124.0</v>
      </c>
      <c r="H3228" s="3" t="str">
        <f>HYPERLINK("http://ar.linkedin.com/pub/wenceslao-frascaroli/20/6/6A4","http://ar.linkedin.com/pub/wenceslao-frascaroli/20/6/6A4")</f>
        <v>http://ar.linkedin.com/pub/wenceslao-frascaroli/20/6/6A4</v>
      </c>
      <c r="I3228" s="2" t="s">
        <v>470</v>
      </c>
      <c r="J3228" s="2" t="s">
        <v>21</v>
      </c>
      <c r="K3228" s="2" t="s">
        <v>5725</v>
      </c>
    </row>
    <row r="3229" ht="15.75" customHeight="1">
      <c r="A3229" s="2">
        <v>20181.0</v>
      </c>
      <c r="B3229" s="2" t="s">
        <v>7168</v>
      </c>
      <c r="C3229" s="2" t="s">
        <v>7169</v>
      </c>
      <c r="D3229" s="2" t="s">
        <v>7170</v>
      </c>
      <c r="E3229" s="2" t="s">
        <v>20</v>
      </c>
      <c r="F3229" s="2">
        <v>8.0</v>
      </c>
      <c r="G3229" s="2">
        <v>500.0</v>
      </c>
      <c r="H3229" s="3" t="str">
        <f>HYPERLINK("http://ar.linkedin.com/pub/lisandro-vinitsky/9/19/470","http://ar.linkedin.com/pub/lisandro-vinitsky/9/19/470")</f>
        <v>http://ar.linkedin.com/pub/lisandro-vinitsky/9/19/470</v>
      </c>
      <c r="I3229" s="2" t="s">
        <v>57</v>
      </c>
      <c r="J3229" s="2" t="s">
        <v>21</v>
      </c>
      <c r="K3229" s="2" t="s">
        <v>5727</v>
      </c>
    </row>
    <row r="3230" ht="15.75" customHeight="1">
      <c r="A3230" s="2">
        <v>20184.0</v>
      </c>
      <c r="B3230" s="2" t="s">
        <v>3165</v>
      </c>
      <c r="C3230" s="2" t="s">
        <v>7171</v>
      </c>
      <c r="D3230" s="2" t="s">
        <v>13</v>
      </c>
      <c r="E3230" s="2" t="s">
        <v>20</v>
      </c>
      <c r="F3230" s="2">
        <v>0.0</v>
      </c>
      <c r="G3230" s="2">
        <v>500.0</v>
      </c>
      <c r="H3230" s="3" t="str">
        <f>HYPERLINK("http://www.linkedin.com/pub/luciana-vi%C3%B1as/a/38/26","http://www.linkedin.com/pub/luciana-vi%C3%B1as/a/38/26")</f>
        <v>http://www.linkedin.com/pub/luciana-vi%C3%B1as/a/38/26</v>
      </c>
      <c r="I3230" s="2" t="s">
        <v>458</v>
      </c>
      <c r="J3230" s="2" t="s">
        <v>21</v>
      </c>
      <c r="K3230" s="2" t="s">
        <v>7172</v>
      </c>
    </row>
    <row r="3231" ht="15.75" customHeight="1">
      <c r="A3231" s="2">
        <v>20194.0</v>
      </c>
      <c r="B3231" s="2" t="s">
        <v>7173</v>
      </c>
      <c r="C3231" s="2" t="s">
        <v>7174</v>
      </c>
      <c r="D3231" s="2" t="s">
        <v>7175</v>
      </c>
      <c r="E3231" s="2" t="s">
        <v>20</v>
      </c>
      <c r="F3231" s="2">
        <v>2.0</v>
      </c>
      <c r="G3231" s="2">
        <v>440.0</v>
      </c>
      <c r="H3231" s="3" t="str">
        <f>HYPERLINK("http://ar.linkedin.com/in/slopezgalanes","http://ar.linkedin.com/in/slopezgalanes")</f>
        <v>http://ar.linkedin.com/in/slopezgalanes</v>
      </c>
      <c r="I3231" s="2" t="s">
        <v>279</v>
      </c>
      <c r="J3231" s="2" t="s">
        <v>21</v>
      </c>
      <c r="K3231" s="2" t="s">
        <v>5727</v>
      </c>
    </row>
    <row r="3232" ht="15.75" customHeight="1">
      <c r="A3232" s="2">
        <v>20195.0</v>
      </c>
      <c r="B3232" s="2" t="s">
        <v>253</v>
      </c>
      <c r="C3232" s="2" t="s">
        <v>129</v>
      </c>
      <c r="D3232" s="2" t="s">
        <v>13</v>
      </c>
      <c r="E3232" s="2" t="s">
        <v>20</v>
      </c>
      <c r="F3232" s="2">
        <v>0.0</v>
      </c>
      <c r="G3232" s="2">
        <v>485.0</v>
      </c>
      <c r="H3232" s="3" t="str">
        <f>HYPERLINK("http://ar.linkedin.com/in/fgermano","http://ar.linkedin.com/in/fgermano")</f>
        <v>http://ar.linkedin.com/in/fgermano</v>
      </c>
      <c r="I3232" s="2" t="s">
        <v>15</v>
      </c>
      <c r="J3232" s="2" t="s">
        <v>21</v>
      </c>
      <c r="K3232" s="2" t="s">
        <v>5734</v>
      </c>
    </row>
    <row r="3233" ht="15.75" customHeight="1">
      <c r="A3233" s="2">
        <v>20206.0</v>
      </c>
      <c r="B3233" s="2" t="s">
        <v>5849</v>
      </c>
      <c r="C3233" s="2" t="s">
        <v>7176</v>
      </c>
      <c r="D3233" s="2" t="s">
        <v>7177</v>
      </c>
      <c r="E3233" s="2" t="s">
        <v>20</v>
      </c>
      <c r="F3233" s="2">
        <v>1.0</v>
      </c>
      <c r="G3233" s="2">
        <v>188.0</v>
      </c>
      <c r="H3233" s="3" t="str">
        <f>HYPERLINK("http://ar.linkedin.com/in/facundoprecentado","http://ar.linkedin.com/in/facundoprecentado")</f>
        <v>http://ar.linkedin.com/in/facundoprecentado</v>
      </c>
      <c r="I3233" s="2" t="s">
        <v>160</v>
      </c>
      <c r="J3233" s="2" t="s">
        <v>21</v>
      </c>
      <c r="K3233" s="2" t="s">
        <v>5785</v>
      </c>
    </row>
    <row r="3234" ht="15.75" customHeight="1">
      <c r="A3234" s="2">
        <v>20254.0</v>
      </c>
      <c r="B3234" s="2" t="s">
        <v>70</v>
      </c>
      <c r="C3234" s="2" t="s">
        <v>7178</v>
      </c>
      <c r="D3234" s="2" t="s">
        <v>7179</v>
      </c>
      <c r="E3234" s="2" t="s">
        <v>20</v>
      </c>
      <c r="F3234" s="2">
        <v>13.0</v>
      </c>
      <c r="G3234" s="2">
        <v>500.0</v>
      </c>
      <c r="H3234" s="3" t="str">
        <f>HYPERLINK("http://ar.linkedin.com/in/gustavomagenta","http://ar.linkedin.com/in/gustavomagenta")</f>
        <v>http://ar.linkedin.com/in/gustavomagenta</v>
      </c>
      <c r="I3234" s="2" t="s">
        <v>579</v>
      </c>
      <c r="J3234" s="2" t="s">
        <v>21</v>
      </c>
      <c r="K3234" s="2" t="s">
        <v>5731</v>
      </c>
    </row>
    <row r="3235" ht="15.75" customHeight="1">
      <c r="A3235" s="2">
        <v>20261.0</v>
      </c>
      <c r="B3235" s="2" t="s">
        <v>45</v>
      </c>
      <c r="C3235" s="2" t="s">
        <v>7180</v>
      </c>
      <c r="D3235" s="2" t="s">
        <v>950</v>
      </c>
      <c r="E3235" s="2" t="s">
        <v>20</v>
      </c>
      <c r="F3235" s="2">
        <v>8.0</v>
      </c>
      <c r="G3235" s="2">
        <v>435.0</v>
      </c>
      <c r="H3235" s="3" t="str">
        <f>HYPERLINK("http://ar.linkedin.com/pub/carlos-basualdo/0/745/B50","http://ar.linkedin.com/pub/carlos-basualdo/0/745/B50")</f>
        <v>http://ar.linkedin.com/pub/carlos-basualdo/0/745/B50</v>
      </c>
      <c r="I3235" s="2" t="s">
        <v>1237</v>
      </c>
      <c r="J3235" s="2" t="s">
        <v>21</v>
      </c>
      <c r="K3235" s="2" t="s">
        <v>5734</v>
      </c>
    </row>
    <row r="3236" ht="15.75" customHeight="1">
      <c r="A3236" s="2">
        <v>20262.0</v>
      </c>
      <c r="B3236" s="2" t="s">
        <v>227</v>
      </c>
      <c r="C3236" s="2" t="s">
        <v>7181</v>
      </c>
      <c r="D3236" s="2" t="s">
        <v>7182</v>
      </c>
      <c r="E3236" s="2" t="s">
        <v>20</v>
      </c>
      <c r="F3236" s="2">
        <v>1.0</v>
      </c>
      <c r="G3236" s="2">
        <v>500.0</v>
      </c>
      <c r="H3236" s="3" t="str">
        <f>HYPERLINK("http://ar.linkedin.com/in/jwaitz","http://ar.linkedin.com/in/jwaitz")</f>
        <v>http://ar.linkedin.com/in/jwaitz</v>
      </c>
      <c r="I3236" s="2" t="s">
        <v>77</v>
      </c>
      <c r="J3236" s="2" t="s">
        <v>21</v>
      </c>
      <c r="K3236" s="2" t="s">
        <v>5785</v>
      </c>
    </row>
    <row r="3237" ht="15.75" customHeight="1">
      <c r="A3237" s="2">
        <v>20271.0</v>
      </c>
      <c r="B3237" s="2" t="s">
        <v>677</v>
      </c>
      <c r="C3237" s="2" t="s">
        <v>7183</v>
      </c>
      <c r="D3237" s="2" t="s">
        <v>7184</v>
      </c>
      <c r="E3237" s="2" t="s">
        <v>1190</v>
      </c>
      <c r="F3237" s="2">
        <v>0.0</v>
      </c>
      <c r="G3237" s="2">
        <v>121.0</v>
      </c>
      <c r="H3237" s="3" t="str">
        <f>HYPERLINK("http://www.linkedin.com/pub/daniel-rowinsky/6/620/240","http://www.linkedin.com/pub/daniel-rowinsky/6/620/240")</f>
        <v>http://www.linkedin.com/pub/daniel-rowinsky/6/620/240</v>
      </c>
      <c r="I3237" s="2" t="s">
        <v>1931</v>
      </c>
      <c r="J3237" s="2" t="s">
        <v>102</v>
      </c>
      <c r="K3237" s="2" t="s">
        <v>5743</v>
      </c>
    </row>
    <row r="3238" ht="15.75" customHeight="1">
      <c r="A3238" s="2">
        <v>20272.0</v>
      </c>
      <c r="B3238" s="2" t="s">
        <v>5883</v>
      </c>
      <c r="C3238" s="2" t="s">
        <v>7185</v>
      </c>
      <c r="D3238" s="2" t="s">
        <v>7186</v>
      </c>
      <c r="E3238" s="2" t="s">
        <v>1190</v>
      </c>
      <c r="F3238" s="2">
        <v>2.0</v>
      </c>
      <c r="G3238" s="2">
        <v>500.0</v>
      </c>
      <c r="H3238" s="3" t="str">
        <f>HYPERLINK("http://www.linkedin.com/pub/ariel-casali/14/29B/B6","http://www.linkedin.com/pub/ariel-casali/14/29B/B6")</f>
        <v>http://www.linkedin.com/pub/ariel-casali/14/29B/B6</v>
      </c>
      <c r="I3238" s="2" t="s">
        <v>6777</v>
      </c>
      <c r="J3238" s="2" t="s">
        <v>102</v>
      </c>
      <c r="K3238" s="2" t="s">
        <v>7187</v>
      </c>
    </row>
    <row r="3239" ht="15.75" customHeight="1">
      <c r="A3239" s="2">
        <v>20296.0</v>
      </c>
      <c r="B3239" s="2" t="s">
        <v>540</v>
      </c>
      <c r="C3239" s="2" t="s">
        <v>7188</v>
      </c>
      <c r="D3239" s="2" t="s">
        <v>7189</v>
      </c>
      <c r="E3239" s="2" t="s">
        <v>20</v>
      </c>
      <c r="F3239" s="2">
        <v>20.0</v>
      </c>
      <c r="G3239" s="2">
        <v>500.0</v>
      </c>
      <c r="H3239" s="3" t="str">
        <f>HYPERLINK("http://ar.linkedin.com/pub/christian-vazquez/2/619/64","http://ar.linkedin.com/pub/christian-vazquez/2/619/64")</f>
        <v>http://ar.linkedin.com/pub/christian-vazquez/2/619/64</v>
      </c>
      <c r="I3239" s="2" t="s">
        <v>77</v>
      </c>
      <c r="J3239" s="2" t="s">
        <v>21</v>
      </c>
      <c r="K3239" s="2" t="s">
        <v>5731</v>
      </c>
    </row>
    <row r="3240" ht="15.75" customHeight="1">
      <c r="A3240" s="2">
        <v>20304.0</v>
      </c>
      <c r="B3240" s="2" t="s">
        <v>3201</v>
      </c>
      <c r="C3240" s="2" t="s">
        <v>7014</v>
      </c>
      <c r="D3240" s="2" t="s">
        <v>7190</v>
      </c>
      <c r="E3240" s="2" t="s">
        <v>20</v>
      </c>
      <c r="F3240" s="2">
        <v>4.0</v>
      </c>
      <c r="G3240" s="2">
        <v>500.0</v>
      </c>
      <c r="H3240" s="3" t="str">
        <f>HYPERLINK("http://ar.linkedin.com/in/sebastianlozano","http://ar.linkedin.com/in/sebastianlozano")</f>
        <v>http://ar.linkedin.com/in/sebastianlozano</v>
      </c>
      <c r="I3240" s="2" t="s">
        <v>579</v>
      </c>
      <c r="J3240" s="2" t="s">
        <v>21</v>
      </c>
      <c r="K3240" s="2" t="s">
        <v>5743</v>
      </c>
    </row>
    <row r="3241" ht="15.75" customHeight="1">
      <c r="A3241" s="2">
        <v>20316.0</v>
      </c>
      <c r="B3241" s="2" t="s">
        <v>6467</v>
      </c>
      <c r="C3241" s="2" t="s">
        <v>7191</v>
      </c>
      <c r="D3241" s="2" t="s">
        <v>7192</v>
      </c>
      <c r="E3241" s="2" t="s">
        <v>20</v>
      </c>
      <c r="F3241" s="2" t="s">
        <v>13</v>
      </c>
      <c r="G3241" s="2">
        <v>231.0</v>
      </c>
      <c r="H3241" s="3" t="str">
        <f>HYPERLINK("http://ar.linkedin.com/pub/florencia-quispe/A/720/1BB","http://ar.linkedin.com/pub/florencia-quispe/A/720/1BB")</f>
        <v>http://ar.linkedin.com/pub/florencia-quispe/A/720/1BB</v>
      </c>
      <c r="I3241" s="2" t="s">
        <v>15</v>
      </c>
      <c r="J3241" s="2" t="s">
        <v>21</v>
      </c>
      <c r="K3241" s="2" t="s">
        <v>5725</v>
      </c>
    </row>
    <row r="3242" ht="15.75" customHeight="1">
      <c r="A3242" s="2">
        <v>20320.0</v>
      </c>
      <c r="B3242" s="2" t="s">
        <v>5803</v>
      </c>
      <c r="C3242" s="2" t="s">
        <v>7193</v>
      </c>
      <c r="D3242" s="2" t="s">
        <v>7194</v>
      </c>
      <c r="E3242" s="2" t="s">
        <v>20</v>
      </c>
      <c r="F3242" s="2">
        <v>14.0</v>
      </c>
      <c r="G3242" s="2">
        <v>500.0</v>
      </c>
      <c r="H3242" s="3" t="str">
        <f>HYPERLINK("http://www.linkedin.com/in/perfilmag","http://www.linkedin.com/in/perfilmag")</f>
        <v>http://www.linkedin.com/in/perfilmag</v>
      </c>
      <c r="I3242" s="2" t="s">
        <v>15</v>
      </c>
      <c r="J3242" s="2" t="s">
        <v>21</v>
      </c>
      <c r="K3242" s="2" t="s">
        <v>5727</v>
      </c>
    </row>
    <row r="3243" ht="15.75" customHeight="1">
      <c r="A3243" s="2">
        <v>20321.0</v>
      </c>
      <c r="B3243" s="2" t="s">
        <v>7195</v>
      </c>
      <c r="C3243" s="2" t="s">
        <v>6105</v>
      </c>
      <c r="D3243" s="2" t="s">
        <v>5776</v>
      </c>
      <c r="E3243" s="2" t="s">
        <v>20</v>
      </c>
      <c r="F3243" s="2" t="s">
        <v>13</v>
      </c>
      <c r="G3243" s="2">
        <v>500.0</v>
      </c>
      <c r="H3243" s="3" t="str">
        <f>HYPERLINK("http://ar.linkedin.com/pub/ayelen-aguirre/2/527/884","http://ar.linkedin.com/pub/ayelen-aguirre/2/527/884")</f>
        <v>http://ar.linkedin.com/pub/ayelen-aguirre/2/527/884</v>
      </c>
      <c r="I3243" s="2" t="s">
        <v>15</v>
      </c>
      <c r="J3243" s="2" t="s">
        <v>21</v>
      </c>
      <c r="K3243" s="2" t="s">
        <v>5725</v>
      </c>
    </row>
    <row r="3244" ht="15.75" customHeight="1">
      <c r="A3244" s="2">
        <v>20327.0</v>
      </c>
      <c r="B3244" s="2" t="s">
        <v>3550</v>
      </c>
      <c r="C3244" s="2" t="s">
        <v>7196</v>
      </c>
      <c r="D3244" s="2" t="s">
        <v>7197</v>
      </c>
      <c r="E3244" s="2" t="s">
        <v>20</v>
      </c>
      <c r="F3244" s="2">
        <v>1.0</v>
      </c>
      <c r="G3244" s="2">
        <v>170.0</v>
      </c>
      <c r="H3244" s="3" t="str">
        <f>HYPERLINK("http://ar.linkedin.com/pub/nicolas-qui-ones/20/B04/249","http://ar.linkedin.com/pub/nicolas-qui-ones/20/B04/249")</f>
        <v>http://ar.linkedin.com/pub/nicolas-qui-ones/20/B04/249</v>
      </c>
      <c r="I3244" s="2" t="s">
        <v>15</v>
      </c>
      <c r="J3244" s="2" t="s">
        <v>21</v>
      </c>
      <c r="K3244" s="2" t="s">
        <v>5725</v>
      </c>
    </row>
    <row r="3245" ht="15.75" customHeight="1">
      <c r="A3245" s="2">
        <v>20329.0</v>
      </c>
      <c r="B3245" s="2" t="s">
        <v>314</v>
      </c>
      <c r="C3245" s="2" t="s">
        <v>7198</v>
      </c>
      <c r="D3245" s="2" t="s">
        <v>6197</v>
      </c>
      <c r="E3245" s="2" t="s">
        <v>20</v>
      </c>
      <c r="F3245" s="2">
        <v>5.0</v>
      </c>
      <c r="G3245" s="2">
        <v>160.0</v>
      </c>
      <c r="H3245" s="3" t="str">
        <f>HYPERLINK("http://ar.linkedin.com/in/wanczu","http://ar.linkedin.com/in/wanczu")</f>
        <v>http://ar.linkedin.com/in/wanczu</v>
      </c>
      <c r="I3245" s="2" t="s">
        <v>2443</v>
      </c>
      <c r="J3245" s="2" t="s">
        <v>21</v>
      </c>
      <c r="K3245" s="2" t="s">
        <v>5727</v>
      </c>
    </row>
    <row r="3246" ht="15.75" customHeight="1">
      <c r="A3246" s="2">
        <v>20352.0</v>
      </c>
      <c r="B3246" s="2" t="s">
        <v>7199</v>
      </c>
      <c r="C3246" s="2" t="s">
        <v>7200</v>
      </c>
      <c r="D3246" s="2" t="s">
        <v>7201</v>
      </c>
      <c r="E3246" s="2" t="s">
        <v>20</v>
      </c>
      <c r="F3246" s="2">
        <v>6.0</v>
      </c>
      <c r="G3246" s="2">
        <v>281.0</v>
      </c>
      <c r="H3246" s="3" t="str">
        <f>HYPERLINK("http://www.linkedin.com/pub/eduardo-ra%C3%BAl-murolo/2/199/345","http://www.linkedin.com/pub/eduardo-ra%C3%BAl-murolo/2/199/345")</f>
        <v>http://www.linkedin.com/pub/eduardo-ra%C3%BAl-murolo/2/199/345</v>
      </c>
      <c r="I3246" s="2" t="s">
        <v>57</v>
      </c>
      <c r="J3246" s="2" t="s">
        <v>21</v>
      </c>
      <c r="K3246" s="2" t="s">
        <v>5727</v>
      </c>
    </row>
    <row r="3247" ht="15.75" customHeight="1">
      <c r="A3247" s="2">
        <v>20354.0</v>
      </c>
      <c r="B3247" s="2" t="s">
        <v>253</v>
      </c>
      <c r="C3247" s="2" t="s">
        <v>7202</v>
      </c>
      <c r="D3247" s="2" t="s">
        <v>13</v>
      </c>
      <c r="E3247" s="2" t="s">
        <v>20</v>
      </c>
      <c r="F3247" s="2">
        <v>3.0</v>
      </c>
      <c r="G3247" s="2">
        <v>500.0</v>
      </c>
      <c r="H3247" s="3" t="str">
        <f>HYPERLINK("http://www.linkedin.com/pub/fernando-pi/19/346/7ab","http://www.linkedin.com/pub/fernando-pi/19/346/7ab")</f>
        <v>http://www.linkedin.com/pub/fernando-pi/19/346/7ab</v>
      </c>
      <c r="I3247" s="2" t="s">
        <v>96</v>
      </c>
      <c r="J3247" s="2" t="s">
        <v>21</v>
      </c>
      <c r="K3247" s="2" t="s">
        <v>5727</v>
      </c>
    </row>
    <row r="3248" ht="15.75" customHeight="1">
      <c r="A3248" s="2">
        <v>20366.0</v>
      </c>
      <c r="B3248" s="2" t="s">
        <v>3847</v>
      </c>
      <c r="C3248" s="2" t="s">
        <v>7203</v>
      </c>
      <c r="D3248" s="2" t="s">
        <v>7204</v>
      </c>
      <c r="E3248" s="2" t="s">
        <v>20</v>
      </c>
      <c r="F3248" s="2" t="s">
        <v>13</v>
      </c>
      <c r="G3248" s="2">
        <v>199.0</v>
      </c>
      <c r="H3248" s="3" t="str">
        <f>HYPERLINK("http://ar.linkedin.com/pub/victor-spala/0/62B/312","http://ar.linkedin.com/pub/victor-spala/0/62B/312")</f>
        <v>http://ar.linkedin.com/pub/victor-spala/0/62B/312</v>
      </c>
      <c r="I3248" s="2" t="s">
        <v>15</v>
      </c>
      <c r="J3248" s="2" t="s">
        <v>21</v>
      </c>
      <c r="K3248" s="2" t="s">
        <v>5725</v>
      </c>
    </row>
    <row r="3249" ht="15.75" customHeight="1">
      <c r="A3249" s="2">
        <v>20385.0</v>
      </c>
      <c r="B3249" s="2" t="s">
        <v>3201</v>
      </c>
      <c r="C3249" s="2" t="s">
        <v>7205</v>
      </c>
      <c r="D3249" s="2" t="s">
        <v>13</v>
      </c>
      <c r="E3249" s="2" t="s">
        <v>20</v>
      </c>
      <c r="F3249" s="2">
        <v>1.0</v>
      </c>
      <c r="G3249" s="2">
        <v>193.0</v>
      </c>
      <c r="H3249" s="3" t="str">
        <f>HYPERLINK("http://www.linkedin.com/pub/sebastian-nozaki/27/30/708","http://www.linkedin.com/pub/sebastian-nozaki/27/30/708")</f>
        <v>http://www.linkedin.com/pub/sebastian-nozaki/27/30/708</v>
      </c>
      <c r="I3249" s="2" t="s">
        <v>160</v>
      </c>
      <c r="J3249" s="2" t="s">
        <v>21</v>
      </c>
      <c r="K3249" s="2" t="s">
        <v>5848</v>
      </c>
    </row>
    <row r="3250" ht="15.75" customHeight="1">
      <c r="A3250" s="2">
        <v>20393.0</v>
      </c>
      <c r="B3250" s="2" t="s">
        <v>59</v>
      </c>
      <c r="C3250" s="2" t="s">
        <v>7206</v>
      </c>
      <c r="D3250" s="2" t="s">
        <v>13</v>
      </c>
      <c r="E3250" s="2" t="s">
        <v>20</v>
      </c>
      <c r="F3250" s="2">
        <v>0.0</v>
      </c>
      <c r="G3250" s="2">
        <v>407.0</v>
      </c>
      <c r="H3250" s="3" t="str">
        <f>HYPERLINK("http://www.linkedin.com/pub/martin-perez-menendez/0/401/416","http://www.linkedin.com/pub/martin-perez-menendez/0/401/416")</f>
        <v>http://www.linkedin.com/pub/martin-perez-menendez/0/401/416</v>
      </c>
      <c r="I3250" s="2" t="s">
        <v>458</v>
      </c>
      <c r="J3250" s="2" t="s">
        <v>21</v>
      </c>
      <c r="K3250" s="2" t="s">
        <v>5734</v>
      </c>
    </row>
    <row r="3251" ht="15.75" customHeight="1">
      <c r="A3251" s="2">
        <v>20416.0</v>
      </c>
      <c r="B3251" s="2" t="s">
        <v>605</v>
      </c>
      <c r="C3251" s="2" t="s">
        <v>7207</v>
      </c>
      <c r="D3251" s="2" t="s">
        <v>47</v>
      </c>
      <c r="E3251" s="2" t="s">
        <v>20</v>
      </c>
      <c r="F3251" s="2">
        <v>3.0</v>
      </c>
      <c r="G3251" s="2">
        <v>500.0</v>
      </c>
      <c r="H3251" s="3" t="str">
        <f>HYPERLINK("http://ar.linkedin.com/pub/roberto-moldes/0/2A8/49B","http://ar.linkedin.com/pub/roberto-moldes/0/2A8/49B")</f>
        <v>http://ar.linkedin.com/pub/roberto-moldes/0/2A8/49B</v>
      </c>
      <c r="I3251" s="2" t="s">
        <v>57</v>
      </c>
      <c r="J3251" s="2" t="s">
        <v>21</v>
      </c>
      <c r="K3251" s="2" t="s">
        <v>5727</v>
      </c>
    </row>
    <row r="3252" ht="15.75" customHeight="1">
      <c r="A3252" s="2">
        <v>20441.0</v>
      </c>
      <c r="B3252" s="2" t="s">
        <v>7208</v>
      </c>
      <c r="C3252" s="2" t="s">
        <v>7209</v>
      </c>
      <c r="D3252" s="2" t="s">
        <v>3791</v>
      </c>
      <c r="E3252" s="2" t="s">
        <v>20</v>
      </c>
      <c r="F3252" s="2">
        <v>0.0</v>
      </c>
      <c r="G3252" s="2">
        <v>500.0</v>
      </c>
      <c r="H3252" s="3" t="str">
        <f>HYPERLINK("http://www.linkedin.com/pub/lilian-medin/12/173/948","http://www.linkedin.com/pub/lilian-medin/12/173/948")</f>
        <v>http://www.linkedin.com/pub/lilian-medin/12/173/948</v>
      </c>
      <c r="I3252" s="2" t="s">
        <v>57</v>
      </c>
      <c r="J3252" s="2" t="s">
        <v>21</v>
      </c>
      <c r="K3252" s="2" t="s">
        <v>5725</v>
      </c>
    </row>
    <row r="3253" ht="15.75" customHeight="1">
      <c r="A3253" s="2">
        <v>20446.0</v>
      </c>
      <c r="B3253" s="2" t="s">
        <v>7210</v>
      </c>
      <c r="C3253" s="2" t="s">
        <v>7211</v>
      </c>
      <c r="D3253" s="2" t="s">
        <v>13</v>
      </c>
      <c r="E3253" s="2" t="s">
        <v>20</v>
      </c>
      <c r="F3253" s="2">
        <v>2.0</v>
      </c>
      <c r="G3253" s="2">
        <v>282.0</v>
      </c>
      <c r="H3253" s="3" t="str">
        <f>HYPERLINK("http://www.linkedin.com/pub/mar%C3%ADa-paula-zunino/21/343/21a","http://www.linkedin.com/pub/mar%C3%ADa-paula-zunino/21/343/21a")</f>
        <v>http://www.linkedin.com/pub/mar%C3%ADa-paula-zunino/21/343/21a</v>
      </c>
      <c r="I3253" s="2" t="s">
        <v>57</v>
      </c>
      <c r="J3253" s="2" t="s">
        <v>21</v>
      </c>
      <c r="K3253" s="2" t="s">
        <v>5727</v>
      </c>
    </row>
    <row r="3254" ht="15.75" customHeight="1">
      <c r="A3254" s="2">
        <v>20448.0</v>
      </c>
      <c r="B3254" s="2" t="s">
        <v>7212</v>
      </c>
      <c r="C3254" s="2" t="s">
        <v>1494</v>
      </c>
      <c r="D3254" s="2" t="s">
        <v>13</v>
      </c>
      <c r="E3254" s="2" t="s">
        <v>20</v>
      </c>
      <c r="F3254" s="2">
        <v>3.0</v>
      </c>
      <c r="G3254" s="2">
        <v>451.0</v>
      </c>
      <c r="H3254" s="3" t="str">
        <f>HYPERLINK("http://www.linkedin.com/pub/agust%C3%ADn-gaynor/16/746/6b","http://www.linkedin.com/pub/agust%C3%ADn-gaynor/16/746/6b")</f>
        <v>http://www.linkedin.com/pub/agust%C3%ADn-gaynor/16/746/6b</v>
      </c>
      <c r="I3254" s="2" t="s">
        <v>57</v>
      </c>
      <c r="J3254" s="2" t="s">
        <v>21</v>
      </c>
      <c r="K3254" s="2" t="s">
        <v>5727</v>
      </c>
    </row>
    <row r="3255" ht="15.75" customHeight="1">
      <c r="A3255" s="2">
        <v>20450.0</v>
      </c>
      <c r="B3255" s="2" t="s">
        <v>7213</v>
      </c>
      <c r="C3255" s="2" t="s">
        <v>7214</v>
      </c>
      <c r="D3255" s="2" t="s">
        <v>13</v>
      </c>
      <c r="E3255" s="2" t="s">
        <v>20</v>
      </c>
      <c r="F3255" s="2">
        <v>0.0</v>
      </c>
      <c r="G3255" s="2">
        <v>324.0</v>
      </c>
      <c r="H3255" s="3" t="str">
        <f>HYPERLINK("http://www.linkedin.com/pub/maria-clara-dellepiane/2/148/8bb","http://www.linkedin.com/pub/maria-clara-dellepiane/2/148/8bb")</f>
        <v>http://www.linkedin.com/pub/maria-clara-dellepiane/2/148/8bb</v>
      </c>
      <c r="I3255" s="2" t="s">
        <v>57</v>
      </c>
      <c r="J3255" s="2" t="s">
        <v>21</v>
      </c>
      <c r="K3255" s="2" t="s">
        <v>5725</v>
      </c>
    </row>
    <row r="3256" ht="15.75" customHeight="1">
      <c r="A3256" s="2">
        <v>20451.0</v>
      </c>
      <c r="B3256" s="2" t="s">
        <v>7215</v>
      </c>
      <c r="C3256" s="2" t="s">
        <v>7216</v>
      </c>
      <c r="D3256" s="2" t="s">
        <v>13</v>
      </c>
      <c r="E3256" s="2" t="s">
        <v>20</v>
      </c>
      <c r="F3256" s="2">
        <v>0.0</v>
      </c>
      <c r="G3256" s="2">
        <v>375.0</v>
      </c>
      <c r="H3256" s="3" t="str">
        <f>HYPERLINK("http://www.linkedin.com/pub/cintia-puliti-fittipaldi/22/7aa/161","http://www.linkedin.com/pub/cintia-puliti-fittipaldi/22/7aa/161")</f>
        <v>http://www.linkedin.com/pub/cintia-puliti-fittipaldi/22/7aa/161</v>
      </c>
      <c r="I3256" s="2" t="s">
        <v>57</v>
      </c>
      <c r="J3256" s="2" t="s">
        <v>21</v>
      </c>
      <c r="K3256" s="2" t="s">
        <v>5725</v>
      </c>
    </row>
    <row r="3257" ht="15.75" customHeight="1">
      <c r="A3257" s="2">
        <v>20482.0</v>
      </c>
      <c r="B3257" s="2" t="s">
        <v>918</v>
      </c>
      <c r="C3257" s="2" t="s">
        <v>7217</v>
      </c>
      <c r="D3257" s="2" t="s">
        <v>13</v>
      </c>
      <c r="E3257" s="2" t="s">
        <v>20</v>
      </c>
      <c r="F3257" s="2">
        <v>12.0</v>
      </c>
      <c r="G3257" s="2">
        <v>500.0</v>
      </c>
      <c r="H3257" s="3" t="str">
        <f>HYPERLINK("http://www.linkedin.com/pub/mariel-kleiner/14/700/783","http://www.linkedin.com/pub/mariel-kleiner/14/700/783")</f>
        <v>http://www.linkedin.com/pub/mariel-kleiner/14/700/783</v>
      </c>
      <c r="I3257" s="2" t="s">
        <v>579</v>
      </c>
      <c r="J3257" s="2" t="s">
        <v>21</v>
      </c>
      <c r="K3257" s="2" t="s">
        <v>5727</v>
      </c>
    </row>
    <row r="3258" ht="15.75" customHeight="1">
      <c r="A3258" s="2">
        <v>20492.0</v>
      </c>
      <c r="B3258" s="2" t="s">
        <v>45</v>
      </c>
      <c r="C3258" s="2" t="s">
        <v>7218</v>
      </c>
      <c r="D3258" s="2" t="s">
        <v>7219</v>
      </c>
      <c r="E3258" s="2" t="s">
        <v>20</v>
      </c>
      <c r="F3258" s="2">
        <v>4.0</v>
      </c>
      <c r="G3258" s="2">
        <v>500.0</v>
      </c>
      <c r="H3258" s="3" t="str">
        <f>HYPERLINK("http://ar.linkedin.com/in/carloszorzoli","http://ar.linkedin.com/in/carloszorzoli")</f>
        <v>http://ar.linkedin.com/in/carloszorzoli</v>
      </c>
      <c r="I3258" s="2" t="s">
        <v>470</v>
      </c>
      <c r="J3258" s="2" t="s">
        <v>21</v>
      </c>
      <c r="K3258" s="2" t="s">
        <v>5727</v>
      </c>
    </row>
    <row r="3259" ht="15.75" customHeight="1">
      <c r="A3259" s="2">
        <v>20500.0</v>
      </c>
      <c r="B3259" s="2" t="s">
        <v>3201</v>
      </c>
      <c r="C3259" s="2" t="s">
        <v>7220</v>
      </c>
      <c r="D3259" s="2" t="s">
        <v>7221</v>
      </c>
      <c r="E3259" s="2" t="s">
        <v>20</v>
      </c>
      <c r="F3259" s="2" t="s">
        <v>13</v>
      </c>
      <c r="G3259" s="2">
        <v>500.0</v>
      </c>
      <c r="H3259" s="3" t="str">
        <f>HYPERLINK("http://ar.linkedin.com/in/slavutsky","http://ar.linkedin.com/in/slavutsky")</f>
        <v>http://ar.linkedin.com/in/slavutsky</v>
      </c>
      <c r="I3259" s="2" t="s">
        <v>458</v>
      </c>
      <c r="J3259" s="2" t="s">
        <v>21</v>
      </c>
      <c r="K3259" s="2" t="s">
        <v>5913</v>
      </c>
    </row>
    <row r="3260" ht="15.75" customHeight="1">
      <c r="A3260" s="2">
        <v>20504.0</v>
      </c>
      <c r="B3260" s="2" t="s">
        <v>5824</v>
      </c>
      <c r="C3260" s="2" t="s">
        <v>7222</v>
      </c>
      <c r="D3260" s="2" t="s">
        <v>13</v>
      </c>
      <c r="E3260" s="2" t="s">
        <v>20</v>
      </c>
      <c r="F3260" s="2">
        <v>0.0</v>
      </c>
      <c r="G3260" s="2">
        <v>459.0</v>
      </c>
      <c r="H3260" s="3" t="str">
        <f>HYPERLINK("http://www.linkedin.com/pub/alejandra-ortiz-de-rozas/2/764/a48","http://www.linkedin.com/pub/alejandra-ortiz-de-rozas/2/764/a48")</f>
        <v>http://www.linkedin.com/pub/alejandra-ortiz-de-rozas/2/764/a48</v>
      </c>
      <c r="I3260" s="2" t="s">
        <v>608</v>
      </c>
      <c r="J3260" s="2" t="s">
        <v>21</v>
      </c>
      <c r="K3260" s="2" t="s">
        <v>5785</v>
      </c>
    </row>
    <row r="3261" ht="15.75" customHeight="1">
      <c r="A3261" s="2">
        <v>20510.0</v>
      </c>
      <c r="B3261" s="2" t="s">
        <v>7027</v>
      </c>
      <c r="C3261" s="2" t="s">
        <v>7223</v>
      </c>
      <c r="D3261" s="2" t="s">
        <v>13</v>
      </c>
      <c r="E3261" s="2" t="s">
        <v>20</v>
      </c>
      <c r="F3261" s="2">
        <v>5.0</v>
      </c>
      <c r="G3261" s="2">
        <v>500.0</v>
      </c>
      <c r="H3261" s="3" t="str">
        <f>HYPERLINK("http://www.linkedin.com/pub/agustina-san-german/21/b19/484","http://www.linkedin.com/pub/agustina-san-german/21/b19/484")</f>
        <v>http://www.linkedin.com/pub/agustina-san-german/21/b19/484</v>
      </c>
      <c r="I3261" s="2" t="s">
        <v>612</v>
      </c>
      <c r="J3261" s="2" t="s">
        <v>21</v>
      </c>
      <c r="K3261" s="2" t="s">
        <v>5727</v>
      </c>
    </row>
    <row r="3262" ht="15.75" customHeight="1">
      <c r="A3262" s="2">
        <v>20512.0</v>
      </c>
      <c r="B3262" s="2" t="s">
        <v>523</v>
      </c>
      <c r="C3262" s="2" t="s">
        <v>7224</v>
      </c>
      <c r="D3262" s="2" t="s">
        <v>13</v>
      </c>
      <c r="E3262" s="2" t="s">
        <v>20</v>
      </c>
      <c r="F3262" s="2">
        <v>0.0</v>
      </c>
      <c r="G3262" s="2">
        <v>433.0</v>
      </c>
      <c r="H3262" s="3" t="str">
        <f>HYPERLINK("http://www.linkedin.com/pub/ignacio-maimone/5/ab/3a8","http://www.linkedin.com/pub/ignacio-maimone/5/ab/3a8")</f>
        <v>http://www.linkedin.com/pub/ignacio-maimone/5/ab/3a8</v>
      </c>
      <c r="I3262" s="2" t="s">
        <v>57</v>
      </c>
      <c r="J3262" s="2" t="s">
        <v>21</v>
      </c>
      <c r="K3262" s="2" t="s">
        <v>5725</v>
      </c>
    </row>
    <row r="3263" ht="15.75" customHeight="1">
      <c r="A3263" s="2">
        <v>20513.0</v>
      </c>
      <c r="B3263" s="2" t="s">
        <v>389</v>
      </c>
      <c r="C3263" s="2" t="s">
        <v>7225</v>
      </c>
      <c r="D3263" s="2" t="s">
        <v>13</v>
      </c>
      <c r="E3263" s="2" t="s">
        <v>20</v>
      </c>
      <c r="F3263" s="2">
        <v>0.0</v>
      </c>
      <c r="G3263" s="2">
        <v>500.0</v>
      </c>
      <c r="H3263" s="3" t="str">
        <f>HYPERLINK("http://www.linkedin.com/pub/jos%C3%A9-dondo-b%C3%BChler/23/328/295","http://www.linkedin.com/pub/jos%C3%A9-dondo-b%C3%BChler/23/328/295")</f>
        <v>http://www.linkedin.com/pub/jos%C3%A9-dondo-b%C3%BChler/23/328/295</v>
      </c>
      <c r="I3263" s="2" t="s">
        <v>579</v>
      </c>
      <c r="J3263" s="2" t="s">
        <v>21</v>
      </c>
      <c r="K3263" s="2" t="s">
        <v>5848</v>
      </c>
    </row>
    <row r="3264" ht="15.75" customHeight="1">
      <c r="A3264" s="2">
        <v>20534.0</v>
      </c>
      <c r="B3264" s="2" t="s">
        <v>7226</v>
      </c>
      <c r="C3264" s="2" t="s">
        <v>7227</v>
      </c>
      <c r="D3264" s="2" t="s">
        <v>13</v>
      </c>
      <c r="E3264" s="2" t="s">
        <v>20</v>
      </c>
      <c r="F3264" s="2">
        <v>0.0</v>
      </c>
      <c r="G3264" s="2">
        <v>297.0</v>
      </c>
      <c r="H3264" s="3" t="str">
        <f>HYPERLINK("http://www.linkedin.com/pub/facundo-nahuel-rivero-falco/23/581/538","http://www.linkedin.com/pub/facundo-nahuel-rivero-falco/23/581/538")</f>
        <v>http://www.linkedin.com/pub/facundo-nahuel-rivero-falco/23/581/538</v>
      </c>
      <c r="I3264" s="2" t="s">
        <v>48</v>
      </c>
      <c r="J3264" s="2" t="s">
        <v>21</v>
      </c>
      <c r="K3264" s="2" t="s">
        <v>6970</v>
      </c>
    </row>
    <row r="3265" ht="15.75" customHeight="1">
      <c r="A3265" s="2">
        <v>20544.0</v>
      </c>
      <c r="B3265" s="2" t="s">
        <v>152</v>
      </c>
      <c r="C3265" s="2" t="s">
        <v>7228</v>
      </c>
      <c r="D3265" s="2" t="s">
        <v>7229</v>
      </c>
      <c r="E3265" s="2" t="s">
        <v>20</v>
      </c>
      <c r="F3265" s="2" t="s">
        <v>13</v>
      </c>
      <c r="G3265" s="2">
        <v>196.0</v>
      </c>
      <c r="H3265" s="3" t="str">
        <f>HYPERLINK("http://ar.linkedin.com/pub/eduardo-armanini/28/7B/615","http://ar.linkedin.com/pub/eduardo-armanini/28/7B/615")</f>
        <v>http://ar.linkedin.com/pub/eduardo-armanini/28/7B/615</v>
      </c>
      <c r="I3265" s="2" t="s">
        <v>57</v>
      </c>
      <c r="J3265" s="2" t="s">
        <v>21</v>
      </c>
      <c r="K3265" s="2" t="s">
        <v>5725</v>
      </c>
    </row>
    <row r="3266" ht="15.75" customHeight="1">
      <c r="A3266" s="2">
        <v>20554.0</v>
      </c>
      <c r="B3266" s="2" t="s">
        <v>862</v>
      </c>
      <c r="C3266" s="2" t="s">
        <v>7230</v>
      </c>
      <c r="D3266" s="2" t="s">
        <v>7231</v>
      </c>
      <c r="E3266" s="2" t="s">
        <v>20</v>
      </c>
      <c r="F3266" s="2">
        <v>4.0</v>
      </c>
      <c r="G3266" s="2">
        <v>500.0</v>
      </c>
      <c r="H3266" s="3" t="str">
        <f>HYPERLINK("http://ar.linkedin.com/pub/gabriel-di-prinzio/15/795/9A","http://ar.linkedin.com/pub/gabriel-di-prinzio/15/795/9A")</f>
        <v>http://ar.linkedin.com/pub/gabriel-di-prinzio/15/795/9A</v>
      </c>
      <c r="I3266" s="2" t="s">
        <v>608</v>
      </c>
      <c r="J3266" s="2" t="s">
        <v>21</v>
      </c>
      <c r="K3266" s="2" t="s">
        <v>5727</v>
      </c>
    </row>
    <row r="3267" ht="15.75" customHeight="1">
      <c r="A3267" s="2">
        <v>20594.0</v>
      </c>
      <c r="B3267" s="2" t="s">
        <v>1042</v>
      </c>
      <c r="C3267" s="2" t="s">
        <v>7232</v>
      </c>
      <c r="D3267" s="2" t="s">
        <v>7233</v>
      </c>
      <c r="E3267" s="2" t="s">
        <v>20</v>
      </c>
      <c r="F3267" s="2">
        <v>5.0</v>
      </c>
      <c r="G3267" s="2">
        <v>500.0</v>
      </c>
      <c r="H3267" s="3" t="str">
        <f>HYPERLINK("http://ar.linkedin.com/pub/marina-bilbao/27/292/390","http://ar.linkedin.com/pub/marina-bilbao/27/292/390")</f>
        <v>http://ar.linkedin.com/pub/marina-bilbao/27/292/390</v>
      </c>
      <c r="I3267" s="2" t="s">
        <v>2443</v>
      </c>
      <c r="J3267" s="2" t="s">
        <v>21</v>
      </c>
      <c r="K3267" s="2" t="s">
        <v>5727</v>
      </c>
    </row>
    <row r="3268" ht="15.75" customHeight="1">
      <c r="A3268" s="2">
        <v>20607.0</v>
      </c>
      <c r="B3268" s="2" t="s">
        <v>3072</v>
      </c>
      <c r="C3268" s="2" t="s">
        <v>7234</v>
      </c>
      <c r="D3268" s="2" t="s">
        <v>2331</v>
      </c>
      <c r="E3268" s="2" t="s">
        <v>20</v>
      </c>
      <c r="F3268" s="2">
        <v>1.0</v>
      </c>
      <c r="G3268" s="2">
        <v>119.0</v>
      </c>
      <c r="H3268" s="3" t="str">
        <f>HYPERLINK("http://ar.linkedin.com/pub/luis-racca/7/956/A87","http://ar.linkedin.com/pub/luis-racca/7/956/A87")</f>
        <v>http://ar.linkedin.com/pub/luis-racca/7/956/A87</v>
      </c>
      <c r="I3268" s="2" t="s">
        <v>15</v>
      </c>
      <c r="J3268" s="2" t="s">
        <v>21</v>
      </c>
      <c r="K3268" s="2" t="s">
        <v>6124</v>
      </c>
    </row>
    <row r="3269" ht="15.75" customHeight="1">
      <c r="A3269" s="2">
        <v>20622.0</v>
      </c>
      <c r="B3269" s="2" t="s">
        <v>6004</v>
      </c>
      <c r="C3269" s="2" t="s">
        <v>7235</v>
      </c>
      <c r="D3269" s="2" t="s">
        <v>13</v>
      </c>
      <c r="E3269" s="2" t="s">
        <v>20</v>
      </c>
      <c r="F3269" s="2">
        <v>1.0</v>
      </c>
      <c r="G3269" s="2">
        <v>282.0</v>
      </c>
      <c r="H3269" s="3" t="str">
        <f>HYPERLINK("http://www.linkedin.com/pub/juan-manuel-orbuch/16/767/466","http://www.linkedin.com/pub/juan-manuel-orbuch/16/767/466")</f>
        <v>http://www.linkedin.com/pub/juan-manuel-orbuch/16/767/466</v>
      </c>
      <c r="I3269" s="2" t="s">
        <v>458</v>
      </c>
      <c r="J3269" s="2" t="s">
        <v>21</v>
      </c>
      <c r="K3269" s="2" t="s">
        <v>5785</v>
      </c>
    </row>
    <row r="3270" ht="15.75" customHeight="1">
      <c r="A3270" s="2">
        <v>20627.0</v>
      </c>
      <c r="B3270" s="2" t="s">
        <v>540</v>
      </c>
      <c r="C3270" s="2" t="s">
        <v>7236</v>
      </c>
      <c r="D3270" s="2" t="s">
        <v>7237</v>
      </c>
      <c r="E3270" s="2" t="s">
        <v>20</v>
      </c>
      <c r="F3270" s="2">
        <v>1.0</v>
      </c>
      <c r="G3270" s="2">
        <v>125.0</v>
      </c>
      <c r="H3270" s="3" t="str">
        <f>HYPERLINK("http://ar.linkedin.com/in/christianpineyro","http://ar.linkedin.com/in/christianpineyro")</f>
        <v>http://ar.linkedin.com/in/christianpineyro</v>
      </c>
      <c r="I3270" s="2" t="s">
        <v>77</v>
      </c>
      <c r="J3270" s="2" t="s">
        <v>21</v>
      </c>
      <c r="K3270" s="2" t="s">
        <v>5848</v>
      </c>
    </row>
    <row r="3271" ht="15.75" customHeight="1">
      <c r="A3271" s="2">
        <v>20641.0</v>
      </c>
      <c r="B3271" s="2" t="s">
        <v>647</v>
      </c>
      <c r="C3271" s="2" t="s">
        <v>6105</v>
      </c>
      <c r="D3271" s="2" t="s">
        <v>7238</v>
      </c>
      <c r="E3271" s="2" t="s">
        <v>20</v>
      </c>
      <c r="F3271" s="2">
        <v>2.0</v>
      </c>
      <c r="G3271" s="2">
        <v>500.0</v>
      </c>
      <c r="H3271" s="3" t="str">
        <f>HYPERLINK("http://ar.linkedin.com/in/caguirre","http://ar.linkedin.com/in/caguirre")</f>
        <v>http://ar.linkedin.com/in/caguirre</v>
      </c>
      <c r="I3271" s="2" t="s">
        <v>279</v>
      </c>
      <c r="J3271" s="2" t="s">
        <v>21</v>
      </c>
      <c r="K3271" s="2" t="s">
        <v>5727</v>
      </c>
    </row>
    <row r="3272" ht="15.75" customHeight="1">
      <c r="A3272" s="2">
        <v>20644.0</v>
      </c>
      <c r="B3272" s="2" t="s">
        <v>7158</v>
      </c>
      <c r="C3272" s="2" t="s">
        <v>7239</v>
      </c>
      <c r="D3272" s="2" t="s">
        <v>7240</v>
      </c>
      <c r="E3272" s="2" t="s">
        <v>20</v>
      </c>
      <c r="F3272" s="2">
        <v>3.0</v>
      </c>
      <c r="G3272" s="2">
        <v>429.0</v>
      </c>
      <c r="H3272" s="3" t="str">
        <f>HYPERLINK("http://ar.linkedin.com/pub/nahuel-dikenstein/21/849/599","http://ar.linkedin.com/pub/nahuel-dikenstein/21/849/599")</f>
        <v>http://ar.linkedin.com/pub/nahuel-dikenstein/21/849/599</v>
      </c>
      <c r="I3272" s="2" t="s">
        <v>1679</v>
      </c>
      <c r="J3272" s="2" t="s">
        <v>21</v>
      </c>
      <c r="K3272" s="2" t="s">
        <v>5727</v>
      </c>
    </row>
    <row r="3273" ht="15.75" customHeight="1">
      <c r="A3273" s="2">
        <v>20647.0</v>
      </c>
      <c r="B3273" s="2" t="s">
        <v>6765</v>
      </c>
      <c r="C3273" s="2" t="s">
        <v>7241</v>
      </c>
      <c r="D3273" s="2" t="s">
        <v>42</v>
      </c>
      <c r="E3273" s="2" t="s">
        <v>20</v>
      </c>
      <c r="F3273" s="2">
        <v>3.0</v>
      </c>
      <c r="G3273" s="2">
        <v>500.0</v>
      </c>
      <c r="H3273" s="3" t="str">
        <f>HYPERLINK("http://ar.linkedin.com/in/gastonocampo","http://ar.linkedin.com/in/gastonocampo")</f>
        <v>http://ar.linkedin.com/in/gastonocampo</v>
      </c>
      <c r="I3273" s="2" t="s">
        <v>252</v>
      </c>
      <c r="J3273" s="2" t="s">
        <v>21</v>
      </c>
      <c r="K3273" s="2" t="s">
        <v>5727</v>
      </c>
    </row>
    <row r="3274" ht="15.75" customHeight="1">
      <c r="A3274" s="2">
        <v>20658.0</v>
      </c>
      <c r="B3274" s="2" t="s">
        <v>4304</v>
      </c>
      <c r="C3274" s="2" t="s">
        <v>7242</v>
      </c>
      <c r="D3274" s="2" t="s">
        <v>7243</v>
      </c>
      <c r="E3274" s="2" t="s">
        <v>20</v>
      </c>
      <c r="F3274" s="2" t="s">
        <v>13</v>
      </c>
      <c r="G3274" s="2">
        <v>272.0</v>
      </c>
      <c r="H3274" s="3" t="str">
        <f>HYPERLINK("http://ar.linkedin.com/pub/leandro-pardo/24/78/245","http://ar.linkedin.com/pub/leandro-pardo/24/78/245")</f>
        <v>http://ar.linkedin.com/pub/leandro-pardo/24/78/245</v>
      </c>
      <c r="I3274" s="2" t="s">
        <v>279</v>
      </c>
      <c r="J3274" s="2" t="s">
        <v>21</v>
      </c>
      <c r="K3274" s="2" t="s">
        <v>5734</v>
      </c>
    </row>
    <row r="3275" ht="15.75" customHeight="1">
      <c r="A3275" s="2">
        <v>20671.0</v>
      </c>
      <c r="B3275" s="2" t="s">
        <v>70</v>
      </c>
      <c r="C3275" s="2" t="s">
        <v>4791</v>
      </c>
      <c r="D3275" s="2" t="s">
        <v>7244</v>
      </c>
      <c r="E3275" s="2" t="s">
        <v>20</v>
      </c>
      <c r="F3275" s="2" t="s">
        <v>13</v>
      </c>
      <c r="G3275" s="2">
        <v>323.0</v>
      </c>
      <c r="H3275" s="3" t="str">
        <f>HYPERLINK("http://ar.linkedin.com/pub/gustavo-gomez/12/740/AB0","http://ar.linkedin.com/pub/gustavo-gomez/12/740/AB0")</f>
        <v>http://ar.linkedin.com/pub/gustavo-gomez/12/740/AB0</v>
      </c>
      <c r="I3275" s="2" t="s">
        <v>279</v>
      </c>
      <c r="J3275" s="2" t="s">
        <v>21</v>
      </c>
      <c r="K3275" s="2" t="s">
        <v>5734</v>
      </c>
    </row>
    <row r="3276" ht="15.75" customHeight="1">
      <c r="A3276" s="2">
        <v>20673.0</v>
      </c>
      <c r="B3276" s="2" t="s">
        <v>152</v>
      </c>
      <c r="C3276" s="2" t="s">
        <v>7245</v>
      </c>
      <c r="D3276" s="2" t="s">
        <v>7246</v>
      </c>
      <c r="E3276" s="2" t="s">
        <v>20</v>
      </c>
      <c r="F3276" s="2" t="s">
        <v>13</v>
      </c>
      <c r="G3276" s="2">
        <v>79.0</v>
      </c>
      <c r="H3276" s="3" t="str">
        <f>HYPERLINK("http://ar.linkedin.com/pub/eduardo-bottinelli/9/824/79","http://ar.linkedin.com/pub/eduardo-bottinelli/9/824/79")</f>
        <v>http://ar.linkedin.com/pub/eduardo-bottinelli/9/824/79</v>
      </c>
      <c r="I3276" s="2" t="s">
        <v>279</v>
      </c>
      <c r="J3276" s="2" t="s">
        <v>21</v>
      </c>
      <c r="K3276" s="2" t="s">
        <v>5734</v>
      </c>
    </row>
    <row r="3277" ht="15.75" customHeight="1">
      <c r="A3277" s="2">
        <v>20684.0</v>
      </c>
      <c r="B3277" s="2" t="s">
        <v>238</v>
      </c>
      <c r="C3277" s="2" t="s">
        <v>7247</v>
      </c>
      <c r="D3277" s="2" t="s">
        <v>13</v>
      </c>
      <c r="E3277" s="2" t="s">
        <v>20</v>
      </c>
      <c r="F3277" s="2">
        <v>0.0</v>
      </c>
      <c r="G3277" s="2">
        <v>5.0</v>
      </c>
      <c r="H3277" s="3" t="str">
        <f>HYPERLINK("http://www.linkedin.com/pub/juan-pablo-bruzzo/0/590/10b","http://www.linkedin.com/pub/juan-pablo-bruzzo/0/590/10b")</f>
        <v>http://www.linkedin.com/pub/juan-pablo-bruzzo/0/590/10b</v>
      </c>
      <c r="I3277" s="2" t="s">
        <v>69</v>
      </c>
      <c r="J3277" s="2" t="s">
        <v>21</v>
      </c>
      <c r="K3277" s="2" t="s">
        <v>5785</v>
      </c>
    </row>
    <row r="3278" ht="15.75" customHeight="1">
      <c r="A3278" s="2">
        <v>20694.0</v>
      </c>
      <c r="B3278" s="2" t="s">
        <v>193</v>
      </c>
      <c r="C3278" s="2" t="s">
        <v>7248</v>
      </c>
      <c r="D3278" s="2" t="s">
        <v>7249</v>
      </c>
      <c r="E3278" s="2" t="s">
        <v>20</v>
      </c>
      <c r="F3278" s="2" t="s">
        <v>13</v>
      </c>
      <c r="G3278" s="2">
        <v>473.0</v>
      </c>
      <c r="H3278" s="3" t="str">
        <f>HYPERLINK("http://ar.linkedin.com/pub/guillermo-montero/A/AB2/134","http://ar.linkedin.com/pub/guillermo-montero/A/AB2/134")</f>
        <v>http://ar.linkedin.com/pub/guillermo-montero/A/AB2/134</v>
      </c>
      <c r="I3278" s="2" t="s">
        <v>579</v>
      </c>
      <c r="J3278" s="2" t="s">
        <v>21</v>
      </c>
      <c r="K3278" s="2" t="s">
        <v>5848</v>
      </c>
    </row>
    <row r="3279" ht="15.75" customHeight="1">
      <c r="A3279" s="2">
        <v>20713.0</v>
      </c>
      <c r="B3279" s="2" t="s">
        <v>3201</v>
      </c>
      <c r="C3279" s="2" t="s">
        <v>7250</v>
      </c>
      <c r="D3279" s="2" t="s">
        <v>7251</v>
      </c>
      <c r="E3279" s="2" t="s">
        <v>20</v>
      </c>
      <c r="F3279" s="2">
        <v>6.0</v>
      </c>
      <c r="G3279" s="2">
        <v>500.0</v>
      </c>
      <c r="H3279" s="3" t="str">
        <f>HYPERLINK("http://ar.linkedin.com/pub/sebastian-suarez/21/26B/46A","http://ar.linkedin.com/pub/sebastian-suarez/21/26B/46A")</f>
        <v>http://ar.linkedin.com/pub/sebastian-suarez/21/26B/46A</v>
      </c>
      <c r="I3279" s="2" t="s">
        <v>96</v>
      </c>
      <c r="J3279" s="2" t="s">
        <v>21</v>
      </c>
      <c r="K3279" s="2" t="s">
        <v>6075</v>
      </c>
    </row>
    <row r="3280" ht="15.75" customHeight="1">
      <c r="A3280" s="2">
        <v>20731.0</v>
      </c>
      <c r="B3280" s="2" t="s">
        <v>423</v>
      </c>
      <c r="C3280" s="2" t="s">
        <v>7252</v>
      </c>
      <c r="D3280" s="2" t="s">
        <v>7253</v>
      </c>
      <c r="E3280" s="2" t="s">
        <v>20</v>
      </c>
      <c r="F3280" s="2">
        <v>15.0</v>
      </c>
      <c r="G3280" s="2">
        <v>500.0</v>
      </c>
      <c r="H3280" s="3" t="str">
        <f>HYPERLINK("http://ar.linkedin.com/in/carolinan","http://ar.linkedin.com/in/carolinan")</f>
        <v>http://ar.linkedin.com/in/carolinan</v>
      </c>
      <c r="I3280" s="2" t="s">
        <v>2081</v>
      </c>
      <c r="J3280" s="2" t="s">
        <v>21</v>
      </c>
      <c r="K3280" s="2" t="s">
        <v>5734</v>
      </c>
    </row>
    <row r="3281" ht="15.75" customHeight="1">
      <c r="A3281" s="2">
        <v>20762.0</v>
      </c>
      <c r="B3281" s="2" t="s">
        <v>7254</v>
      </c>
      <c r="C3281" s="2" t="s">
        <v>7255</v>
      </c>
      <c r="D3281" s="2" t="s">
        <v>7256</v>
      </c>
      <c r="E3281" s="2" t="s">
        <v>20</v>
      </c>
      <c r="F3281" s="2">
        <v>4.0</v>
      </c>
      <c r="G3281" s="2">
        <v>476.0</v>
      </c>
      <c r="H3281" s="3" t="str">
        <f>HYPERLINK("http://ar.linkedin.com/in/jmromeu","http://ar.linkedin.com/in/jmromeu")</f>
        <v>http://ar.linkedin.com/in/jmromeu</v>
      </c>
      <c r="I3281" s="2" t="s">
        <v>470</v>
      </c>
      <c r="J3281" s="2" t="s">
        <v>21</v>
      </c>
      <c r="K3281" s="2" t="s">
        <v>5743</v>
      </c>
    </row>
    <row r="3282" ht="15.75" customHeight="1">
      <c r="A3282" s="2">
        <v>20777.0</v>
      </c>
      <c r="B3282" s="2" t="s">
        <v>3015</v>
      </c>
      <c r="C3282" s="2" t="s">
        <v>7257</v>
      </c>
      <c r="D3282" s="2" t="s">
        <v>7258</v>
      </c>
      <c r="E3282" s="2" t="s">
        <v>20</v>
      </c>
      <c r="F3282" s="2" t="s">
        <v>13</v>
      </c>
      <c r="G3282" s="2">
        <v>214.0</v>
      </c>
      <c r="H3282" s="3" t="str">
        <f>HYPERLINK("http://ar.linkedin.com/in/lurizzi","http://ar.linkedin.com/in/lurizzi")</f>
        <v>http://ar.linkedin.com/in/lurizzi</v>
      </c>
      <c r="I3282" s="2" t="s">
        <v>77</v>
      </c>
      <c r="J3282" s="2" t="s">
        <v>21</v>
      </c>
      <c r="K3282" s="2" t="s">
        <v>5785</v>
      </c>
    </row>
    <row r="3283" ht="15.75" customHeight="1">
      <c r="A3283" s="2">
        <v>20799.0</v>
      </c>
      <c r="B3283" s="2" t="s">
        <v>23</v>
      </c>
      <c r="C3283" s="2" t="s">
        <v>665</v>
      </c>
      <c r="D3283" s="2" t="s">
        <v>7259</v>
      </c>
      <c r="E3283" s="2" t="s">
        <v>20</v>
      </c>
      <c r="F3283" s="2">
        <v>6.0</v>
      </c>
      <c r="G3283" s="2">
        <v>254.0</v>
      </c>
      <c r="H3283" s="3" t="str">
        <f>HYPERLINK("http://ar.linkedin.com/in/jjaime","http://ar.linkedin.com/in/jjaime")</f>
        <v>http://ar.linkedin.com/in/jjaime</v>
      </c>
      <c r="I3283" s="2" t="s">
        <v>681</v>
      </c>
      <c r="J3283" s="2" t="s">
        <v>21</v>
      </c>
      <c r="K3283" s="2" t="s">
        <v>5727</v>
      </c>
    </row>
    <row r="3284" ht="15.75" customHeight="1">
      <c r="A3284" s="2">
        <v>20849.0</v>
      </c>
      <c r="B3284" s="2" t="s">
        <v>7260</v>
      </c>
      <c r="C3284" s="2" t="s">
        <v>7261</v>
      </c>
      <c r="D3284" s="2" t="s">
        <v>7262</v>
      </c>
      <c r="E3284" s="2" t="s">
        <v>7263</v>
      </c>
      <c r="F3284" s="2">
        <v>2.0</v>
      </c>
      <c r="G3284" s="2">
        <v>500.0</v>
      </c>
      <c r="H3284" s="3" t="str">
        <f>HYPERLINK("http://br.linkedin.com/pub/vanessa-t%C3%A3o-nakano/29/B3A/A4","http://br.linkedin.com/pub/vanessa-t%C3%A3o-nakano/29/B3A/A4")</f>
        <v>http://br.linkedin.com/pub/vanessa-t%C3%A3o-nakano/29/B3A/A4</v>
      </c>
      <c r="I3284" s="2" t="s">
        <v>15</v>
      </c>
      <c r="J3284" s="2" t="s">
        <v>34</v>
      </c>
      <c r="K3284" s="2" t="s">
        <v>5727</v>
      </c>
    </row>
    <row r="3285" ht="15.75" customHeight="1">
      <c r="A3285" s="2">
        <v>21080.0</v>
      </c>
      <c r="B3285" s="2" t="s">
        <v>6032</v>
      </c>
      <c r="C3285" s="2" t="s">
        <v>7264</v>
      </c>
      <c r="D3285" s="2" t="s">
        <v>7265</v>
      </c>
      <c r="E3285" s="2" t="s">
        <v>20</v>
      </c>
      <c r="F3285" s="2" t="s">
        <v>13</v>
      </c>
      <c r="G3285" s="2">
        <v>357.0</v>
      </c>
      <c r="H3285" s="3" t="str">
        <f>HYPERLINK("http://ar.linkedin.com/pub/victoria-jauregui-lorda/1A/9B0/43A","http://ar.linkedin.com/pub/victoria-jauregui-lorda/1A/9B0/43A")</f>
        <v>http://ar.linkedin.com/pub/victoria-jauregui-lorda/1A/9B0/43A</v>
      </c>
      <c r="I3285" s="2" t="s">
        <v>458</v>
      </c>
      <c r="J3285" s="2" t="s">
        <v>21</v>
      </c>
      <c r="K3285" s="2" t="s">
        <v>5734</v>
      </c>
    </row>
    <row r="3286" ht="15.75" customHeight="1">
      <c r="A3286" s="2">
        <v>21099.0</v>
      </c>
      <c r="B3286" s="2" t="s">
        <v>5871</v>
      </c>
      <c r="C3286" s="2" t="s">
        <v>7266</v>
      </c>
      <c r="D3286" s="2" t="s">
        <v>13</v>
      </c>
      <c r="E3286" s="2" t="s">
        <v>20</v>
      </c>
      <c r="F3286" s="2">
        <v>0.0</v>
      </c>
      <c r="G3286" s="2">
        <v>500.0</v>
      </c>
      <c r="H3286" s="3" t="str">
        <f>HYPERLINK("http://www.linkedin.com/pub/sabrina-ciliberti/27/a20/2a8","http://www.linkedin.com/pub/sabrina-ciliberti/27/a20/2a8")</f>
        <v>http://www.linkedin.com/pub/sabrina-ciliberti/27/a20/2a8</v>
      </c>
      <c r="I3286" s="2" t="s">
        <v>458</v>
      </c>
      <c r="J3286" s="2" t="s">
        <v>21</v>
      </c>
      <c r="K3286" s="2" t="s">
        <v>5727</v>
      </c>
    </row>
    <row r="3287" ht="15.75" customHeight="1">
      <c r="A3287" s="2">
        <v>21103.0</v>
      </c>
      <c r="B3287" s="2" t="s">
        <v>7267</v>
      </c>
      <c r="C3287" s="2" t="s">
        <v>7268</v>
      </c>
      <c r="D3287" s="2" t="s">
        <v>7269</v>
      </c>
      <c r="E3287" s="2" t="s">
        <v>20</v>
      </c>
      <c r="F3287" s="2">
        <v>3.0</v>
      </c>
      <c r="G3287" s="2">
        <v>496.0</v>
      </c>
      <c r="H3287" s="3" t="str">
        <f>HYPERLINK("http://ar.linkedin.com/in/eugenianaser","http://ar.linkedin.com/in/eugenianaser")</f>
        <v>http://ar.linkedin.com/in/eugenianaser</v>
      </c>
      <c r="I3287" s="2" t="s">
        <v>458</v>
      </c>
      <c r="J3287" s="2" t="s">
        <v>21</v>
      </c>
      <c r="K3287" s="2" t="s">
        <v>5727</v>
      </c>
    </row>
    <row r="3288" ht="15.75" customHeight="1">
      <c r="A3288" s="2">
        <v>21107.0</v>
      </c>
      <c r="B3288" s="2" t="s">
        <v>329</v>
      </c>
      <c r="C3288" s="2" t="s">
        <v>7270</v>
      </c>
      <c r="D3288" s="2" t="s">
        <v>7271</v>
      </c>
      <c r="E3288" s="2" t="s">
        <v>20</v>
      </c>
      <c r="F3288" s="2">
        <v>4.0</v>
      </c>
      <c r="G3288" s="2">
        <v>500.0</v>
      </c>
      <c r="H3288" s="3" t="str">
        <f>HYPERLINK("http://ar.linkedin.com/in/juanpso","http://ar.linkedin.com/in/juanpso")</f>
        <v>http://ar.linkedin.com/in/juanpso</v>
      </c>
      <c r="I3288" s="2" t="s">
        <v>105</v>
      </c>
      <c r="J3288" s="2" t="s">
        <v>21</v>
      </c>
      <c r="K3288" s="2" t="s">
        <v>5727</v>
      </c>
    </row>
    <row r="3289" ht="15.75" customHeight="1">
      <c r="A3289" s="2">
        <v>21247.0</v>
      </c>
      <c r="B3289" s="2" t="s">
        <v>7272</v>
      </c>
      <c r="C3289" s="2" t="s">
        <v>1765</v>
      </c>
      <c r="D3289" s="2" t="s">
        <v>42</v>
      </c>
      <c r="E3289" s="2" t="s">
        <v>20</v>
      </c>
      <c r="F3289" s="2">
        <v>15.0</v>
      </c>
      <c r="G3289" s="2">
        <v>500.0</v>
      </c>
      <c r="H3289" s="3" t="str">
        <f>HYPERLINK("http://www.linkedin.com/in/hugoenriquemerlo","http://www.linkedin.com/in/hugoenriquemerlo")</f>
        <v>http://www.linkedin.com/in/hugoenriquemerlo</v>
      </c>
      <c r="I3289" s="2" t="s">
        <v>105</v>
      </c>
      <c r="J3289" s="2" t="s">
        <v>21</v>
      </c>
      <c r="K3289" s="2" t="s">
        <v>5727</v>
      </c>
    </row>
    <row r="3290" ht="15.75" customHeight="1">
      <c r="A3290" s="2">
        <v>21291.0</v>
      </c>
      <c r="B3290" s="2" t="s">
        <v>389</v>
      </c>
      <c r="C3290" s="2" t="s">
        <v>7273</v>
      </c>
      <c r="D3290" s="2" t="s">
        <v>7274</v>
      </c>
      <c r="E3290" s="2" t="s">
        <v>20</v>
      </c>
      <c r="F3290" s="2">
        <v>4.0</v>
      </c>
      <c r="G3290" s="2">
        <v>447.0</v>
      </c>
      <c r="H3290" s="3" t="str">
        <f>HYPERLINK("http://ar.linkedin.com/pub/jos%C3%A9-nadir/A/706/29A","http://ar.linkedin.com/pub/jos%C3%A9-nadir/A/706/29A")</f>
        <v>http://ar.linkedin.com/pub/jos%C3%A9-nadir/A/706/29A</v>
      </c>
      <c r="I3290" s="2" t="s">
        <v>374</v>
      </c>
      <c r="J3290" s="2" t="s">
        <v>21</v>
      </c>
      <c r="K3290" s="2" t="s">
        <v>5727</v>
      </c>
    </row>
    <row r="3291" ht="15.75" customHeight="1">
      <c r="A3291" s="2">
        <v>21340.0</v>
      </c>
      <c r="B3291" s="2" t="s">
        <v>7275</v>
      </c>
      <c r="C3291" s="2" t="s">
        <v>7276</v>
      </c>
      <c r="D3291" s="2" t="s">
        <v>7277</v>
      </c>
      <c r="E3291" s="2" t="s">
        <v>20</v>
      </c>
      <c r="F3291" s="2">
        <v>2.0</v>
      </c>
      <c r="G3291" s="2">
        <v>233.0</v>
      </c>
      <c r="H3291" s="3" t="str">
        <f>HYPERLINK("http://ar.linkedin.com/pub/maria-jose-ferrero/13/706/A43","http://ar.linkedin.com/pub/maria-jose-ferrero/13/706/A43")</f>
        <v>http://ar.linkedin.com/pub/maria-jose-ferrero/13/706/A43</v>
      </c>
      <c r="I3291" s="2" t="s">
        <v>195</v>
      </c>
      <c r="J3291" s="2" t="s">
        <v>21</v>
      </c>
      <c r="K3291" s="2" t="s">
        <v>6046</v>
      </c>
    </row>
    <row r="3292" ht="15.75" customHeight="1">
      <c r="A3292" s="2">
        <v>21353.0</v>
      </c>
      <c r="B3292" s="2" t="s">
        <v>70</v>
      </c>
      <c r="C3292" s="2" t="s">
        <v>6508</v>
      </c>
      <c r="D3292" s="2" t="s">
        <v>7278</v>
      </c>
      <c r="E3292" s="2" t="s">
        <v>20</v>
      </c>
      <c r="F3292" s="2">
        <v>7.0</v>
      </c>
      <c r="G3292" s="2">
        <v>282.0</v>
      </c>
      <c r="H3292" s="3" t="str">
        <f>HYPERLINK("http://ar.linkedin.com/in/gustavosanchez","http://ar.linkedin.com/in/gustavosanchez")</f>
        <v>http://ar.linkedin.com/in/gustavosanchez</v>
      </c>
      <c r="I3292" s="2" t="s">
        <v>2419</v>
      </c>
      <c r="J3292" s="2" t="s">
        <v>21</v>
      </c>
      <c r="K3292" s="2" t="s">
        <v>5727</v>
      </c>
    </row>
    <row r="3293" ht="15.75" customHeight="1">
      <c r="A3293" s="2">
        <v>21358.0</v>
      </c>
      <c r="B3293" s="2" t="s">
        <v>7279</v>
      </c>
      <c r="C3293" s="2" t="s">
        <v>7280</v>
      </c>
      <c r="D3293" s="2" t="s">
        <v>7281</v>
      </c>
      <c r="E3293" s="2" t="s">
        <v>20</v>
      </c>
      <c r="F3293" s="2">
        <v>6.0</v>
      </c>
      <c r="G3293" s="2">
        <v>286.0</v>
      </c>
      <c r="H3293" s="3" t="str">
        <f>HYPERLINK("http://ar.linkedin.com/in/alejandropapillo","http://ar.linkedin.com/in/alejandropapillo")</f>
        <v>http://ar.linkedin.com/in/alejandropapillo</v>
      </c>
      <c r="I3293" s="2" t="s">
        <v>714</v>
      </c>
      <c r="J3293" s="2" t="s">
        <v>21</v>
      </c>
      <c r="K3293" s="2" t="s">
        <v>5727</v>
      </c>
    </row>
    <row r="3294" ht="15.75" customHeight="1">
      <c r="A3294" s="2">
        <v>21368.0</v>
      </c>
      <c r="B3294" s="2" t="s">
        <v>353</v>
      </c>
      <c r="C3294" s="2" t="s">
        <v>7282</v>
      </c>
      <c r="D3294" s="2" t="s">
        <v>13</v>
      </c>
      <c r="E3294" s="2" t="s">
        <v>20</v>
      </c>
      <c r="F3294" s="2">
        <v>40.0</v>
      </c>
      <c r="G3294" s="2">
        <v>485.0</v>
      </c>
      <c r="H3294" s="3" t="str">
        <f>HYPERLINK("http://www.linkedin.com/pub/alejandro-janzen/10/a49/688","http://www.linkedin.com/pub/alejandro-janzen/10/a49/688")</f>
        <v>http://www.linkedin.com/pub/alejandro-janzen/10/a49/688</v>
      </c>
      <c r="I3294" s="2" t="s">
        <v>119</v>
      </c>
      <c r="J3294" s="2" t="s">
        <v>21</v>
      </c>
      <c r="K3294" s="2" t="s">
        <v>7283</v>
      </c>
    </row>
    <row r="3295" ht="15.75" customHeight="1">
      <c r="A3295" s="2">
        <v>21406.0</v>
      </c>
      <c r="B3295" s="2" t="s">
        <v>7284</v>
      </c>
      <c r="C3295" s="2" t="s">
        <v>1843</v>
      </c>
      <c r="D3295" s="2" t="s">
        <v>7285</v>
      </c>
      <c r="E3295" s="2" t="s">
        <v>762</v>
      </c>
      <c r="F3295" s="2">
        <v>10.0</v>
      </c>
      <c r="G3295" s="2">
        <v>214.0</v>
      </c>
      <c r="H3295" s="3" t="str">
        <f>HYPERLINK("http://www.linkedin.com/pub/pathik-shah/9/129/364","http://www.linkedin.com/pub/pathik-shah/9/129/364")</f>
        <v>http://www.linkedin.com/pub/pathik-shah/9/129/364</v>
      </c>
      <c r="I3295" s="2" t="s">
        <v>2419</v>
      </c>
      <c r="J3295" s="2" t="s">
        <v>102</v>
      </c>
      <c r="K3295" s="2" t="s">
        <v>6118</v>
      </c>
    </row>
    <row r="3296" ht="15.75" customHeight="1">
      <c r="A3296" s="2">
        <v>21465.0</v>
      </c>
      <c r="B3296" s="2" t="s">
        <v>6064</v>
      </c>
      <c r="C3296" s="2" t="s">
        <v>7286</v>
      </c>
      <c r="D3296" s="2" t="s">
        <v>13</v>
      </c>
      <c r="E3296" s="2" t="s">
        <v>20</v>
      </c>
      <c r="F3296" s="2">
        <v>1.0</v>
      </c>
      <c r="G3296" s="2">
        <v>420.0</v>
      </c>
      <c r="H3296" s="3" t="str">
        <f>HYPERLINK("http://www.linkedin.com/pub/romina-de-giacomo/8/512/787","http://www.linkedin.com/pub/romina-de-giacomo/8/512/787")</f>
        <v>http://www.linkedin.com/pub/romina-de-giacomo/8/512/787</v>
      </c>
      <c r="I3296" s="2" t="s">
        <v>579</v>
      </c>
      <c r="J3296" s="2" t="s">
        <v>21</v>
      </c>
      <c r="K3296" s="2" t="s">
        <v>5731</v>
      </c>
    </row>
    <row r="3297" ht="15.75" customHeight="1">
      <c r="A3297" s="2">
        <v>21488.0</v>
      </c>
      <c r="B3297" s="2" t="s">
        <v>353</v>
      </c>
      <c r="C3297" s="2" t="s">
        <v>7287</v>
      </c>
      <c r="D3297" s="2" t="s">
        <v>7288</v>
      </c>
      <c r="E3297" s="2" t="s">
        <v>20</v>
      </c>
      <c r="F3297" s="2">
        <v>9.0</v>
      </c>
      <c r="G3297" s="2">
        <v>500.0</v>
      </c>
      <c r="H3297" s="3" t="str">
        <f>HYPERLINK("http://ar.linkedin.com/pub/alejandro-raffin/3/B39/125","http://ar.linkedin.com/pub/alejandro-raffin/3/B39/125")</f>
        <v>http://ar.linkedin.com/pub/alejandro-raffin/3/B39/125</v>
      </c>
      <c r="I3297" s="2" t="s">
        <v>681</v>
      </c>
      <c r="J3297" s="2" t="s">
        <v>21</v>
      </c>
      <c r="K3297" s="2" t="s">
        <v>5727</v>
      </c>
    </row>
    <row r="3298" ht="15.75" customHeight="1">
      <c r="A3298" s="2">
        <v>21519.0</v>
      </c>
      <c r="B3298" s="2" t="s">
        <v>523</v>
      </c>
      <c r="C3298" s="2" t="s">
        <v>7289</v>
      </c>
      <c r="D3298" s="2" t="s">
        <v>7290</v>
      </c>
      <c r="E3298" s="2" t="s">
        <v>20</v>
      </c>
      <c r="F3298" s="2" t="s">
        <v>13</v>
      </c>
      <c r="G3298" s="2">
        <v>297.0</v>
      </c>
      <c r="H3298" s="3" t="str">
        <f>HYPERLINK("http://ar.linkedin.com/pub/ignacio-chavero/21/B18/922","http://ar.linkedin.com/pub/ignacio-chavero/21/B18/922")</f>
        <v>http://ar.linkedin.com/pub/ignacio-chavero/21/B18/922</v>
      </c>
      <c r="I3298" s="2" t="s">
        <v>77</v>
      </c>
      <c r="J3298" s="2" t="s">
        <v>21</v>
      </c>
      <c r="K3298" s="2" t="s">
        <v>5848</v>
      </c>
    </row>
    <row r="3299" ht="15.75" customHeight="1">
      <c r="A3299" s="2">
        <v>21526.0</v>
      </c>
      <c r="B3299" s="2" t="s">
        <v>7291</v>
      </c>
      <c r="C3299" s="2" t="s">
        <v>7292</v>
      </c>
      <c r="D3299" s="2" t="s">
        <v>7293</v>
      </c>
      <c r="E3299" s="2" t="s">
        <v>20</v>
      </c>
      <c r="F3299" s="2">
        <v>19.0</v>
      </c>
      <c r="G3299" s="2">
        <v>500.0</v>
      </c>
      <c r="H3299" s="3" t="str">
        <f>HYPERLINK("http://ar.linkedin.com/pub/claudia-g-tortora/11/64/3BB","http://ar.linkedin.com/pub/claudia-g-tortora/11/64/3BB")</f>
        <v>http://ar.linkedin.com/pub/claudia-g-tortora/11/64/3BB</v>
      </c>
      <c r="I3299" s="2" t="s">
        <v>1679</v>
      </c>
      <c r="J3299" s="2" t="s">
        <v>21</v>
      </c>
      <c r="K3299" s="2" t="s">
        <v>5727</v>
      </c>
    </row>
    <row r="3300" ht="15.75" customHeight="1">
      <c r="A3300" s="2">
        <v>21536.0</v>
      </c>
      <c r="B3300" s="2" t="s">
        <v>3165</v>
      </c>
      <c r="C3300" s="2" t="s">
        <v>7294</v>
      </c>
      <c r="D3300" s="2" t="s">
        <v>13</v>
      </c>
      <c r="E3300" s="2" t="s">
        <v>20</v>
      </c>
      <c r="F3300" s="2">
        <v>0.0</v>
      </c>
      <c r="G3300" s="2">
        <v>500.0</v>
      </c>
      <c r="H3300" s="3" t="str">
        <f>HYPERLINK("http://www.linkedin.com/pub/luciana-simonazzi/5/469/b66","http://www.linkedin.com/pub/luciana-simonazzi/5/469/b66")</f>
        <v>http://www.linkedin.com/pub/luciana-simonazzi/5/469/b66</v>
      </c>
      <c r="I3300" s="2" t="s">
        <v>458</v>
      </c>
      <c r="J3300" s="2" t="s">
        <v>21</v>
      </c>
      <c r="K3300" s="2" t="s">
        <v>5734</v>
      </c>
    </row>
    <row r="3301" ht="15.75" customHeight="1">
      <c r="A3301" s="2">
        <v>21547.0</v>
      </c>
      <c r="B3301" s="2" t="s">
        <v>540</v>
      </c>
      <c r="C3301" s="2" t="s">
        <v>7295</v>
      </c>
      <c r="D3301" s="2" t="s">
        <v>5831</v>
      </c>
      <c r="E3301" s="2" t="s">
        <v>20</v>
      </c>
      <c r="F3301" s="2">
        <v>3.0</v>
      </c>
      <c r="G3301" s="2">
        <v>268.0</v>
      </c>
      <c r="H3301" s="3" t="str">
        <f>HYPERLINK("http://ar.linkedin.com/pub/christian-manko/8/97/B83","http://ar.linkedin.com/pub/christian-manko/8/97/B83")</f>
        <v>http://ar.linkedin.com/pub/christian-manko/8/97/B83</v>
      </c>
      <c r="I3301" s="2" t="s">
        <v>96</v>
      </c>
      <c r="J3301" s="2" t="s">
        <v>21</v>
      </c>
      <c r="K3301" s="2" t="s">
        <v>5727</v>
      </c>
    </row>
    <row r="3302" ht="15.75" customHeight="1">
      <c r="A3302" s="2">
        <v>21581.0</v>
      </c>
      <c r="B3302" s="2" t="s">
        <v>5883</v>
      </c>
      <c r="C3302" s="2" t="s">
        <v>7296</v>
      </c>
      <c r="D3302" s="2" t="s">
        <v>7297</v>
      </c>
      <c r="E3302" s="2" t="s">
        <v>20</v>
      </c>
      <c r="F3302" s="2">
        <v>16.0</v>
      </c>
      <c r="G3302" s="2">
        <v>500.0</v>
      </c>
      <c r="H3302" s="3" t="str">
        <f>HYPERLINK("http://ar.linkedin.com/in/arielanzovino","http://ar.linkedin.com/in/arielanzovino")</f>
        <v>http://ar.linkedin.com/in/arielanzovino</v>
      </c>
      <c r="I3302" s="2" t="s">
        <v>374</v>
      </c>
      <c r="J3302" s="2" t="s">
        <v>21</v>
      </c>
      <c r="K3302" s="2" t="s">
        <v>5743</v>
      </c>
    </row>
    <row r="3303" ht="15.75" customHeight="1">
      <c r="A3303" s="2">
        <v>21591.0</v>
      </c>
      <c r="B3303" s="2" t="s">
        <v>5763</v>
      </c>
      <c r="C3303" s="2" t="s">
        <v>7298</v>
      </c>
      <c r="D3303" s="2" t="s">
        <v>7299</v>
      </c>
      <c r="E3303" s="2" t="s">
        <v>20</v>
      </c>
      <c r="F3303" s="2">
        <v>0.0</v>
      </c>
      <c r="G3303" s="2">
        <v>500.0</v>
      </c>
      <c r="H3303" s="3" t="str">
        <f>HYPERLINK("http://www.linkedin.com/in/ezequielguffanti","http://www.linkedin.com/in/ezequielguffanti")</f>
        <v>http://www.linkedin.com/in/ezequielguffanti</v>
      </c>
      <c r="I3303" s="2" t="s">
        <v>15</v>
      </c>
      <c r="J3303" s="2" t="s">
        <v>21</v>
      </c>
      <c r="K3303" s="2" t="s">
        <v>6124</v>
      </c>
    </row>
    <row r="3304" ht="15.75" customHeight="1">
      <c r="A3304" s="2">
        <v>21593.0</v>
      </c>
      <c r="B3304" s="2" t="s">
        <v>677</v>
      </c>
      <c r="C3304" s="2" t="s">
        <v>7300</v>
      </c>
      <c r="D3304" s="2" t="s">
        <v>7301</v>
      </c>
      <c r="E3304" s="2" t="s">
        <v>20</v>
      </c>
      <c r="F3304" s="2">
        <v>4.0</v>
      </c>
      <c r="G3304" s="2">
        <v>294.0</v>
      </c>
      <c r="H3304" s="3" t="str">
        <f>HYPERLINK("http://ar.linkedin.com/in/arcusin","http://ar.linkedin.com/in/arcusin")</f>
        <v>http://ar.linkedin.com/in/arcusin</v>
      </c>
      <c r="I3304" s="2" t="s">
        <v>279</v>
      </c>
      <c r="J3304" s="2" t="s">
        <v>21</v>
      </c>
      <c r="K3304" s="2" t="s">
        <v>6075</v>
      </c>
    </row>
    <row r="3305" ht="15.75" customHeight="1">
      <c r="A3305" s="2">
        <v>21601.0</v>
      </c>
      <c r="B3305" s="2" t="s">
        <v>314</v>
      </c>
      <c r="C3305" s="2" t="s">
        <v>7302</v>
      </c>
      <c r="D3305" s="2" t="s">
        <v>7303</v>
      </c>
      <c r="E3305" s="2" t="s">
        <v>20</v>
      </c>
      <c r="F3305" s="2">
        <v>9.0</v>
      </c>
      <c r="G3305" s="2">
        <v>402.0</v>
      </c>
      <c r="H3305" s="3" t="str">
        <f>HYPERLINK("http://ar.linkedin.com/in/marcospereyra","http://ar.linkedin.com/in/marcospereyra")</f>
        <v>http://ar.linkedin.com/in/marcospereyra</v>
      </c>
      <c r="I3305" s="2" t="s">
        <v>4727</v>
      </c>
      <c r="J3305" s="2" t="s">
        <v>21</v>
      </c>
      <c r="K3305" s="2" t="s">
        <v>5731</v>
      </c>
    </row>
    <row r="3306" ht="15.75" customHeight="1">
      <c r="A3306" s="2">
        <v>21613.0</v>
      </c>
      <c r="B3306" s="2" t="s">
        <v>5415</v>
      </c>
      <c r="C3306" s="2" t="s">
        <v>7304</v>
      </c>
      <c r="D3306" s="2" t="s">
        <v>7305</v>
      </c>
      <c r="E3306" s="2" t="s">
        <v>20</v>
      </c>
      <c r="F3306" s="2">
        <v>5.0</v>
      </c>
      <c r="G3306" s="2">
        <v>249.0</v>
      </c>
      <c r="H3306" s="3" t="str">
        <f>HYPERLINK("http://ar.linkedin.com/pub/cristian-morelli/9/B00/676","http://ar.linkedin.com/pub/cristian-morelli/9/B00/676")</f>
        <v>http://ar.linkedin.com/pub/cristian-morelli/9/B00/676</v>
      </c>
      <c r="I3306" s="2" t="s">
        <v>172</v>
      </c>
      <c r="J3306" s="2" t="s">
        <v>21</v>
      </c>
      <c r="K3306" s="2" t="s">
        <v>5727</v>
      </c>
    </row>
    <row r="3307" ht="15.75" customHeight="1">
      <c r="A3307" s="2">
        <v>21623.0</v>
      </c>
      <c r="B3307" s="2" t="s">
        <v>7306</v>
      </c>
      <c r="C3307" s="2" t="s">
        <v>7307</v>
      </c>
      <c r="D3307" s="2" t="s">
        <v>7308</v>
      </c>
      <c r="E3307" s="2" t="s">
        <v>20</v>
      </c>
      <c r="F3307" s="2">
        <v>11.0</v>
      </c>
      <c r="G3307" s="2">
        <v>259.0</v>
      </c>
      <c r="H3307" s="3" t="str">
        <f>HYPERLINK("http://www.linkedin.com/in/christiandelapena","http://www.linkedin.com/in/christiandelapena")</f>
        <v>http://www.linkedin.com/in/christiandelapena</v>
      </c>
      <c r="I3307" s="2" t="s">
        <v>2603</v>
      </c>
      <c r="J3307" s="2" t="s">
        <v>21</v>
      </c>
      <c r="K3307" s="2" t="s">
        <v>5731</v>
      </c>
    </row>
    <row r="3308" ht="15.75" customHeight="1">
      <c r="A3308" s="2">
        <v>21624.0</v>
      </c>
      <c r="B3308" s="2" t="s">
        <v>7309</v>
      </c>
      <c r="C3308" s="2" t="s">
        <v>492</v>
      </c>
      <c r="D3308" s="2" t="s">
        <v>7310</v>
      </c>
      <c r="E3308" s="2" t="s">
        <v>20</v>
      </c>
      <c r="F3308" s="2">
        <v>3.0</v>
      </c>
      <c r="G3308" s="2">
        <v>196.0</v>
      </c>
      <c r="H3308" s="3" t="str">
        <f>HYPERLINK("http://ar.linkedin.com/in/sergioarrocha","http://ar.linkedin.com/in/sergioarrocha")</f>
        <v>http://ar.linkedin.com/in/sergioarrocha</v>
      </c>
      <c r="I3308" s="2" t="s">
        <v>669</v>
      </c>
      <c r="J3308" s="2" t="s">
        <v>21</v>
      </c>
      <c r="K3308" s="2" t="s">
        <v>5727</v>
      </c>
    </row>
    <row r="3309" ht="15.75" customHeight="1">
      <c r="A3309" s="2">
        <v>21665.0</v>
      </c>
      <c r="B3309" s="2" t="s">
        <v>7311</v>
      </c>
      <c r="C3309" s="2" t="s">
        <v>7312</v>
      </c>
      <c r="D3309" s="2" t="s">
        <v>7313</v>
      </c>
      <c r="E3309" s="2" t="s">
        <v>701</v>
      </c>
      <c r="F3309" s="2">
        <v>3.0</v>
      </c>
      <c r="G3309" s="2">
        <v>412.0</v>
      </c>
      <c r="H3309" s="3" t="str">
        <f>HYPERLINK("http://www.linkedin.com/in/mtrillo","http://www.linkedin.com/in/mtrillo")</f>
        <v>http://www.linkedin.com/in/mtrillo</v>
      </c>
      <c r="I3309" s="2" t="s">
        <v>910</v>
      </c>
      <c r="J3309" s="2" t="s">
        <v>702</v>
      </c>
      <c r="K3309" s="2" t="s">
        <v>5785</v>
      </c>
    </row>
    <row r="3310" ht="15.75" customHeight="1">
      <c r="A3310" s="2">
        <v>21691.0</v>
      </c>
      <c r="B3310" s="2" t="s">
        <v>7314</v>
      </c>
      <c r="C3310" s="2" t="s">
        <v>13</v>
      </c>
      <c r="D3310" s="2" t="s">
        <v>13</v>
      </c>
      <c r="E3310" s="2" t="s">
        <v>20</v>
      </c>
      <c r="F3310" s="2">
        <v>6.0</v>
      </c>
      <c r="G3310" s="2">
        <v>500.0</v>
      </c>
      <c r="H3310" s="3" t="str">
        <f>HYPERLINK("http://www.linkedin.com/pub/santiago-masiriz/9/b4/ab0","http://www.linkedin.com/pub/santiago-masiriz/9/b4/ab0")</f>
        <v>http://www.linkedin.com/pub/santiago-masiriz/9/b4/ab0</v>
      </c>
      <c r="I3310" s="2" t="s">
        <v>579</v>
      </c>
      <c r="J3310" s="2" t="s">
        <v>21</v>
      </c>
      <c r="K3310" s="2" t="s">
        <v>5731</v>
      </c>
    </row>
    <row r="3311" ht="15.75" customHeight="1">
      <c r="A3311" s="2">
        <v>21705.0</v>
      </c>
      <c r="B3311" s="2" t="s">
        <v>6339</v>
      </c>
      <c r="C3311" s="2" t="s">
        <v>7315</v>
      </c>
      <c r="D3311" s="2" t="s">
        <v>7316</v>
      </c>
      <c r="E3311" s="2" t="s">
        <v>20</v>
      </c>
      <c r="F3311" s="2">
        <v>7.0</v>
      </c>
      <c r="G3311" s="2">
        <v>500.0</v>
      </c>
      <c r="H3311" s="3" t="str">
        <f>HYPERLINK("http://ar.linkedin.com/in/estebancarril","http://ar.linkedin.com/in/estebancarril")</f>
        <v>http://ar.linkedin.com/in/estebancarril</v>
      </c>
      <c r="I3311" s="2" t="s">
        <v>57</v>
      </c>
      <c r="J3311" s="2" t="s">
        <v>21</v>
      </c>
      <c r="K3311" s="2" t="s">
        <v>5727</v>
      </c>
    </row>
    <row r="3312" ht="15.75" customHeight="1">
      <c r="A3312" s="2">
        <v>21711.0</v>
      </c>
      <c r="B3312" s="2" t="s">
        <v>7317</v>
      </c>
      <c r="C3312" s="2" t="s">
        <v>7318</v>
      </c>
      <c r="D3312" s="2" t="s">
        <v>13</v>
      </c>
      <c r="E3312" s="2" t="s">
        <v>20</v>
      </c>
      <c r="F3312" s="2">
        <v>0.0</v>
      </c>
      <c r="G3312" s="2">
        <v>500.0</v>
      </c>
      <c r="H3312" s="3" t="str">
        <f>HYPERLINK("http://www.linkedin.com/pub/pablo-oscar-vultaggio/15/470/722","http://www.linkedin.com/pub/pablo-oscar-vultaggio/15/470/722")</f>
        <v>http://www.linkedin.com/pub/pablo-oscar-vultaggio/15/470/722</v>
      </c>
      <c r="I3312" s="2" t="s">
        <v>15</v>
      </c>
      <c r="J3312" s="2" t="s">
        <v>21</v>
      </c>
      <c r="K3312" s="2" t="s">
        <v>5727</v>
      </c>
    </row>
    <row r="3313" ht="15.75" customHeight="1">
      <c r="A3313" s="2">
        <v>21713.0</v>
      </c>
      <c r="B3313" s="2" t="s">
        <v>6232</v>
      </c>
      <c r="C3313" s="2" t="s">
        <v>7319</v>
      </c>
      <c r="D3313" s="2" t="s">
        <v>13</v>
      </c>
      <c r="E3313" s="2" t="s">
        <v>20</v>
      </c>
      <c r="F3313" s="2">
        <v>0.0</v>
      </c>
      <c r="G3313" s="2">
        <v>500.0</v>
      </c>
      <c r="H3313" s="3" t="str">
        <f>HYPERLINK("http://www.linkedin.com/pub/emiliano-carena/9/574/375","http://www.linkedin.com/pub/emiliano-carena/9/574/375")</f>
        <v>http://www.linkedin.com/pub/emiliano-carena/9/574/375</v>
      </c>
      <c r="I3313" s="2" t="s">
        <v>1841</v>
      </c>
      <c r="J3313" s="2" t="s">
        <v>21</v>
      </c>
      <c r="K3313" s="2" t="s">
        <v>5785</v>
      </c>
    </row>
    <row r="3314" ht="15.75" customHeight="1">
      <c r="A3314" s="2">
        <v>21717.0</v>
      </c>
      <c r="B3314" s="2" t="s">
        <v>862</v>
      </c>
      <c r="C3314" s="2" t="s">
        <v>4233</v>
      </c>
      <c r="D3314" s="2" t="s">
        <v>7320</v>
      </c>
      <c r="E3314" s="2" t="s">
        <v>20</v>
      </c>
      <c r="F3314" s="2">
        <v>1.0</v>
      </c>
      <c r="G3314" s="2">
        <v>148.0</v>
      </c>
      <c r="H3314" s="3" t="str">
        <f>HYPERLINK("http://ar.linkedin.com/pub/gabriel-gonzalez/A/191/33B","http://ar.linkedin.com/pub/gabriel-gonzalez/A/191/33B")</f>
        <v>http://ar.linkedin.com/pub/gabriel-gonzalez/A/191/33B</v>
      </c>
      <c r="I3314" s="2" t="s">
        <v>579</v>
      </c>
      <c r="J3314" s="2" t="s">
        <v>21</v>
      </c>
      <c r="K3314" s="2" t="s">
        <v>5848</v>
      </c>
    </row>
    <row r="3315" ht="15.75" customHeight="1">
      <c r="A3315" s="2">
        <v>21729.0</v>
      </c>
      <c r="B3315" s="2" t="s">
        <v>7321</v>
      </c>
      <c r="C3315" s="2" t="s">
        <v>7322</v>
      </c>
      <c r="D3315" s="2" t="s">
        <v>7323</v>
      </c>
      <c r="E3315" s="2" t="s">
        <v>20</v>
      </c>
      <c r="F3315" s="2">
        <v>9.0</v>
      </c>
      <c r="G3315" s="2">
        <v>382.0</v>
      </c>
      <c r="H3315" s="3" t="str">
        <f>HYPERLINK("http://ar.linkedin.com/pub/pablo-javier-riesco/5/251/543","http://ar.linkedin.com/pub/pablo-javier-riesco/5/251/543")</f>
        <v>http://ar.linkedin.com/pub/pablo-javier-riesco/5/251/543</v>
      </c>
      <c r="I3315" s="2" t="s">
        <v>48</v>
      </c>
      <c r="J3315" s="2" t="s">
        <v>21</v>
      </c>
      <c r="K3315" s="2" t="s">
        <v>5777</v>
      </c>
    </row>
    <row r="3316" ht="15.75" customHeight="1">
      <c r="A3316" s="2">
        <v>21731.0</v>
      </c>
      <c r="B3316" s="2" t="s">
        <v>193</v>
      </c>
      <c r="C3316" s="2" t="s">
        <v>7324</v>
      </c>
      <c r="D3316" s="2" t="s">
        <v>7323</v>
      </c>
      <c r="E3316" s="2" t="s">
        <v>20</v>
      </c>
      <c r="F3316" s="2">
        <v>23.0</v>
      </c>
      <c r="G3316" s="2">
        <v>500.0</v>
      </c>
      <c r="H3316" s="3" t="str">
        <f>HYPERLINK("http://ar.linkedin.com/in/guillermobuscemi","http://ar.linkedin.com/in/guillermobuscemi")</f>
        <v>http://ar.linkedin.com/in/guillermobuscemi</v>
      </c>
      <c r="I3316" s="2" t="s">
        <v>48</v>
      </c>
      <c r="J3316" s="2" t="s">
        <v>21</v>
      </c>
      <c r="K3316" s="2" t="s">
        <v>5777</v>
      </c>
    </row>
    <row r="3317" ht="15.75" customHeight="1">
      <c r="A3317" s="2">
        <v>21732.0</v>
      </c>
      <c r="B3317" s="2" t="s">
        <v>201</v>
      </c>
      <c r="C3317" s="2" t="s">
        <v>7325</v>
      </c>
      <c r="D3317" s="2" t="s">
        <v>7326</v>
      </c>
      <c r="E3317" s="2" t="s">
        <v>20</v>
      </c>
      <c r="F3317" s="2">
        <v>6.0</v>
      </c>
      <c r="G3317" s="2">
        <v>424.0</v>
      </c>
      <c r="H3317" s="3" t="str">
        <f>HYPERLINK("http://ar.linkedin.com/pub/natalia-lambrechts/A/968/425","http://ar.linkedin.com/pub/natalia-lambrechts/A/968/425")</f>
        <v>http://ar.linkedin.com/pub/natalia-lambrechts/A/968/425</v>
      </c>
      <c r="I3317" s="2" t="s">
        <v>279</v>
      </c>
      <c r="J3317" s="2" t="s">
        <v>21</v>
      </c>
      <c r="K3317" s="2" t="s">
        <v>5727</v>
      </c>
    </row>
    <row r="3318" ht="15.75" customHeight="1">
      <c r="A3318" s="2">
        <v>21743.0</v>
      </c>
      <c r="B3318" s="2" t="s">
        <v>5871</v>
      </c>
      <c r="C3318" s="2" t="s">
        <v>7327</v>
      </c>
      <c r="D3318" s="2" t="s">
        <v>7328</v>
      </c>
      <c r="E3318" s="2" t="s">
        <v>20</v>
      </c>
      <c r="F3318" s="2">
        <v>5.0</v>
      </c>
      <c r="G3318" s="2">
        <v>500.0</v>
      </c>
      <c r="H3318" s="3" t="str">
        <f>HYPERLINK("http://ar.linkedin.com/in/sabrinacameli","http://ar.linkedin.com/in/sabrinacameli")</f>
        <v>http://ar.linkedin.com/in/sabrinacameli</v>
      </c>
      <c r="I3318" s="2" t="s">
        <v>105</v>
      </c>
      <c r="J3318" s="2" t="s">
        <v>21</v>
      </c>
      <c r="K3318" s="2" t="s">
        <v>7329</v>
      </c>
    </row>
    <row r="3319" ht="15.75" customHeight="1">
      <c r="A3319" s="2">
        <v>21745.0</v>
      </c>
      <c r="B3319" s="2" t="s">
        <v>3223</v>
      </c>
      <c r="C3319" s="2" t="s">
        <v>7330</v>
      </c>
      <c r="D3319" s="2" t="s">
        <v>13</v>
      </c>
      <c r="E3319" s="2" t="s">
        <v>20</v>
      </c>
      <c r="F3319" s="2">
        <v>0.0</v>
      </c>
      <c r="G3319" s="2">
        <v>500.0</v>
      </c>
      <c r="H3319" s="3" t="str">
        <f>HYPERLINK("http://www.linkedin.com/pub/laura-isanta/b/105/5ab","http://www.linkedin.com/pub/laura-isanta/b/105/5ab")</f>
        <v>http://www.linkedin.com/pub/laura-isanta/b/105/5ab</v>
      </c>
      <c r="I3319" s="2" t="s">
        <v>458</v>
      </c>
      <c r="J3319" s="2" t="s">
        <v>21</v>
      </c>
      <c r="K3319" s="2" t="s">
        <v>5734</v>
      </c>
    </row>
    <row r="3320" ht="15.75" customHeight="1">
      <c r="A3320" s="2">
        <v>21783.0</v>
      </c>
      <c r="B3320" s="2" t="s">
        <v>7331</v>
      </c>
      <c r="C3320" s="2" t="s">
        <v>5713</v>
      </c>
      <c r="D3320" s="2" t="s">
        <v>289</v>
      </c>
      <c r="E3320" s="2" t="s">
        <v>20</v>
      </c>
      <c r="F3320" s="2">
        <v>5.0</v>
      </c>
      <c r="G3320" s="2">
        <v>500.0</v>
      </c>
      <c r="H3320" s="3" t="str">
        <f>HYPERLINK("http://ar.linkedin.com/pub/yvonne-corbett/5/480/556","http://ar.linkedin.com/pub/yvonne-corbett/5/480/556")</f>
        <v>http://ar.linkedin.com/pub/yvonne-corbett/5/480/556</v>
      </c>
      <c r="I3320" s="2" t="s">
        <v>1421</v>
      </c>
      <c r="J3320" s="2" t="s">
        <v>21</v>
      </c>
      <c r="K3320" s="2" t="s">
        <v>5727</v>
      </c>
    </row>
    <row r="3321" ht="15.75" customHeight="1">
      <c r="A3321" s="2">
        <v>21834.0</v>
      </c>
      <c r="B3321" s="2" t="s">
        <v>253</v>
      </c>
      <c r="C3321" s="2" t="s">
        <v>7332</v>
      </c>
      <c r="D3321" s="2" t="s">
        <v>7333</v>
      </c>
      <c r="E3321" s="2" t="s">
        <v>20</v>
      </c>
      <c r="F3321" s="2">
        <v>1.0</v>
      </c>
      <c r="G3321" s="2">
        <v>242.0</v>
      </c>
      <c r="H3321" s="3" t="str">
        <f>HYPERLINK("http://ar.linkedin.com/pub/fernando-somoza/5/777/883","http://ar.linkedin.com/pub/fernando-somoza/5/777/883")</f>
        <v>http://ar.linkedin.com/pub/fernando-somoza/5/777/883</v>
      </c>
      <c r="I3321" s="2" t="s">
        <v>681</v>
      </c>
      <c r="J3321" s="2" t="s">
        <v>21</v>
      </c>
      <c r="K3321" s="2" t="s">
        <v>5743</v>
      </c>
    </row>
    <row r="3322" ht="15.75" customHeight="1">
      <c r="A3322" s="2">
        <v>21835.0</v>
      </c>
      <c r="B3322" s="2" t="s">
        <v>6064</v>
      </c>
      <c r="C3322" s="2" t="s">
        <v>7334</v>
      </c>
      <c r="D3322" s="2" t="s">
        <v>13</v>
      </c>
      <c r="E3322" s="2" t="s">
        <v>20</v>
      </c>
      <c r="F3322" s="2">
        <v>0.0</v>
      </c>
      <c r="G3322" s="2">
        <v>481.0</v>
      </c>
      <c r="H3322" s="3" t="str">
        <f>HYPERLINK("http://www.linkedin.com/pub/romina-maruffo/13/441/968","http://www.linkedin.com/pub/romina-maruffo/13/441/968")</f>
        <v>http://www.linkedin.com/pub/romina-maruffo/13/441/968</v>
      </c>
      <c r="I3322" s="2" t="s">
        <v>57</v>
      </c>
      <c r="J3322" s="2" t="s">
        <v>21</v>
      </c>
      <c r="K3322" s="2" t="s">
        <v>5785</v>
      </c>
    </row>
    <row r="3323" ht="15.75" customHeight="1">
      <c r="A3323" s="2">
        <v>21878.0</v>
      </c>
      <c r="B3323" s="2" t="s">
        <v>362</v>
      </c>
      <c r="C3323" s="2" t="s">
        <v>7335</v>
      </c>
      <c r="D3323" s="2" t="s">
        <v>7336</v>
      </c>
      <c r="E3323" s="2" t="s">
        <v>20</v>
      </c>
      <c r="F3323" s="2" t="s">
        <v>13</v>
      </c>
      <c r="G3323" s="2">
        <v>310.0</v>
      </c>
      <c r="H3323" s="3" t="str">
        <f>HYPERLINK("http://ar.linkedin.com/pub/javier-voos/1/A6A/540","http://ar.linkedin.com/pub/javier-voos/1/A6A/540")</f>
        <v>http://ar.linkedin.com/pub/javier-voos/1/A6A/540</v>
      </c>
      <c r="I3323" s="2" t="s">
        <v>15</v>
      </c>
      <c r="J3323" s="2" t="s">
        <v>21</v>
      </c>
      <c r="K3323" s="2" t="s">
        <v>5725</v>
      </c>
    </row>
    <row r="3324" ht="15.75" customHeight="1">
      <c r="A3324" s="2">
        <v>21901.0</v>
      </c>
      <c r="B3324" s="2" t="s">
        <v>253</v>
      </c>
      <c r="C3324" s="2" t="s">
        <v>7337</v>
      </c>
      <c r="D3324" s="2" t="s">
        <v>7338</v>
      </c>
      <c r="E3324" s="2" t="s">
        <v>20</v>
      </c>
      <c r="F3324" s="2">
        <v>2.0</v>
      </c>
      <c r="G3324" s="2">
        <v>339.0</v>
      </c>
      <c r="H3324" s="3" t="str">
        <f>HYPERLINK("http://ar.linkedin.com/in/fernandoturnes","http://ar.linkedin.com/in/fernandoturnes")</f>
        <v>http://ar.linkedin.com/in/fernandoturnes</v>
      </c>
      <c r="I3324" s="2" t="s">
        <v>77</v>
      </c>
      <c r="J3324" s="2" t="s">
        <v>21</v>
      </c>
      <c r="K3324" s="2" t="s">
        <v>5743</v>
      </c>
    </row>
    <row r="3325" ht="15.75" customHeight="1">
      <c r="A3325" s="2">
        <v>21924.0</v>
      </c>
      <c r="B3325" s="2" t="s">
        <v>6765</v>
      </c>
      <c r="C3325" s="2" t="s">
        <v>7339</v>
      </c>
      <c r="D3325" s="2" t="s">
        <v>13</v>
      </c>
      <c r="E3325" s="2" t="s">
        <v>20</v>
      </c>
      <c r="F3325" s="2">
        <v>0.0</v>
      </c>
      <c r="G3325" s="2">
        <v>500.0</v>
      </c>
      <c r="H3325" s="3" t="str">
        <f>HYPERLINK("http://www.linkedin.com/pub/gaston-rumelfanger-mba-itil/8/873/705","http://www.linkedin.com/pub/gaston-rumelfanger-mba-itil/8/873/705")</f>
        <v>http://www.linkedin.com/pub/gaston-rumelfanger-mba-itil/8/873/705</v>
      </c>
      <c r="I3325" s="2" t="s">
        <v>15</v>
      </c>
      <c r="J3325" s="2" t="s">
        <v>21</v>
      </c>
      <c r="K3325" s="2" t="s">
        <v>5785</v>
      </c>
    </row>
    <row r="3326" ht="15.75" customHeight="1">
      <c r="A3326" s="2">
        <v>21929.0</v>
      </c>
      <c r="B3326" s="2" t="s">
        <v>253</v>
      </c>
      <c r="C3326" s="2" t="s">
        <v>7340</v>
      </c>
      <c r="D3326" s="2" t="s">
        <v>13</v>
      </c>
      <c r="E3326" s="2" t="s">
        <v>20</v>
      </c>
      <c r="F3326" s="2">
        <v>0.0</v>
      </c>
      <c r="G3326" s="2">
        <v>142.0</v>
      </c>
      <c r="H3326" s="3" t="str">
        <f>HYPERLINK("http://www.linkedin.com/pub/fernando-canepari/26/53b/405","http://www.linkedin.com/pub/fernando-canepari/26/53b/405")</f>
        <v>http://www.linkedin.com/pub/fernando-canepari/26/53b/405</v>
      </c>
      <c r="I3326" s="2" t="s">
        <v>2023</v>
      </c>
      <c r="J3326" s="2" t="s">
        <v>21</v>
      </c>
      <c r="K3326" s="2" t="s">
        <v>7341</v>
      </c>
    </row>
    <row r="3327" ht="15.75" customHeight="1">
      <c r="A3327" s="2">
        <v>21931.0</v>
      </c>
      <c r="B3327" s="2" t="s">
        <v>5078</v>
      </c>
      <c r="C3327" s="2" t="s">
        <v>6073</v>
      </c>
      <c r="D3327" s="2" t="s">
        <v>7342</v>
      </c>
      <c r="E3327" s="2" t="s">
        <v>20</v>
      </c>
      <c r="F3327" s="2">
        <v>2.0</v>
      </c>
      <c r="G3327" s="2">
        <v>388.0</v>
      </c>
      <c r="H3327" s="3" t="str">
        <f>HYPERLINK("http://www.linkedin.com/in/diegofortunato","http://www.linkedin.com/in/diegofortunato")</f>
        <v>http://www.linkedin.com/in/diegofortunato</v>
      </c>
      <c r="I3327" s="2" t="s">
        <v>15</v>
      </c>
      <c r="J3327" s="2" t="s">
        <v>21</v>
      </c>
      <c r="K3327" s="2" t="s">
        <v>5727</v>
      </c>
    </row>
    <row r="3328" ht="15.75" customHeight="1">
      <c r="A3328" s="2">
        <v>21941.0</v>
      </c>
      <c r="B3328" s="2" t="s">
        <v>7343</v>
      </c>
      <c r="C3328" s="2" t="s">
        <v>3392</v>
      </c>
      <c r="D3328" s="2" t="s">
        <v>7344</v>
      </c>
      <c r="E3328" s="2" t="s">
        <v>20</v>
      </c>
      <c r="F3328" s="2">
        <v>3.0</v>
      </c>
      <c r="G3328" s="2">
        <v>182.0</v>
      </c>
      <c r="H3328" s="3" t="str">
        <f>HYPERLINK("http://ar.linkedin.com/pub/luis-martin-lopez/20/638/7B3","http://ar.linkedin.com/pub/luis-martin-lopez/20/638/7B3")</f>
        <v>http://ar.linkedin.com/pub/luis-martin-lopez/20/638/7B3</v>
      </c>
      <c r="I3328" s="2" t="s">
        <v>608</v>
      </c>
      <c r="J3328" s="2" t="s">
        <v>21</v>
      </c>
      <c r="K3328" s="2" t="s">
        <v>5727</v>
      </c>
    </row>
    <row r="3329" ht="15.75" customHeight="1">
      <c r="A3329" s="2">
        <v>21959.0</v>
      </c>
      <c r="B3329" s="2" t="s">
        <v>7345</v>
      </c>
      <c r="C3329" s="2" t="s">
        <v>7346</v>
      </c>
      <c r="D3329" s="2" t="s">
        <v>7347</v>
      </c>
      <c r="E3329" s="2" t="s">
        <v>20</v>
      </c>
      <c r="F3329" s="2">
        <v>46.0</v>
      </c>
      <c r="G3329" s="2">
        <v>500.0</v>
      </c>
      <c r="H3329" s="3" t="str">
        <f>HYPERLINK("http://www.linkedin.com/in/marcelogranieri","http://www.linkedin.com/in/marcelogranieri")</f>
        <v>http://www.linkedin.com/in/marcelogranieri</v>
      </c>
      <c r="I3329" s="2" t="s">
        <v>1679</v>
      </c>
      <c r="J3329" s="2" t="s">
        <v>21</v>
      </c>
      <c r="K3329" s="2" t="s">
        <v>5727</v>
      </c>
    </row>
    <row r="3330" ht="15.75" customHeight="1">
      <c r="A3330" s="2">
        <v>21977.0</v>
      </c>
      <c r="B3330" s="2" t="s">
        <v>6666</v>
      </c>
      <c r="C3330" s="2" t="s">
        <v>7348</v>
      </c>
      <c r="D3330" s="2" t="s">
        <v>7349</v>
      </c>
      <c r="E3330" s="2" t="s">
        <v>325</v>
      </c>
      <c r="F3330" s="2">
        <v>14.0</v>
      </c>
      <c r="G3330" s="2">
        <v>500.0</v>
      </c>
      <c r="H3330" s="3" t="str">
        <f>HYPERLINK("http://www.linkedin.com/in/sebastiandenardi","http://www.linkedin.com/in/sebastiandenardi")</f>
        <v>http://www.linkedin.com/in/sebastiandenardi</v>
      </c>
      <c r="I3330" s="2" t="s">
        <v>374</v>
      </c>
      <c r="J3330" s="2" t="s">
        <v>102</v>
      </c>
      <c r="K3330" s="2" t="s">
        <v>6118</v>
      </c>
    </row>
    <row r="3331" ht="15.75" customHeight="1">
      <c r="A3331" s="2">
        <v>22002.0</v>
      </c>
      <c r="B3331" s="2" t="s">
        <v>6778</v>
      </c>
      <c r="C3331" s="2" t="s">
        <v>7350</v>
      </c>
      <c r="D3331" s="2" t="s">
        <v>13</v>
      </c>
      <c r="E3331" s="2" t="s">
        <v>20</v>
      </c>
      <c r="F3331" s="2">
        <v>0.0</v>
      </c>
      <c r="G3331" s="2">
        <v>500.0</v>
      </c>
      <c r="H3331" s="3" t="str">
        <f>HYPERLINK("http://www.linkedin.com/pub/julieta-berchio/1/733/9b5","http://www.linkedin.com/pub/julieta-berchio/1/733/9b5")</f>
        <v>http://www.linkedin.com/pub/julieta-berchio/1/733/9b5</v>
      </c>
      <c r="I3331" s="2" t="s">
        <v>15</v>
      </c>
      <c r="J3331" s="2" t="s">
        <v>21</v>
      </c>
      <c r="K3331" s="2" t="s">
        <v>5725</v>
      </c>
    </row>
    <row r="3332" ht="15.75" customHeight="1">
      <c r="A3332" s="2">
        <v>22026.0</v>
      </c>
      <c r="B3332" s="2" t="s">
        <v>6339</v>
      </c>
      <c r="C3332" s="2" t="s">
        <v>7351</v>
      </c>
      <c r="D3332" s="2" t="s">
        <v>7352</v>
      </c>
      <c r="E3332" s="2" t="s">
        <v>20</v>
      </c>
      <c r="F3332" s="2">
        <v>3.0</v>
      </c>
      <c r="G3332" s="2">
        <v>120.0</v>
      </c>
      <c r="H3332" s="3" t="str">
        <f>HYPERLINK("http://ar.linkedin.com/pub/esteban-kuhl/B/543/490","http://ar.linkedin.com/pub/esteban-kuhl/B/543/490")</f>
        <v>http://ar.linkedin.com/pub/esteban-kuhl/B/543/490</v>
      </c>
      <c r="I3332" s="2" t="s">
        <v>57</v>
      </c>
      <c r="J3332" s="2" t="s">
        <v>21</v>
      </c>
      <c r="K3332" s="2" t="s">
        <v>5727</v>
      </c>
    </row>
    <row r="3333" ht="15.75" customHeight="1">
      <c r="A3333" s="2">
        <v>22069.0</v>
      </c>
      <c r="B3333" s="2" t="s">
        <v>7353</v>
      </c>
      <c r="C3333" s="2" t="s">
        <v>3178</v>
      </c>
      <c r="D3333" s="2" t="s">
        <v>7354</v>
      </c>
      <c r="E3333" s="2" t="s">
        <v>20</v>
      </c>
      <c r="F3333" s="2">
        <v>7.0</v>
      </c>
      <c r="G3333" s="2">
        <v>182.0</v>
      </c>
      <c r="H3333" s="3" t="str">
        <f>HYPERLINK("http://ar.linkedin.com/in/diegofabianlucas","http://ar.linkedin.com/in/diegofabianlucas")</f>
        <v>http://ar.linkedin.com/in/diegofabianlucas</v>
      </c>
      <c r="I3333" s="2" t="s">
        <v>1679</v>
      </c>
      <c r="J3333" s="2" t="s">
        <v>21</v>
      </c>
      <c r="K3333" s="2" t="s">
        <v>5727</v>
      </c>
    </row>
    <row r="3334" ht="15.75" customHeight="1">
      <c r="A3334" s="2">
        <v>22083.0</v>
      </c>
      <c r="B3334" s="2" t="s">
        <v>647</v>
      </c>
      <c r="C3334" s="2" t="s">
        <v>7355</v>
      </c>
      <c r="D3334" s="2" t="s">
        <v>7356</v>
      </c>
      <c r="E3334" s="2" t="s">
        <v>20</v>
      </c>
      <c r="F3334" s="2" t="s">
        <v>13</v>
      </c>
      <c r="G3334" s="2">
        <v>38.0</v>
      </c>
      <c r="H3334" s="3" t="str">
        <f>HYPERLINK("http://ar.linkedin.com/pub/claudio-di/B/203/836","http://ar.linkedin.com/pub/claudio-di/B/203/836")</f>
        <v>http://ar.linkedin.com/pub/claudio-di/B/203/836</v>
      </c>
      <c r="I3334" s="2" t="s">
        <v>3857</v>
      </c>
      <c r="J3334" s="2" t="s">
        <v>21</v>
      </c>
      <c r="K3334" s="2" t="s">
        <v>7357</v>
      </c>
    </row>
    <row r="3335" ht="15.75" customHeight="1">
      <c r="A3335" s="2">
        <v>22136.0</v>
      </c>
      <c r="B3335" s="2" t="s">
        <v>5824</v>
      </c>
      <c r="C3335" s="2" t="s">
        <v>7358</v>
      </c>
      <c r="D3335" s="2" t="s">
        <v>13</v>
      </c>
      <c r="E3335" s="2" t="s">
        <v>20</v>
      </c>
      <c r="F3335" s="2">
        <v>2.0</v>
      </c>
      <c r="G3335" s="2">
        <v>500.0</v>
      </c>
      <c r="H3335" s="3" t="str">
        <f>HYPERLINK("http://www.linkedin.com/pub/alejandra-stoppello/22/266/471","http://www.linkedin.com/pub/alejandra-stoppello/22/266/471")</f>
        <v>http://www.linkedin.com/pub/alejandra-stoppello/22/266/471</v>
      </c>
      <c r="I3335" s="2" t="s">
        <v>1012</v>
      </c>
      <c r="J3335" s="2" t="s">
        <v>21</v>
      </c>
      <c r="K3335" s="2" t="s">
        <v>5929</v>
      </c>
    </row>
    <row r="3336" ht="15.75" customHeight="1">
      <c r="A3336" s="2">
        <v>22150.0</v>
      </c>
      <c r="B3336" s="2" t="s">
        <v>7359</v>
      </c>
      <c r="C3336" s="2" t="s">
        <v>7360</v>
      </c>
      <c r="D3336" s="2" t="s">
        <v>7361</v>
      </c>
      <c r="E3336" s="2" t="s">
        <v>20</v>
      </c>
      <c r="F3336" s="2">
        <v>0.0</v>
      </c>
      <c r="G3336" s="2">
        <v>86.0</v>
      </c>
      <c r="H3336" s="3" t="str">
        <f>HYPERLINK("http://www.linkedin.com/pub/m-carolina-sabat%C3%A9/25/68/b70","http://www.linkedin.com/pub/m-carolina-sabat%C3%A9/25/68/b70")</f>
        <v>http://www.linkedin.com/pub/m-carolina-sabat%C3%A9/25/68/b70</v>
      </c>
      <c r="I3336" s="2" t="s">
        <v>579</v>
      </c>
      <c r="J3336" s="2" t="s">
        <v>21</v>
      </c>
      <c r="K3336" s="2" t="s">
        <v>5848</v>
      </c>
    </row>
    <row r="3337" ht="15.75" customHeight="1">
      <c r="A3337" s="2">
        <v>22157.0</v>
      </c>
      <c r="B3337" s="2" t="s">
        <v>637</v>
      </c>
      <c r="C3337" s="2" t="s">
        <v>7362</v>
      </c>
      <c r="D3337" s="2" t="s">
        <v>7363</v>
      </c>
      <c r="E3337" s="2" t="s">
        <v>20</v>
      </c>
      <c r="F3337" s="2">
        <v>17.0</v>
      </c>
      <c r="G3337" s="2">
        <v>456.0</v>
      </c>
      <c r="H3337" s="3" t="str">
        <f>HYPERLINK("http://ar.linkedin.com/in/leonardosarotto","http://ar.linkedin.com/in/leonardosarotto")</f>
        <v>http://ar.linkedin.com/in/leonardosarotto</v>
      </c>
      <c r="I3337" s="2" t="s">
        <v>15</v>
      </c>
      <c r="J3337" s="2" t="s">
        <v>21</v>
      </c>
      <c r="K3337" s="2" t="s">
        <v>5777</v>
      </c>
    </row>
    <row r="3338" ht="15.75" customHeight="1">
      <c r="A3338" s="2">
        <v>22166.0</v>
      </c>
      <c r="B3338" s="2" t="s">
        <v>221</v>
      </c>
      <c r="C3338" s="2" t="s">
        <v>7364</v>
      </c>
      <c r="D3338" s="2" t="s">
        <v>1865</v>
      </c>
      <c r="E3338" s="2" t="s">
        <v>20</v>
      </c>
      <c r="F3338" s="2" t="s">
        <v>13</v>
      </c>
      <c r="G3338" s="2">
        <v>346.0</v>
      </c>
      <c r="H3338" s="3" t="str">
        <f>HYPERLINK("http://ar.linkedin.com/pub/miguel-pezzullo/1/647/122","http://ar.linkedin.com/pub/miguel-pezzullo/1/647/122")</f>
        <v>http://ar.linkedin.com/pub/miguel-pezzullo/1/647/122</v>
      </c>
      <c r="I3338" s="2" t="s">
        <v>1237</v>
      </c>
      <c r="J3338" s="2" t="s">
        <v>21</v>
      </c>
      <c r="K3338" s="2" t="s">
        <v>5743</v>
      </c>
    </row>
    <row r="3339" ht="15.75" customHeight="1">
      <c r="A3339" s="2">
        <v>22283.0</v>
      </c>
      <c r="B3339" s="2" t="s">
        <v>7365</v>
      </c>
      <c r="C3339" s="2" t="s">
        <v>7366</v>
      </c>
      <c r="D3339" s="2" t="s">
        <v>5696</v>
      </c>
      <c r="E3339" s="2" t="s">
        <v>7367</v>
      </c>
      <c r="F3339" s="2">
        <v>9.0</v>
      </c>
      <c r="G3339" s="2">
        <v>500.0</v>
      </c>
      <c r="H3339" s="3" t="str">
        <f>HYPERLINK("http://uk.linkedin.com/pub/gemma-greaves/4/A1/997","http://uk.linkedin.com/pub/gemma-greaves/4/A1/997")</f>
        <v>http://uk.linkedin.com/pub/gemma-greaves/4/A1/997</v>
      </c>
      <c r="I3339" s="2" t="s">
        <v>137</v>
      </c>
      <c r="J3339" s="2" t="s">
        <v>53</v>
      </c>
      <c r="K3339" s="2" t="s">
        <v>6388</v>
      </c>
    </row>
    <row r="3340" ht="15.75" customHeight="1">
      <c r="A3340" s="2">
        <v>22302.0</v>
      </c>
      <c r="B3340" s="2" t="s">
        <v>3667</v>
      </c>
      <c r="C3340" s="2" t="s">
        <v>2102</v>
      </c>
      <c r="D3340" s="2"/>
      <c r="E3340" s="2" t="s">
        <v>799</v>
      </c>
      <c r="F3340" s="2">
        <v>1.0</v>
      </c>
      <c r="G3340" s="2">
        <v>289.0</v>
      </c>
      <c r="H3340" s="3" t="str">
        <f>HYPERLINK("http://uk.linkedin.com/pub/anil-malhotra/1/134/798","http://uk.linkedin.com/pub/anil-malhotra/1/134/798")</f>
        <v>http://uk.linkedin.com/pub/anil-malhotra/1/134/798</v>
      </c>
      <c r="I3340" s="2" t="s">
        <v>1496</v>
      </c>
      <c r="J3340" s="2" t="s">
        <v>53</v>
      </c>
      <c r="K3340" s="2" t="s">
        <v>5734</v>
      </c>
    </row>
    <row r="3341" ht="15.75" customHeight="1">
      <c r="A3341" s="2">
        <v>22313.0</v>
      </c>
      <c r="B3341" s="2" t="s">
        <v>433</v>
      </c>
      <c r="C3341" s="2" t="s">
        <v>7368</v>
      </c>
      <c r="D3341" s="2"/>
      <c r="E3341" s="2" t="s">
        <v>122</v>
      </c>
      <c r="F3341" s="2">
        <v>1.0</v>
      </c>
      <c r="G3341" s="2">
        <v>252.0</v>
      </c>
      <c r="H3341" s="3" t="str">
        <f>HYPERLINK("http://uk.linkedin.com/pub/andy-favell/0/7BA/B13","http://uk.linkedin.com/pub/andy-favell/0/7BA/B13")</f>
        <v>http://uk.linkedin.com/pub/andy-favell/0/7BA/B13</v>
      </c>
      <c r="I3341" s="2" t="s">
        <v>2285</v>
      </c>
      <c r="J3341" s="2" t="s">
        <v>53</v>
      </c>
      <c r="K3341" s="2" t="s">
        <v>5785</v>
      </c>
    </row>
    <row r="3342" ht="15.75" customHeight="1">
      <c r="A3342" s="2">
        <v>22352.0</v>
      </c>
      <c r="B3342" s="2" t="s">
        <v>4503</v>
      </c>
      <c r="C3342" s="2" t="s">
        <v>2937</v>
      </c>
      <c r="D3342" s="2"/>
      <c r="E3342" s="2" t="s">
        <v>122</v>
      </c>
      <c r="F3342" s="2">
        <v>1.0</v>
      </c>
      <c r="G3342" s="2">
        <v>500.0</v>
      </c>
      <c r="H3342" s="3" t="str">
        <f>HYPERLINK("http://uk.linkedin.com/pub/fernanda-romano/2/9A5/325","http://uk.linkedin.com/pub/fernanda-romano/2/9A5/325")</f>
        <v>http://uk.linkedin.com/pub/fernanda-romano/2/9A5/325</v>
      </c>
      <c r="I3342" s="2" t="s">
        <v>105</v>
      </c>
      <c r="J3342" s="2" t="s">
        <v>53</v>
      </c>
      <c r="K3342" s="2" t="s">
        <v>5785</v>
      </c>
    </row>
    <row r="3343" ht="15.75" customHeight="1">
      <c r="A3343" s="2">
        <v>22400.0</v>
      </c>
      <c r="B3343" s="2" t="s">
        <v>809</v>
      </c>
      <c r="C3343" s="2" t="s">
        <v>7369</v>
      </c>
      <c r="D3343" s="2" t="s">
        <v>7370</v>
      </c>
      <c r="E3343" s="2" t="s">
        <v>2058</v>
      </c>
      <c r="F3343" s="2">
        <v>44.0</v>
      </c>
      <c r="G3343" s="2">
        <v>500.0</v>
      </c>
      <c r="H3343" s="3" t="str">
        <f>HYPERLINK("http://www.linkedin.com/in/rajchauhan","http://www.linkedin.com/in/rajchauhan")</f>
        <v>http://www.linkedin.com/in/rajchauhan</v>
      </c>
      <c r="I3343" s="2" t="s">
        <v>326</v>
      </c>
      <c r="J3343" s="2" t="s">
        <v>102</v>
      </c>
      <c r="K3343" s="2" t="s">
        <v>5982</v>
      </c>
    </row>
    <row r="3344" ht="15.75" customHeight="1">
      <c r="A3344" s="2">
        <v>22405.0</v>
      </c>
      <c r="B3344" s="2" t="s">
        <v>3243</v>
      </c>
      <c r="C3344" s="2" t="s">
        <v>7371</v>
      </c>
      <c r="D3344" s="2" t="s">
        <v>7372</v>
      </c>
      <c r="E3344" s="2" t="s">
        <v>2058</v>
      </c>
      <c r="F3344" s="2">
        <v>11.0</v>
      </c>
      <c r="G3344" s="2">
        <v>500.0</v>
      </c>
      <c r="H3344" s="3" t="str">
        <f>HYPERLINK("http://www.linkedin.com/in/travissavo","http://www.linkedin.com/in/travissavo")</f>
        <v>http://www.linkedin.com/in/travissavo</v>
      </c>
      <c r="I3344" s="2" t="s">
        <v>1012</v>
      </c>
      <c r="J3344" s="2" t="s">
        <v>102</v>
      </c>
      <c r="K3344" s="2" t="s">
        <v>5731</v>
      </c>
    </row>
    <row r="3345" ht="15.75" customHeight="1">
      <c r="A3345" s="2">
        <v>22418.0</v>
      </c>
      <c r="B3345" s="2" t="s">
        <v>7373</v>
      </c>
      <c r="C3345" s="2" t="s">
        <v>7374</v>
      </c>
      <c r="D3345" s="2" t="s">
        <v>7375</v>
      </c>
      <c r="E3345" s="2" t="s">
        <v>2058</v>
      </c>
      <c r="F3345" s="2">
        <v>4.0</v>
      </c>
      <c r="G3345" s="2">
        <v>459.0</v>
      </c>
      <c r="H3345" s="3" t="str">
        <f>HYPERLINK("http://www.linkedin.com/in/zorstag","http://www.linkedin.com/in/zorstag")</f>
        <v>http://www.linkedin.com/in/zorstag</v>
      </c>
      <c r="I3345" s="2" t="s">
        <v>475</v>
      </c>
      <c r="J3345" s="2" t="s">
        <v>102</v>
      </c>
      <c r="K3345" s="2" t="s">
        <v>5727</v>
      </c>
    </row>
    <row r="3346" ht="15.75" customHeight="1">
      <c r="A3346" s="2">
        <v>22437.0</v>
      </c>
      <c r="B3346" s="2" t="s">
        <v>275</v>
      </c>
      <c r="C3346" s="2" t="s">
        <v>2964</v>
      </c>
      <c r="D3346" s="2" t="s">
        <v>7376</v>
      </c>
      <c r="E3346" s="2" t="s">
        <v>4596</v>
      </c>
      <c r="F3346" s="2">
        <v>4.0</v>
      </c>
      <c r="G3346" s="2">
        <v>210.0</v>
      </c>
      <c r="H3346" s="3" t="str">
        <f>HYPERLINK("http://uk.linkedin.com/pub/mark-stapleton/0/837/9A3","http://uk.linkedin.com/pub/mark-stapleton/0/837/9A3")</f>
        <v>http://uk.linkedin.com/pub/mark-stapleton/0/837/9A3</v>
      </c>
      <c r="I3346" s="2" t="s">
        <v>77</v>
      </c>
      <c r="J3346" s="2" t="s">
        <v>53</v>
      </c>
      <c r="K3346" s="2" t="s">
        <v>6970</v>
      </c>
    </row>
    <row r="3347" ht="15.75" customHeight="1">
      <c r="A3347" s="2">
        <v>22459.0</v>
      </c>
      <c r="B3347" s="2" t="s">
        <v>7377</v>
      </c>
      <c r="C3347" s="2" t="s">
        <v>7378</v>
      </c>
      <c r="D3347" s="2" t="s">
        <v>3435</v>
      </c>
      <c r="E3347" s="2" t="s">
        <v>713</v>
      </c>
      <c r="F3347" s="2">
        <v>61.0</v>
      </c>
      <c r="G3347" s="2">
        <v>500.0</v>
      </c>
      <c r="H3347" s="3" t="str">
        <f>HYPERLINK("http://www.linkedin.com/in/geneleshinsky","http://www.linkedin.com/in/geneleshinsky")</f>
        <v>http://www.linkedin.com/in/geneleshinsky</v>
      </c>
      <c r="I3347" s="2" t="s">
        <v>15</v>
      </c>
      <c r="J3347" s="2" t="s">
        <v>102</v>
      </c>
      <c r="K3347" s="2" t="s">
        <v>5977</v>
      </c>
    </row>
    <row r="3348" ht="15.75" customHeight="1">
      <c r="A3348" s="2">
        <v>22475.0</v>
      </c>
      <c r="B3348" s="2" t="s">
        <v>647</v>
      </c>
      <c r="C3348" s="2" t="s">
        <v>5031</v>
      </c>
      <c r="D3348" s="2" t="s">
        <v>7379</v>
      </c>
      <c r="E3348" s="2" t="s">
        <v>4737</v>
      </c>
      <c r="F3348" s="2">
        <v>11.0</v>
      </c>
      <c r="G3348" s="2">
        <v>500.0</v>
      </c>
      <c r="H3348" s="3" t="str">
        <f>HYPERLINK("http://www.linkedin.com/pub/claudio-kimura/4/4B6/B7A","http://www.linkedin.com/pub/claudio-kimura/4/4B6/B7A")</f>
        <v>http://www.linkedin.com/pub/claudio-kimura/4/4B6/B7A</v>
      </c>
      <c r="I3348" s="2" t="s">
        <v>15</v>
      </c>
      <c r="J3348" s="2" t="s">
        <v>3505</v>
      </c>
      <c r="K3348" s="2" t="s">
        <v>5994</v>
      </c>
    </row>
    <row r="3349" ht="15.75" customHeight="1">
      <c r="A3349" s="2">
        <v>22749.0</v>
      </c>
      <c r="B3349" s="2" t="s">
        <v>1015</v>
      </c>
      <c r="C3349" s="2" t="s">
        <v>99</v>
      </c>
      <c r="D3349" s="2" t="s">
        <v>7380</v>
      </c>
      <c r="E3349" s="2" t="s">
        <v>136</v>
      </c>
      <c r="F3349" s="2" t="s">
        <v>13</v>
      </c>
      <c r="G3349" s="2">
        <v>500.0</v>
      </c>
      <c r="H3349" s="3" t="str">
        <f>HYPERLINK("http://www.linkedin.com/pub/brian-coleman/0/35/459","http://www.linkedin.com/pub/brian-coleman/0/35/459")</f>
        <v>http://www.linkedin.com/pub/brian-coleman/0/35/459</v>
      </c>
      <c r="I3349" s="2" t="s">
        <v>182</v>
      </c>
      <c r="J3349" s="2" t="s">
        <v>102</v>
      </c>
      <c r="K3349" s="2" t="s">
        <v>5734</v>
      </c>
    </row>
    <row r="3350" ht="15.75" customHeight="1">
      <c r="A3350" s="2">
        <v>22830.0</v>
      </c>
      <c r="B3350" s="2" t="s">
        <v>1087</v>
      </c>
      <c r="C3350" s="2" t="s">
        <v>7381</v>
      </c>
      <c r="D3350" s="2"/>
      <c r="E3350" s="2" t="s">
        <v>122</v>
      </c>
      <c r="F3350" s="2">
        <v>10.0</v>
      </c>
      <c r="G3350" s="2">
        <v>500.0</v>
      </c>
      <c r="H3350" s="3" t="str">
        <f>HYPERLINK("http://uk.linkedin.com/pub/james-mooney/1/5B4/BA3","http://uk.linkedin.com/pub/james-mooney/1/5B4/BA3")</f>
        <v>http://uk.linkedin.com/pub/james-mooney/1/5B4/BA3</v>
      </c>
      <c r="I3350" s="2" t="s">
        <v>326</v>
      </c>
      <c r="J3350" s="2" t="s">
        <v>53</v>
      </c>
      <c r="K3350" s="2" t="s">
        <v>5743</v>
      </c>
    </row>
    <row r="3351" ht="15.75" customHeight="1">
      <c r="A3351" s="2">
        <v>22870.0</v>
      </c>
      <c r="B3351" s="2" t="s">
        <v>7382</v>
      </c>
      <c r="C3351" s="2" t="s">
        <v>7383</v>
      </c>
      <c r="D3351" s="2" t="s">
        <v>7384</v>
      </c>
      <c r="E3351" s="2" t="s">
        <v>628</v>
      </c>
      <c r="F3351" s="2">
        <v>36.0</v>
      </c>
      <c r="G3351" s="2">
        <v>500.0</v>
      </c>
      <c r="H3351" s="3" t="str">
        <f>HYPERLINK("http://www.linkedin.com/in/stifelm","http://www.linkedin.com/in/stifelm")</f>
        <v>http://www.linkedin.com/in/stifelm</v>
      </c>
      <c r="I3351" s="2" t="s">
        <v>5228</v>
      </c>
      <c r="J3351" s="2" t="s">
        <v>102</v>
      </c>
      <c r="K3351" s="2" t="s">
        <v>5743</v>
      </c>
    </row>
    <row r="3352" ht="15.75" customHeight="1">
      <c r="A3352" s="2">
        <v>23149.0</v>
      </c>
      <c r="B3352" s="2" t="s">
        <v>6930</v>
      </c>
      <c r="C3352" s="2" t="s">
        <v>7385</v>
      </c>
      <c r="D3352" s="2" t="s">
        <v>7386</v>
      </c>
      <c r="E3352" s="2" t="s">
        <v>20</v>
      </c>
      <c r="F3352" s="2">
        <v>2.0</v>
      </c>
      <c r="G3352" s="2">
        <v>410.0</v>
      </c>
      <c r="H3352" s="3" t="str">
        <f>HYPERLINK("http://ar.linkedin.com/in/darioardiles","http://ar.linkedin.com/in/darioardiles")</f>
        <v>http://ar.linkedin.com/in/darioardiles</v>
      </c>
      <c r="I3352" s="2" t="s">
        <v>2023</v>
      </c>
      <c r="J3352" s="2" t="s">
        <v>21</v>
      </c>
      <c r="K3352" s="2" t="s">
        <v>6075</v>
      </c>
    </row>
    <row r="3353" ht="15.75" customHeight="1">
      <c r="A3353" s="2">
        <v>23163.0</v>
      </c>
      <c r="B3353" s="2" t="s">
        <v>6004</v>
      </c>
      <c r="C3353" s="2" t="s">
        <v>7387</v>
      </c>
      <c r="D3353" s="2" t="s">
        <v>13</v>
      </c>
      <c r="E3353" s="2" t="s">
        <v>20</v>
      </c>
      <c r="F3353" s="2">
        <v>0.0</v>
      </c>
      <c r="G3353" s="2">
        <v>344.0</v>
      </c>
      <c r="H3353" s="3" t="str">
        <f>HYPERLINK("http://www.linkedin.com/pub/juan-manuel-hauret/27/798/104","http://www.linkedin.com/pub/juan-manuel-hauret/27/798/104")</f>
        <v>http://www.linkedin.com/pub/juan-manuel-hauret/27/798/104</v>
      </c>
      <c r="I3353" s="2" t="s">
        <v>2443</v>
      </c>
      <c r="J3353" s="2" t="s">
        <v>21</v>
      </c>
      <c r="K3353" s="2" t="s">
        <v>5727</v>
      </c>
    </row>
    <row r="3354" ht="15.75" customHeight="1">
      <c r="A3354" s="2">
        <v>23166.0</v>
      </c>
      <c r="B3354" s="2" t="s">
        <v>6032</v>
      </c>
      <c r="C3354" s="2" t="s">
        <v>6148</v>
      </c>
      <c r="D3354" s="2" t="s">
        <v>6872</v>
      </c>
      <c r="E3354" s="2" t="s">
        <v>20</v>
      </c>
      <c r="F3354" s="2" t="s">
        <v>13</v>
      </c>
      <c r="G3354" s="2">
        <v>183.0</v>
      </c>
      <c r="H3354" s="3" t="str">
        <f>HYPERLINK("http://ar.linkedin.com/pub/victoria-romero/2A/36A/412","http://ar.linkedin.com/pub/victoria-romero/2A/36A/412")</f>
        <v>http://ar.linkedin.com/pub/victoria-romero/2A/36A/412</v>
      </c>
      <c r="I3354" s="2" t="s">
        <v>458</v>
      </c>
      <c r="J3354" s="2" t="s">
        <v>21</v>
      </c>
      <c r="K3354" s="2" t="s">
        <v>5734</v>
      </c>
    </row>
    <row r="3355" ht="15.75" customHeight="1">
      <c r="A3355" s="2">
        <v>23177.0</v>
      </c>
      <c r="B3355" s="2" t="s">
        <v>227</v>
      </c>
      <c r="C3355" s="2" t="s">
        <v>7388</v>
      </c>
      <c r="D3355" s="2" t="s">
        <v>2331</v>
      </c>
      <c r="E3355" s="2" t="s">
        <v>20</v>
      </c>
      <c r="F3355" s="2">
        <v>2.0</v>
      </c>
      <c r="G3355" s="2">
        <v>198.0</v>
      </c>
      <c r="H3355" s="3" t="str">
        <f>HYPERLINK("http://ar.linkedin.com/in/jargibay","http://ar.linkedin.com/in/jargibay")</f>
        <v>http://ar.linkedin.com/in/jargibay</v>
      </c>
      <c r="I3355" s="2" t="s">
        <v>48</v>
      </c>
      <c r="J3355" s="2" t="s">
        <v>21</v>
      </c>
      <c r="K3355" s="2" t="s">
        <v>6588</v>
      </c>
    </row>
    <row r="3356" ht="15.75" customHeight="1">
      <c r="A3356" s="2">
        <v>23179.0</v>
      </c>
      <c r="B3356" s="2" t="s">
        <v>5078</v>
      </c>
      <c r="C3356" s="2" t="s">
        <v>7389</v>
      </c>
      <c r="D3356" s="2" t="s">
        <v>13</v>
      </c>
      <c r="E3356" s="2" t="s">
        <v>20</v>
      </c>
      <c r="F3356" s="2">
        <v>4.0</v>
      </c>
      <c r="G3356" s="2">
        <v>500.0</v>
      </c>
      <c r="H3356" s="3" t="str">
        <f>HYPERLINK("http://www.linkedin.com/pub/diego-oitana/12/51/655","http://www.linkedin.com/pub/diego-oitana/12/51/655")</f>
        <v>http://www.linkedin.com/pub/diego-oitana/12/51/655</v>
      </c>
      <c r="I3356" s="2" t="s">
        <v>15</v>
      </c>
      <c r="J3356" s="2" t="s">
        <v>21</v>
      </c>
      <c r="K3356" s="2" t="s">
        <v>5727</v>
      </c>
    </row>
    <row r="3357" ht="15.75" customHeight="1">
      <c r="A3357" s="2">
        <v>23185.0</v>
      </c>
      <c r="B3357" s="2" t="s">
        <v>6064</v>
      </c>
      <c r="C3357" s="2" t="s">
        <v>7390</v>
      </c>
      <c r="D3357" s="2" t="s">
        <v>7391</v>
      </c>
      <c r="E3357" s="2" t="s">
        <v>20</v>
      </c>
      <c r="F3357" s="2">
        <v>3.0</v>
      </c>
      <c r="G3357" s="2">
        <v>172.0</v>
      </c>
      <c r="H3357" s="3" t="str">
        <f>HYPERLINK("http://ar.linkedin.com/pub/romina-guzman/14/36A/B53","http://ar.linkedin.com/pub/romina-guzman/14/36A/B53")</f>
        <v>http://ar.linkedin.com/pub/romina-guzman/14/36A/B53</v>
      </c>
      <c r="I3357" s="2" t="s">
        <v>696</v>
      </c>
      <c r="J3357" s="2" t="s">
        <v>21</v>
      </c>
      <c r="K3357" s="2" t="s">
        <v>5731</v>
      </c>
    </row>
    <row r="3358" ht="15.75" customHeight="1">
      <c r="A3358" s="2">
        <v>23201.0</v>
      </c>
      <c r="B3358" s="2" t="s">
        <v>59</v>
      </c>
      <c r="C3358" s="2" t="s">
        <v>7392</v>
      </c>
      <c r="D3358" s="2" t="s">
        <v>289</v>
      </c>
      <c r="E3358" s="2" t="s">
        <v>20</v>
      </c>
      <c r="F3358" s="2">
        <v>5.0</v>
      </c>
      <c r="G3358" s="2">
        <v>500.0</v>
      </c>
      <c r="H3358" s="3" t="str">
        <f>HYPERLINK("http://ar.linkedin.com/in/martinlandreau","http://ar.linkedin.com/in/martinlandreau")</f>
        <v>http://ar.linkedin.com/in/martinlandreau</v>
      </c>
      <c r="I3358" s="2" t="s">
        <v>1931</v>
      </c>
      <c r="J3358" s="2" t="s">
        <v>21</v>
      </c>
      <c r="K3358" s="2" t="s">
        <v>5727</v>
      </c>
    </row>
    <row r="3359" ht="15.75" customHeight="1">
      <c r="A3359" s="2">
        <v>23202.0</v>
      </c>
      <c r="B3359" s="2" t="s">
        <v>5883</v>
      </c>
      <c r="C3359" s="2" t="s">
        <v>6541</v>
      </c>
      <c r="D3359" s="2" t="s">
        <v>7393</v>
      </c>
      <c r="E3359" s="2" t="s">
        <v>20</v>
      </c>
      <c r="F3359" s="2">
        <v>6.0</v>
      </c>
      <c r="G3359" s="2">
        <v>500.0</v>
      </c>
      <c r="H3359" s="3" t="str">
        <f>HYPERLINK("http://ar.linkedin.com/pub/ariel-barrionuevo/12/86A/219","http://ar.linkedin.com/pub/ariel-barrionuevo/12/86A/219")</f>
        <v>http://ar.linkedin.com/pub/ariel-barrionuevo/12/86A/219</v>
      </c>
      <c r="I3359" s="2" t="s">
        <v>1931</v>
      </c>
      <c r="J3359" s="2" t="s">
        <v>21</v>
      </c>
      <c r="K3359" s="2" t="s">
        <v>5743</v>
      </c>
    </row>
    <row r="3360" ht="15.75" customHeight="1">
      <c r="A3360" s="2">
        <v>23205.0</v>
      </c>
      <c r="B3360" s="2" t="s">
        <v>6225</v>
      </c>
      <c r="C3360" s="2" t="s">
        <v>7394</v>
      </c>
      <c r="D3360" s="2" t="s">
        <v>13</v>
      </c>
      <c r="E3360" s="2" t="s">
        <v>20</v>
      </c>
      <c r="F3360" s="2">
        <v>0.0</v>
      </c>
      <c r="G3360" s="2">
        <v>500.0</v>
      </c>
      <c r="H3360" s="3" t="str">
        <f>HYPERLINK("http://www.linkedin.com/pub/paola-maltas/11/49b/627","http://www.linkedin.com/pub/paola-maltas/11/49b/627")</f>
        <v>http://www.linkedin.com/pub/paola-maltas/11/49b/627</v>
      </c>
      <c r="I3360" s="2" t="s">
        <v>1931</v>
      </c>
      <c r="J3360" s="2" t="s">
        <v>21</v>
      </c>
      <c r="K3360" s="2" t="s">
        <v>5727</v>
      </c>
    </row>
    <row r="3361" ht="15.75" customHeight="1">
      <c r="A3361" s="2">
        <v>23211.0</v>
      </c>
      <c r="B3361" s="2" t="s">
        <v>7395</v>
      </c>
      <c r="C3361" s="2" t="s">
        <v>7396</v>
      </c>
      <c r="D3361" s="2" t="s">
        <v>13</v>
      </c>
      <c r="E3361" s="2" t="s">
        <v>20</v>
      </c>
      <c r="F3361" s="2">
        <v>0.0</v>
      </c>
      <c r="G3361" s="2">
        <v>500.0</v>
      </c>
      <c r="H3361" s="3" t="str">
        <f>HYPERLINK("http://www.linkedin.com/pub/pablo-fernando-arzeno/17/604/900","http://www.linkedin.com/pub/pablo-fernando-arzeno/17/604/900")</f>
        <v>http://www.linkedin.com/pub/pablo-fernando-arzeno/17/604/900</v>
      </c>
      <c r="I3361" s="2" t="s">
        <v>458</v>
      </c>
      <c r="J3361" s="2" t="s">
        <v>21</v>
      </c>
      <c r="K3361" s="2" t="s">
        <v>5727</v>
      </c>
    </row>
    <row r="3362" ht="15.75" customHeight="1">
      <c r="A3362" s="2">
        <v>23212.0</v>
      </c>
      <c r="B3362" s="2" t="s">
        <v>7397</v>
      </c>
      <c r="C3362" s="2" t="s">
        <v>4791</v>
      </c>
      <c r="D3362" s="2" t="s">
        <v>13</v>
      </c>
      <c r="E3362" s="2" t="s">
        <v>20</v>
      </c>
      <c r="F3362" s="2">
        <v>0.0</v>
      </c>
      <c r="G3362" s="2">
        <v>500.0</v>
      </c>
      <c r="H3362" s="3" t="str">
        <f>HYPERLINK("http://www.linkedin.com/pub/mar%C3%ADa-guadalupe-gomez/a/77a/933?trk=pub-pbmap","http://www.linkedin.com/pub/mar%C3%ADa-guadalupe-gomez/a/77a/933?trk=pub-pbmap")</f>
        <v>http://www.linkedin.com/pub/mar%C3%ADa-guadalupe-gomez/a/77a/933?trk=pub-pbmap</v>
      </c>
      <c r="I3362" s="2" t="s">
        <v>458</v>
      </c>
      <c r="J3362" s="2" t="s">
        <v>21</v>
      </c>
      <c r="K3362" s="2" t="s">
        <v>5734</v>
      </c>
    </row>
    <row r="3363" ht="15.75" customHeight="1">
      <c r="A3363" s="2">
        <v>23223.0</v>
      </c>
      <c r="B3363" s="2" t="s">
        <v>3201</v>
      </c>
      <c r="C3363" s="2" t="s">
        <v>7398</v>
      </c>
      <c r="D3363" s="2" t="s">
        <v>7399</v>
      </c>
      <c r="E3363" s="2" t="s">
        <v>20</v>
      </c>
      <c r="F3363" s="2">
        <v>24.0</v>
      </c>
      <c r="G3363" s="2">
        <v>500.0</v>
      </c>
      <c r="H3363" s="3" t="str">
        <f>HYPERLINK("http://ar.linkedin.com/in/sebastianmoroni","http://ar.linkedin.com/in/sebastianmoroni")</f>
        <v>http://ar.linkedin.com/in/sebastianmoroni</v>
      </c>
      <c r="I3363" s="2" t="s">
        <v>458</v>
      </c>
      <c r="J3363" s="2" t="s">
        <v>21</v>
      </c>
      <c r="K3363" s="2" t="s">
        <v>5727</v>
      </c>
    </row>
    <row r="3364" ht="15.75" customHeight="1">
      <c r="A3364" s="2">
        <v>23228.0</v>
      </c>
      <c r="B3364" s="2" t="s">
        <v>3847</v>
      </c>
      <c r="C3364" s="2" t="s">
        <v>7400</v>
      </c>
      <c r="D3364" s="2" t="s">
        <v>7401</v>
      </c>
      <c r="E3364" s="2" t="s">
        <v>20</v>
      </c>
      <c r="F3364" s="2" t="s">
        <v>13</v>
      </c>
      <c r="G3364" s="2">
        <v>500.0</v>
      </c>
      <c r="H3364" s="3" t="str">
        <f>HYPERLINK("http://ar.linkedin.com/in/bertuccio","http://ar.linkedin.com/in/bertuccio")</f>
        <v>http://ar.linkedin.com/in/bertuccio</v>
      </c>
      <c r="I3364" s="2" t="s">
        <v>374</v>
      </c>
      <c r="J3364" s="2" t="s">
        <v>21</v>
      </c>
      <c r="K3364" s="2" t="s">
        <v>5785</v>
      </c>
    </row>
    <row r="3365" ht="15.75" customHeight="1">
      <c r="A3365" s="2">
        <v>23229.0</v>
      </c>
      <c r="B3365" s="2" t="s">
        <v>5808</v>
      </c>
      <c r="C3365" s="2" t="s">
        <v>7402</v>
      </c>
      <c r="D3365" s="2" t="s">
        <v>7401</v>
      </c>
      <c r="E3365" s="2" t="s">
        <v>20</v>
      </c>
      <c r="F3365" s="2">
        <v>31.0</v>
      </c>
      <c r="G3365" s="2">
        <v>500.0</v>
      </c>
      <c r="H3365" s="3" t="str">
        <f>HYPERLINK("http://ar.linkedin.com/pub/matias-gomez-rios/4/513/545","http://ar.linkedin.com/pub/matias-gomez-rios/4/513/545")</f>
        <v>http://ar.linkedin.com/pub/matias-gomez-rios/4/513/545</v>
      </c>
      <c r="I3365" s="2" t="s">
        <v>1507</v>
      </c>
      <c r="J3365" s="2" t="s">
        <v>21</v>
      </c>
      <c r="K3365" s="2" t="s">
        <v>6388</v>
      </c>
    </row>
    <row r="3366" ht="15.75" customHeight="1">
      <c r="A3366" s="2">
        <v>23236.0</v>
      </c>
      <c r="B3366" s="2" t="s">
        <v>7403</v>
      </c>
      <c r="C3366" s="2" t="s">
        <v>7404</v>
      </c>
      <c r="D3366" s="2" t="s">
        <v>7405</v>
      </c>
      <c r="E3366" s="2" t="s">
        <v>20</v>
      </c>
      <c r="F3366" s="2">
        <v>7.0</v>
      </c>
      <c r="G3366" s="2">
        <v>500.0</v>
      </c>
      <c r="H3366" s="3" t="str">
        <f>HYPERLINK("http://ar.linkedin.com/in/lorenaterzano","http://ar.linkedin.com/in/lorenaterzano")</f>
        <v>http://ar.linkedin.com/in/lorenaterzano</v>
      </c>
      <c r="I3366" s="2" t="s">
        <v>579</v>
      </c>
      <c r="J3366" s="2" t="s">
        <v>21</v>
      </c>
      <c r="K3366" s="2" t="s">
        <v>7406</v>
      </c>
    </row>
    <row r="3367" ht="15.75" customHeight="1">
      <c r="A3367" s="2">
        <v>23243.0</v>
      </c>
      <c r="B3367" s="2" t="s">
        <v>6445</v>
      </c>
      <c r="C3367" s="2" t="s">
        <v>7407</v>
      </c>
      <c r="D3367" s="2" t="s">
        <v>7408</v>
      </c>
      <c r="E3367" s="2" t="s">
        <v>20</v>
      </c>
      <c r="F3367" s="2" t="s">
        <v>13</v>
      </c>
      <c r="G3367" s="2">
        <v>396.0</v>
      </c>
      <c r="H3367" s="3" t="str">
        <f>HYPERLINK("http://ar.linkedin.com/pub/georgina-manson/7/38/36B","http://ar.linkedin.com/pub/georgina-manson/7/38/36B")</f>
        <v>http://ar.linkedin.com/pub/georgina-manson/7/38/36B</v>
      </c>
      <c r="I3367" s="2" t="s">
        <v>458</v>
      </c>
      <c r="J3367" s="2" t="s">
        <v>21</v>
      </c>
      <c r="K3367" s="2" t="s">
        <v>5734</v>
      </c>
    </row>
    <row r="3368" ht="15.75" customHeight="1">
      <c r="A3368" s="2">
        <v>23273.0</v>
      </c>
      <c r="B3368" s="2" t="s">
        <v>7409</v>
      </c>
      <c r="C3368" s="2" t="s">
        <v>7410</v>
      </c>
      <c r="D3368" s="2" t="s">
        <v>7411</v>
      </c>
      <c r="E3368" s="2" t="s">
        <v>20</v>
      </c>
      <c r="F3368" s="2">
        <v>11.0</v>
      </c>
      <c r="G3368" s="2">
        <v>168.0</v>
      </c>
      <c r="H3368" s="3" t="str">
        <f>HYPERLINK("http://ar.linkedin.com/pub/andr%C3%A9s-bernab%C3%A9-villafa%C3%B1e/29/216/B73","http://ar.linkedin.com/pub/andr%C3%A9s-bernab%C3%A9-villafa%C3%B1e/29/216/B73")</f>
        <v>http://ar.linkedin.com/pub/andr%C3%A9s-bernab%C3%A9-villafa%C3%B1e/29/216/B73</v>
      </c>
      <c r="I3368" s="2" t="s">
        <v>195</v>
      </c>
      <c r="J3368" s="2" t="s">
        <v>21</v>
      </c>
      <c r="K3368" s="2" t="s">
        <v>6046</v>
      </c>
    </row>
    <row r="3369" ht="15.75" customHeight="1">
      <c r="A3369" s="2">
        <v>23276.0</v>
      </c>
      <c r="B3369" s="2" t="s">
        <v>7412</v>
      </c>
      <c r="C3369" s="2" t="s">
        <v>7413</v>
      </c>
      <c r="D3369" s="2" t="s">
        <v>7414</v>
      </c>
      <c r="E3369" s="2" t="s">
        <v>20</v>
      </c>
      <c r="F3369" s="2">
        <v>3.0</v>
      </c>
      <c r="G3369" s="2">
        <v>500.0</v>
      </c>
      <c r="H3369" s="3" t="str">
        <f>HYPERLINK("http://ar.linkedin.com/in/yamilabuchwald","http://ar.linkedin.com/in/yamilabuchwald")</f>
        <v>http://ar.linkedin.com/in/yamilabuchwald</v>
      </c>
      <c r="I3369" s="2" t="s">
        <v>248</v>
      </c>
      <c r="J3369" s="2" t="s">
        <v>21</v>
      </c>
      <c r="K3369" s="2" t="s">
        <v>6096</v>
      </c>
    </row>
    <row r="3370" ht="15.75" customHeight="1">
      <c r="A3370" s="2">
        <v>23286.0</v>
      </c>
      <c r="B3370" s="2" t="s">
        <v>605</v>
      </c>
      <c r="C3370" s="2" t="s">
        <v>6168</v>
      </c>
      <c r="D3370" s="2" t="s">
        <v>2302</v>
      </c>
      <c r="E3370" s="2" t="s">
        <v>20</v>
      </c>
      <c r="F3370" s="2">
        <v>2.0</v>
      </c>
      <c r="G3370" s="2">
        <v>223.0</v>
      </c>
      <c r="H3370" s="3" t="str">
        <f>HYPERLINK("http://ar.linkedin.com/pub/roberto-vidal/18/6BB/273","http://ar.linkedin.com/pub/roberto-vidal/18/6BB/273")</f>
        <v>http://ar.linkedin.com/pub/roberto-vidal/18/6BB/273</v>
      </c>
      <c r="I3370" s="2" t="s">
        <v>1679</v>
      </c>
      <c r="J3370" s="2" t="s">
        <v>21</v>
      </c>
      <c r="K3370" s="2" t="s">
        <v>7415</v>
      </c>
    </row>
    <row r="3371" ht="15.75" customHeight="1">
      <c r="A3371" s="2">
        <v>23304.0</v>
      </c>
      <c r="B3371" s="2" t="s">
        <v>7416</v>
      </c>
      <c r="C3371" s="2" t="s">
        <v>6783</v>
      </c>
      <c r="D3371" s="2" t="s">
        <v>7417</v>
      </c>
      <c r="E3371" s="2" t="s">
        <v>20</v>
      </c>
      <c r="F3371" s="2">
        <v>0.0</v>
      </c>
      <c r="G3371" s="2">
        <v>1.0</v>
      </c>
      <c r="H3371" s="3" t="str">
        <f>HYPERLINK("http://www.linkedin.com/pub/archisevsky-silvana/22/b88/52","http://www.linkedin.com/pub/archisevsky-silvana/22/b88/52")</f>
        <v>http://www.linkedin.com/pub/archisevsky-silvana/22/b88/52</v>
      </c>
      <c r="I3371" s="2" t="s">
        <v>15</v>
      </c>
      <c r="J3371" s="2" t="s">
        <v>21</v>
      </c>
      <c r="K3371" s="2" t="s">
        <v>5819</v>
      </c>
    </row>
    <row r="3372" ht="15.75" customHeight="1">
      <c r="A3372" s="2">
        <v>23321.0</v>
      </c>
      <c r="B3372" s="2" t="s">
        <v>6018</v>
      </c>
      <c r="C3372" s="2" t="s">
        <v>7418</v>
      </c>
      <c r="D3372" s="2" t="s">
        <v>7419</v>
      </c>
      <c r="E3372" s="2" t="s">
        <v>20</v>
      </c>
      <c r="F3372" s="2">
        <v>1.0</v>
      </c>
      <c r="G3372" s="2">
        <v>69.0</v>
      </c>
      <c r="H3372" s="3" t="str">
        <f>HYPERLINK("http://ar.linkedin.com/in/luciolangtry","http://ar.linkedin.com/in/luciolangtry")</f>
        <v>http://ar.linkedin.com/in/luciolangtry</v>
      </c>
      <c r="I3372" s="2" t="s">
        <v>77</v>
      </c>
      <c r="J3372" s="2" t="s">
        <v>21</v>
      </c>
      <c r="K3372" s="2" t="s">
        <v>5785</v>
      </c>
    </row>
    <row r="3373" ht="15.75" customHeight="1">
      <c r="A3373" s="2">
        <v>23329.0</v>
      </c>
      <c r="B3373" s="2" t="s">
        <v>6417</v>
      </c>
      <c r="C3373" s="2" t="s">
        <v>7420</v>
      </c>
      <c r="D3373" s="2" t="s">
        <v>13</v>
      </c>
      <c r="E3373" s="2" t="s">
        <v>20</v>
      </c>
      <c r="F3373" s="2">
        <v>0.0</v>
      </c>
      <c r="G3373" s="2">
        <v>500.0</v>
      </c>
      <c r="H3373" s="3" t="str">
        <f>HYPERLINK("http://www.linkedin.com/pub/gonzalo-d-angelo/8/93b/421","http://www.linkedin.com/pub/gonzalo-d-angelo/8/93b/421")</f>
        <v>http://www.linkedin.com/pub/gonzalo-d-angelo/8/93b/421</v>
      </c>
      <c r="I3373" s="2" t="s">
        <v>77</v>
      </c>
      <c r="J3373" s="2" t="s">
        <v>21</v>
      </c>
      <c r="K3373" s="2" t="s">
        <v>5731</v>
      </c>
    </row>
    <row r="3374" ht="15.75" customHeight="1">
      <c r="A3374" s="2">
        <v>23337.0</v>
      </c>
      <c r="B3374" s="2" t="s">
        <v>70</v>
      </c>
      <c r="C3374" s="2" t="s">
        <v>5983</v>
      </c>
      <c r="D3374" s="2" t="s">
        <v>1865</v>
      </c>
      <c r="E3374" s="2" t="s">
        <v>20</v>
      </c>
      <c r="F3374" s="2" t="s">
        <v>13</v>
      </c>
      <c r="G3374" s="2">
        <v>142.0</v>
      </c>
      <c r="H3374" s="3" t="str">
        <f>HYPERLINK("http://ar.linkedin.com/pub/gustavo-monserrat/6/A54/435","http://ar.linkedin.com/pub/gustavo-monserrat/6/A54/435")</f>
        <v>http://ar.linkedin.com/pub/gustavo-monserrat/6/A54/435</v>
      </c>
      <c r="I3374" s="2" t="s">
        <v>77</v>
      </c>
      <c r="J3374" s="2" t="s">
        <v>21</v>
      </c>
      <c r="K3374" s="2" t="s">
        <v>6342</v>
      </c>
    </row>
    <row r="3375" ht="15.75" customHeight="1">
      <c r="A3375" s="2">
        <v>23338.0</v>
      </c>
      <c r="B3375" s="2" t="s">
        <v>5883</v>
      </c>
      <c r="C3375" s="2" t="s">
        <v>4389</v>
      </c>
      <c r="D3375" s="2" t="s">
        <v>7259</v>
      </c>
      <c r="E3375" s="2" t="s">
        <v>20</v>
      </c>
      <c r="F3375" s="2">
        <v>8.0</v>
      </c>
      <c r="G3375" s="2">
        <v>412.0</v>
      </c>
      <c r="H3375" s="3" t="str">
        <f>HYPERLINK("http://ar.linkedin.com/in/arieldorfman","http://ar.linkedin.com/in/arieldorfman")</f>
        <v>http://ar.linkedin.com/in/arieldorfman</v>
      </c>
      <c r="I3375" s="2" t="s">
        <v>910</v>
      </c>
      <c r="J3375" s="2" t="s">
        <v>21</v>
      </c>
      <c r="K3375" s="2" t="s">
        <v>5727</v>
      </c>
    </row>
    <row r="3376" ht="15.75" customHeight="1">
      <c r="A3376" s="2">
        <v>23340.0</v>
      </c>
      <c r="B3376" s="2" t="s">
        <v>5723</v>
      </c>
      <c r="C3376" s="2" t="s">
        <v>7421</v>
      </c>
      <c r="D3376" s="2" t="s">
        <v>7422</v>
      </c>
      <c r="E3376" s="2" t="s">
        <v>20</v>
      </c>
      <c r="F3376" s="2">
        <v>1.0</v>
      </c>
      <c r="G3376" s="2">
        <v>162.0</v>
      </c>
      <c r="H3376" s="3" t="str">
        <f>HYPERLINK("http://ar.linkedin.com/pub/pablo-molinelli/3/397/595","http://ar.linkedin.com/pub/pablo-molinelli/3/397/595")</f>
        <v>http://ar.linkedin.com/pub/pablo-molinelli/3/397/595</v>
      </c>
      <c r="I3376" s="2" t="s">
        <v>48</v>
      </c>
      <c r="J3376" s="2" t="s">
        <v>21</v>
      </c>
      <c r="K3376" s="2" t="s">
        <v>5725</v>
      </c>
    </row>
    <row r="3377" ht="15.75" customHeight="1">
      <c r="A3377" s="2">
        <v>23357.0</v>
      </c>
      <c r="B3377" s="2" t="s">
        <v>5791</v>
      </c>
      <c r="C3377" s="2" t="s">
        <v>7423</v>
      </c>
      <c r="D3377" s="2" t="s">
        <v>7424</v>
      </c>
      <c r="E3377" s="2" t="s">
        <v>20</v>
      </c>
      <c r="F3377" s="2">
        <v>1.0</v>
      </c>
      <c r="G3377" s="2">
        <v>155.0</v>
      </c>
      <c r="H3377" s="3" t="str">
        <f>HYPERLINK("http://ar.linkedin.com/pub/mat%C3%ADas-giovannini/7/421/6","http://ar.linkedin.com/pub/mat%C3%ADas-giovannini/7/421/6")</f>
        <v>http://ar.linkedin.com/pub/mat%C3%ADas-giovannini/7/421/6</v>
      </c>
      <c r="I3377" s="2" t="s">
        <v>48</v>
      </c>
      <c r="J3377" s="2" t="s">
        <v>21</v>
      </c>
      <c r="K3377" s="2" t="s">
        <v>6124</v>
      </c>
    </row>
    <row r="3378" ht="15.75" customHeight="1">
      <c r="A3378" s="2">
        <v>23367.0</v>
      </c>
      <c r="B3378" s="2" t="s">
        <v>3223</v>
      </c>
      <c r="C3378" s="2" t="s">
        <v>7425</v>
      </c>
      <c r="D3378" s="2" t="s">
        <v>7426</v>
      </c>
      <c r="E3378" s="2" t="s">
        <v>20</v>
      </c>
      <c r="F3378" s="2">
        <v>3.0</v>
      </c>
      <c r="G3378" s="2">
        <v>115.0</v>
      </c>
      <c r="H3378" s="3" t="str">
        <f>HYPERLINK("http://ar.linkedin.com/pub/laura-merino/22/B08/474","http://ar.linkedin.com/pub/laura-merino/22/B08/474")</f>
        <v>http://ar.linkedin.com/pub/laura-merino/22/B08/474</v>
      </c>
      <c r="I3378" s="2" t="s">
        <v>2268</v>
      </c>
      <c r="J3378" s="2" t="s">
        <v>21</v>
      </c>
      <c r="K3378" s="2" t="s">
        <v>5727</v>
      </c>
    </row>
    <row r="3379" ht="15.75" customHeight="1">
      <c r="A3379" s="2">
        <v>23399.0</v>
      </c>
      <c r="B3379" s="2" t="s">
        <v>7427</v>
      </c>
      <c r="C3379" s="2" t="s">
        <v>7428</v>
      </c>
      <c r="D3379" s="2" t="s">
        <v>5767</v>
      </c>
      <c r="E3379" s="2" t="s">
        <v>20</v>
      </c>
      <c r="F3379" s="2">
        <v>6.0</v>
      </c>
      <c r="G3379" s="2">
        <v>330.0</v>
      </c>
      <c r="H3379" s="3" t="str">
        <f>HYPERLINK("http://ar.linkedin.com/in/arronades","http://ar.linkedin.com/in/arronades")</f>
        <v>http://ar.linkedin.com/in/arronades</v>
      </c>
      <c r="I3379" s="2" t="s">
        <v>160</v>
      </c>
      <c r="J3379" s="2" t="s">
        <v>21</v>
      </c>
      <c r="K3379" s="2" t="s">
        <v>5731</v>
      </c>
    </row>
    <row r="3380" ht="15.75" customHeight="1">
      <c r="A3380" s="2">
        <v>23427.0</v>
      </c>
      <c r="B3380" s="2" t="s">
        <v>7429</v>
      </c>
      <c r="C3380" s="2" t="s">
        <v>7430</v>
      </c>
      <c r="D3380" s="2" t="s">
        <v>5066</v>
      </c>
      <c r="E3380" s="2" t="s">
        <v>20</v>
      </c>
      <c r="F3380" s="2" t="s">
        <v>13</v>
      </c>
      <c r="G3380" s="2">
        <v>136.0</v>
      </c>
      <c r="H3380" s="3" t="str">
        <f>HYPERLINK("http://ar.linkedin.com/pub/fabiola-andrea-simonetti/4/AAA/A16","http://ar.linkedin.com/pub/fabiola-andrea-simonetti/4/AAA/A16")</f>
        <v>http://ar.linkedin.com/pub/fabiola-andrea-simonetti/4/AAA/A16</v>
      </c>
      <c r="I3380" s="2" t="s">
        <v>57</v>
      </c>
      <c r="J3380" s="2" t="s">
        <v>21</v>
      </c>
      <c r="K3380" s="2" t="s">
        <v>5785</v>
      </c>
    </row>
    <row r="3381" ht="15.75" customHeight="1">
      <c r="A3381" s="2">
        <v>23436.0</v>
      </c>
      <c r="B3381" s="2" t="s">
        <v>671</v>
      </c>
      <c r="C3381" s="2" t="s">
        <v>7431</v>
      </c>
      <c r="D3381" s="2" t="s">
        <v>6069</v>
      </c>
      <c r="E3381" s="2" t="s">
        <v>20</v>
      </c>
      <c r="F3381" s="2" t="s">
        <v>13</v>
      </c>
      <c r="G3381" s="2">
        <v>14.0</v>
      </c>
      <c r="H3381" s="3" t="str">
        <f>HYPERLINK("http://ar.linkedin.com/pub/mariana-maldonado/8/B5A/11B","http://ar.linkedin.com/pub/mariana-maldonado/8/B5A/11B")</f>
        <v>http://ar.linkedin.com/pub/mariana-maldonado/8/B5A/11B</v>
      </c>
      <c r="I3381" s="2" t="s">
        <v>15</v>
      </c>
      <c r="J3381" s="2" t="s">
        <v>21</v>
      </c>
      <c r="K3381" s="2" t="s">
        <v>5819</v>
      </c>
    </row>
    <row r="3382" ht="15.75" customHeight="1">
      <c r="A3382" s="2">
        <v>23450.0</v>
      </c>
      <c r="B3382" s="2" t="s">
        <v>227</v>
      </c>
      <c r="C3382" s="2" t="s">
        <v>7432</v>
      </c>
      <c r="D3382" s="2" t="s">
        <v>1738</v>
      </c>
      <c r="E3382" s="2" t="s">
        <v>20</v>
      </c>
      <c r="F3382" s="2" t="s">
        <v>13</v>
      </c>
      <c r="G3382" s="2">
        <v>119.0</v>
      </c>
      <c r="H3382" s="3" t="str">
        <f>HYPERLINK("http://ar.linkedin.com/pub/jorge-clemente/8/B5A/907","http://ar.linkedin.com/pub/jorge-clemente/8/B5A/907")</f>
        <v>http://ar.linkedin.com/pub/jorge-clemente/8/B5A/907</v>
      </c>
      <c r="I3382" s="2" t="s">
        <v>696</v>
      </c>
      <c r="J3382" s="2" t="s">
        <v>21</v>
      </c>
      <c r="K3382" s="2" t="s">
        <v>5848</v>
      </c>
    </row>
    <row r="3383" ht="15.75" customHeight="1">
      <c r="A3383" s="2">
        <v>23467.0</v>
      </c>
      <c r="B3383" s="2" t="s">
        <v>70</v>
      </c>
      <c r="C3383" s="2" t="s">
        <v>7433</v>
      </c>
      <c r="D3383" s="2" t="s">
        <v>7434</v>
      </c>
      <c r="E3383" s="2" t="s">
        <v>20</v>
      </c>
      <c r="F3383" s="2" t="s">
        <v>13</v>
      </c>
      <c r="G3383" s="2">
        <v>32.0</v>
      </c>
      <c r="H3383" s="3" t="str">
        <f>HYPERLINK("http://ar.linkedin.com/pub/gustavo-asta/3/27/10","http://ar.linkedin.com/pub/gustavo-asta/3/27/10")</f>
        <v>http://ar.linkedin.com/pub/gustavo-asta/3/27/10</v>
      </c>
      <c r="I3383" s="2" t="s">
        <v>669</v>
      </c>
      <c r="J3383" s="2" t="s">
        <v>21</v>
      </c>
      <c r="K3383" s="2" t="s">
        <v>5725</v>
      </c>
    </row>
    <row r="3384" ht="15.75" customHeight="1">
      <c r="A3384" s="2">
        <v>23495.0</v>
      </c>
      <c r="B3384" s="2" t="s">
        <v>3550</v>
      </c>
      <c r="C3384" s="2" t="s">
        <v>7435</v>
      </c>
      <c r="D3384" s="2" t="s">
        <v>7436</v>
      </c>
      <c r="E3384" s="2" t="s">
        <v>20</v>
      </c>
      <c r="F3384" s="2">
        <v>2.0</v>
      </c>
      <c r="G3384" s="2">
        <v>413.0</v>
      </c>
      <c r="H3384" s="3" t="str">
        <f>HYPERLINK("http://ar.linkedin.com/in/ngaluzzi","http://ar.linkedin.com/in/ngaluzzi")</f>
        <v>http://ar.linkedin.com/in/ngaluzzi</v>
      </c>
      <c r="I3384" s="2" t="s">
        <v>172</v>
      </c>
      <c r="J3384" s="2" t="s">
        <v>21</v>
      </c>
      <c r="K3384" s="2" t="s">
        <v>5727</v>
      </c>
    </row>
    <row r="3385" ht="15.75" customHeight="1">
      <c r="A3385" s="2">
        <v>23530.0</v>
      </c>
      <c r="B3385" s="2" t="s">
        <v>6531</v>
      </c>
      <c r="C3385" s="2" t="s">
        <v>7437</v>
      </c>
      <c r="D3385" s="2" t="s">
        <v>7438</v>
      </c>
      <c r="E3385" s="2" t="s">
        <v>20</v>
      </c>
      <c r="F3385" s="2">
        <v>2.0</v>
      </c>
      <c r="G3385" s="2">
        <v>354.0</v>
      </c>
      <c r="H3385" s="3" t="str">
        <f>HYPERLINK("http://ar.linkedin.com/in/gblitzer","http://ar.linkedin.com/in/gblitzer")</f>
        <v>http://ar.linkedin.com/in/gblitzer</v>
      </c>
      <c r="I3385" s="2" t="s">
        <v>382</v>
      </c>
      <c r="J3385" s="2" t="s">
        <v>21</v>
      </c>
      <c r="K3385" s="2" t="s">
        <v>6178</v>
      </c>
    </row>
    <row r="3386" ht="15.75" customHeight="1">
      <c r="A3386" s="2">
        <v>23536.0</v>
      </c>
      <c r="B3386" s="2" t="s">
        <v>5883</v>
      </c>
      <c r="C3386" s="2" t="s">
        <v>7439</v>
      </c>
      <c r="D3386" s="2" t="s">
        <v>7440</v>
      </c>
      <c r="E3386" s="2" t="s">
        <v>20</v>
      </c>
      <c r="F3386" s="2" t="s">
        <v>13</v>
      </c>
      <c r="G3386" s="2">
        <v>259.0</v>
      </c>
      <c r="H3386" s="3" t="str">
        <f>HYPERLINK("http://ar.linkedin.com/in/agerling","http://ar.linkedin.com/in/agerling")</f>
        <v>http://ar.linkedin.com/in/agerling</v>
      </c>
      <c r="I3386" s="2" t="s">
        <v>15</v>
      </c>
      <c r="J3386" s="2" t="s">
        <v>21</v>
      </c>
      <c r="K3386" s="2" t="s">
        <v>5725</v>
      </c>
    </row>
    <row r="3387" ht="15.75" customHeight="1">
      <c r="A3387" s="2">
        <v>23540.0</v>
      </c>
      <c r="B3387" s="2" t="s">
        <v>3684</v>
      </c>
      <c r="C3387" s="2" t="s">
        <v>7441</v>
      </c>
      <c r="D3387" s="2" t="s">
        <v>13</v>
      </c>
      <c r="E3387" s="2" t="s">
        <v>20</v>
      </c>
      <c r="F3387" s="2">
        <v>0.0</v>
      </c>
      <c r="G3387" s="2">
        <v>412.0</v>
      </c>
      <c r="H3387" s="3" t="str">
        <f>HYPERLINK("http://www.linkedin.com/pub/walter-godachevich/9/888/438","http://www.linkedin.com/pub/walter-godachevich/9/888/438")</f>
        <v>http://www.linkedin.com/pub/walter-godachevich/9/888/438</v>
      </c>
      <c r="I3387" s="2" t="s">
        <v>2000</v>
      </c>
      <c r="J3387" s="2" t="s">
        <v>21</v>
      </c>
      <c r="K3387" s="2" t="s">
        <v>5727</v>
      </c>
    </row>
    <row r="3388" ht="15.75" customHeight="1">
      <c r="A3388" s="2">
        <v>23611.0</v>
      </c>
      <c r="B3388" s="2" t="s">
        <v>7442</v>
      </c>
      <c r="C3388" s="2" t="s">
        <v>7443</v>
      </c>
      <c r="D3388" s="2" t="s">
        <v>13</v>
      </c>
      <c r="E3388" s="2" t="s">
        <v>20</v>
      </c>
      <c r="F3388" s="2">
        <v>0.0</v>
      </c>
      <c r="G3388" s="2">
        <v>459.0</v>
      </c>
      <c r="H3388" s="3" t="str">
        <f>HYPERLINK("http://www.linkedin.com/pub/luis-antonio-almada/9/215/18","http://www.linkedin.com/pub/luis-antonio-almada/9/215/18")</f>
        <v>http://www.linkedin.com/pub/luis-antonio-almada/9/215/18</v>
      </c>
      <c r="I3388" s="2" t="s">
        <v>2725</v>
      </c>
      <c r="J3388" s="2" t="s">
        <v>21</v>
      </c>
      <c r="K3388" s="2" t="s">
        <v>5777</v>
      </c>
    </row>
    <row r="3389" ht="15.75" customHeight="1">
      <c r="A3389" s="2">
        <v>23640.0</v>
      </c>
      <c r="B3389" s="2" t="s">
        <v>5078</v>
      </c>
      <c r="C3389" s="2" t="s">
        <v>3714</v>
      </c>
      <c r="D3389" s="2" t="s">
        <v>7444</v>
      </c>
      <c r="E3389" s="2" t="s">
        <v>20</v>
      </c>
      <c r="F3389" s="2" t="s">
        <v>13</v>
      </c>
      <c r="G3389" s="2">
        <v>500.0</v>
      </c>
      <c r="H3389" s="3" t="str">
        <f>HYPERLINK("http://ar.linkedin.com/pub/diego-diego/A/86/445","http://ar.linkedin.com/pub/diego-diego/A/86/445")</f>
        <v>http://ar.linkedin.com/pub/diego-diego/A/86/445</v>
      </c>
      <c r="I3389" s="2" t="s">
        <v>2994</v>
      </c>
      <c r="J3389" s="2" t="s">
        <v>21</v>
      </c>
      <c r="K3389" s="2" t="s">
        <v>5785</v>
      </c>
    </row>
    <row r="3390" ht="15.75" customHeight="1">
      <c r="A3390" s="2">
        <v>23663.0</v>
      </c>
      <c r="B3390" s="2" t="s">
        <v>7445</v>
      </c>
      <c r="C3390" s="2" t="s">
        <v>7446</v>
      </c>
      <c r="D3390" s="2" t="s">
        <v>13</v>
      </c>
      <c r="E3390" s="2" t="s">
        <v>20</v>
      </c>
      <c r="F3390" s="2">
        <v>0.0</v>
      </c>
      <c r="G3390" s="2">
        <v>500.0</v>
      </c>
      <c r="H3390" s="3" t="str">
        <f>HYPERLINK("http://www.linkedin.com/pub/ana-laura-juvino/b/883/703","http://www.linkedin.com/pub/ana-laura-juvino/b/883/703")</f>
        <v>http://www.linkedin.com/pub/ana-laura-juvino/b/883/703</v>
      </c>
      <c r="I3390" s="2" t="s">
        <v>231</v>
      </c>
      <c r="J3390" s="2" t="s">
        <v>21</v>
      </c>
      <c r="K3390" s="2" t="s">
        <v>5785</v>
      </c>
    </row>
    <row r="3391" ht="15.75" customHeight="1">
      <c r="A3391" s="2">
        <v>23665.0</v>
      </c>
      <c r="B3391" s="2" t="s">
        <v>3201</v>
      </c>
      <c r="C3391" s="2" t="s">
        <v>7447</v>
      </c>
      <c r="D3391" s="2" t="s">
        <v>7448</v>
      </c>
      <c r="E3391" s="2" t="s">
        <v>20</v>
      </c>
      <c r="F3391" s="2" t="s">
        <v>13</v>
      </c>
      <c r="G3391" s="2">
        <v>500.0</v>
      </c>
      <c r="H3391" s="3" t="str">
        <f>HYPERLINK("http://ar.linkedin.com/pub/sebastian-rauch/22/470/868","http://ar.linkedin.com/pub/sebastian-rauch/22/470/868")</f>
        <v>http://ar.linkedin.com/pub/sebastian-rauch/22/470/868</v>
      </c>
      <c r="I3391" s="2" t="s">
        <v>231</v>
      </c>
      <c r="J3391" s="2" t="s">
        <v>21</v>
      </c>
      <c r="K3391" s="2" t="s">
        <v>5785</v>
      </c>
    </row>
    <row r="3392" ht="15.75" customHeight="1">
      <c r="A3392" s="2">
        <v>23684.0</v>
      </c>
      <c r="B3392" s="2" t="s">
        <v>609</v>
      </c>
      <c r="C3392" s="2" t="s">
        <v>6600</v>
      </c>
      <c r="D3392" s="2" t="s">
        <v>1647</v>
      </c>
      <c r="E3392" s="2" t="s">
        <v>20</v>
      </c>
      <c r="F3392" s="2" t="s">
        <v>13</v>
      </c>
      <c r="G3392" s="2">
        <v>138.0</v>
      </c>
      <c r="H3392" s="3" t="str">
        <f>HYPERLINK("http://ar.linkedin.com/pub/ricardo-flores/1A/108/A65","http://ar.linkedin.com/pub/ricardo-flores/1A/108/A65")</f>
        <v>http://ar.linkedin.com/pub/ricardo-flores/1A/108/A65</v>
      </c>
      <c r="I3392" s="2" t="s">
        <v>15</v>
      </c>
      <c r="J3392" s="2" t="s">
        <v>21</v>
      </c>
      <c r="K3392" s="2" t="s">
        <v>6124</v>
      </c>
    </row>
    <row r="3393" ht="15.75" customHeight="1">
      <c r="A3393" s="2">
        <v>23715.0</v>
      </c>
      <c r="B3393" s="2" t="s">
        <v>7449</v>
      </c>
      <c r="C3393" s="2" t="s">
        <v>6543</v>
      </c>
      <c r="D3393" s="2" t="s">
        <v>7450</v>
      </c>
      <c r="E3393" s="2" t="s">
        <v>20</v>
      </c>
      <c r="F3393" s="2" t="s">
        <v>13</v>
      </c>
      <c r="G3393" s="2">
        <v>500.0</v>
      </c>
      <c r="H3393" s="3" t="str">
        <f>HYPERLINK("http://ar.linkedin.com/pub/paola-sofia-blanco/21/333/756","http://ar.linkedin.com/pub/paola-sofia-blanco/21/333/756")</f>
        <v>http://ar.linkedin.com/pub/paola-sofia-blanco/21/333/756</v>
      </c>
      <c r="I3393" s="2" t="s">
        <v>458</v>
      </c>
      <c r="J3393" s="2" t="s">
        <v>21</v>
      </c>
      <c r="K3393" s="2" t="s">
        <v>5734</v>
      </c>
    </row>
    <row r="3394" ht="15.75" customHeight="1">
      <c r="A3394" s="2">
        <v>23718.0</v>
      </c>
      <c r="B3394" s="2" t="s">
        <v>423</v>
      </c>
      <c r="C3394" s="2" t="s">
        <v>7451</v>
      </c>
      <c r="D3394" s="2" t="s">
        <v>7452</v>
      </c>
      <c r="E3394" s="2" t="s">
        <v>20</v>
      </c>
      <c r="F3394" s="2">
        <v>2.0</v>
      </c>
      <c r="G3394" s="2">
        <v>291.0</v>
      </c>
      <c r="H3394" s="3" t="str">
        <f>HYPERLINK("http://ar.linkedin.com/pub/carolina-farinazzo/9/BB9/67","http://ar.linkedin.com/pub/carolina-farinazzo/9/BB9/67")</f>
        <v>http://ar.linkedin.com/pub/carolina-farinazzo/9/BB9/67</v>
      </c>
      <c r="I3394" s="2" t="s">
        <v>77</v>
      </c>
      <c r="J3394" s="2" t="s">
        <v>21</v>
      </c>
      <c r="K3394" s="2" t="s">
        <v>5731</v>
      </c>
    </row>
    <row r="3395" ht="15.75" customHeight="1">
      <c r="A3395" s="2">
        <v>23721.0</v>
      </c>
      <c r="B3395" s="2" t="s">
        <v>5728</v>
      </c>
      <c r="C3395" s="2" t="s">
        <v>7453</v>
      </c>
      <c r="D3395" s="2" t="s">
        <v>7454</v>
      </c>
      <c r="E3395" s="2" t="s">
        <v>20</v>
      </c>
      <c r="F3395" s="2">
        <v>10.0</v>
      </c>
      <c r="G3395" s="2">
        <v>500.0</v>
      </c>
      <c r="H3395" s="3" t="str">
        <f>HYPERLINK("http://ar.linkedin.com/in/maximilianotornese","http://ar.linkedin.com/in/maximilianotornese")</f>
        <v>http://ar.linkedin.com/in/maximilianotornese</v>
      </c>
      <c r="I3395" s="2" t="s">
        <v>77</v>
      </c>
      <c r="J3395" s="2" t="s">
        <v>21</v>
      </c>
      <c r="K3395" s="2" t="s">
        <v>5731</v>
      </c>
    </row>
    <row r="3396" ht="15.75" customHeight="1">
      <c r="A3396" s="2">
        <v>23733.0</v>
      </c>
      <c r="B3396" s="2" t="s">
        <v>862</v>
      </c>
      <c r="C3396" s="2" t="s">
        <v>7455</v>
      </c>
      <c r="D3396" s="2" t="s">
        <v>7456</v>
      </c>
      <c r="E3396" s="2" t="s">
        <v>20</v>
      </c>
      <c r="F3396" s="2" t="s">
        <v>13</v>
      </c>
      <c r="G3396" s="2">
        <v>89.0</v>
      </c>
      <c r="H3396" s="3" t="str">
        <f>HYPERLINK("http://ar.linkedin.com/pub/gabriel-capmany/18/920/B35","http://ar.linkedin.com/pub/gabriel-capmany/18/920/B35")</f>
        <v>http://ar.linkedin.com/pub/gabriel-capmany/18/920/B35</v>
      </c>
      <c r="I3396" s="2" t="s">
        <v>57</v>
      </c>
      <c r="J3396" s="2" t="s">
        <v>21</v>
      </c>
      <c r="K3396" s="2" t="s">
        <v>5725</v>
      </c>
    </row>
    <row r="3397" ht="15.75" customHeight="1">
      <c r="A3397" s="2">
        <v>23759.0</v>
      </c>
      <c r="B3397" s="2" t="s">
        <v>3891</v>
      </c>
      <c r="C3397" s="2" t="s">
        <v>7457</v>
      </c>
      <c r="D3397" s="2" t="s">
        <v>347</v>
      </c>
      <c r="E3397" s="2" t="s">
        <v>20</v>
      </c>
      <c r="F3397" s="2" t="s">
        <v>13</v>
      </c>
      <c r="G3397" s="2">
        <v>23.0</v>
      </c>
      <c r="H3397" s="3" t="str">
        <f>HYPERLINK("http://ar.linkedin.com/pub/veronica-spigardi/1B/64/6A","http://ar.linkedin.com/pub/veronica-spigardi/1B/64/6A")</f>
        <v>http://ar.linkedin.com/pub/veronica-spigardi/1B/64/6A</v>
      </c>
      <c r="I3397" s="2" t="s">
        <v>15</v>
      </c>
      <c r="J3397" s="2" t="s">
        <v>21</v>
      </c>
      <c r="K3397" s="2" t="s">
        <v>5725</v>
      </c>
    </row>
    <row r="3398" ht="15.75" customHeight="1">
      <c r="A3398" s="2">
        <v>23774.0</v>
      </c>
      <c r="B3398" s="2" t="s">
        <v>5890</v>
      </c>
      <c r="C3398" s="2" t="s">
        <v>7458</v>
      </c>
      <c r="D3398" s="2" t="s">
        <v>7229</v>
      </c>
      <c r="E3398" s="2" t="s">
        <v>20</v>
      </c>
      <c r="F3398" s="2">
        <v>5.0</v>
      </c>
      <c r="G3398" s="2">
        <v>500.0</v>
      </c>
      <c r="H3398" s="3" t="str">
        <f>HYPERLINK("http://www.linkedin.com/in/pfurci","http://www.linkedin.com/in/pfurci")</f>
        <v>http://www.linkedin.com/in/pfurci</v>
      </c>
      <c r="I3398" s="2" t="s">
        <v>15</v>
      </c>
      <c r="J3398" s="2" t="s">
        <v>21</v>
      </c>
      <c r="K3398" s="2" t="s">
        <v>5727</v>
      </c>
    </row>
    <row r="3399" ht="15.75" customHeight="1">
      <c r="A3399" s="2">
        <v>23775.0</v>
      </c>
      <c r="B3399" s="2" t="s">
        <v>862</v>
      </c>
      <c r="C3399" s="2" t="s">
        <v>7459</v>
      </c>
      <c r="D3399" s="2" t="s">
        <v>7460</v>
      </c>
      <c r="E3399" s="2" t="s">
        <v>20</v>
      </c>
      <c r="F3399" s="2">
        <v>1.0</v>
      </c>
      <c r="G3399" s="2">
        <v>285.0</v>
      </c>
      <c r="H3399" s="3" t="str">
        <f>HYPERLINK("http://ar.linkedin.com/pub/gabriel-lysobycki/5/523/687","http://ar.linkedin.com/pub/gabriel-lysobycki/5/523/687")</f>
        <v>http://ar.linkedin.com/pub/gabriel-lysobycki/5/523/687</v>
      </c>
      <c r="I3399" s="2" t="s">
        <v>279</v>
      </c>
      <c r="J3399" s="2" t="s">
        <v>21</v>
      </c>
      <c r="K3399" s="2" t="s">
        <v>5734</v>
      </c>
    </row>
    <row r="3400" ht="15.75" customHeight="1">
      <c r="A3400" s="2">
        <v>23820.0</v>
      </c>
      <c r="B3400" s="2" t="s">
        <v>7461</v>
      </c>
      <c r="C3400" s="2" t="s">
        <v>7462</v>
      </c>
      <c r="D3400" s="2" t="s">
        <v>7463</v>
      </c>
      <c r="E3400" s="2" t="s">
        <v>20</v>
      </c>
      <c r="F3400" s="2" t="s">
        <v>13</v>
      </c>
      <c r="G3400" s="2">
        <v>249.0</v>
      </c>
      <c r="H3400" s="3" t="str">
        <f>HYPERLINK("http://ar.linkedin.com/in/jcbasso","http://ar.linkedin.com/in/jcbasso")</f>
        <v>http://ar.linkedin.com/in/jcbasso</v>
      </c>
      <c r="I3400" s="2" t="s">
        <v>15</v>
      </c>
      <c r="J3400" s="2" t="s">
        <v>21</v>
      </c>
      <c r="K3400" s="2" t="s">
        <v>6124</v>
      </c>
    </row>
    <row r="3401" ht="15.75" customHeight="1">
      <c r="A3401" s="2">
        <v>23823.0</v>
      </c>
      <c r="B3401" s="2" t="s">
        <v>1133</v>
      </c>
      <c r="C3401" s="2" t="s">
        <v>7464</v>
      </c>
      <c r="D3401" s="2" t="s">
        <v>7465</v>
      </c>
      <c r="E3401" s="2" t="s">
        <v>20</v>
      </c>
      <c r="F3401" s="2">
        <v>7.0</v>
      </c>
      <c r="G3401" s="2">
        <v>279.0</v>
      </c>
      <c r="H3401" s="3" t="str">
        <f>HYPERLINK("http://ar.linkedin.com/in/edadalt","http://ar.linkedin.com/in/edadalt")</f>
        <v>http://ar.linkedin.com/in/edadalt</v>
      </c>
      <c r="I3401" s="2" t="s">
        <v>2443</v>
      </c>
      <c r="J3401" s="2" t="s">
        <v>21</v>
      </c>
      <c r="K3401" s="2" t="s">
        <v>5727</v>
      </c>
    </row>
    <row r="3402" ht="15.75" customHeight="1">
      <c r="A3402" s="2">
        <v>23824.0</v>
      </c>
      <c r="B3402" s="2" t="s">
        <v>5723</v>
      </c>
      <c r="C3402" s="2" t="s">
        <v>7466</v>
      </c>
      <c r="D3402" s="2" t="s">
        <v>289</v>
      </c>
      <c r="E3402" s="2" t="s">
        <v>20</v>
      </c>
      <c r="F3402" s="2">
        <v>3.0</v>
      </c>
      <c r="G3402" s="2">
        <v>298.0</v>
      </c>
      <c r="H3402" s="3" t="str">
        <f>HYPERLINK("http://ar.linkedin.com/in/pabloargento","http://ar.linkedin.com/in/pabloargento")</f>
        <v>http://ar.linkedin.com/in/pabloargento</v>
      </c>
      <c r="I3402" s="2" t="s">
        <v>57</v>
      </c>
      <c r="J3402" s="2" t="s">
        <v>21</v>
      </c>
      <c r="K3402" s="2" t="s">
        <v>5727</v>
      </c>
    </row>
    <row r="3403" ht="15.75" customHeight="1">
      <c r="A3403" s="2">
        <v>23825.0</v>
      </c>
      <c r="B3403" s="2" t="s">
        <v>5871</v>
      </c>
      <c r="C3403" s="2" t="s">
        <v>7467</v>
      </c>
      <c r="D3403" s="2" t="s">
        <v>13</v>
      </c>
      <c r="E3403" s="2" t="s">
        <v>20</v>
      </c>
      <c r="F3403" s="2">
        <v>0.0</v>
      </c>
      <c r="G3403" s="2">
        <v>500.0</v>
      </c>
      <c r="H3403" s="3" t="str">
        <f>HYPERLINK("http://www.linkedin.com/pub/sabrina-vassallo/2/329/14b","http://www.linkedin.com/pub/sabrina-vassallo/2/329/14b")</f>
        <v>http://www.linkedin.com/pub/sabrina-vassallo/2/329/14b</v>
      </c>
      <c r="I3403" s="2" t="s">
        <v>356</v>
      </c>
      <c r="J3403" s="2" t="s">
        <v>21</v>
      </c>
      <c r="K3403" s="2" t="s">
        <v>5727</v>
      </c>
    </row>
    <row r="3404" ht="15.75" customHeight="1">
      <c r="A3404" s="2">
        <v>23829.0</v>
      </c>
      <c r="B3404" s="2" t="s">
        <v>5389</v>
      </c>
      <c r="C3404" s="2" t="s">
        <v>7468</v>
      </c>
      <c r="D3404" s="2" t="s">
        <v>7469</v>
      </c>
      <c r="E3404" s="2" t="s">
        <v>20</v>
      </c>
      <c r="F3404" s="2">
        <v>5.0</v>
      </c>
      <c r="G3404" s="2">
        <v>500.0</v>
      </c>
      <c r="H3404" s="3" t="str">
        <f>HYPERLINK("http://ar.linkedin.com/pub/paula-marra/7/666/287","http://ar.linkedin.com/pub/paula-marra/7/666/287")</f>
        <v>http://ar.linkedin.com/pub/paula-marra/7/666/287</v>
      </c>
      <c r="I3404" s="2" t="s">
        <v>714</v>
      </c>
      <c r="J3404" s="2" t="s">
        <v>21</v>
      </c>
      <c r="K3404" s="2" t="s">
        <v>5727</v>
      </c>
    </row>
    <row r="3405" ht="15.75" customHeight="1">
      <c r="A3405" s="2">
        <v>23830.0</v>
      </c>
      <c r="B3405" s="2" t="s">
        <v>515</v>
      </c>
      <c r="C3405" s="2" t="s">
        <v>7470</v>
      </c>
      <c r="D3405" s="2" t="s">
        <v>13</v>
      </c>
      <c r="E3405" s="2" t="s">
        <v>20</v>
      </c>
      <c r="F3405" s="2">
        <v>0.0</v>
      </c>
      <c r="G3405" s="2">
        <v>500.0</v>
      </c>
      <c r="H3405" s="3" t="str">
        <f>HYPERLINK("http://ar.linkedin.com/pub/juan-ignacio-paradiso/9/692/798","http://ar.linkedin.com/pub/juan-ignacio-paradiso/9/692/798")</f>
        <v>http://ar.linkedin.com/pub/juan-ignacio-paradiso/9/692/798</v>
      </c>
      <c r="I3405" s="2" t="s">
        <v>2574</v>
      </c>
      <c r="J3405" s="2" t="s">
        <v>21</v>
      </c>
      <c r="K3405" s="2" t="s">
        <v>5743</v>
      </c>
    </row>
    <row r="3406" ht="15.75" customHeight="1">
      <c r="A3406" s="2">
        <v>23856.0</v>
      </c>
      <c r="B3406" s="2" t="s">
        <v>492</v>
      </c>
      <c r="C3406" s="2" t="s">
        <v>7471</v>
      </c>
      <c r="D3406" s="2" t="s">
        <v>13</v>
      </c>
      <c r="E3406" s="2" t="s">
        <v>20</v>
      </c>
      <c r="F3406" s="2">
        <v>0.0</v>
      </c>
      <c r="G3406" s="2">
        <v>500.0</v>
      </c>
      <c r="H3406" s="3" t="str">
        <f>HYPERLINK("http://www.linkedin.com/pub/sergio-donzelli/0/80b/43b","http://www.linkedin.com/pub/sergio-donzelli/0/80b/43b")</f>
        <v>http://www.linkedin.com/pub/sergio-donzelli/0/80b/43b</v>
      </c>
      <c r="I3406" s="2" t="s">
        <v>15</v>
      </c>
      <c r="J3406" s="2" t="s">
        <v>21</v>
      </c>
      <c r="K3406" s="2" t="s">
        <v>5725</v>
      </c>
    </row>
    <row r="3407" ht="15.75" customHeight="1">
      <c r="A3407" s="2">
        <v>23858.0</v>
      </c>
      <c r="B3407" s="2" t="s">
        <v>7472</v>
      </c>
      <c r="C3407" s="2" t="s">
        <v>4233</v>
      </c>
      <c r="D3407" s="2" t="s">
        <v>7473</v>
      </c>
      <c r="E3407" s="2" t="s">
        <v>20</v>
      </c>
      <c r="F3407" s="2" t="s">
        <v>13</v>
      </c>
      <c r="G3407" s="2">
        <v>109.0</v>
      </c>
      <c r="H3407" s="3" t="str">
        <f>HYPERLINK("http://ar.linkedin.com/pub/emilse-gonzalez/18/679/353","http://ar.linkedin.com/pub/emilse-gonzalez/18/679/353")</f>
        <v>http://ar.linkedin.com/pub/emilse-gonzalez/18/679/353</v>
      </c>
      <c r="I3407" s="2" t="s">
        <v>48</v>
      </c>
      <c r="J3407" s="2" t="s">
        <v>21</v>
      </c>
      <c r="K3407" s="2" t="s">
        <v>5725</v>
      </c>
    </row>
    <row r="3408" ht="15.75" customHeight="1">
      <c r="A3408" s="2">
        <v>23893.0</v>
      </c>
      <c r="B3408" s="2" t="s">
        <v>671</v>
      </c>
      <c r="C3408" s="2" t="s">
        <v>7474</v>
      </c>
      <c r="D3408" s="2" t="s">
        <v>7475</v>
      </c>
      <c r="E3408" s="2" t="s">
        <v>20</v>
      </c>
      <c r="F3408" s="2">
        <v>1.0</v>
      </c>
      <c r="G3408" s="2">
        <v>500.0</v>
      </c>
      <c r="H3408" s="3" t="str">
        <f>HYPERLINK("http://ar.linkedin.com/in/marianagalmes","http://ar.linkedin.com/in/marianagalmes")</f>
        <v>http://ar.linkedin.com/in/marianagalmes</v>
      </c>
      <c r="I3408" s="2" t="s">
        <v>15</v>
      </c>
      <c r="J3408" s="2" t="s">
        <v>21</v>
      </c>
      <c r="K3408" s="2" t="s">
        <v>5725</v>
      </c>
    </row>
    <row r="3409" ht="15.75" customHeight="1">
      <c r="A3409" s="2">
        <v>23906.0</v>
      </c>
      <c r="B3409" s="2" t="s">
        <v>3692</v>
      </c>
      <c r="C3409" s="2" t="s">
        <v>7476</v>
      </c>
      <c r="D3409" s="2" t="s">
        <v>7477</v>
      </c>
      <c r="E3409" s="2" t="s">
        <v>20</v>
      </c>
      <c r="F3409" s="2">
        <v>7.0</v>
      </c>
      <c r="G3409" s="2">
        <v>225.0</v>
      </c>
      <c r="H3409" s="3" t="str">
        <f>HYPERLINK("http://ar.linkedin.com/in/federicogalban","http://ar.linkedin.com/in/federicogalban")</f>
        <v>http://ar.linkedin.com/in/federicogalban</v>
      </c>
      <c r="I3409" s="2" t="s">
        <v>612</v>
      </c>
      <c r="J3409" s="2" t="s">
        <v>21</v>
      </c>
      <c r="K3409" s="2" t="s">
        <v>5727</v>
      </c>
    </row>
    <row r="3410" ht="15.75" customHeight="1">
      <c r="A3410" s="2">
        <v>23925.0</v>
      </c>
      <c r="B3410" s="2" t="s">
        <v>6467</v>
      </c>
      <c r="C3410" s="2" t="s">
        <v>6556</v>
      </c>
      <c r="D3410" s="2" t="s">
        <v>6197</v>
      </c>
      <c r="E3410" s="2" t="s">
        <v>20</v>
      </c>
      <c r="F3410" s="2">
        <v>1.0</v>
      </c>
      <c r="G3410" s="2">
        <v>246.0</v>
      </c>
      <c r="H3410" s="3" t="str">
        <f>HYPERLINK("http://ar.linkedin.com/pub/florencia-dominguez/26/501/1A5","http://ar.linkedin.com/pub/florencia-dominguez/26/501/1A5")</f>
        <v>http://ar.linkedin.com/pub/florencia-dominguez/26/501/1A5</v>
      </c>
      <c r="I3410" s="2" t="s">
        <v>579</v>
      </c>
      <c r="J3410" s="2" t="s">
        <v>21</v>
      </c>
      <c r="K3410" s="2" t="s">
        <v>5848</v>
      </c>
    </row>
    <row r="3411" ht="15.75" customHeight="1">
      <c r="A3411" s="2">
        <v>23965.0</v>
      </c>
      <c r="B3411" s="2" t="s">
        <v>7478</v>
      </c>
      <c r="C3411" s="2" t="s">
        <v>7479</v>
      </c>
      <c r="D3411" s="2" t="s">
        <v>7480</v>
      </c>
      <c r="E3411" s="2" t="s">
        <v>20</v>
      </c>
      <c r="F3411" s="2" t="s">
        <v>13</v>
      </c>
      <c r="G3411" s="2">
        <v>409.0</v>
      </c>
      <c r="H3411" s="3" t="str">
        <f>HYPERLINK("http://ar.linkedin.com/in/lfkozak","http://ar.linkedin.com/in/lfkozak")</f>
        <v>http://ar.linkedin.com/in/lfkozak</v>
      </c>
      <c r="I3411" s="2" t="s">
        <v>15</v>
      </c>
      <c r="J3411" s="2" t="s">
        <v>21</v>
      </c>
      <c r="K3411" s="2" t="s">
        <v>6124</v>
      </c>
    </row>
    <row r="3412" ht="15.75" customHeight="1">
      <c r="A3412" s="2">
        <v>23981.0</v>
      </c>
      <c r="B3412" s="2" t="s">
        <v>5883</v>
      </c>
      <c r="C3412" s="2" t="s">
        <v>7481</v>
      </c>
      <c r="D3412" s="2" t="s">
        <v>7201</v>
      </c>
      <c r="E3412" s="2" t="s">
        <v>20</v>
      </c>
      <c r="F3412" s="2">
        <v>3.0</v>
      </c>
      <c r="G3412" s="2">
        <v>391.0</v>
      </c>
      <c r="H3412" s="3" t="str">
        <f>HYPERLINK("http://ar.linkedin.com/in/arielzarember","http://ar.linkedin.com/in/arielzarember")</f>
        <v>http://ar.linkedin.com/in/arielzarember</v>
      </c>
      <c r="I3412" s="2" t="s">
        <v>579</v>
      </c>
      <c r="J3412" s="2" t="s">
        <v>21</v>
      </c>
      <c r="K3412" s="2" t="s">
        <v>5731</v>
      </c>
    </row>
    <row r="3413" ht="15.75" customHeight="1">
      <c r="A3413" s="2">
        <v>24007.0</v>
      </c>
      <c r="B3413" s="2" t="s">
        <v>7482</v>
      </c>
      <c r="C3413" s="2" t="s">
        <v>7483</v>
      </c>
      <c r="D3413" s="2" t="s">
        <v>13</v>
      </c>
      <c r="E3413" s="2" t="s">
        <v>20</v>
      </c>
      <c r="F3413" s="2">
        <v>0.0</v>
      </c>
      <c r="G3413" s="2">
        <v>500.0</v>
      </c>
      <c r="H3413" s="3" t="str">
        <f>HYPERLINK("http://www.linkedin.com/pub/silvina-mariel-molina/14/792/1b7","http://www.linkedin.com/pub/silvina-mariel-molina/14/792/1b7")</f>
        <v>http://www.linkedin.com/pub/silvina-mariel-molina/14/792/1b7</v>
      </c>
      <c r="I3413" s="2" t="s">
        <v>458</v>
      </c>
      <c r="J3413" s="2" t="s">
        <v>21</v>
      </c>
      <c r="K3413" s="2" t="s">
        <v>6342</v>
      </c>
    </row>
    <row r="3414" ht="15.75" customHeight="1">
      <c r="A3414" s="2">
        <v>24017.0</v>
      </c>
      <c r="B3414" s="2" t="s">
        <v>7484</v>
      </c>
      <c r="C3414" s="2" t="s">
        <v>7485</v>
      </c>
      <c r="D3414" s="2" t="s">
        <v>7486</v>
      </c>
      <c r="E3414" s="2" t="s">
        <v>20</v>
      </c>
      <c r="F3414" s="2">
        <v>1.0</v>
      </c>
      <c r="G3414" s="2">
        <v>224.0</v>
      </c>
      <c r="H3414" s="3" t="str">
        <f>HYPERLINK("http://ar.linkedin.com/pub/gabriela-carla-bot/9/B9/883","http://ar.linkedin.com/pub/gabriela-carla-bot/9/B9/883")</f>
        <v>http://ar.linkedin.com/pub/gabriela-carla-bot/9/B9/883</v>
      </c>
      <c r="I3414" s="2" t="s">
        <v>77</v>
      </c>
      <c r="J3414" s="2" t="s">
        <v>21</v>
      </c>
      <c r="K3414" s="2" t="s">
        <v>5848</v>
      </c>
    </row>
    <row r="3415" ht="15.75" customHeight="1">
      <c r="A3415" s="2">
        <v>24024.0</v>
      </c>
      <c r="B3415" s="2" t="s">
        <v>7487</v>
      </c>
      <c r="C3415" s="2" t="s">
        <v>1729</v>
      </c>
      <c r="D3415" s="2" t="s">
        <v>2331</v>
      </c>
      <c r="E3415" s="2" t="s">
        <v>20</v>
      </c>
      <c r="F3415" s="2" t="s">
        <v>13</v>
      </c>
      <c r="G3415" s="2">
        <v>320.0</v>
      </c>
      <c r="H3415" s="3" t="str">
        <f>HYPERLINK("http://ar.linkedin.com/in/adrianemartinez","http://ar.linkedin.com/in/adrianemartinez")</f>
        <v>http://ar.linkedin.com/in/adrianemartinez</v>
      </c>
      <c r="I3415" s="2" t="s">
        <v>15</v>
      </c>
      <c r="J3415" s="2" t="s">
        <v>21</v>
      </c>
      <c r="K3415" s="2" t="s">
        <v>6124</v>
      </c>
    </row>
    <row r="3416" ht="15.75" customHeight="1">
      <c r="A3416" s="2">
        <v>24026.0</v>
      </c>
      <c r="B3416" s="2" t="s">
        <v>7488</v>
      </c>
      <c r="C3416" s="2" t="s">
        <v>7489</v>
      </c>
      <c r="D3416" s="2" t="s">
        <v>6129</v>
      </c>
      <c r="E3416" s="2" t="s">
        <v>20</v>
      </c>
      <c r="F3416" s="2">
        <v>2.0</v>
      </c>
      <c r="G3416" s="2">
        <v>192.0</v>
      </c>
      <c r="H3416" s="3" t="str">
        <f>HYPERLINK("http://ar.linkedin.com/in/christianbmt","http://ar.linkedin.com/in/christianbmt")</f>
        <v>http://ar.linkedin.com/in/christianbmt</v>
      </c>
      <c r="I3416" s="2" t="s">
        <v>279</v>
      </c>
      <c r="J3416" s="2" t="s">
        <v>21</v>
      </c>
      <c r="K3416" s="2" t="s">
        <v>5727</v>
      </c>
    </row>
    <row r="3417" ht="15.75" customHeight="1">
      <c r="A3417" s="2">
        <v>24032.0</v>
      </c>
      <c r="B3417" s="2" t="s">
        <v>7490</v>
      </c>
      <c r="C3417" s="2" t="s">
        <v>7491</v>
      </c>
      <c r="D3417" s="2" t="s">
        <v>7492</v>
      </c>
      <c r="E3417" s="2" t="s">
        <v>20</v>
      </c>
      <c r="F3417" s="2" t="s">
        <v>13</v>
      </c>
      <c r="G3417" s="2">
        <v>50.0</v>
      </c>
      <c r="H3417" s="3" t="str">
        <f>HYPERLINK("http://ar.linkedin.com/pub/magal%C3%AD-liberjen/26/243/725","http://ar.linkedin.com/pub/magal%C3%AD-liberjen/26/243/725")</f>
        <v>http://ar.linkedin.com/pub/magal%C3%AD-liberjen/26/243/725</v>
      </c>
      <c r="I3417" s="2" t="s">
        <v>57</v>
      </c>
      <c r="J3417" s="2" t="s">
        <v>21</v>
      </c>
      <c r="K3417" s="2" t="s">
        <v>5725</v>
      </c>
    </row>
    <row r="3418" ht="15.75" customHeight="1">
      <c r="A3418" s="2">
        <v>24041.0</v>
      </c>
      <c r="B3418" s="2" t="s">
        <v>6531</v>
      </c>
      <c r="C3418" s="2" t="s">
        <v>7493</v>
      </c>
      <c r="D3418" s="2" t="s">
        <v>47</v>
      </c>
      <c r="E3418" s="2" t="s">
        <v>20</v>
      </c>
      <c r="F3418" s="2">
        <v>1.0</v>
      </c>
      <c r="G3418" s="2">
        <v>500.0</v>
      </c>
      <c r="H3418" s="3" t="str">
        <f>HYPERLINK("http://ar.linkedin.com/pub/gerardo-andreucci/1/293/69","http://ar.linkedin.com/pub/gerardo-andreucci/1/293/69")</f>
        <v>http://ar.linkedin.com/pub/gerardo-andreucci/1/293/69</v>
      </c>
      <c r="I3418" s="2" t="s">
        <v>77</v>
      </c>
      <c r="J3418" s="2" t="s">
        <v>21</v>
      </c>
      <c r="K3418" s="2" t="s">
        <v>5785</v>
      </c>
    </row>
    <row r="3419" ht="15.75" customHeight="1">
      <c r="A3419" s="2">
        <v>24087.0</v>
      </c>
      <c r="B3419" s="2" t="s">
        <v>7494</v>
      </c>
      <c r="C3419" s="2" t="s">
        <v>7495</v>
      </c>
      <c r="D3419" s="2" t="s">
        <v>7496</v>
      </c>
      <c r="E3419" s="2" t="s">
        <v>20</v>
      </c>
      <c r="F3419" s="2">
        <v>2.0</v>
      </c>
      <c r="G3419" s="2">
        <v>166.0</v>
      </c>
      <c r="H3419" s="3" t="str">
        <f>HYPERLINK("http://ar.linkedin.com/in/shoshin","http://ar.linkedin.com/in/shoshin")</f>
        <v>http://ar.linkedin.com/in/shoshin</v>
      </c>
      <c r="I3419" s="2" t="s">
        <v>27</v>
      </c>
      <c r="J3419" s="2" t="s">
        <v>21</v>
      </c>
      <c r="K3419" s="2" t="s">
        <v>5727</v>
      </c>
    </row>
    <row r="3420" ht="15.75" customHeight="1">
      <c r="A3420" s="2">
        <v>24149.0</v>
      </c>
      <c r="B3420" s="2" t="s">
        <v>3072</v>
      </c>
      <c r="C3420" s="2" t="s">
        <v>7497</v>
      </c>
      <c r="D3420" s="2" t="s">
        <v>7498</v>
      </c>
      <c r="E3420" s="2" t="s">
        <v>7499</v>
      </c>
      <c r="F3420" s="2">
        <v>2.0</v>
      </c>
      <c r="G3420" s="2">
        <v>243.0</v>
      </c>
      <c r="H3420" s="3" t="str">
        <f>HYPERLINK("http://www.linkedin.com/in/luiswongcampos","http://www.linkedin.com/in/luiswongcampos")</f>
        <v>http://www.linkedin.com/in/luiswongcampos</v>
      </c>
      <c r="I3420" s="2" t="s">
        <v>1507</v>
      </c>
      <c r="J3420" s="2" t="s">
        <v>102</v>
      </c>
      <c r="K3420" s="2" t="s">
        <v>6722</v>
      </c>
    </row>
    <row r="3421" ht="15.75" customHeight="1">
      <c r="A3421" s="2">
        <v>24394.0</v>
      </c>
      <c r="B3421" s="2" t="s">
        <v>7500</v>
      </c>
      <c r="C3421" s="2" t="s">
        <v>7501</v>
      </c>
      <c r="D3421" s="2" t="s">
        <v>7502</v>
      </c>
      <c r="E3421" s="2" t="s">
        <v>5837</v>
      </c>
      <c r="F3421" s="2">
        <v>5.0</v>
      </c>
      <c r="G3421" s="2">
        <v>320.0</v>
      </c>
      <c r="H3421" s="3" t="str">
        <f>HYPERLINK("http://www.linkedin.com/in/lucienc","http://www.linkedin.com/in/lucienc")</f>
        <v>http://www.linkedin.com/in/lucienc</v>
      </c>
      <c r="I3421" s="2" t="s">
        <v>48</v>
      </c>
      <c r="J3421" s="2" t="s">
        <v>34</v>
      </c>
      <c r="K3421" s="2" t="s">
        <v>5785</v>
      </c>
    </row>
    <row r="3422" ht="15.75" customHeight="1">
      <c r="A3422" s="2">
        <v>24722.0</v>
      </c>
      <c r="B3422" s="2" t="s">
        <v>7503</v>
      </c>
      <c r="C3422" s="2" t="s">
        <v>7504</v>
      </c>
      <c r="D3422" s="2" t="s">
        <v>7505</v>
      </c>
      <c r="E3422" s="2" t="s">
        <v>122</v>
      </c>
      <c r="F3422" s="2">
        <v>0.0</v>
      </c>
      <c r="G3422" s="2">
        <v>459.0</v>
      </c>
      <c r="H3422" s="3" t="str">
        <f>HYPERLINK("http://uk.linkedin.com/pub/felipe-gamboa-alves-da-costa/B/BB2/117","http://uk.linkedin.com/pub/felipe-gamboa-alves-da-costa/B/BB2/117")</f>
        <v>http://uk.linkedin.com/pub/felipe-gamboa-alves-da-costa/B/BB2/117</v>
      </c>
      <c r="I3422" s="2" t="s">
        <v>579</v>
      </c>
      <c r="J3422" s="2" t="s">
        <v>53</v>
      </c>
      <c r="K3422" s="2" t="s">
        <v>6342</v>
      </c>
    </row>
    <row r="3423" ht="15.75" customHeight="1">
      <c r="A3423" s="2">
        <v>24794.0</v>
      </c>
      <c r="B3423" s="2" t="s">
        <v>152</v>
      </c>
      <c r="C3423" s="2" t="s">
        <v>849</v>
      </c>
      <c r="D3423" s="2"/>
      <c r="E3423" s="2" t="s">
        <v>1190</v>
      </c>
      <c r="F3423" s="2">
        <v>27.0</v>
      </c>
      <c r="G3423" s="2">
        <v>500.0</v>
      </c>
      <c r="H3423" s="3" t="str">
        <f>HYPERLINK("http://www.linkedin.com/pub/eduardo-souza/0/2B3/634","http://www.linkedin.com/pub/eduardo-souza/0/2B3/634")</f>
        <v>http://www.linkedin.com/pub/eduardo-souza/0/2B3/634</v>
      </c>
      <c r="I3423" s="2" t="s">
        <v>1679</v>
      </c>
      <c r="J3423" s="2" t="s">
        <v>102</v>
      </c>
      <c r="K3423" s="2" t="s">
        <v>5727</v>
      </c>
    </row>
    <row r="3424" ht="15.75" customHeight="1">
      <c r="A3424" s="2">
        <v>24832.0</v>
      </c>
      <c r="B3424" s="2" t="s">
        <v>4867</v>
      </c>
      <c r="C3424" s="2" t="s">
        <v>7506</v>
      </c>
      <c r="D3424" s="2" t="s">
        <v>7507</v>
      </c>
      <c r="E3424" s="2" t="s">
        <v>1190</v>
      </c>
      <c r="F3424" s="2" t="s">
        <v>13</v>
      </c>
      <c r="G3424" s="2">
        <v>500.0</v>
      </c>
      <c r="H3424" s="3" t="str">
        <f>HYPERLINK("http://www.linkedin.com/pub/albert-comas/0/6B4/507","http://www.linkedin.com/pub/albert-comas/0/6B4/507")</f>
        <v>http://www.linkedin.com/pub/albert-comas/0/6B4/507</v>
      </c>
      <c r="I3424" s="2" t="s">
        <v>1679</v>
      </c>
      <c r="J3424" s="2" t="s">
        <v>102</v>
      </c>
      <c r="K3424" s="2" t="s">
        <v>5727</v>
      </c>
    </row>
    <row r="3425" ht="15.75" customHeight="1">
      <c r="A3425" s="2">
        <v>24993.0</v>
      </c>
      <c r="B3425" s="2" t="s">
        <v>7508</v>
      </c>
      <c r="C3425" s="2" t="s">
        <v>7509</v>
      </c>
      <c r="D3425" s="2"/>
      <c r="E3425" s="2" t="s">
        <v>403</v>
      </c>
      <c r="F3425" s="2">
        <v>18.0</v>
      </c>
      <c r="G3425" s="2">
        <v>500.0</v>
      </c>
      <c r="H3425" s="3" t="str">
        <f>HYPERLINK("http://www.linkedin.com/in/jeppedorff","http://www.linkedin.com/in/jeppedorff")</f>
        <v>http://www.linkedin.com/in/jeppedorff</v>
      </c>
      <c r="I3425" s="2" t="s">
        <v>279</v>
      </c>
      <c r="J3425" s="2" t="s">
        <v>44</v>
      </c>
      <c r="K3425" s="2" t="s">
        <v>5727</v>
      </c>
    </row>
    <row r="3426" ht="15.75" customHeight="1">
      <c r="A3426" s="2">
        <v>25108.0</v>
      </c>
      <c r="B3426" s="2" t="s">
        <v>6531</v>
      </c>
      <c r="C3426" s="2" t="s">
        <v>7510</v>
      </c>
      <c r="D3426" s="2" t="s">
        <v>7511</v>
      </c>
      <c r="E3426" s="2" t="s">
        <v>20</v>
      </c>
      <c r="F3426" s="2">
        <v>9.0</v>
      </c>
      <c r="G3426" s="2">
        <v>401.0</v>
      </c>
      <c r="H3426" s="3" t="str">
        <f>HYPERLINK("http://ar.linkedin.com/in/gerardonaidichpmp","http://ar.linkedin.com/in/gerardonaidichpmp")</f>
        <v>http://ar.linkedin.com/in/gerardonaidichpmp</v>
      </c>
      <c r="I3426" s="2" t="s">
        <v>105</v>
      </c>
      <c r="J3426" s="2" t="s">
        <v>21</v>
      </c>
      <c r="K3426" s="2" t="s">
        <v>5743</v>
      </c>
    </row>
    <row r="3427" ht="15.75" customHeight="1">
      <c r="A3427" s="2">
        <v>25121.0</v>
      </c>
      <c r="B3427" s="2" t="s">
        <v>7512</v>
      </c>
      <c r="C3427" s="2" t="s">
        <v>7513</v>
      </c>
      <c r="D3427" s="2" t="s">
        <v>289</v>
      </c>
      <c r="E3427" s="2" t="s">
        <v>20</v>
      </c>
      <c r="F3427" s="2">
        <v>8.0</v>
      </c>
      <c r="G3427" s="2">
        <v>326.0</v>
      </c>
      <c r="H3427" s="3" t="str">
        <f>HYPERLINK("http://ar.linkedin.com/pub/guillermo-eduardo-meresman/21/B19/739","http://ar.linkedin.com/pub/guillermo-eduardo-meresman/21/B19/739")</f>
        <v>http://ar.linkedin.com/pub/guillermo-eduardo-meresman/21/B19/739</v>
      </c>
      <c r="I3427" s="2" t="s">
        <v>681</v>
      </c>
      <c r="J3427" s="2" t="s">
        <v>21</v>
      </c>
      <c r="K3427" s="2" t="s">
        <v>5727</v>
      </c>
    </row>
    <row r="3428" ht="15.75" customHeight="1">
      <c r="A3428" s="2">
        <v>25138.0</v>
      </c>
      <c r="B3428" s="2" t="s">
        <v>6417</v>
      </c>
      <c r="C3428" s="2" t="s">
        <v>7514</v>
      </c>
      <c r="D3428" s="2" t="s">
        <v>7515</v>
      </c>
      <c r="E3428" s="2" t="s">
        <v>20</v>
      </c>
      <c r="F3428" s="2" t="s">
        <v>13</v>
      </c>
      <c r="G3428" s="2">
        <v>182.0</v>
      </c>
      <c r="H3428" s="3" t="str">
        <f>HYPERLINK("http://ar.linkedin.com/in/gonzaloserangelo","http://ar.linkedin.com/in/gonzaloserangelo")</f>
        <v>http://ar.linkedin.com/in/gonzaloserangelo</v>
      </c>
      <c r="I3428" s="2" t="s">
        <v>57</v>
      </c>
      <c r="J3428" s="2" t="s">
        <v>21</v>
      </c>
      <c r="K3428" s="2" t="s">
        <v>5725</v>
      </c>
    </row>
    <row r="3429" ht="15.75" customHeight="1">
      <c r="A3429" s="2">
        <v>25141.0</v>
      </c>
      <c r="B3429" s="2" t="s">
        <v>677</v>
      </c>
      <c r="C3429" s="2" t="s">
        <v>7516</v>
      </c>
      <c r="D3429" s="2" t="s">
        <v>3791</v>
      </c>
      <c r="E3429" s="2" t="s">
        <v>20</v>
      </c>
      <c r="F3429" s="2" t="s">
        <v>13</v>
      </c>
      <c r="G3429" s="2">
        <v>284.0</v>
      </c>
      <c r="H3429" s="3" t="str">
        <f>HYPERLINK("http://ar.linkedin.com/pub/daniel-miyagi/29/80A/9A8","http://ar.linkedin.com/pub/daniel-miyagi/29/80A/9A8")</f>
        <v>http://ar.linkedin.com/pub/daniel-miyagi/29/80A/9A8</v>
      </c>
      <c r="I3429" s="2" t="s">
        <v>57</v>
      </c>
      <c r="J3429" s="2" t="s">
        <v>21</v>
      </c>
      <c r="K3429" s="2" t="s">
        <v>5725</v>
      </c>
    </row>
    <row r="3430" ht="15.75" customHeight="1">
      <c r="A3430" s="2">
        <v>25156.0</v>
      </c>
      <c r="B3430" s="2" t="s">
        <v>193</v>
      </c>
      <c r="C3430" s="2" t="s">
        <v>7517</v>
      </c>
      <c r="D3430" s="2" t="s">
        <v>7518</v>
      </c>
      <c r="E3430" s="2" t="s">
        <v>20</v>
      </c>
      <c r="F3430" s="2">
        <v>0.0</v>
      </c>
      <c r="G3430" s="2">
        <v>500.0</v>
      </c>
      <c r="H3430" s="3" t="str">
        <f>HYPERLINK("http://www.linkedin.com/pub/guillermo-preda/1/a7b/b75","http://www.linkedin.com/pub/guillermo-preda/1/a7b/b75")</f>
        <v>http://www.linkedin.com/pub/guillermo-preda/1/a7b/b75</v>
      </c>
      <c r="I3430" s="2" t="s">
        <v>77</v>
      </c>
      <c r="J3430" s="2" t="s">
        <v>21</v>
      </c>
      <c r="K3430" s="2" t="s">
        <v>5785</v>
      </c>
    </row>
    <row r="3431" ht="15.75" customHeight="1">
      <c r="A3431" s="2">
        <v>25161.0</v>
      </c>
      <c r="B3431" s="2" t="s">
        <v>677</v>
      </c>
      <c r="C3431" s="2" t="s">
        <v>7519</v>
      </c>
      <c r="D3431" s="2" t="s">
        <v>289</v>
      </c>
      <c r="E3431" s="2" t="s">
        <v>20</v>
      </c>
      <c r="F3431" s="2" t="s">
        <v>13</v>
      </c>
      <c r="G3431" s="2">
        <v>439.0</v>
      </c>
      <c r="H3431" s="3" t="str">
        <f>HYPERLINK("http://ar.linkedin.com/pub/daniel-papatino/A/992/25","http://ar.linkedin.com/pub/daniel-papatino/A/992/25")</f>
        <v>http://ar.linkedin.com/pub/daniel-papatino/A/992/25</v>
      </c>
      <c r="I3431" s="2" t="s">
        <v>458</v>
      </c>
      <c r="J3431" s="2" t="s">
        <v>21</v>
      </c>
      <c r="K3431" s="2" t="s">
        <v>6178</v>
      </c>
    </row>
    <row r="3432" ht="15.75" customHeight="1">
      <c r="A3432" s="2">
        <v>25163.0</v>
      </c>
      <c r="B3432" s="2" t="s">
        <v>845</v>
      </c>
      <c r="C3432" s="2" t="s">
        <v>7520</v>
      </c>
      <c r="D3432" s="2" t="s">
        <v>7521</v>
      </c>
      <c r="E3432" s="2" t="s">
        <v>20</v>
      </c>
      <c r="F3432" s="2">
        <v>21.0</v>
      </c>
      <c r="G3432" s="2">
        <v>500.0</v>
      </c>
      <c r="H3432" s="3" t="str">
        <f>HYPERLINK("http://ar.linkedin.com/in/davidarielmermelstein","http://ar.linkedin.com/in/davidarielmermelstein")</f>
        <v>http://ar.linkedin.com/in/davidarielmermelstein</v>
      </c>
      <c r="I3432" s="2" t="s">
        <v>57</v>
      </c>
      <c r="J3432" s="2" t="s">
        <v>21</v>
      </c>
      <c r="K3432" s="2" t="s">
        <v>5727</v>
      </c>
    </row>
    <row r="3433" ht="15.75" customHeight="1">
      <c r="A3433" s="2">
        <v>25178.0</v>
      </c>
      <c r="B3433" s="2" t="s">
        <v>7522</v>
      </c>
      <c r="C3433" s="2" t="s">
        <v>7523</v>
      </c>
      <c r="D3433" s="2" t="s">
        <v>7524</v>
      </c>
      <c r="E3433" s="2" t="s">
        <v>20</v>
      </c>
      <c r="F3433" s="2">
        <v>8.0</v>
      </c>
      <c r="G3433" s="2">
        <v>331.0</v>
      </c>
      <c r="H3433" s="3" t="str">
        <f>HYPERLINK("http://ar.linkedin.com/in/parianis","http://ar.linkedin.com/in/parianis")</f>
        <v>http://ar.linkedin.com/in/parianis</v>
      </c>
      <c r="I3433" s="2" t="s">
        <v>172</v>
      </c>
      <c r="J3433" s="2" t="s">
        <v>21</v>
      </c>
      <c r="K3433" s="2" t="s">
        <v>5727</v>
      </c>
    </row>
    <row r="3434" ht="15.75" customHeight="1">
      <c r="A3434" s="2">
        <v>25230.0</v>
      </c>
      <c r="B3434" s="2" t="s">
        <v>6173</v>
      </c>
      <c r="C3434" s="2" t="s">
        <v>7525</v>
      </c>
      <c r="D3434" s="2" t="s">
        <v>7526</v>
      </c>
      <c r="E3434" s="2" t="s">
        <v>20</v>
      </c>
      <c r="F3434" s="2" t="s">
        <v>13</v>
      </c>
      <c r="G3434" s="2">
        <v>161.0</v>
      </c>
      <c r="H3434" s="3" t="str">
        <f>HYPERLINK("http://ar.linkedin.com/pub/lucia-prado/2A/643/837","http://ar.linkedin.com/pub/lucia-prado/2A/643/837")</f>
        <v>http://ar.linkedin.com/pub/lucia-prado/2A/643/837</v>
      </c>
      <c r="I3434" s="2" t="s">
        <v>105</v>
      </c>
      <c r="J3434" s="2" t="s">
        <v>21</v>
      </c>
      <c r="K3434" s="2" t="s">
        <v>5725</v>
      </c>
    </row>
    <row r="3435" ht="15.75" customHeight="1">
      <c r="A3435" s="2">
        <v>25233.0</v>
      </c>
      <c r="B3435" s="2" t="s">
        <v>3692</v>
      </c>
      <c r="C3435" s="2" t="s">
        <v>7527</v>
      </c>
      <c r="D3435" s="2" t="s">
        <v>5066</v>
      </c>
      <c r="E3435" s="2" t="s">
        <v>20</v>
      </c>
      <c r="F3435" s="2" t="s">
        <v>13</v>
      </c>
      <c r="G3435" s="2">
        <v>472.0</v>
      </c>
      <c r="H3435" s="3" t="str">
        <f>HYPERLINK("http://ar.linkedin.com/in/fedecabrera","http://ar.linkedin.com/in/fedecabrera")</f>
        <v>http://ar.linkedin.com/in/fedecabrera</v>
      </c>
      <c r="I3435" s="2" t="s">
        <v>57</v>
      </c>
      <c r="J3435" s="2" t="s">
        <v>21</v>
      </c>
      <c r="K3435" s="2" t="s">
        <v>5785</v>
      </c>
    </row>
    <row r="3436" ht="15.75" customHeight="1">
      <c r="A3436" s="2">
        <v>25239.0</v>
      </c>
      <c r="B3436" s="2" t="s">
        <v>523</v>
      </c>
      <c r="C3436" s="2" t="s">
        <v>7528</v>
      </c>
      <c r="D3436" s="2" t="s">
        <v>289</v>
      </c>
      <c r="E3436" s="2" t="s">
        <v>701</v>
      </c>
      <c r="F3436" s="2" t="s">
        <v>13</v>
      </c>
      <c r="G3436" s="2">
        <v>289.0</v>
      </c>
      <c r="H3436" s="3" t="str">
        <f>HYPERLINK("http://ar.linkedin.com/pub/ignacio-di-bartolo/B/A12/11A","http://ar.linkedin.com/pub/ignacio-di-bartolo/B/A12/11A")</f>
        <v>http://ar.linkedin.com/pub/ignacio-di-bartolo/B/A12/11A</v>
      </c>
      <c r="I3436" s="2" t="s">
        <v>57</v>
      </c>
      <c r="J3436" s="2" t="s">
        <v>702</v>
      </c>
      <c r="K3436" s="2" t="s">
        <v>5734</v>
      </c>
    </row>
    <row r="3437" ht="15.75" customHeight="1">
      <c r="A3437" s="2">
        <v>25242.0</v>
      </c>
      <c r="B3437" s="2" t="s">
        <v>5723</v>
      </c>
      <c r="C3437" s="2" t="s">
        <v>7529</v>
      </c>
      <c r="D3437" s="2" t="s">
        <v>835</v>
      </c>
      <c r="E3437" s="2" t="s">
        <v>20</v>
      </c>
      <c r="F3437" s="2" t="s">
        <v>13</v>
      </c>
      <c r="G3437" s="2">
        <v>500.0</v>
      </c>
      <c r="H3437" s="3" t="str">
        <f>HYPERLINK("http://ar.linkedin.com/pub/pablo-esses/0/928/231","http://ar.linkedin.com/pub/pablo-esses/0/928/231")</f>
        <v>http://ar.linkedin.com/pub/pablo-esses/0/928/231</v>
      </c>
      <c r="I3437" s="2" t="s">
        <v>57</v>
      </c>
      <c r="J3437" s="2" t="s">
        <v>21</v>
      </c>
      <c r="K3437" s="2" t="s">
        <v>5725</v>
      </c>
    </row>
    <row r="3438" ht="15.75" customHeight="1">
      <c r="A3438" s="2">
        <v>25266.0</v>
      </c>
      <c r="B3438" s="2" t="s">
        <v>358</v>
      </c>
      <c r="C3438" s="2" t="s">
        <v>7527</v>
      </c>
      <c r="D3438" s="2" t="s">
        <v>7530</v>
      </c>
      <c r="E3438" s="2" t="s">
        <v>20</v>
      </c>
      <c r="F3438" s="2">
        <v>5.0</v>
      </c>
      <c r="G3438" s="2">
        <v>270.0</v>
      </c>
      <c r="H3438" s="3" t="str">
        <f>HYPERLINK("http://ar.linkedin.com/in/marcecabrera","http://ar.linkedin.com/in/marcecabrera")</f>
        <v>http://ar.linkedin.com/in/marcecabrera</v>
      </c>
      <c r="I3438" s="2" t="s">
        <v>77</v>
      </c>
      <c r="J3438" s="2" t="s">
        <v>21</v>
      </c>
      <c r="K3438" s="2" t="s">
        <v>5731</v>
      </c>
    </row>
    <row r="3439" ht="15.75" customHeight="1">
      <c r="A3439" s="2">
        <v>25274.0</v>
      </c>
      <c r="B3439" s="2" t="s">
        <v>5723</v>
      </c>
      <c r="C3439" s="2" t="s">
        <v>2848</v>
      </c>
      <c r="D3439" s="2" t="s">
        <v>7531</v>
      </c>
      <c r="E3439" s="2" t="s">
        <v>20</v>
      </c>
      <c r="F3439" s="2">
        <v>1.0</v>
      </c>
      <c r="G3439" s="2">
        <v>183.0</v>
      </c>
      <c r="H3439" s="3" t="str">
        <f>HYPERLINK("http://ar.linkedin.com/pub/pablo-lima/9/326/986","http://ar.linkedin.com/pub/pablo-lima/9/326/986")</f>
        <v>http://ar.linkedin.com/pub/pablo-lima/9/326/986</v>
      </c>
      <c r="I3439" s="2" t="s">
        <v>195</v>
      </c>
      <c r="J3439" s="2" t="s">
        <v>21</v>
      </c>
      <c r="K3439" s="2" t="s">
        <v>5865</v>
      </c>
    </row>
    <row r="3440" ht="15.75" customHeight="1">
      <c r="A3440" s="2">
        <v>25286.0</v>
      </c>
      <c r="B3440" s="2" t="s">
        <v>7532</v>
      </c>
      <c r="C3440" s="2" t="s">
        <v>7533</v>
      </c>
      <c r="D3440" s="2" t="s">
        <v>13</v>
      </c>
      <c r="E3440" s="2" t="s">
        <v>20</v>
      </c>
      <c r="F3440" s="2">
        <v>0.0</v>
      </c>
      <c r="G3440" s="2">
        <v>288.0</v>
      </c>
      <c r="H3440" s="3" t="str">
        <f>HYPERLINK("http://www.linkedin.com/pub/gustavo-hernan-arzamendia/18/337/586","http://www.linkedin.com/pub/gustavo-hernan-arzamendia/18/337/586")</f>
        <v>http://www.linkedin.com/pub/gustavo-hernan-arzamendia/18/337/586</v>
      </c>
      <c r="I3440" s="2" t="s">
        <v>15</v>
      </c>
      <c r="J3440" s="2" t="s">
        <v>21</v>
      </c>
      <c r="K3440" s="2" t="s">
        <v>5865</v>
      </c>
    </row>
    <row r="3441" ht="15.75" customHeight="1">
      <c r="A3441" s="2">
        <v>25289.0</v>
      </c>
      <c r="B3441" s="2" t="s">
        <v>637</v>
      </c>
      <c r="C3441" s="2" t="s">
        <v>7534</v>
      </c>
      <c r="D3441" s="2" t="s">
        <v>7535</v>
      </c>
      <c r="E3441" s="2" t="s">
        <v>20</v>
      </c>
      <c r="F3441" s="2">
        <v>2.0</v>
      </c>
      <c r="G3441" s="2">
        <v>202.0</v>
      </c>
      <c r="H3441" s="3" t="str">
        <f>HYPERLINK("http://ar.linkedin.com/pub/leonardo-la-porta/17/775/7A5","http://ar.linkedin.com/pub/leonardo-la-porta/17/775/7A5")</f>
        <v>http://ar.linkedin.com/pub/leonardo-la-porta/17/775/7A5</v>
      </c>
      <c r="I3441" s="2" t="s">
        <v>599</v>
      </c>
      <c r="J3441" s="2" t="s">
        <v>21</v>
      </c>
      <c r="K3441" s="2" t="s">
        <v>7536</v>
      </c>
    </row>
    <row r="3442" ht="15.75" customHeight="1">
      <c r="A3442" s="2">
        <v>25291.0</v>
      </c>
      <c r="B3442" s="2" t="s">
        <v>5871</v>
      </c>
      <c r="C3442" s="2" t="s">
        <v>7537</v>
      </c>
      <c r="D3442" s="2" t="s">
        <v>13</v>
      </c>
      <c r="E3442" s="2" t="s">
        <v>20</v>
      </c>
      <c r="F3442" s="2">
        <v>2.0</v>
      </c>
      <c r="G3442" s="2">
        <v>500.0</v>
      </c>
      <c r="H3442" s="3" t="str">
        <f>HYPERLINK("http://www.linkedin.com/pub/sabrina-labandeira/29/770/384","http://www.linkedin.com/pub/sabrina-labandeira/29/770/384")</f>
        <v>http://www.linkedin.com/pub/sabrina-labandeira/29/770/384</v>
      </c>
      <c r="I3442" s="2" t="s">
        <v>77</v>
      </c>
      <c r="J3442" s="2" t="s">
        <v>21</v>
      </c>
      <c r="K3442" s="2" t="s">
        <v>5731</v>
      </c>
    </row>
    <row r="3443" ht="15.75" customHeight="1">
      <c r="A3443" s="2">
        <v>25331.0</v>
      </c>
      <c r="B3443" s="2" t="s">
        <v>637</v>
      </c>
      <c r="C3443" s="2" t="s">
        <v>5555</v>
      </c>
      <c r="D3443" s="2" t="s">
        <v>7538</v>
      </c>
      <c r="E3443" s="2" t="s">
        <v>20</v>
      </c>
      <c r="F3443" s="2">
        <v>10.0</v>
      </c>
      <c r="G3443" s="2">
        <v>233.0</v>
      </c>
      <c r="H3443" s="3" t="str">
        <f>HYPERLINK("http://ar.linkedin.com/in/leonardoantoniocosta","http://ar.linkedin.com/in/leonardoantoniocosta")</f>
        <v>http://ar.linkedin.com/in/leonardoantoniocosta</v>
      </c>
      <c r="I3443" s="2" t="s">
        <v>1728</v>
      </c>
      <c r="J3443" s="2" t="s">
        <v>21</v>
      </c>
      <c r="K3443" s="2" t="s">
        <v>5727</v>
      </c>
    </row>
    <row r="3444" ht="15.75" customHeight="1">
      <c r="A3444" s="2">
        <v>25339.0</v>
      </c>
      <c r="B3444" s="2" t="s">
        <v>6417</v>
      </c>
      <c r="C3444" s="2" t="s">
        <v>7539</v>
      </c>
      <c r="D3444" s="2" t="s">
        <v>7540</v>
      </c>
      <c r="E3444" s="2" t="s">
        <v>20</v>
      </c>
      <c r="F3444" s="2" t="s">
        <v>13</v>
      </c>
      <c r="G3444" s="2">
        <v>75.0</v>
      </c>
      <c r="H3444" s="3" t="str">
        <f>HYPERLINK("http://ar.linkedin.com/pub/gonzalo-p-rez/A/775/478","http://ar.linkedin.com/pub/gonzalo-p-rez/A/775/478")</f>
        <v>http://ar.linkedin.com/pub/gonzalo-p-rez/A/775/478</v>
      </c>
      <c r="I3444" s="2" t="s">
        <v>77</v>
      </c>
      <c r="J3444" s="2" t="s">
        <v>21</v>
      </c>
      <c r="K3444" s="2" t="s">
        <v>5848</v>
      </c>
    </row>
    <row r="3445" ht="15.75" customHeight="1">
      <c r="A3445" s="2">
        <v>25350.0</v>
      </c>
      <c r="B3445" s="2" t="s">
        <v>7541</v>
      </c>
      <c r="C3445" s="2" t="s">
        <v>3259</v>
      </c>
      <c r="D3445" s="2" t="s">
        <v>7542</v>
      </c>
      <c r="E3445" s="2" t="s">
        <v>20</v>
      </c>
      <c r="F3445" s="2">
        <v>2.0</v>
      </c>
      <c r="G3445" s="2">
        <v>142.0</v>
      </c>
      <c r="H3445" s="3" t="str">
        <f>HYPERLINK("http://ar.linkedin.com/pub/c-sar-esteban-rossi/A/574/854","http://ar.linkedin.com/pub/c-sar-esteban-rossi/A/574/854")</f>
        <v>http://ar.linkedin.com/pub/c-sar-esteban-rossi/A/574/854</v>
      </c>
      <c r="I3445" s="2" t="s">
        <v>77</v>
      </c>
      <c r="J3445" s="2" t="s">
        <v>21</v>
      </c>
      <c r="K3445" s="2" t="s">
        <v>5731</v>
      </c>
    </row>
    <row r="3446" ht="15.75" customHeight="1">
      <c r="A3446" s="2">
        <v>25354.0</v>
      </c>
      <c r="B3446" s="2" t="s">
        <v>45</v>
      </c>
      <c r="C3446" s="2" t="s">
        <v>7543</v>
      </c>
      <c r="D3446" s="2" t="s">
        <v>13</v>
      </c>
      <c r="E3446" s="2" t="s">
        <v>20</v>
      </c>
      <c r="F3446" s="2">
        <v>0.0</v>
      </c>
      <c r="G3446" s="2">
        <v>309.0</v>
      </c>
      <c r="H3446" s="3" t="str">
        <f>HYPERLINK("http://www.linkedin.com/pub/carlos-cagnani/6/b94/571","http://www.linkedin.com/pub/carlos-cagnani/6/b94/571")</f>
        <v>http://www.linkedin.com/pub/carlos-cagnani/6/b94/571</v>
      </c>
      <c r="I3446" s="2" t="s">
        <v>77</v>
      </c>
      <c r="J3446" s="2" t="s">
        <v>21</v>
      </c>
      <c r="K3446" s="2" t="s">
        <v>5848</v>
      </c>
    </row>
    <row r="3447" ht="15.75" customHeight="1">
      <c r="A3447" s="2">
        <v>25356.0</v>
      </c>
      <c r="B3447" s="2" t="s">
        <v>7544</v>
      </c>
      <c r="C3447" s="2" t="s">
        <v>7545</v>
      </c>
      <c r="D3447" s="2" t="s">
        <v>13</v>
      </c>
      <c r="E3447" s="2" t="s">
        <v>20</v>
      </c>
      <c r="F3447" s="2">
        <v>1.0</v>
      </c>
      <c r="G3447" s="2">
        <v>433.0</v>
      </c>
      <c r="H3447" s="3" t="str">
        <f>HYPERLINK("http://www.linkedin.com/pub/fernando-gustavo-iglesias/30/532/50b","http://www.linkedin.com/pub/fernando-gustavo-iglesias/30/532/50b")</f>
        <v>http://www.linkedin.com/pub/fernando-gustavo-iglesias/30/532/50b</v>
      </c>
      <c r="I3447" s="2" t="s">
        <v>77</v>
      </c>
      <c r="J3447" s="2" t="s">
        <v>21</v>
      </c>
      <c r="K3447" s="2" t="s">
        <v>5848</v>
      </c>
    </row>
    <row r="3448" ht="15.75" customHeight="1">
      <c r="A3448" s="2">
        <v>25359.0</v>
      </c>
      <c r="B3448" s="2" t="s">
        <v>7546</v>
      </c>
      <c r="C3448" s="2" t="s">
        <v>7547</v>
      </c>
      <c r="D3448" s="2" t="s">
        <v>7548</v>
      </c>
      <c r="E3448" s="2" t="s">
        <v>20</v>
      </c>
      <c r="F3448" s="2">
        <v>2.0</v>
      </c>
      <c r="G3448" s="2">
        <v>281.0</v>
      </c>
      <c r="H3448" s="3" t="str">
        <f>HYPERLINK("http://ar.linkedin.com/in/maximoreffino","http://ar.linkedin.com/in/maximoreffino")</f>
        <v>http://ar.linkedin.com/in/maximoreffino</v>
      </c>
      <c r="I3448" s="2" t="s">
        <v>231</v>
      </c>
      <c r="J3448" s="2" t="s">
        <v>21</v>
      </c>
      <c r="K3448" s="2" t="s">
        <v>5727</v>
      </c>
    </row>
    <row r="3449" ht="15.75" customHeight="1">
      <c r="A3449" s="2">
        <v>25366.0</v>
      </c>
      <c r="B3449" s="2" t="s">
        <v>358</v>
      </c>
      <c r="C3449" s="2" t="s">
        <v>7549</v>
      </c>
      <c r="D3449" s="2" t="s">
        <v>6129</v>
      </c>
      <c r="E3449" s="2" t="s">
        <v>20</v>
      </c>
      <c r="F3449" s="2">
        <v>11.0</v>
      </c>
      <c r="G3449" s="2">
        <v>500.0</v>
      </c>
      <c r="H3449" s="3" t="str">
        <f>HYPERLINK("http://ar.linkedin.com/in/mmammarelli","http://ar.linkedin.com/in/mmammarelli")</f>
        <v>http://ar.linkedin.com/in/mmammarelli</v>
      </c>
      <c r="I3449" s="2" t="s">
        <v>57</v>
      </c>
      <c r="J3449" s="2" t="s">
        <v>21</v>
      </c>
      <c r="K3449" s="2" t="s">
        <v>5727</v>
      </c>
    </row>
    <row r="3450" ht="15.75" customHeight="1">
      <c r="A3450" s="2">
        <v>25367.0</v>
      </c>
      <c r="B3450" s="2" t="s">
        <v>845</v>
      </c>
      <c r="C3450" s="2" t="s">
        <v>7550</v>
      </c>
      <c r="D3450" s="2" t="s">
        <v>7551</v>
      </c>
      <c r="E3450" s="2" t="s">
        <v>20</v>
      </c>
      <c r="F3450" s="2">
        <v>3.0</v>
      </c>
      <c r="G3450" s="2">
        <v>500.0</v>
      </c>
      <c r="H3450" s="3" t="str">
        <f>HYPERLINK("http://www.linkedin.com/in/davidpeces","http://www.linkedin.com/in/davidpeces")</f>
        <v>http://www.linkedin.com/in/davidpeces</v>
      </c>
      <c r="I3450" s="2" t="s">
        <v>77</v>
      </c>
      <c r="J3450" s="2" t="s">
        <v>21</v>
      </c>
      <c r="K3450" s="2" t="s">
        <v>5731</v>
      </c>
    </row>
    <row r="3451" ht="15.75" customHeight="1">
      <c r="A3451" s="2">
        <v>25368.0</v>
      </c>
      <c r="B3451" s="2" t="s">
        <v>70</v>
      </c>
      <c r="C3451" s="2" t="s">
        <v>3028</v>
      </c>
      <c r="D3451" s="2" t="s">
        <v>4094</v>
      </c>
      <c r="E3451" s="2" t="s">
        <v>20</v>
      </c>
      <c r="F3451" s="2" t="s">
        <v>13</v>
      </c>
      <c r="G3451" s="2">
        <v>108.0</v>
      </c>
      <c r="H3451" s="3" t="str">
        <f>HYPERLINK("http://ar.linkedin.com/pub/gustavo-wallace/2/248/7B2","http://ar.linkedin.com/pub/gustavo-wallace/2/248/7B2")</f>
        <v>http://ar.linkedin.com/pub/gustavo-wallace/2/248/7B2</v>
      </c>
      <c r="I3451" s="2" t="s">
        <v>77</v>
      </c>
      <c r="J3451" s="2" t="s">
        <v>21</v>
      </c>
      <c r="K3451" s="2" t="s">
        <v>5785</v>
      </c>
    </row>
    <row r="3452" ht="15.75" customHeight="1">
      <c r="A3452" s="2">
        <v>25390.0</v>
      </c>
      <c r="B3452" s="2" t="s">
        <v>3692</v>
      </c>
      <c r="C3452" s="2" t="s">
        <v>7552</v>
      </c>
      <c r="D3452" s="2" t="s">
        <v>5749</v>
      </c>
      <c r="E3452" s="2" t="s">
        <v>20</v>
      </c>
      <c r="F3452" s="2">
        <v>1.0</v>
      </c>
      <c r="G3452" s="2">
        <v>206.0</v>
      </c>
      <c r="H3452" s="3" t="str">
        <f>HYPERLINK("http://ar.linkedin.com/pub/federico-caminos/0/406/7A5","http://ar.linkedin.com/pub/federico-caminos/0/406/7A5")</f>
        <v>http://ar.linkedin.com/pub/federico-caminos/0/406/7A5</v>
      </c>
      <c r="I3452" s="2" t="s">
        <v>279</v>
      </c>
      <c r="J3452" s="2" t="s">
        <v>21</v>
      </c>
      <c r="K3452" s="2" t="s">
        <v>5734</v>
      </c>
    </row>
    <row r="3453" ht="15.75" customHeight="1">
      <c r="A3453" s="2">
        <v>25407.0</v>
      </c>
      <c r="B3453" s="2" t="s">
        <v>6018</v>
      </c>
      <c r="C3453" s="2" t="s">
        <v>7553</v>
      </c>
      <c r="D3453" s="2" t="s">
        <v>7554</v>
      </c>
      <c r="E3453" s="2" t="s">
        <v>20</v>
      </c>
      <c r="F3453" s="2">
        <v>1.0</v>
      </c>
      <c r="G3453" s="2">
        <v>151.0</v>
      </c>
      <c r="H3453" s="3" t="str">
        <f>HYPERLINK("http://ar.linkedin.com/pub/lucio-elvira/25/974/611","http://ar.linkedin.com/pub/lucio-elvira/25/974/611")</f>
        <v>http://ar.linkedin.com/pub/lucio-elvira/25/974/611</v>
      </c>
      <c r="I3453" s="2" t="s">
        <v>57</v>
      </c>
      <c r="J3453" s="2" t="s">
        <v>21</v>
      </c>
      <c r="K3453" s="2" t="s">
        <v>5725</v>
      </c>
    </row>
    <row r="3454" ht="15.75" customHeight="1">
      <c r="A3454" s="2">
        <v>25412.0</v>
      </c>
      <c r="B3454" s="2" t="s">
        <v>201</v>
      </c>
      <c r="C3454" s="2" t="s">
        <v>7555</v>
      </c>
      <c r="D3454" s="2" t="s">
        <v>7556</v>
      </c>
      <c r="E3454" s="2" t="s">
        <v>20</v>
      </c>
      <c r="F3454" s="2">
        <v>2.0</v>
      </c>
      <c r="G3454" s="2">
        <v>500.0</v>
      </c>
      <c r="H3454" s="3" t="str">
        <f>HYPERLINK("http://ar.linkedin.com/pub/natalia-rinc%C3%B3n/A/AA8/BB6","http://ar.linkedin.com/pub/natalia-rinc%C3%B3n/A/AA8/BB6")</f>
        <v>http://ar.linkedin.com/pub/natalia-rinc%C3%B3n/A/AA8/BB6</v>
      </c>
      <c r="I3454" s="2" t="s">
        <v>1507</v>
      </c>
      <c r="J3454" s="2" t="s">
        <v>21</v>
      </c>
      <c r="K3454" s="2" t="s">
        <v>7557</v>
      </c>
    </row>
    <row r="3455" ht="15.75" customHeight="1">
      <c r="A3455" s="2">
        <v>25427.0</v>
      </c>
      <c r="B3455" s="2" t="s">
        <v>5883</v>
      </c>
      <c r="C3455" s="2" t="s">
        <v>7558</v>
      </c>
      <c r="D3455" s="2" t="s">
        <v>7559</v>
      </c>
      <c r="E3455" s="2" t="s">
        <v>20</v>
      </c>
      <c r="F3455" s="2">
        <v>31.0</v>
      </c>
      <c r="G3455" s="2">
        <v>500.0</v>
      </c>
      <c r="H3455" s="3" t="str">
        <f>HYPERLINK("http://ar.linkedin.com/in/arielurcola","http://ar.linkedin.com/in/arielurcola")</f>
        <v>http://ar.linkedin.com/in/arielurcola</v>
      </c>
      <c r="I3455" s="2" t="s">
        <v>248</v>
      </c>
      <c r="J3455" s="2" t="s">
        <v>21</v>
      </c>
      <c r="K3455" s="2" t="s">
        <v>6046</v>
      </c>
    </row>
    <row r="3456" ht="15.75" customHeight="1">
      <c r="A3456" s="2">
        <v>25451.0</v>
      </c>
      <c r="B3456" s="2" t="s">
        <v>5824</v>
      </c>
      <c r="C3456" s="2" t="s">
        <v>7560</v>
      </c>
      <c r="D3456" s="2" t="s">
        <v>7561</v>
      </c>
      <c r="E3456" s="2" t="s">
        <v>20</v>
      </c>
      <c r="F3456" s="2">
        <v>8.0</v>
      </c>
      <c r="G3456" s="2">
        <v>500.0</v>
      </c>
      <c r="H3456" s="3" t="str">
        <f>HYPERLINK("http://ar.linkedin.com/in/alejandraborgese","http://ar.linkedin.com/in/alejandraborgese")</f>
        <v>http://ar.linkedin.com/in/alejandraborgese</v>
      </c>
      <c r="I3456" s="2" t="s">
        <v>1390</v>
      </c>
      <c r="J3456" s="2" t="s">
        <v>21</v>
      </c>
      <c r="K3456" s="2" t="s">
        <v>5727</v>
      </c>
    </row>
    <row r="3457" ht="15.75" customHeight="1">
      <c r="A3457" s="2">
        <v>25452.0</v>
      </c>
      <c r="B3457" s="2" t="s">
        <v>3692</v>
      </c>
      <c r="C3457" s="2" t="s">
        <v>7562</v>
      </c>
      <c r="D3457" s="2" t="s">
        <v>7563</v>
      </c>
      <c r="E3457" s="2" t="s">
        <v>20</v>
      </c>
      <c r="F3457" s="2" t="s">
        <v>13</v>
      </c>
      <c r="G3457" s="2">
        <v>195.0</v>
      </c>
      <c r="H3457" s="3" t="str">
        <f>HYPERLINK("http://ar.linkedin.com/pub/federico-mackintosh/0/A53/54B","http://ar.linkedin.com/pub/federico-mackintosh/0/A53/54B")</f>
        <v>http://ar.linkedin.com/pub/federico-mackintosh/0/A53/54B</v>
      </c>
      <c r="I3457" s="2" t="s">
        <v>910</v>
      </c>
      <c r="J3457" s="2" t="s">
        <v>21</v>
      </c>
      <c r="K3457" s="2" t="s">
        <v>5734</v>
      </c>
    </row>
    <row r="3458" ht="15.75" customHeight="1">
      <c r="A3458" s="2">
        <v>25465.0</v>
      </c>
      <c r="B3458" s="2" t="s">
        <v>227</v>
      </c>
      <c r="C3458" s="2" t="s">
        <v>7564</v>
      </c>
      <c r="D3458" s="2" t="s">
        <v>7565</v>
      </c>
      <c r="E3458" s="2" t="s">
        <v>20</v>
      </c>
      <c r="F3458" s="2">
        <v>2.0</v>
      </c>
      <c r="G3458" s="2">
        <v>479.0</v>
      </c>
      <c r="H3458" s="3" t="str">
        <f>HYPERLINK("http://ar.linkedin.com/pub/jorge-lobos/13/85/729","http://ar.linkedin.com/pub/jorge-lobos/13/85/729")</f>
        <v>http://ar.linkedin.com/pub/jorge-lobos/13/85/729</v>
      </c>
      <c r="I3458" s="2" t="s">
        <v>2443</v>
      </c>
      <c r="J3458" s="2" t="s">
        <v>21</v>
      </c>
      <c r="K3458" s="2" t="s">
        <v>5727</v>
      </c>
    </row>
    <row r="3459" ht="15.75" customHeight="1">
      <c r="A3459" s="2">
        <v>25499.0</v>
      </c>
      <c r="B3459" s="2" t="s">
        <v>197</v>
      </c>
      <c r="C3459" s="2" t="s">
        <v>7211</v>
      </c>
      <c r="D3459" s="2" t="s">
        <v>7566</v>
      </c>
      <c r="E3459" s="2" t="s">
        <v>20</v>
      </c>
      <c r="F3459" s="2">
        <v>3.0</v>
      </c>
      <c r="G3459" s="2">
        <v>189.0</v>
      </c>
      <c r="H3459" s="3" t="str">
        <f>HYPERLINK("http://ar.linkedin.com/in/hectorzunino","http://ar.linkedin.com/in/hectorzunino")</f>
        <v>http://ar.linkedin.com/in/hectorzunino</v>
      </c>
      <c r="I3459" s="2" t="s">
        <v>4132</v>
      </c>
      <c r="J3459" s="2" t="s">
        <v>21</v>
      </c>
      <c r="K3459" s="2" t="s">
        <v>5727</v>
      </c>
    </row>
    <row r="3460" ht="15.75" customHeight="1">
      <c r="A3460" s="2">
        <v>25521.0</v>
      </c>
      <c r="B3460" s="2" t="s">
        <v>7567</v>
      </c>
      <c r="C3460" s="2" t="s">
        <v>658</v>
      </c>
      <c r="D3460" s="2" t="s">
        <v>7568</v>
      </c>
      <c r="E3460" s="2" t="s">
        <v>20</v>
      </c>
      <c r="F3460" s="2">
        <v>0.0</v>
      </c>
      <c r="G3460" s="2">
        <v>104.0</v>
      </c>
      <c r="H3460" s="3" t="str">
        <f>HYPERLINK("http://www.linkedin.com/in/ezelopez","http://www.linkedin.com/in/ezelopez")</f>
        <v>http://www.linkedin.com/in/ezelopez</v>
      </c>
      <c r="I3460" s="2" t="s">
        <v>48</v>
      </c>
      <c r="J3460" s="2" t="s">
        <v>21</v>
      </c>
      <c r="K3460" s="2" t="s">
        <v>5725</v>
      </c>
    </row>
    <row r="3461" ht="15.75" customHeight="1">
      <c r="A3461" s="2">
        <v>25545.0</v>
      </c>
      <c r="B3461" s="2" t="s">
        <v>5078</v>
      </c>
      <c r="C3461" s="2" t="s">
        <v>7569</v>
      </c>
      <c r="D3461" s="2" t="s">
        <v>13</v>
      </c>
      <c r="E3461" s="2" t="s">
        <v>20</v>
      </c>
      <c r="F3461" s="2">
        <v>0.0</v>
      </c>
      <c r="G3461" s="2">
        <v>500.0</v>
      </c>
      <c r="H3461" s="3" t="str">
        <f>HYPERLINK("http://www.linkedin.com/pub/diego-waingortin/0/453/273","http://www.linkedin.com/pub/diego-waingortin/0/453/273")</f>
        <v>http://www.linkedin.com/pub/diego-waingortin/0/453/273</v>
      </c>
      <c r="I3461" s="2" t="s">
        <v>77</v>
      </c>
      <c r="J3461" s="2" t="s">
        <v>21</v>
      </c>
      <c r="K3461" s="2" t="s">
        <v>5785</v>
      </c>
    </row>
    <row r="3462" ht="15.75" customHeight="1">
      <c r="A3462" s="2">
        <v>25549.0</v>
      </c>
      <c r="B3462" s="2" t="s">
        <v>70</v>
      </c>
      <c r="C3462" s="2" t="s">
        <v>7570</v>
      </c>
      <c r="D3462" s="2" t="s">
        <v>7571</v>
      </c>
      <c r="E3462" s="2" t="s">
        <v>20</v>
      </c>
      <c r="F3462" s="2">
        <v>7.0</v>
      </c>
      <c r="G3462" s="2">
        <v>500.0</v>
      </c>
      <c r="H3462" s="3" t="str">
        <f>HYPERLINK("http://www.linkedin.com/pub/gustavo-dawidiuk/5/675/179","http://www.linkedin.com/pub/gustavo-dawidiuk/5/675/179")</f>
        <v>http://www.linkedin.com/pub/gustavo-dawidiuk/5/675/179</v>
      </c>
      <c r="I3462" s="2" t="s">
        <v>15</v>
      </c>
      <c r="J3462" s="2" t="s">
        <v>21</v>
      </c>
      <c r="K3462" s="2" t="s">
        <v>5727</v>
      </c>
    </row>
    <row r="3463" ht="15.75" customHeight="1">
      <c r="A3463" s="2">
        <v>25569.0</v>
      </c>
      <c r="B3463" s="2" t="s">
        <v>7572</v>
      </c>
      <c r="C3463" s="2" t="s">
        <v>7573</v>
      </c>
      <c r="D3463" s="2" t="s">
        <v>7574</v>
      </c>
      <c r="E3463" s="2" t="s">
        <v>20</v>
      </c>
      <c r="F3463" s="2" t="s">
        <v>13</v>
      </c>
      <c r="G3463" s="2">
        <v>391.0</v>
      </c>
      <c r="H3463" s="3" t="str">
        <f>HYPERLINK("http://ar.linkedin.com/pub/claudio-juan-c-salazar/1B/733/B14","http://ar.linkedin.com/pub/claudio-juan-c-salazar/1B/733/B14")</f>
        <v>http://ar.linkedin.com/pub/claudio-juan-c-salazar/1B/733/B14</v>
      </c>
      <c r="I3463" s="2" t="s">
        <v>15</v>
      </c>
      <c r="J3463" s="2" t="s">
        <v>21</v>
      </c>
      <c r="K3463" s="2" t="s">
        <v>5725</v>
      </c>
    </row>
    <row r="3464" ht="15.75" customHeight="1">
      <c r="A3464" s="2">
        <v>25586.0</v>
      </c>
      <c r="B3464" s="2" t="s">
        <v>7575</v>
      </c>
      <c r="C3464" s="2" t="s">
        <v>7576</v>
      </c>
      <c r="D3464" s="2" t="s">
        <v>7577</v>
      </c>
      <c r="E3464" s="2" t="s">
        <v>20</v>
      </c>
      <c r="F3464" s="2">
        <v>6.0</v>
      </c>
      <c r="G3464" s="2">
        <v>471.0</v>
      </c>
      <c r="H3464" s="3" t="str">
        <f>HYPERLINK("http://ar.linkedin.com/in/luiseduardolanziani","http://ar.linkedin.com/in/luiseduardolanziani")</f>
        <v>http://ar.linkedin.com/in/luiseduardolanziani</v>
      </c>
      <c r="I3464" s="2" t="s">
        <v>3890</v>
      </c>
      <c r="J3464" s="2" t="s">
        <v>21</v>
      </c>
      <c r="K3464" s="2" t="s">
        <v>5727</v>
      </c>
    </row>
    <row r="3465" ht="15.75" customHeight="1">
      <c r="A3465" s="2">
        <v>25587.0</v>
      </c>
      <c r="B3465" s="2" t="s">
        <v>7578</v>
      </c>
      <c r="C3465" s="2" t="s">
        <v>7579</v>
      </c>
      <c r="D3465" s="2" t="s">
        <v>1780</v>
      </c>
      <c r="E3465" s="2" t="s">
        <v>20</v>
      </c>
      <c r="F3465" s="2">
        <v>13.0</v>
      </c>
      <c r="G3465" s="2">
        <v>380.0</v>
      </c>
      <c r="H3465" s="3" t="str">
        <f>HYPERLINK("http://ar.linkedin.com/pub/luz-illescas/7/145/581","http://ar.linkedin.com/pub/luz-illescas/7/145/581")</f>
        <v>http://ar.linkedin.com/pub/luz-illescas/7/145/581</v>
      </c>
      <c r="I3465" s="2" t="s">
        <v>105</v>
      </c>
      <c r="J3465" s="2" t="s">
        <v>21</v>
      </c>
      <c r="K3465" s="2" t="s">
        <v>5727</v>
      </c>
    </row>
    <row r="3466" ht="15.75" customHeight="1">
      <c r="A3466" s="2">
        <v>25592.0</v>
      </c>
      <c r="B3466" s="2" t="s">
        <v>5763</v>
      </c>
      <c r="C3466" s="2" t="s">
        <v>7580</v>
      </c>
      <c r="D3466" s="2" t="s">
        <v>1865</v>
      </c>
      <c r="E3466" s="2" t="s">
        <v>20</v>
      </c>
      <c r="F3466" s="2" t="s">
        <v>13</v>
      </c>
      <c r="G3466" s="2">
        <v>500.0</v>
      </c>
      <c r="H3466" s="3" t="str">
        <f>HYPERLINK("http://ar.linkedin.com/in/ezequielardigo","http://ar.linkedin.com/in/ezequielardigo")</f>
        <v>http://ar.linkedin.com/in/ezequielardigo</v>
      </c>
      <c r="I3466" s="2" t="s">
        <v>1740</v>
      </c>
      <c r="J3466" s="2" t="s">
        <v>21</v>
      </c>
      <c r="K3466" s="2" t="s">
        <v>5785</v>
      </c>
    </row>
    <row r="3467" ht="15.75" customHeight="1">
      <c r="A3467" s="2">
        <v>25596.0</v>
      </c>
      <c r="B3467" s="2" t="s">
        <v>7581</v>
      </c>
      <c r="C3467" s="2" t="s">
        <v>7582</v>
      </c>
      <c r="D3467" s="2" t="s">
        <v>7051</v>
      </c>
      <c r="E3467" s="2" t="s">
        <v>20</v>
      </c>
      <c r="F3467" s="2">
        <v>4.0</v>
      </c>
      <c r="G3467" s="2">
        <v>500.0</v>
      </c>
      <c r="H3467" s="3" t="str">
        <f>HYPERLINK("http://ar.linkedin.com/pub/teresita-berardi/8/3A4/B46","http://ar.linkedin.com/pub/teresita-berardi/8/3A4/B46")</f>
        <v>http://ar.linkedin.com/pub/teresita-berardi/8/3A4/B46</v>
      </c>
      <c r="I3467" s="2" t="s">
        <v>105</v>
      </c>
      <c r="J3467" s="2" t="s">
        <v>21</v>
      </c>
      <c r="K3467" s="2" t="s">
        <v>7583</v>
      </c>
    </row>
    <row r="3468" ht="15.75" customHeight="1">
      <c r="A3468" s="2">
        <v>25603.0</v>
      </c>
      <c r="B3468" s="2" t="s">
        <v>3072</v>
      </c>
      <c r="C3468" s="2" t="s">
        <v>7584</v>
      </c>
      <c r="D3468" s="2" t="s">
        <v>7585</v>
      </c>
      <c r="E3468" s="2" t="s">
        <v>20</v>
      </c>
      <c r="F3468" s="2">
        <v>8.0</v>
      </c>
      <c r="G3468" s="2">
        <v>500.0</v>
      </c>
      <c r="H3468" s="3" t="str">
        <f>HYPERLINK("http://ar.linkedin.com/in/lmandia","http://ar.linkedin.com/in/lmandia")</f>
        <v>http://ar.linkedin.com/in/lmandia</v>
      </c>
      <c r="I3468" s="2" t="s">
        <v>57</v>
      </c>
      <c r="J3468" s="2" t="s">
        <v>21</v>
      </c>
      <c r="K3468" s="2" t="s">
        <v>5727</v>
      </c>
    </row>
    <row r="3469" ht="15.75" customHeight="1">
      <c r="A3469" s="2">
        <v>25626.0</v>
      </c>
      <c r="B3469" s="2" t="s">
        <v>1977</v>
      </c>
      <c r="C3469" s="2" t="s">
        <v>7586</v>
      </c>
      <c r="D3469" s="2" t="s">
        <v>7587</v>
      </c>
      <c r="E3469" s="2" t="s">
        <v>20</v>
      </c>
      <c r="F3469" s="2">
        <v>7.0</v>
      </c>
      <c r="G3469" s="2">
        <v>301.0</v>
      </c>
      <c r="H3469" s="3" t="str">
        <f>HYPERLINK("http://ar.linkedin.com/in/joeldq","http://ar.linkedin.com/in/joeldq")</f>
        <v>http://ar.linkedin.com/in/joeldq</v>
      </c>
      <c r="I3469" s="2" t="s">
        <v>77</v>
      </c>
      <c r="J3469" s="2" t="s">
        <v>21</v>
      </c>
      <c r="K3469" s="2" t="s">
        <v>5731</v>
      </c>
    </row>
    <row r="3470" ht="15.75" customHeight="1">
      <c r="A3470" s="2">
        <v>25639.0</v>
      </c>
      <c r="B3470" s="2" t="s">
        <v>862</v>
      </c>
      <c r="C3470" s="2" t="s">
        <v>7588</v>
      </c>
      <c r="D3470" s="2" t="s">
        <v>7589</v>
      </c>
      <c r="E3470" s="2" t="s">
        <v>20</v>
      </c>
      <c r="F3470" s="2">
        <v>1.0</v>
      </c>
      <c r="G3470" s="2">
        <v>354.0</v>
      </c>
      <c r="H3470" s="3" t="str">
        <f>HYPERLINK("http://ar.linkedin.com/pub/gabriel-langdon/5/22A/901","http://ar.linkedin.com/pub/gabriel-langdon/5/22A/901")</f>
        <v>http://ar.linkedin.com/pub/gabriel-langdon/5/22A/901</v>
      </c>
      <c r="I3470" s="2" t="s">
        <v>15</v>
      </c>
      <c r="J3470" s="2" t="s">
        <v>21</v>
      </c>
      <c r="K3470" s="2" t="s">
        <v>6124</v>
      </c>
    </row>
    <row r="3471" ht="15.75" customHeight="1">
      <c r="A3471" s="2">
        <v>25655.0</v>
      </c>
      <c r="B3471" s="2" t="s">
        <v>5423</v>
      </c>
      <c r="C3471" s="2" t="s">
        <v>7590</v>
      </c>
      <c r="D3471" s="2" t="s">
        <v>7591</v>
      </c>
      <c r="E3471" s="2" t="s">
        <v>101</v>
      </c>
      <c r="F3471" s="2">
        <v>9.0</v>
      </c>
      <c r="G3471" s="2">
        <v>210.0</v>
      </c>
      <c r="H3471" s="3" t="str">
        <f>HYPERLINK("http://www.linkedin.com/in/warrenlavoie","http://www.linkedin.com/in/warrenlavoie")</f>
        <v>http://www.linkedin.com/in/warrenlavoie</v>
      </c>
      <c r="I3471" s="2" t="s">
        <v>1452</v>
      </c>
      <c r="J3471" s="2" t="s">
        <v>102</v>
      </c>
      <c r="K3471" s="2" t="s">
        <v>5823</v>
      </c>
    </row>
    <row r="3472" ht="15.75" customHeight="1">
      <c r="A3472" s="2">
        <v>25692.0</v>
      </c>
      <c r="B3472" s="2" t="s">
        <v>7592</v>
      </c>
      <c r="C3472" s="2" t="s">
        <v>7593</v>
      </c>
      <c r="D3472" s="2" t="s">
        <v>7594</v>
      </c>
      <c r="E3472" s="2" t="s">
        <v>20</v>
      </c>
      <c r="F3472" s="2" t="s">
        <v>13</v>
      </c>
      <c r="G3472" s="2">
        <v>238.0</v>
      </c>
      <c r="H3472" s="3" t="str">
        <f>HYPERLINK("http://ar.linkedin.com/in/maximodeambrosi","http://ar.linkedin.com/in/maximodeambrosi")</f>
        <v>http://ar.linkedin.com/in/maximodeambrosi</v>
      </c>
      <c r="I3472" s="2" t="s">
        <v>105</v>
      </c>
      <c r="J3472" s="2" t="s">
        <v>21</v>
      </c>
      <c r="K3472" s="2" t="s">
        <v>5725</v>
      </c>
    </row>
    <row r="3473" ht="15.75" customHeight="1">
      <c r="A3473" s="2">
        <v>25704.0</v>
      </c>
      <c r="B3473" s="2" t="s">
        <v>146</v>
      </c>
      <c r="C3473" s="2" t="s">
        <v>7595</v>
      </c>
      <c r="D3473" s="2" t="s">
        <v>7596</v>
      </c>
      <c r="E3473" s="2" t="s">
        <v>20</v>
      </c>
      <c r="F3473" s="2" t="s">
        <v>13</v>
      </c>
      <c r="G3473" s="2">
        <v>118.0</v>
      </c>
      <c r="H3473" s="3" t="str">
        <f>HYPERLINK("http://ar.linkedin.com/pub/enrique-raboy/22/89A/955","http://ar.linkedin.com/pub/enrique-raboy/22/89A/955")</f>
        <v>http://ar.linkedin.com/pub/enrique-raboy/22/89A/955</v>
      </c>
      <c r="I3473" s="2" t="s">
        <v>2268</v>
      </c>
      <c r="J3473" s="2" t="s">
        <v>21</v>
      </c>
      <c r="K3473" s="2" t="s">
        <v>5734</v>
      </c>
    </row>
    <row r="3474" ht="15.75" customHeight="1">
      <c r="A3474" s="2">
        <v>25729.0</v>
      </c>
      <c r="B3474" s="2" t="s">
        <v>3692</v>
      </c>
      <c r="C3474" s="2" t="s">
        <v>7597</v>
      </c>
      <c r="D3474" s="2" t="s">
        <v>13</v>
      </c>
      <c r="E3474" s="2" t="s">
        <v>20</v>
      </c>
      <c r="F3474" s="2">
        <v>0.0</v>
      </c>
      <c r="G3474" s="2">
        <v>319.0</v>
      </c>
      <c r="H3474" s="3" t="str">
        <f>HYPERLINK("http://www.linkedin.com/pub/federico-luzzani/21/603/4","http://www.linkedin.com/pub/federico-luzzani/21/603/4")</f>
        <v>http://www.linkedin.com/pub/federico-luzzani/21/603/4</v>
      </c>
      <c r="I3474" s="2" t="s">
        <v>1398</v>
      </c>
      <c r="J3474" s="2" t="s">
        <v>21</v>
      </c>
      <c r="K3474" s="2" t="s">
        <v>5727</v>
      </c>
    </row>
    <row r="3475" ht="15.75" customHeight="1">
      <c r="A3475" s="2">
        <v>25759.0</v>
      </c>
      <c r="B3475" s="2" t="s">
        <v>7598</v>
      </c>
      <c r="C3475" s="2" t="s">
        <v>7599</v>
      </c>
      <c r="D3475" s="2" t="s">
        <v>7600</v>
      </c>
      <c r="E3475" s="2" t="s">
        <v>20</v>
      </c>
      <c r="F3475" s="2">
        <v>2.0</v>
      </c>
      <c r="G3475" s="2">
        <v>103.0</v>
      </c>
      <c r="H3475" s="3" t="str">
        <f>HYPERLINK("http://ar.linkedin.com/in/vfoyedo","http://ar.linkedin.com/in/vfoyedo")</f>
        <v>http://ar.linkedin.com/in/vfoyedo</v>
      </c>
      <c r="I3475" s="2" t="s">
        <v>77</v>
      </c>
      <c r="J3475" s="2" t="s">
        <v>21</v>
      </c>
      <c r="K3475" s="2" t="s">
        <v>5731</v>
      </c>
    </row>
    <row r="3476" ht="15.75" customHeight="1">
      <c r="A3476" s="2">
        <v>25761.0</v>
      </c>
      <c r="B3476" s="2" t="s">
        <v>7601</v>
      </c>
      <c r="C3476" s="2" t="s">
        <v>3714</v>
      </c>
      <c r="D3476" s="2" t="s">
        <v>7602</v>
      </c>
      <c r="E3476" s="2" t="s">
        <v>20</v>
      </c>
      <c r="F3476" s="2">
        <v>3.0</v>
      </c>
      <c r="G3476" s="2">
        <v>477.0</v>
      </c>
      <c r="H3476" s="3" t="str">
        <f>HYPERLINK("http://ar.linkedin.com/in/pedrolucianodiaz","http://ar.linkedin.com/in/pedrolucianodiaz")</f>
        <v>http://ar.linkedin.com/in/pedrolucianodiaz</v>
      </c>
      <c r="I3476" s="2" t="s">
        <v>77</v>
      </c>
      <c r="J3476" s="2" t="s">
        <v>21</v>
      </c>
      <c r="K3476" s="2" t="s">
        <v>5731</v>
      </c>
    </row>
    <row r="3477" ht="15.75" customHeight="1">
      <c r="A3477" s="2">
        <v>25769.0</v>
      </c>
      <c r="B3477" s="2" t="s">
        <v>362</v>
      </c>
      <c r="C3477" s="2" t="s">
        <v>7603</v>
      </c>
      <c r="D3477" s="2" t="s">
        <v>5784</v>
      </c>
      <c r="E3477" s="2" t="s">
        <v>20</v>
      </c>
      <c r="F3477" s="2">
        <v>8.0</v>
      </c>
      <c r="G3477" s="2">
        <v>285.0</v>
      </c>
      <c r="H3477" s="3" t="str">
        <f>HYPERLINK("http://ar.linkedin.com/in/javieranso","http://ar.linkedin.com/in/javieranso")</f>
        <v>http://ar.linkedin.com/in/javieranso</v>
      </c>
      <c r="I3477" s="2" t="s">
        <v>231</v>
      </c>
      <c r="J3477" s="2" t="s">
        <v>21</v>
      </c>
      <c r="K3477" s="2" t="s">
        <v>5743</v>
      </c>
    </row>
    <row r="3478" ht="15.75" customHeight="1">
      <c r="A3478" s="2">
        <v>25774.0</v>
      </c>
      <c r="B3478" s="2" t="s">
        <v>431</v>
      </c>
      <c r="C3478" s="2" t="s">
        <v>7188</v>
      </c>
      <c r="D3478" s="2" t="s">
        <v>7604</v>
      </c>
      <c r="E3478" s="2" t="s">
        <v>20</v>
      </c>
      <c r="F3478" s="2">
        <v>1.0</v>
      </c>
      <c r="G3478" s="2">
        <v>255.0</v>
      </c>
      <c r="H3478" s="3" t="str">
        <f>HYPERLINK("http://ar.linkedin.com/pub/rodrigo-vazquez/15/445/4A1","http://ar.linkedin.com/pub/rodrigo-vazquez/15/445/4A1")</f>
        <v>http://ar.linkedin.com/pub/rodrigo-vazquez/15/445/4A1</v>
      </c>
      <c r="I3478" s="2" t="s">
        <v>77</v>
      </c>
      <c r="J3478" s="2" t="s">
        <v>21</v>
      </c>
      <c r="K3478" s="2" t="s">
        <v>5848</v>
      </c>
    </row>
    <row r="3479" ht="15.75" customHeight="1">
      <c r="A3479" s="2">
        <v>25775.0</v>
      </c>
      <c r="B3479" s="2" t="s">
        <v>3550</v>
      </c>
      <c r="C3479" s="2" t="s">
        <v>7605</v>
      </c>
      <c r="D3479" s="2" t="s">
        <v>7606</v>
      </c>
      <c r="E3479" s="2" t="s">
        <v>20</v>
      </c>
      <c r="F3479" s="2">
        <v>1.0</v>
      </c>
      <c r="G3479" s="2">
        <v>377.0</v>
      </c>
      <c r="H3479" s="3" t="str">
        <f>HYPERLINK("http://ar.linkedin.com/pub/nicolas-ursino/12/653/875","http://ar.linkedin.com/pub/nicolas-ursino/12/653/875")</f>
        <v>http://ar.linkedin.com/pub/nicolas-ursino/12/653/875</v>
      </c>
      <c r="I3479" s="2" t="s">
        <v>77</v>
      </c>
      <c r="J3479" s="2" t="s">
        <v>21</v>
      </c>
      <c r="K3479" s="2" t="s">
        <v>5848</v>
      </c>
    </row>
    <row r="3480" ht="15.75" customHeight="1">
      <c r="A3480" s="2">
        <v>25806.0</v>
      </c>
      <c r="B3480" s="2" t="s">
        <v>7607</v>
      </c>
      <c r="C3480" s="2" t="s">
        <v>7608</v>
      </c>
      <c r="D3480" s="2" t="s">
        <v>13</v>
      </c>
      <c r="E3480" s="2" t="s">
        <v>20</v>
      </c>
      <c r="F3480" s="2">
        <v>0.0</v>
      </c>
      <c r="G3480" s="2">
        <v>500.0</v>
      </c>
      <c r="H3480" s="3" t="str">
        <f>HYPERLINK("http://www.linkedin.com/pub/pablo-gustavo-zavalla/28/23a/504","http://www.linkedin.com/pub/pablo-gustavo-zavalla/28/23a/504")</f>
        <v>http://www.linkedin.com/pub/pablo-gustavo-zavalla/28/23a/504</v>
      </c>
      <c r="I3480" s="2" t="s">
        <v>15</v>
      </c>
      <c r="J3480" s="2" t="s">
        <v>21</v>
      </c>
      <c r="K3480" s="2" t="s">
        <v>5734</v>
      </c>
    </row>
    <row r="3481" ht="15.75" customHeight="1">
      <c r="A3481" s="2">
        <v>25825.0</v>
      </c>
      <c r="B3481" s="2" t="s">
        <v>7609</v>
      </c>
      <c r="C3481" s="2" t="s">
        <v>5272</v>
      </c>
      <c r="D3481" s="2" t="s">
        <v>7610</v>
      </c>
      <c r="E3481" s="2" t="s">
        <v>20</v>
      </c>
      <c r="F3481" s="2">
        <v>13.0</v>
      </c>
      <c r="G3481" s="2">
        <v>349.0</v>
      </c>
      <c r="H3481" s="3" t="str">
        <f>HYPERLINK("http://ar.linkedin.com/in/paolostancato","http://ar.linkedin.com/in/paolostancato")</f>
        <v>http://ar.linkedin.com/in/paolostancato</v>
      </c>
      <c r="I3481" s="2" t="s">
        <v>160</v>
      </c>
      <c r="J3481" s="2" t="s">
        <v>21</v>
      </c>
      <c r="K3481" s="2" t="s">
        <v>5982</v>
      </c>
    </row>
    <row r="3482" ht="15.75" customHeight="1">
      <c r="A3482" s="2">
        <v>25848.0</v>
      </c>
      <c r="B3482" s="2" t="s">
        <v>6666</v>
      </c>
      <c r="C3482" s="2" t="s">
        <v>6051</v>
      </c>
      <c r="D3482" s="2" t="s">
        <v>13</v>
      </c>
      <c r="E3482" s="2" t="s">
        <v>20</v>
      </c>
      <c r="F3482" s="2">
        <v>16.0</v>
      </c>
      <c r="G3482" s="2">
        <v>437.0</v>
      </c>
      <c r="H3482" s="3" t="str">
        <f>HYPERLINK("http://www.linkedin.com/pub/sebasti%C3%A1n-montone/23/a21/94b","http://www.linkedin.com/pub/sebasti%C3%A1n-montone/23/a21/94b")</f>
        <v>http://www.linkedin.com/pub/sebasti%C3%A1n-montone/23/a21/94b</v>
      </c>
      <c r="I3482" s="2" t="s">
        <v>77</v>
      </c>
      <c r="J3482" s="2" t="s">
        <v>21</v>
      </c>
      <c r="K3482" s="2" t="s">
        <v>6342</v>
      </c>
    </row>
    <row r="3483" ht="15.75" customHeight="1">
      <c r="A3483" s="2">
        <v>25849.0</v>
      </c>
      <c r="B3483" s="2" t="s">
        <v>677</v>
      </c>
      <c r="C3483" s="2" t="s">
        <v>7611</v>
      </c>
      <c r="D3483" s="2" t="s">
        <v>7612</v>
      </c>
      <c r="E3483" s="2" t="s">
        <v>20</v>
      </c>
      <c r="F3483" s="2">
        <v>2.0</v>
      </c>
      <c r="G3483" s="2">
        <v>500.0</v>
      </c>
      <c r="H3483" s="3" t="str">
        <f>HYPERLINK("http://ar.linkedin.com/pub/daniel-sacks/0/661/448","http://ar.linkedin.com/pub/daniel-sacks/0/661/448")</f>
        <v>http://ar.linkedin.com/pub/daniel-sacks/0/661/448</v>
      </c>
      <c r="I3483" s="2" t="s">
        <v>77</v>
      </c>
      <c r="J3483" s="2" t="s">
        <v>21</v>
      </c>
      <c r="K3483" s="2" t="s">
        <v>5743</v>
      </c>
    </row>
    <row r="3484" ht="15.75" customHeight="1">
      <c r="A3484" s="2">
        <v>25857.0</v>
      </c>
      <c r="B3484" s="2" t="s">
        <v>5078</v>
      </c>
      <c r="C3484" s="2" t="s">
        <v>7613</v>
      </c>
      <c r="D3484" s="2" t="s">
        <v>7614</v>
      </c>
      <c r="E3484" s="2" t="s">
        <v>20</v>
      </c>
      <c r="F3484" s="2">
        <v>4.0</v>
      </c>
      <c r="G3484" s="2">
        <v>308.0</v>
      </c>
      <c r="H3484" s="3" t="str">
        <f>HYPERLINK("http://ar.linkedin.com/pub/diego-oyola/9/328/650","http://ar.linkedin.com/pub/diego-oyola/9/328/650")</f>
        <v>http://ar.linkedin.com/pub/diego-oyola/9/328/650</v>
      </c>
      <c r="I3484" s="2" t="s">
        <v>77</v>
      </c>
      <c r="J3484" s="2" t="s">
        <v>21</v>
      </c>
      <c r="K3484" s="2" t="s">
        <v>5731</v>
      </c>
    </row>
    <row r="3485" ht="15.75" customHeight="1">
      <c r="A3485" s="2">
        <v>25865.0</v>
      </c>
      <c r="B3485" s="2" t="s">
        <v>7615</v>
      </c>
      <c r="C3485" s="2" t="s">
        <v>7616</v>
      </c>
      <c r="D3485" s="2" t="s">
        <v>13</v>
      </c>
      <c r="E3485" s="2" t="s">
        <v>20</v>
      </c>
      <c r="F3485" s="2">
        <v>0.0</v>
      </c>
      <c r="G3485" s="2">
        <v>24.0</v>
      </c>
      <c r="H3485" s="3" t="str">
        <f>HYPERLINK("http://www.linkedin.com/pub/rolando-genga/14/465/b1a","http://www.linkedin.com/pub/rolando-genga/14/465/b1a")</f>
        <v>http://www.linkedin.com/pub/rolando-genga/14/465/b1a</v>
      </c>
      <c r="I3485" s="2" t="s">
        <v>2000</v>
      </c>
      <c r="J3485" s="2" t="s">
        <v>21</v>
      </c>
      <c r="K3485" s="2" t="s">
        <v>5734</v>
      </c>
    </row>
    <row r="3486" ht="15.75" customHeight="1">
      <c r="A3486" s="2">
        <v>25905.0</v>
      </c>
      <c r="B3486" s="2" t="s">
        <v>637</v>
      </c>
      <c r="C3486" s="2" t="s">
        <v>7617</v>
      </c>
      <c r="D3486" s="2" t="s">
        <v>7618</v>
      </c>
      <c r="E3486" s="2" t="s">
        <v>20</v>
      </c>
      <c r="F3486" s="2" t="s">
        <v>13</v>
      </c>
      <c r="G3486" s="2">
        <v>500.0</v>
      </c>
      <c r="H3486" s="3" t="str">
        <f>HYPERLINK("http://ar.linkedin.com/pub/leonardo-gimeno/B/103/94B","http://ar.linkedin.com/pub/leonardo-gimeno/B/103/94B")</f>
        <v>http://ar.linkedin.com/pub/leonardo-gimeno/B/103/94B</v>
      </c>
      <c r="I3486" s="2" t="s">
        <v>2023</v>
      </c>
      <c r="J3486" s="2" t="s">
        <v>21</v>
      </c>
      <c r="K3486" s="2" t="s">
        <v>5785</v>
      </c>
    </row>
    <row r="3487" ht="15.75" customHeight="1">
      <c r="A3487" s="2">
        <v>25907.0</v>
      </c>
      <c r="B3487" s="2" t="s">
        <v>5200</v>
      </c>
      <c r="C3487" s="2" t="s">
        <v>7619</v>
      </c>
      <c r="D3487" s="2" t="s">
        <v>7620</v>
      </c>
      <c r="E3487" s="2" t="s">
        <v>20</v>
      </c>
      <c r="F3487" s="2">
        <v>11.0</v>
      </c>
      <c r="G3487" s="2">
        <v>500.0</v>
      </c>
      <c r="H3487" s="3" t="str">
        <f>HYPERLINK("http://ar.linkedin.com/pub/cynthia-corn/7/B74/117","http://ar.linkedin.com/pub/cynthia-corn/7/B74/117")</f>
        <v>http://ar.linkedin.com/pub/cynthia-corn/7/B74/117</v>
      </c>
      <c r="I3487" s="2" t="s">
        <v>669</v>
      </c>
      <c r="J3487" s="2" t="s">
        <v>21</v>
      </c>
      <c r="K3487" s="2" t="s">
        <v>5743</v>
      </c>
    </row>
    <row r="3488" ht="15.75" customHeight="1">
      <c r="A3488" s="2">
        <v>25911.0</v>
      </c>
      <c r="B3488" s="2" t="s">
        <v>5922</v>
      </c>
      <c r="C3488" s="2" t="s">
        <v>7621</v>
      </c>
      <c r="D3488" s="2" t="s">
        <v>7622</v>
      </c>
      <c r="E3488" s="2" t="s">
        <v>20</v>
      </c>
      <c r="F3488" s="2" t="s">
        <v>13</v>
      </c>
      <c r="G3488" s="2">
        <v>500.0</v>
      </c>
      <c r="H3488" s="3" t="str">
        <f>HYPERLINK("http://ar.linkedin.com/pub/gabriela-urrunaga/A/508/626","http://ar.linkedin.com/pub/gabriela-urrunaga/A/508/626")</f>
        <v>http://ar.linkedin.com/pub/gabriela-urrunaga/A/508/626</v>
      </c>
      <c r="I3488" s="2" t="s">
        <v>2023</v>
      </c>
      <c r="J3488" s="2" t="s">
        <v>21</v>
      </c>
      <c r="K3488" s="2" t="s">
        <v>5734</v>
      </c>
    </row>
    <row r="3489" ht="15.75" customHeight="1">
      <c r="A3489" s="2">
        <v>25914.0</v>
      </c>
      <c r="B3489" s="2" t="s">
        <v>253</v>
      </c>
      <c r="C3489" s="2" t="s">
        <v>7623</v>
      </c>
      <c r="D3489" s="2" t="s">
        <v>7624</v>
      </c>
      <c r="E3489" s="2" t="s">
        <v>20</v>
      </c>
      <c r="F3489" s="2" t="s">
        <v>13</v>
      </c>
      <c r="G3489" s="2">
        <v>196.0</v>
      </c>
      <c r="H3489" s="3" t="str">
        <f>HYPERLINK("http://ar.linkedin.com/pub/fernando-mastrolembo/24/198/229","http://ar.linkedin.com/pub/fernando-mastrolembo/24/198/229")</f>
        <v>http://ar.linkedin.com/pub/fernando-mastrolembo/24/198/229</v>
      </c>
      <c r="I3489" s="2" t="s">
        <v>2023</v>
      </c>
      <c r="J3489" s="2" t="s">
        <v>21</v>
      </c>
      <c r="K3489" s="2" t="s">
        <v>5734</v>
      </c>
    </row>
    <row r="3490" ht="15.75" customHeight="1">
      <c r="A3490" s="2">
        <v>25916.0</v>
      </c>
      <c r="B3490" s="2" t="s">
        <v>677</v>
      </c>
      <c r="C3490" s="2" t="s">
        <v>7148</v>
      </c>
      <c r="D3490" s="2" t="s">
        <v>7625</v>
      </c>
      <c r="E3490" s="2" t="s">
        <v>20</v>
      </c>
      <c r="F3490" s="2" t="s">
        <v>13</v>
      </c>
      <c r="G3490" s="2">
        <v>160.0</v>
      </c>
      <c r="H3490" s="3" t="str">
        <f>HYPERLINK("http://ar.linkedin.com/pub/daniel-espinosa/1A/86/965","http://ar.linkedin.com/pub/daniel-espinosa/1A/86/965")</f>
        <v>http://ar.linkedin.com/pub/daniel-espinosa/1A/86/965</v>
      </c>
      <c r="I3490" s="2" t="s">
        <v>77</v>
      </c>
      <c r="J3490" s="2" t="s">
        <v>21</v>
      </c>
      <c r="K3490" s="2" t="s">
        <v>5848</v>
      </c>
    </row>
    <row r="3491" ht="15.75" customHeight="1">
      <c r="A3491" s="2">
        <v>25919.0</v>
      </c>
      <c r="B3491" s="2" t="s">
        <v>6012</v>
      </c>
      <c r="C3491" s="2" t="s">
        <v>7626</v>
      </c>
      <c r="D3491" s="2" t="s">
        <v>7627</v>
      </c>
      <c r="E3491" s="2" t="s">
        <v>20</v>
      </c>
      <c r="F3491" s="2">
        <v>6.0</v>
      </c>
      <c r="G3491" s="2">
        <v>236.0</v>
      </c>
      <c r="H3491" s="3" t="str">
        <f>HYPERLINK("http://ar.linkedin.com/in/hernanbatiluschi","http://ar.linkedin.com/in/hernanbatiluschi")</f>
        <v>http://ar.linkedin.com/in/hernanbatiluschi</v>
      </c>
      <c r="I3491" s="2" t="s">
        <v>77</v>
      </c>
      <c r="J3491" s="2" t="s">
        <v>21</v>
      </c>
      <c r="K3491" s="2" t="s">
        <v>5743</v>
      </c>
    </row>
    <row r="3492" ht="15.75" customHeight="1">
      <c r="A3492" s="2">
        <v>25928.0</v>
      </c>
      <c r="B3492" s="2" t="s">
        <v>253</v>
      </c>
      <c r="C3492" s="2" t="s">
        <v>5891</v>
      </c>
      <c r="D3492" s="2" t="s">
        <v>7628</v>
      </c>
      <c r="E3492" s="2" t="s">
        <v>20</v>
      </c>
      <c r="F3492" s="2">
        <v>1.0</v>
      </c>
      <c r="G3492" s="2">
        <v>500.0</v>
      </c>
      <c r="H3492" s="3" t="str">
        <f>HYPERLINK("http://ar.linkedin.com/pub/fernando-herrera/1/691/207","http://ar.linkedin.com/pub/fernando-herrera/1/691/207")</f>
        <v>http://ar.linkedin.com/pub/fernando-herrera/1/691/207</v>
      </c>
      <c r="I3492" s="2" t="s">
        <v>77</v>
      </c>
      <c r="J3492" s="2" t="s">
        <v>21</v>
      </c>
      <c r="K3492" s="2" t="s">
        <v>5785</v>
      </c>
    </row>
    <row r="3493" ht="15.75" customHeight="1">
      <c r="A3493" s="2">
        <v>25952.0</v>
      </c>
      <c r="B3493" s="2" t="s">
        <v>7629</v>
      </c>
      <c r="C3493" s="2" t="s">
        <v>7630</v>
      </c>
      <c r="D3493" s="2" t="s">
        <v>7631</v>
      </c>
      <c r="E3493" s="2" t="s">
        <v>20</v>
      </c>
      <c r="F3493" s="2" t="s">
        <v>13</v>
      </c>
      <c r="G3493" s="2">
        <v>56.0</v>
      </c>
      <c r="H3493" s="3" t="str">
        <f>HYPERLINK("http://ar.linkedin.com/pub/miguel-rubino/5/4A7/2A9","http://ar.linkedin.com/pub/miguel-rubino/5/4A7/2A9")</f>
        <v>http://ar.linkedin.com/pub/miguel-rubino/5/4A7/2A9</v>
      </c>
      <c r="I3493" s="2" t="s">
        <v>77</v>
      </c>
      <c r="J3493" s="2" t="s">
        <v>21</v>
      </c>
      <c r="K3493" s="2" t="s">
        <v>6342</v>
      </c>
    </row>
    <row r="3494" ht="15.75" customHeight="1">
      <c r="A3494" s="2">
        <v>25987.0</v>
      </c>
      <c r="B3494" s="2" t="s">
        <v>238</v>
      </c>
      <c r="C3494" s="2" t="s">
        <v>7632</v>
      </c>
      <c r="D3494" s="2" t="s">
        <v>7633</v>
      </c>
      <c r="E3494" s="2" t="s">
        <v>20</v>
      </c>
      <c r="F3494" s="2">
        <v>3.0</v>
      </c>
      <c r="G3494" s="2">
        <v>207.0</v>
      </c>
      <c r="H3494" s="3" t="str">
        <f>HYPERLINK("http://ar.linkedin.com/pub/juan-becerra/13/ABB/368","http://ar.linkedin.com/pub/juan-becerra/13/ABB/368")</f>
        <v>http://ar.linkedin.com/pub/juan-becerra/13/ABB/368</v>
      </c>
      <c r="I3494" s="2" t="s">
        <v>77</v>
      </c>
      <c r="J3494" s="2" t="s">
        <v>21</v>
      </c>
      <c r="K3494" s="2" t="s">
        <v>5731</v>
      </c>
    </row>
    <row r="3495" ht="15.75" customHeight="1">
      <c r="A3495" s="2">
        <v>26006.0</v>
      </c>
      <c r="B3495" s="2" t="s">
        <v>7634</v>
      </c>
      <c r="C3495" s="2" t="s">
        <v>7635</v>
      </c>
      <c r="D3495" s="2" t="s">
        <v>13</v>
      </c>
      <c r="E3495" s="2" t="s">
        <v>20</v>
      </c>
      <c r="F3495" s="2">
        <v>0.0</v>
      </c>
      <c r="G3495" s="2">
        <v>500.0</v>
      </c>
      <c r="H3495" s="3" t="str">
        <f>HYPERLINK("http://www.linkedin.com/pub/pablo-j-mendonca/7/697/875","http://www.linkedin.com/pub/pablo-j-mendonca/7/697/875")</f>
        <v>http://www.linkedin.com/pub/pablo-j-mendonca/7/697/875</v>
      </c>
      <c r="I3495" s="2" t="s">
        <v>1679</v>
      </c>
      <c r="J3495" s="2" t="s">
        <v>21</v>
      </c>
      <c r="K3495" s="2" t="s">
        <v>6124</v>
      </c>
    </row>
    <row r="3496" ht="15.75" customHeight="1">
      <c r="A3496" s="2">
        <v>26038.0</v>
      </c>
      <c r="B3496" s="2" t="s">
        <v>371</v>
      </c>
      <c r="C3496" s="2" t="s">
        <v>7636</v>
      </c>
      <c r="D3496" s="2" t="s">
        <v>7637</v>
      </c>
      <c r="E3496" s="2" t="s">
        <v>20</v>
      </c>
      <c r="F3496" s="2" t="s">
        <v>13</v>
      </c>
      <c r="G3496" s="2">
        <v>247.0</v>
      </c>
      <c r="H3496" s="3" t="str">
        <f>HYPERLINK("http://ar.linkedin.com/in/cristinaguarin","http://ar.linkedin.com/in/cristinaguarin")</f>
        <v>http://ar.linkedin.com/in/cristinaguarin</v>
      </c>
      <c r="I3496" s="2" t="s">
        <v>77</v>
      </c>
      <c r="J3496" s="2" t="s">
        <v>21</v>
      </c>
      <c r="K3496" s="2" t="s">
        <v>5848</v>
      </c>
    </row>
    <row r="3497" ht="15.75" customHeight="1">
      <c r="A3497" s="2">
        <v>26050.0</v>
      </c>
      <c r="B3497" s="2" t="s">
        <v>6666</v>
      </c>
      <c r="C3497" s="2" t="s">
        <v>7638</v>
      </c>
      <c r="D3497" s="2" t="s">
        <v>13</v>
      </c>
      <c r="E3497" s="2" t="s">
        <v>20</v>
      </c>
      <c r="F3497" s="2">
        <v>0.0</v>
      </c>
      <c r="G3497" s="2">
        <v>430.0</v>
      </c>
      <c r="H3497" s="3" t="str">
        <f>HYPERLINK("http://www.linkedin.com/pub/sebasti%C3%A1n-rey-sumay/0/b99/9a8","http://www.linkedin.com/pub/sebasti%C3%A1n-rey-sumay/0/b99/9a8")</f>
        <v>http://www.linkedin.com/pub/sebasti%C3%A1n-rey-sumay/0/b99/9a8</v>
      </c>
      <c r="I3497" s="2" t="s">
        <v>681</v>
      </c>
      <c r="J3497" s="2" t="s">
        <v>21</v>
      </c>
      <c r="K3497" s="2" t="s">
        <v>5785</v>
      </c>
    </row>
    <row r="3498" ht="15.75" customHeight="1">
      <c r="A3498" s="2">
        <v>26324.0</v>
      </c>
      <c r="B3498" s="2" t="s">
        <v>947</v>
      </c>
      <c r="C3498" s="2" t="s">
        <v>4019</v>
      </c>
      <c r="D3498" s="2" t="s">
        <v>7639</v>
      </c>
      <c r="E3498" s="2" t="s">
        <v>7640</v>
      </c>
      <c r="F3498" s="2">
        <v>0.0</v>
      </c>
      <c r="G3498" s="2">
        <v>500.0</v>
      </c>
      <c r="H3498" s="3" t="str">
        <f>HYPERLINK("http://www.linkedin.com/pub/glenn-hunter/0/858/6BB","http://www.linkedin.com/pub/glenn-hunter/0/858/6BB")</f>
        <v>http://www.linkedin.com/pub/glenn-hunter/0/858/6BB</v>
      </c>
      <c r="I3498" s="2" t="s">
        <v>1679</v>
      </c>
      <c r="J3498" s="2" t="s">
        <v>102</v>
      </c>
      <c r="K3498" s="2" t="s">
        <v>5727</v>
      </c>
    </row>
    <row r="3499" ht="15.75" customHeight="1">
      <c r="A3499" s="2">
        <v>26450.0</v>
      </c>
      <c r="B3499" s="2" t="s">
        <v>6622</v>
      </c>
      <c r="C3499" s="2" t="s">
        <v>1617</v>
      </c>
      <c r="D3499" s="2" t="s">
        <v>7641</v>
      </c>
      <c r="E3499" s="2" t="s">
        <v>20</v>
      </c>
      <c r="F3499" s="2">
        <v>12.0</v>
      </c>
      <c r="G3499" s="2">
        <v>498.0</v>
      </c>
      <c r="H3499" s="3" t="str">
        <f>HYPERLINK("http://ar.linkedin.com/in/patricioryan","http://ar.linkedin.com/in/patricioryan")</f>
        <v>http://ar.linkedin.com/in/patricioryan</v>
      </c>
      <c r="I3499" s="2" t="s">
        <v>15</v>
      </c>
      <c r="J3499" s="2" t="s">
        <v>21</v>
      </c>
      <c r="K3499" s="2" t="s">
        <v>5777</v>
      </c>
    </row>
    <row r="3500" ht="15.75" customHeight="1">
      <c r="A3500" s="2">
        <v>26601.0</v>
      </c>
      <c r="B3500" s="2" t="s">
        <v>1144</v>
      </c>
      <c r="C3500" s="2" t="s">
        <v>797</v>
      </c>
      <c r="D3500" s="2" t="s">
        <v>7642</v>
      </c>
      <c r="E3500" s="2" t="s">
        <v>136</v>
      </c>
      <c r="F3500" s="2" t="s">
        <v>13</v>
      </c>
      <c r="G3500" s="2">
        <v>500.0</v>
      </c>
      <c r="H3500" s="3" t="str">
        <f>HYPERLINK("http://www.linkedin.com/in/aktaylor","http://www.linkedin.com/in/aktaylor")</f>
        <v>http://www.linkedin.com/in/aktaylor</v>
      </c>
      <c r="I3500" s="2" t="s">
        <v>422</v>
      </c>
      <c r="J3500" s="2" t="s">
        <v>102</v>
      </c>
      <c r="K3500" s="2" t="s">
        <v>7643</v>
      </c>
    </row>
    <row r="3501" ht="15.75" customHeight="1">
      <c r="A3501" s="2">
        <v>26670.0</v>
      </c>
      <c r="B3501" s="2" t="s">
        <v>1254</v>
      </c>
      <c r="C3501" s="2" t="s">
        <v>7644</v>
      </c>
      <c r="D3501" s="2"/>
      <c r="E3501" s="2" t="s">
        <v>301</v>
      </c>
      <c r="F3501" s="2">
        <v>0.0</v>
      </c>
      <c r="G3501" s="2">
        <v>29.0</v>
      </c>
      <c r="H3501" s="3" t="str">
        <f>HYPERLINK("http://www.linkedin.com/pub/rick-kleczkowski/0/2B1/602","http://www.linkedin.com/pub/rick-kleczkowski/0/2B1/602")</f>
        <v>http://www.linkedin.com/pub/rick-kleczkowski/0/2B1/602</v>
      </c>
      <c r="I3501" s="2" t="s">
        <v>105</v>
      </c>
      <c r="J3501" s="2" t="s">
        <v>102</v>
      </c>
      <c r="K3501" s="2" t="s">
        <v>5743</v>
      </c>
    </row>
    <row r="3502" ht="15.75" customHeight="1">
      <c r="A3502" s="2">
        <v>26680.0</v>
      </c>
      <c r="B3502" s="2" t="s">
        <v>7645</v>
      </c>
      <c r="C3502" s="2" t="s">
        <v>7646</v>
      </c>
      <c r="D3502" s="2" t="s">
        <v>7647</v>
      </c>
      <c r="E3502" s="2" t="s">
        <v>628</v>
      </c>
      <c r="F3502" s="2">
        <v>9.0</v>
      </c>
      <c r="G3502" s="2">
        <v>500.0</v>
      </c>
      <c r="H3502" s="3" t="str">
        <f>HYPERLINK("http://www.linkedin.com/in/halahemayssi","http://www.linkedin.com/in/halahemayssi")</f>
        <v>http://www.linkedin.com/in/halahemayssi</v>
      </c>
      <c r="I3502" s="2" t="s">
        <v>2268</v>
      </c>
      <c r="J3502" s="2" t="s">
        <v>102</v>
      </c>
      <c r="K3502" s="2" t="s">
        <v>5823</v>
      </c>
    </row>
    <row r="3503" ht="15.75" customHeight="1">
      <c r="A3503" s="2">
        <v>26718.0</v>
      </c>
      <c r="B3503" s="2" t="s">
        <v>353</v>
      </c>
      <c r="C3503" s="2" t="s">
        <v>7648</v>
      </c>
      <c r="D3503" s="2" t="s">
        <v>7649</v>
      </c>
      <c r="E3503" s="2" t="s">
        <v>20</v>
      </c>
      <c r="F3503" s="2" t="s">
        <v>13</v>
      </c>
      <c r="G3503" s="2">
        <v>500.0</v>
      </c>
      <c r="H3503" s="3" t="str">
        <f>HYPERLINK("http://ar.linkedin.com/pub/alejandro-poncio/5/740/550","http://ar.linkedin.com/pub/alejandro-poncio/5/740/550")</f>
        <v>http://ar.linkedin.com/pub/alejandro-poncio/5/740/550</v>
      </c>
      <c r="I3503" s="2" t="s">
        <v>77</v>
      </c>
      <c r="J3503" s="2" t="s">
        <v>21</v>
      </c>
      <c r="K3503" s="2" t="s">
        <v>6342</v>
      </c>
    </row>
    <row r="3504" ht="15.75" customHeight="1">
      <c r="A3504" s="2">
        <v>27055.0</v>
      </c>
      <c r="B3504" s="2" t="s">
        <v>5723</v>
      </c>
      <c r="C3504" s="2" t="s">
        <v>7650</v>
      </c>
      <c r="D3504" s="2" t="s">
        <v>13</v>
      </c>
      <c r="E3504" s="2" t="s">
        <v>20</v>
      </c>
      <c r="F3504" s="2">
        <v>0.0</v>
      </c>
      <c r="G3504" s="2">
        <v>500.0</v>
      </c>
      <c r="H3504" s="3" t="str">
        <f>HYPERLINK("http://www.linkedin.com/pub/pablo-ordinskas/11/9/bb3","http://www.linkedin.com/pub/pablo-ordinskas/11/9/bb3")</f>
        <v>http://www.linkedin.com/pub/pablo-ordinskas/11/9/bb3</v>
      </c>
      <c r="I3504" s="2" t="s">
        <v>77</v>
      </c>
      <c r="J3504" s="2" t="s">
        <v>21</v>
      </c>
      <c r="K3504" s="2" t="s">
        <v>5731</v>
      </c>
    </row>
    <row r="3505" ht="15.75" customHeight="1">
      <c r="A3505" s="2">
        <v>27075.0</v>
      </c>
      <c r="B3505" s="2" t="s">
        <v>423</v>
      </c>
      <c r="C3505" s="2" t="s">
        <v>845</v>
      </c>
      <c r="D3505" s="2" t="s">
        <v>7651</v>
      </c>
      <c r="E3505" s="2" t="s">
        <v>20</v>
      </c>
      <c r="F3505" s="2" t="s">
        <v>13</v>
      </c>
      <c r="G3505" s="2">
        <v>177.0</v>
      </c>
      <c r="H3505" s="3" t="str">
        <f>HYPERLINK("http://ar.linkedin.com/pub/carolina-david/2A/729/8A7","http://ar.linkedin.com/pub/carolina-david/2A/729/8A7")</f>
        <v>http://ar.linkedin.com/pub/carolina-david/2A/729/8A7</v>
      </c>
      <c r="I3505" s="2" t="s">
        <v>77</v>
      </c>
      <c r="J3505" s="2" t="s">
        <v>21</v>
      </c>
      <c r="K3505" s="2" t="s">
        <v>5848</v>
      </c>
    </row>
    <row r="3506" ht="15.75" customHeight="1">
      <c r="A3506" s="2">
        <v>27083.0</v>
      </c>
      <c r="B3506" s="2" t="s">
        <v>5078</v>
      </c>
      <c r="C3506" s="2" t="s">
        <v>7652</v>
      </c>
      <c r="D3506" s="2" t="s">
        <v>13</v>
      </c>
      <c r="E3506" s="2" t="s">
        <v>20</v>
      </c>
      <c r="F3506" s="2">
        <v>3.0</v>
      </c>
      <c r="G3506" s="2">
        <v>321.0</v>
      </c>
      <c r="H3506" s="3" t="str">
        <f>HYPERLINK("http://www.linkedin.com/pub/diego-carrocera/24/211/396","http://www.linkedin.com/pub/diego-carrocera/24/211/396")</f>
        <v>http://www.linkedin.com/pub/diego-carrocera/24/211/396</v>
      </c>
      <c r="I3506" s="2" t="s">
        <v>77</v>
      </c>
      <c r="J3506" s="2" t="s">
        <v>21</v>
      </c>
      <c r="K3506" s="2" t="s">
        <v>5731</v>
      </c>
    </row>
    <row r="3507" ht="15.75" customHeight="1">
      <c r="A3507" s="2">
        <v>27087.0</v>
      </c>
      <c r="B3507" s="2" t="s">
        <v>647</v>
      </c>
      <c r="C3507" s="2" t="s">
        <v>7653</v>
      </c>
      <c r="D3507" s="2" t="s">
        <v>7654</v>
      </c>
      <c r="E3507" s="2" t="s">
        <v>20</v>
      </c>
      <c r="F3507" s="2">
        <v>1.0</v>
      </c>
      <c r="G3507" s="2">
        <v>169.0</v>
      </c>
      <c r="H3507" s="3" t="str">
        <f>HYPERLINK("http://ar.linkedin.com/in/claudiopatino","http://ar.linkedin.com/in/claudiopatino")</f>
        <v>http://ar.linkedin.com/in/claudiopatino</v>
      </c>
      <c r="I3507" s="2" t="s">
        <v>195</v>
      </c>
      <c r="J3507" s="2" t="s">
        <v>21</v>
      </c>
      <c r="K3507" s="2" t="s">
        <v>5865</v>
      </c>
    </row>
    <row r="3508" ht="15.75" customHeight="1">
      <c r="A3508" s="2">
        <v>27088.0</v>
      </c>
      <c r="B3508" s="2" t="s">
        <v>7655</v>
      </c>
      <c r="C3508" s="2" t="s">
        <v>7656</v>
      </c>
      <c r="D3508" s="2" t="s">
        <v>7657</v>
      </c>
      <c r="E3508" s="2" t="s">
        <v>20</v>
      </c>
      <c r="F3508" s="2">
        <v>1.0</v>
      </c>
      <c r="G3508" s="2">
        <v>111.0</v>
      </c>
      <c r="H3508" s="3" t="str">
        <f>HYPERLINK("http://ar.linkedin.com/pub/edgardo-aravena/13/3B8/122","http://ar.linkedin.com/pub/edgardo-aravena/13/3B8/122")</f>
        <v>http://ar.linkedin.com/pub/edgardo-aravena/13/3B8/122</v>
      </c>
      <c r="I3508" s="2" t="s">
        <v>77</v>
      </c>
      <c r="J3508" s="2" t="s">
        <v>21</v>
      </c>
      <c r="K3508" s="2" t="s">
        <v>5848</v>
      </c>
    </row>
    <row r="3509" ht="15.75" customHeight="1">
      <c r="A3509" s="2">
        <v>27093.0</v>
      </c>
      <c r="B3509" s="2" t="s">
        <v>3072</v>
      </c>
      <c r="C3509" s="2" t="s">
        <v>3943</v>
      </c>
      <c r="D3509" s="2" t="s">
        <v>7658</v>
      </c>
      <c r="E3509" s="2" t="s">
        <v>20</v>
      </c>
      <c r="F3509" s="2">
        <v>22.0</v>
      </c>
      <c r="G3509" s="2">
        <v>197.0</v>
      </c>
      <c r="H3509" s="3" t="str">
        <f>HYPERLINK("http://ar.linkedin.com/pub/luis-rodriguez/18/54/AB1","http://ar.linkedin.com/pub/luis-rodriguez/18/54/AB1")</f>
        <v>http://ar.linkedin.com/pub/luis-rodriguez/18/54/AB1</v>
      </c>
      <c r="I3509" s="2" t="s">
        <v>252</v>
      </c>
      <c r="J3509" s="2" t="s">
        <v>21</v>
      </c>
      <c r="K3509" s="2" t="s">
        <v>5727</v>
      </c>
    </row>
    <row r="3510" ht="15.75" customHeight="1">
      <c r="A3510" s="2">
        <v>27104.0</v>
      </c>
      <c r="B3510" s="2" t="s">
        <v>677</v>
      </c>
      <c r="C3510" s="2" t="s">
        <v>7659</v>
      </c>
      <c r="D3510" s="2" t="s">
        <v>13</v>
      </c>
      <c r="E3510" s="2" t="s">
        <v>20</v>
      </c>
      <c r="F3510" s="2">
        <v>0.0</v>
      </c>
      <c r="G3510" s="2">
        <v>500.0</v>
      </c>
      <c r="H3510" s="3" t="str">
        <f>HYPERLINK("http://www.linkedin.com/in/dnofal","http://www.linkedin.com/in/dnofal")</f>
        <v>http://www.linkedin.com/in/dnofal</v>
      </c>
      <c r="I3510" s="2" t="s">
        <v>663</v>
      </c>
      <c r="J3510" s="2" t="s">
        <v>21</v>
      </c>
      <c r="K3510" s="2" t="s">
        <v>5734</v>
      </c>
    </row>
    <row r="3511" ht="15.75" customHeight="1">
      <c r="A3511" s="2">
        <v>27109.0</v>
      </c>
      <c r="B3511" s="2" t="s">
        <v>1454</v>
      </c>
      <c r="C3511" s="2" t="s">
        <v>7660</v>
      </c>
      <c r="D3511" s="2" t="s">
        <v>7661</v>
      </c>
      <c r="E3511" s="2" t="s">
        <v>20</v>
      </c>
      <c r="F3511" s="2">
        <v>7.0</v>
      </c>
      <c r="G3511" s="2">
        <v>334.0</v>
      </c>
      <c r="H3511" s="3" t="str">
        <f>HYPERLINK("http://ar.linkedin.com/pub/alan-venn/25/850/48A","http://ar.linkedin.com/pub/alan-venn/25/850/48A")</f>
        <v>http://ar.linkedin.com/pub/alan-venn/25/850/48A</v>
      </c>
      <c r="I3511" s="2" t="s">
        <v>458</v>
      </c>
      <c r="J3511" s="2" t="s">
        <v>21</v>
      </c>
      <c r="K3511" s="2" t="s">
        <v>5727</v>
      </c>
    </row>
    <row r="3512" ht="15.75" customHeight="1">
      <c r="A3512" s="2">
        <v>27171.0</v>
      </c>
      <c r="B3512" s="2" t="s">
        <v>7662</v>
      </c>
      <c r="C3512" s="2" t="s">
        <v>7304</v>
      </c>
      <c r="D3512" s="2" t="s">
        <v>13</v>
      </c>
      <c r="E3512" s="2" t="s">
        <v>20</v>
      </c>
      <c r="F3512" s="2">
        <v>0.0</v>
      </c>
      <c r="G3512" s="2">
        <v>472.0</v>
      </c>
      <c r="H3512" s="3" t="str">
        <f>HYPERLINK("http://www.linkedin.com/pub/fernando-martin-morelli/30/732/21b","http://www.linkedin.com/pub/fernando-martin-morelli/30/732/21b")</f>
        <v>http://www.linkedin.com/pub/fernando-martin-morelli/30/732/21b</v>
      </c>
      <c r="I3512" s="2" t="s">
        <v>231</v>
      </c>
      <c r="J3512" s="2" t="s">
        <v>21</v>
      </c>
      <c r="K3512" s="2" t="s">
        <v>5848</v>
      </c>
    </row>
    <row r="3513" ht="15.75" customHeight="1">
      <c r="A3513" s="2">
        <v>27198.0</v>
      </c>
      <c r="B3513" s="2" t="s">
        <v>6417</v>
      </c>
      <c r="C3513" s="2" t="s">
        <v>7663</v>
      </c>
      <c r="D3513" s="2" t="s">
        <v>7664</v>
      </c>
      <c r="E3513" s="2" t="s">
        <v>20</v>
      </c>
      <c r="F3513" s="2">
        <v>5.0</v>
      </c>
      <c r="G3513" s="2">
        <v>87.0</v>
      </c>
      <c r="H3513" s="3" t="str">
        <f>HYPERLINK("http://ar.linkedin.com/pub/gonzalo-leon/24/8B5/991","http://ar.linkedin.com/pub/gonzalo-leon/24/8B5/991")</f>
        <v>http://ar.linkedin.com/pub/gonzalo-leon/24/8B5/991</v>
      </c>
      <c r="I3513" s="2" t="s">
        <v>1398</v>
      </c>
      <c r="J3513" s="2" t="s">
        <v>21</v>
      </c>
      <c r="K3513" s="2" t="s">
        <v>5727</v>
      </c>
    </row>
    <row r="3514" ht="15.75" customHeight="1">
      <c r="A3514" s="2">
        <v>27215.0</v>
      </c>
      <c r="B3514" s="2" t="s">
        <v>7665</v>
      </c>
      <c r="C3514" s="2" t="s">
        <v>5911</v>
      </c>
      <c r="D3514" s="2" t="s">
        <v>7666</v>
      </c>
      <c r="E3514" s="2" t="s">
        <v>20</v>
      </c>
      <c r="F3514" s="2">
        <v>2.0</v>
      </c>
      <c r="G3514" s="2">
        <v>500.0</v>
      </c>
      <c r="H3514" s="3" t="str">
        <f>HYPERLINK("http://ar.linkedin.com/pub/cristian-javier-de-luca/23/966/664","http://ar.linkedin.com/pub/cristian-javier-de-luca/23/966/664")</f>
        <v>http://ar.linkedin.com/pub/cristian-javier-de-luca/23/966/664</v>
      </c>
      <c r="I3514" s="2" t="s">
        <v>77</v>
      </c>
      <c r="J3514" s="2" t="s">
        <v>21</v>
      </c>
      <c r="K3514" s="2" t="s">
        <v>5731</v>
      </c>
    </row>
    <row r="3515" ht="15.75" customHeight="1">
      <c r="A3515" s="2">
        <v>27216.0</v>
      </c>
      <c r="B3515" s="2" t="s">
        <v>7667</v>
      </c>
      <c r="C3515" s="2" t="s">
        <v>6216</v>
      </c>
      <c r="D3515" s="2" t="s">
        <v>13</v>
      </c>
      <c r="E3515" s="2" t="s">
        <v>20</v>
      </c>
      <c r="F3515" s="2">
        <v>0.0</v>
      </c>
      <c r="G3515" s="2">
        <v>500.0</v>
      </c>
      <c r="H3515" s="3" t="str">
        <f>HYPERLINK("http://www.linkedin.com/pub/laura-melisa-rodr%C3%ADguez/9/574/417","http://www.linkedin.com/pub/laura-melisa-rodr%C3%ADguez/9/574/417")</f>
        <v>http://www.linkedin.com/pub/laura-melisa-rodr%C3%ADguez/9/574/417</v>
      </c>
      <c r="I3515" s="2" t="s">
        <v>458</v>
      </c>
      <c r="J3515" s="2" t="s">
        <v>21</v>
      </c>
      <c r="K3515" s="2" t="s">
        <v>5734</v>
      </c>
    </row>
    <row r="3516" ht="15.75" customHeight="1">
      <c r="A3516" s="2">
        <v>27217.0</v>
      </c>
      <c r="B3516" s="2" t="s">
        <v>7668</v>
      </c>
      <c r="C3516" s="2" t="s">
        <v>7669</v>
      </c>
      <c r="D3516" s="2" t="s">
        <v>13</v>
      </c>
      <c r="E3516" s="2" t="s">
        <v>20</v>
      </c>
      <c r="F3516" s="2">
        <v>4.0</v>
      </c>
      <c r="G3516" s="2">
        <v>218.0</v>
      </c>
      <c r="H3516" s="3" t="str">
        <f>HYPERLINK("http://www.linkedin.com/pub/maria-paula-bargero/2/500/5b4","http://www.linkedin.com/pub/maria-paula-bargero/2/500/5b4")</f>
        <v>http://www.linkedin.com/pub/maria-paula-bargero/2/500/5b4</v>
      </c>
      <c r="I3516" s="2" t="s">
        <v>7670</v>
      </c>
      <c r="J3516" s="2" t="s">
        <v>21</v>
      </c>
      <c r="K3516" s="2" t="s">
        <v>5727</v>
      </c>
    </row>
    <row r="3517" ht="15.75" customHeight="1">
      <c r="A3517" s="2">
        <v>27219.0</v>
      </c>
      <c r="B3517" s="2" t="s">
        <v>671</v>
      </c>
      <c r="C3517" s="2" t="s">
        <v>7671</v>
      </c>
      <c r="D3517" s="2" t="s">
        <v>7672</v>
      </c>
      <c r="E3517" s="2" t="s">
        <v>20</v>
      </c>
      <c r="F3517" s="2">
        <v>4.0</v>
      </c>
      <c r="G3517" s="2">
        <v>201.0</v>
      </c>
      <c r="H3517" s="3" t="str">
        <f>HYPERLINK("http://ar.linkedin.com/pub/mariana-rial/A/5B3/439","http://ar.linkedin.com/pub/mariana-rial/A/5B3/439")</f>
        <v>http://ar.linkedin.com/pub/mariana-rial/A/5B3/439</v>
      </c>
      <c r="I3517" s="2" t="s">
        <v>57</v>
      </c>
      <c r="J3517" s="2" t="s">
        <v>21</v>
      </c>
      <c r="K3517" s="2" t="s">
        <v>5727</v>
      </c>
    </row>
    <row r="3518" ht="15.75" customHeight="1">
      <c r="A3518" s="2">
        <v>27222.0</v>
      </c>
      <c r="B3518" s="2" t="s">
        <v>7673</v>
      </c>
      <c r="C3518" s="2" t="s">
        <v>7674</v>
      </c>
      <c r="D3518" s="2" t="s">
        <v>7675</v>
      </c>
      <c r="E3518" s="2" t="s">
        <v>7676</v>
      </c>
      <c r="F3518" s="2">
        <v>8.0</v>
      </c>
      <c r="G3518" s="2">
        <v>500.0</v>
      </c>
      <c r="H3518" s="3" t="str">
        <f>HYPERLINK("http://www.linkedin.com/pub/angeles-destefano/6/37b/4a4","http://www.linkedin.com/pub/angeles-destefano/6/37b/4a4")</f>
        <v>http://www.linkedin.com/pub/angeles-destefano/6/37b/4a4</v>
      </c>
      <c r="I3518" s="2" t="s">
        <v>240</v>
      </c>
      <c r="J3518" s="2" t="s">
        <v>44</v>
      </c>
      <c r="K3518" s="2" t="s">
        <v>5727</v>
      </c>
    </row>
    <row r="3519" ht="15.75" customHeight="1">
      <c r="A3519" s="2">
        <v>27226.0</v>
      </c>
      <c r="B3519" s="2" t="s">
        <v>7677</v>
      </c>
      <c r="C3519" s="2" t="s">
        <v>6216</v>
      </c>
      <c r="D3519" s="2" t="s">
        <v>7678</v>
      </c>
      <c r="E3519" s="2" t="s">
        <v>20</v>
      </c>
      <c r="F3519" s="2">
        <v>56.0</v>
      </c>
      <c r="G3519" s="2">
        <v>500.0</v>
      </c>
      <c r="H3519" s="3" t="str">
        <f>HYPERLINK("http://www.linkedin.com/in/ricardohrodriguez","http://www.linkedin.com/in/ricardohrodriguez")</f>
        <v>http://www.linkedin.com/in/ricardohrodriguez</v>
      </c>
      <c r="I3519" s="2" t="s">
        <v>240</v>
      </c>
      <c r="J3519" s="2" t="s">
        <v>21</v>
      </c>
      <c r="K3519" s="2" t="s">
        <v>5727</v>
      </c>
    </row>
    <row r="3520" ht="15.75" customHeight="1">
      <c r="A3520" s="2">
        <v>27227.0</v>
      </c>
      <c r="B3520" s="2" t="s">
        <v>362</v>
      </c>
      <c r="C3520" s="2" t="s">
        <v>7679</v>
      </c>
      <c r="D3520" s="2" t="s">
        <v>7680</v>
      </c>
      <c r="E3520" s="2" t="s">
        <v>20</v>
      </c>
      <c r="F3520" s="2" t="s">
        <v>13</v>
      </c>
      <c r="G3520" s="2">
        <v>500.0</v>
      </c>
      <c r="H3520" s="3" t="str">
        <f>HYPERLINK("http://ar.linkedin.com/in/javieramorin","http://ar.linkedin.com/in/javieramorin")</f>
        <v>http://ar.linkedin.com/in/javieramorin</v>
      </c>
      <c r="I3520" s="2" t="s">
        <v>195</v>
      </c>
      <c r="J3520" s="2" t="s">
        <v>21</v>
      </c>
      <c r="K3520" s="2" t="s">
        <v>5727</v>
      </c>
    </row>
    <row r="3521" ht="15.75" customHeight="1">
      <c r="A3521" s="2">
        <v>27240.0</v>
      </c>
      <c r="B3521" s="2" t="s">
        <v>5883</v>
      </c>
      <c r="C3521" s="2" t="s">
        <v>7681</v>
      </c>
      <c r="D3521" s="2" t="s">
        <v>7682</v>
      </c>
      <c r="E3521" s="2" t="s">
        <v>20</v>
      </c>
      <c r="F3521" s="2">
        <v>1.0</v>
      </c>
      <c r="G3521" s="2">
        <v>500.0</v>
      </c>
      <c r="H3521" s="3" t="str">
        <f>HYPERLINK("http://ar.linkedin.com/pub/ariel-carrera/14/775/12B","http://ar.linkedin.com/pub/ariel-carrera/14/775/12B")</f>
        <v>http://ar.linkedin.com/pub/ariel-carrera/14/775/12B</v>
      </c>
      <c r="I3521" s="2" t="s">
        <v>231</v>
      </c>
      <c r="J3521" s="2" t="s">
        <v>21</v>
      </c>
      <c r="K3521" s="2" t="s">
        <v>5785</v>
      </c>
    </row>
    <row r="3522" ht="15.75" customHeight="1">
      <c r="A3522" s="2">
        <v>27251.0</v>
      </c>
      <c r="B3522" s="2" t="s">
        <v>7683</v>
      </c>
      <c r="C3522" s="2" t="s">
        <v>6896</v>
      </c>
      <c r="D3522" s="2" t="s">
        <v>7684</v>
      </c>
      <c r="E3522" s="2" t="s">
        <v>20</v>
      </c>
      <c r="F3522" s="2">
        <v>2.0</v>
      </c>
      <c r="G3522" s="2">
        <v>500.0</v>
      </c>
      <c r="H3522" s="3" t="str">
        <f>HYPERLINK("http://ar.linkedin.com/pub/andrea-isabel-castro/19/366/4A1","http://ar.linkedin.com/pub/andrea-isabel-castro/19/366/4A1")</f>
        <v>http://ar.linkedin.com/pub/andrea-isabel-castro/19/366/4A1</v>
      </c>
      <c r="I3522" s="2" t="s">
        <v>458</v>
      </c>
      <c r="J3522" s="2" t="s">
        <v>21</v>
      </c>
      <c r="K3522" s="2" t="s">
        <v>5727</v>
      </c>
    </row>
    <row r="3523" ht="15.75" customHeight="1">
      <c r="A3523" s="2">
        <v>27256.0</v>
      </c>
      <c r="B3523" s="2" t="s">
        <v>1499</v>
      </c>
      <c r="C3523" s="2" t="s">
        <v>7685</v>
      </c>
      <c r="D3523" s="2" t="s">
        <v>6297</v>
      </c>
      <c r="E3523" s="2" t="s">
        <v>20</v>
      </c>
      <c r="F3523" s="2">
        <v>5.0</v>
      </c>
      <c r="G3523" s="2">
        <v>500.0</v>
      </c>
      <c r="H3523" s="3" t="str">
        <f>HYPERLINK("http://ar.linkedin.com/in/adriarburu","http://ar.linkedin.com/in/adriarburu")</f>
        <v>http://ar.linkedin.com/in/adriarburu</v>
      </c>
      <c r="I3523" s="2" t="s">
        <v>105</v>
      </c>
      <c r="J3523" s="2" t="s">
        <v>21</v>
      </c>
      <c r="K3523" s="2" t="s">
        <v>5727</v>
      </c>
    </row>
    <row r="3524" ht="15.75" customHeight="1">
      <c r="A3524" s="2">
        <v>27263.0</v>
      </c>
      <c r="B3524" s="2" t="s">
        <v>329</v>
      </c>
      <c r="C3524" s="2" t="s">
        <v>7686</v>
      </c>
      <c r="D3524" s="2" t="s">
        <v>7687</v>
      </c>
      <c r="E3524" s="2" t="s">
        <v>20</v>
      </c>
      <c r="F3524" s="2">
        <v>10.0</v>
      </c>
      <c r="G3524" s="2">
        <v>500.0</v>
      </c>
      <c r="H3524" s="3" t="str">
        <f>HYPERLINK("http://ar.linkedin.com/in/juanpablocuntin","http://ar.linkedin.com/in/juanpablocuntin")</f>
        <v>http://ar.linkedin.com/in/juanpablocuntin</v>
      </c>
      <c r="I3524" s="2" t="s">
        <v>458</v>
      </c>
      <c r="J3524" s="2" t="s">
        <v>21</v>
      </c>
      <c r="K3524" s="2" t="s">
        <v>7688</v>
      </c>
    </row>
    <row r="3525" ht="15.75" customHeight="1">
      <c r="A3525" s="2">
        <v>27270.0</v>
      </c>
      <c r="B3525" s="2" t="s">
        <v>7689</v>
      </c>
      <c r="C3525" s="2" t="s">
        <v>6105</v>
      </c>
      <c r="D3525" s="2" t="s">
        <v>373</v>
      </c>
      <c r="E3525" s="2" t="s">
        <v>20</v>
      </c>
      <c r="F3525" s="2" t="s">
        <v>13</v>
      </c>
      <c r="G3525" s="2">
        <v>344.0</v>
      </c>
      <c r="H3525" s="3" t="str">
        <f>HYPERLINK("http://ar.linkedin.com/pub/maria-fernanda-aguirre/B/196/A20","http://ar.linkedin.com/pub/maria-fernanda-aguirre/B/196/A20")</f>
        <v>http://ar.linkedin.com/pub/maria-fernanda-aguirre/B/196/A20</v>
      </c>
      <c r="I3525" s="2" t="s">
        <v>458</v>
      </c>
      <c r="J3525" s="2" t="s">
        <v>21</v>
      </c>
      <c r="K3525" s="2" t="s">
        <v>5734</v>
      </c>
    </row>
    <row r="3526" ht="15.75" customHeight="1">
      <c r="A3526" s="2">
        <v>27278.0</v>
      </c>
      <c r="B3526" s="2" t="s">
        <v>1296</v>
      </c>
      <c r="C3526" s="2" t="s">
        <v>265</v>
      </c>
      <c r="D3526" s="2" t="s">
        <v>7690</v>
      </c>
      <c r="E3526" s="2" t="s">
        <v>20</v>
      </c>
      <c r="F3526" s="2">
        <v>15.0</v>
      </c>
      <c r="G3526" s="2">
        <v>500.0</v>
      </c>
      <c r="H3526" s="3" t="str">
        <f>HYPERLINK("http://ar.linkedin.com/pub/andrea-ruiz/9/80B/A","http://ar.linkedin.com/pub/andrea-ruiz/9/80B/A")</f>
        <v>http://ar.linkedin.com/pub/andrea-ruiz/9/80B/A</v>
      </c>
      <c r="I3526" s="2" t="s">
        <v>458</v>
      </c>
      <c r="J3526" s="2" t="s">
        <v>21</v>
      </c>
      <c r="K3526" s="2" t="s">
        <v>5727</v>
      </c>
    </row>
    <row r="3527" ht="15.75" customHeight="1">
      <c r="A3527" s="2">
        <v>27283.0</v>
      </c>
      <c r="B3527" s="2" t="s">
        <v>7691</v>
      </c>
      <c r="C3527" s="2" t="s">
        <v>7692</v>
      </c>
      <c r="D3527" s="2" t="s">
        <v>7693</v>
      </c>
      <c r="E3527" s="2" t="s">
        <v>20</v>
      </c>
      <c r="F3527" s="2" t="s">
        <v>13</v>
      </c>
      <c r="G3527" s="2">
        <v>500.0</v>
      </c>
      <c r="H3527" s="3" t="str">
        <f>HYPERLINK("http://ar.linkedin.com/pub/human-links-consultores/22/7B1/6B","http://ar.linkedin.com/pub/human-links-consultores/22/7B1/6B")</f>
        <v>http://ar.linkedin.com/pub/human-links-consultores/22/7B1/6B</v>
      </c>
      <c r="I3527" s="2" t="s">
        <v>458</v>
      </c>
      <c r="J3527" s="2" t="s">
        <v>21</v>
      </c>
      <c r="K3527" s="2" t="s">
        <v>5734</v>
      </c>
    </row>
    <row r="3528" ht="15.75" customHeight="1">
      <c r="A3528" s="2">
        <v>27297.0</v>
      </c>
      <c r="B3528" s="2" t="s">
        <v>7694</v>
      </c>
      <c r="C3528" s="2" t="s">
        <v>7695</v>
      </c>
      <c r="D3528" s="2" t="s">
        <v>6848</v>
      </c>
      <c r="E3528" s="2" t="s">
        <v>20</v>
      </c>
      <c r="F3528" s="2">
        <v>1.0</v>
      </c>
      <c r="G3528" s="2">
        <v>500.0</v>
      </c>
      <c r="H3528" s="3" t="str">
        <f>HYPERLINK("http://ar.linkedin.com/pub/rosario-cornejo/28/954/832","http://ar.linkedin.com/pub/rosario-cornejo/28/954/832")</f>
        <v>http://ar.linkedin.com/pub/rosario-cornejo/28/954/832</v>
      </c>
      <c r="I3528" s="2" t="s">
        <v>458</v>
      </c>
      <c r="J3528" s="2" t="s">
        <v>21</v>
      </c>
      <c r="K3528" s="2" t="s">
        <v>5734</v>
      </c>
    </row>
    <row r="3529" ht="15.75" customHeight="1">
      <c r="A3529" s="2">
        <v>27298.0</v>
      </c>
      <c r="B3529" s="2" t="s">
        <v>7696</v>
      </c>
      <c r="C3529" s="2" t="s">
        <v>7697</v>
      </c>
      <c r="D3529" s="2" t="s">
        <v>6730</v>
      </c>
      <c r="E3529" s="2" t="s">
        <v>20</v>
      </c>
      <c r="F3529" s="2">
        <v>9.0</v>
      </c>
      <c r="G3529" s="2">
        <v>500.0</v>
      </c>
      <c r="H3529" s="3" t="str">
        <f>HYPERLINK("http://ar.linkedin.com/pub/nicol%C3%A1s-h-antelo/B/8B5/963","http://ar.linkedin.com/pub/nicol%C3%A1s-h-antelo/B/8B5/963")</f>
        <v>http://ar.linkedin.com/pub/nicol%C3%A1s-h-antelo/B/8B5/963</v>
      </c>
      <c r="I3529" s="2" t="s">
        <v>910</v>
      </c>
      <c r="J3529" s="2" t="s">
        <v>21</v>
      </c>
      <c r="K3529" s="2" t="s">
        <v>5727</v>
      </c>
    </row>
    <row r="3530" ht="15.75" customHeight="1">
      <c r="A3530" s="2">
        <v>27309.0</v>
      </c>
      <c r="B3530" s="2" t="s">
        <v>7698</v>
      </c>
      <c r="C3530" s="2" t="s">
        <v>7699</v>
      </c>
      <c r="D3530" s="2" t="s">
        <v>7700</v>
      </c>
      <c r="E3530" s="2" t="s">
        <v>20</v>
      </c>
      <c r="F3530" s="2" t="s">
        <v>13</v>
      </c>
      <c r="G3530" s="2">
        <v>500.0</v>
      </c>
      <c r="H3530" s="3" t="str">
        <f>HYPERLINK("http://ar.linkedin.com/pub/melisa-aguiar/28/335/51B","http://ar.linkedin.com/pub/melisa-aguiar/28/335/51B")</f>
        <v>http://ar.linkedin.com/pub/melisa-aguiar/28/335/51B</v>
      </c>
      <c r="I3530" s="2" t="s">
        <v>458</v>
      </c>
      <c r="J3530" s="2" t="s">
        <v>21</v>
      </c>
      <c r="K3530" s="2" t="s">
        <v>5734</v>
      </c>
    </row>
    <row r="3531" ht="15.75" customHeight="1">
      <c r="A3531" s="2">
        <v>27333.0</v>
      </c>
      <c r="B3531" s="2" t="s">
        <v>1296</v>
      </c>
      <c r="C3531" s="2" t="s">
        <v>7701</v>
      </c>
      <c r="D3531" s="2" t="s">
        <v>7702</v>
      </c>
      <c r="E3531" s="2" t="s">
        <v>836</v>
      </c>
      <c r="F3531" s="2">
        <v>12.0</v>
      </c>
      <c r="G3531" s="2">
        <v>500.0</v>
      </c>
      <c r="H3531" s="3" t="str">
        <f>HYPERLINK("http://ar.linkedin.com/in/andreaarguello","http://ar.linkedin.com/in/andreaarguello")</f>
        <v>http://ar.linkedin.com/in/andreaarguello</v>
      </c>
      <c r="I3531" s="2" t="s">
        <v>458</v>
      </c>
      <c r="J3531" s="2" t="s">
        <v>837</v>
      </c>
      <c r="K3531" s="2" t="s">
        <v>5727</v>
      </c>
    </row>
    <row r="3532" ht="15.75" customHeight="1">
      <c r="A3532" s="2">
        <v>27338.0</v>
      </c>
      <c r="B3532" s="2" t="s">
        <v>6622</v>
      </c>
      <c r="C3532" s="2" t="s">
        <v>7703</v>
      </c>
      <c r="D3532" s="2" t="s">
        <v>7704</v>
      </c>
      <c r="E3532" s="2" t="s">
        <v>20</v>
      </c>
      <c r="F3532" s="2" t="s">
        <v>13</v>
      </c>
      <c r="G3532" s="2">
        <v>81.0</v>
      </c>
      <c r="H3532" s="3" t="str">
        <f>HYPERLINK("http://ar.linkedin.com/pub/patricio-mahon/24/270/21B","http://ar.linkedin.com/pub/patricio-mahon/24/270/21B")</f>
        <v>http://ar.linkedin.com/pub/patricio-mahon/24/270/21B</v>
      </c>
      <c r="I3532" s="2" t="s">
        <v>458</v>
      </c>
      <c r="J3532" s="2" t="s">
        <v>21</v>
      </c>
      <c r="K3532" s="2" t="s">
        <v>5734</v>
      </c>
    </row>
    <row r="3533" ht="15.75" customHeight="1">
      <c r="A3533" s="2">
        <v>27362.0</v>
      </c>
      <c r="B3533" s="2" t="s">
        <v>5799</v>
      </c>
      <c r="C3533" s="2" t="s">
        <v>7705</v>
      </c>
      <c r="D3533" s="2" t="s">
        <v>13</v>
      </c>
      <c r="E3533" s="2" t="s">
        <v>20</v>
      </c>
      <c r="F3533" s="2">
        <v>5.0</v>
      </c>
      <c r="G3533" s="2">
        <v>342.0</v>
      </c>
      <c r="H3533" s="3" t="str">
        <f>HYPERLINK("http://www.linkedin.com/pub/carlos-gustavo-nervi-quiroga/28/405/979","http://www.linkedin.com/pub/carlos-gustavo-nervi-quiroga/28/405/979")</f>
        <v>http://www.linkedin.com/pub/carlos-gustavo-nervi-quiroga/28/405/979</v>
      </c>
      <c r="I3533" s="2" t="s">
        <v>231</v>
      </c>
      <c r="J3533" s="2" t="s">
        <v>21</v>
      </c>
      <c r="K3533" s="2" t="s">
        <v>5727</v>
      </c>
    </row>
    <row r="3534" ht="15.75" customHeight="1">
      <c r="A3534" s="2">
        <v>27372.0</v>
      </c>
      <c r="B3534" s="2" t="s">
        <v>3201</v>
      </c>
      <c r="C3534" s="2" t="s">
        <v>7706</v>
      </c>
      <c r="D3534" s="2" t="s">
        <v>7707</v>
      </c>
      <c r="E3534" s="2" t="s">
        <v>20</v>
      </c>
      <c r="F3534" s="2">
        <v>2.0</v>
      </c>
      <c r="G3534" s="2">
        <v>459.0</v>
      </c>
      <c r="H3534" s="3" t="str">
        <f>HYPERLINK("http://ar.linkedin.com/in/sebastiangorgas","http://ar.linkedin.com/in/sebastiangorgas")</f>
        <v>http://ar.linkedin.com/in/sebastiangorgas</v>
      </c>
      <c r="I3534" s="2" t="s">
        <v>231</v>
      </c>
      <c r="J3534" s="2" t="s">
        <v>21</v>
      </c>
      <c r="K3534" s="2" t="s">
        <v>5743</v>
      </c>
    </row>
    <row r="3535" ht="15.75" customHeight="1">
      <c r="A3535" s="2">
        <v>27388.0</v>
      </c>
      <c r="B3535" s="2" t="s">
        <v>4503</v>
      </c>
      <c r="C3535" s="2" t="s">
        <v>7708</v>
      </c>
      <c r="D3535" s="2" t="s">
        <v>13</v>
      </c>
      <c r="E3535" s="2" t="s">
        <v>20</v>
      </c>
      <c r="F3535" s="2">
        <v>0.0</v>
      </c>
      <c r="G3535" s="2">
        <v>399.0</v>
      </c>
      <c r="H3535" s="3" t="str">
        <f>HYPERLINK("http://www.linkedin.com/pub/fernanda-garrone/2b/5b3/263","http://www.linkedin.com/pub/fernanda-garrone/2b/5b3/263")</f>
        <v>http://www.linkedin.com/pub/fernanda-garrone/2b/5b3/263</v>
      </c>
      <c r="I3535" s="2" t="s">
        <v>458</v>
      </c>
      <c r="J3535" s="2" t="s">
        <v>21</v>
      </c>
      <c r="K3535" s="2" t="s">
        <v>5734</v>
      </c>
    </row>
    <row r="3536" ht="15.75" customHeight="1">
      <c r="A3536" s="2">
        <v>27439.0</v>
      </c>
      <c r="B3536" s="2" t="s">
        <v>7709</v>
      </c>
      <c r="C3536" s="2" t="s">
        <v>7710</v>
      </c>
      <c r="D3536" s="2" t="s">
        <v>7711</v>
      </c>
      <c r="E3536" s="2" t="s">
        <v>20</v>
      </c>
      <c r="F3536" s="2">
        <v>4.0</v>
      </c>
      <c r="G3536" s="2">
        <v>500.0</v>
      </c>
      <c r="H3536" s="3" t="str">
        <f>HYPERLINK("http://www.linkedin.com/in/danielmerayo","http://www.linkedin.com/in/danielmerayo")</f>
        <v>http://www.linkedin.com/in/danielmerayo</v>
      </c>
      <c r="I3536" s="2" t="s">
        <v>231</v>
      </c>
      <c r="J3536" s="2" t="s">
        <v>21</v>
      </c>
      <c r="K3536" s="2" t="s">
        <v>5727</v>
      </c>
    </row>
    <row r="3537" ht="15.75" customHeight="1">
      <c r="A3537" s="2">
        <v>27440.0</v>
      </c>
      <c r="B3537" s="2" t="s">
        <v>5078</v>
      </c>
      <c r="C3537" s="2" t="s">
        <v>4264</v>
      </c>
      <c r="D3537" s="2" t="s">
        <v>7712</v>
      </c>
      <c r="E3537" s="2" t="s">
        <v>20</v>
      </c>
      <c r="F3537" s="2">
        <v>4.0</v>
      </c>
      <c r="G3537" s="2">
        <v>500.0</v>
      </c>
      <c r="H3537" s="3" t="str">
        <f>HYPERLINK("http://www.linkedin.com/in/diegolionelgonzalez","http://www.linkedin.com/in/diegolionelgonzalez")</f>
        <v>http://www.linkedin.com/in/diegolionelgonzalez</v>
      </c>
      <c r="I3537" s="2" t="s">
        <v>458</v>
      </c>
      <c r="J3537" s="2" t="s">
        <v>21</v>
      </c>
      <c r="K3537" s="2" t="s">
        <v>5727</v>
      </c>
    </row>
    <row r="3538" ht="15.75" customHeight="1">
      <c r="A3538" s="2">
        <v>27448.0</v>
      </c>
      <c r="B3538" s="2" t="s">
        <v>314</v>
      </c>
      <c r="C3538" s="2" t="s">
        <v>7713</v>
      </c>
      <c r="D3538" s="2" t="s">
        <v>13</v>
      </c>
      <c r="E3538" s="2" t="s">
        <v>20</v>
      </c>
      <c r="F3538" s="2">
        <v>0.0</v>
      </c>
      <c r="G3538" s="2">
        <v>388.0</v>
      </c>
      <c r="H3538" s="3" t="str">
        <f>HYPERLINK("http://www.linkedin.com/pub/marcos-radic/21/a/623","http://www.linkedin.com/pub/marcos-radic/21/a/623")</f>
        <v>http://www.linkedin.com/pub/marcos-radic/21/a/623</v>
      </c>
      <c r="I3538" s="2" t="s">
        <v>458</v>
      </c>
      <c r="J3538" s="2" t="s">
        <v>21</v>
      </c>
      <c r="K3538" s="2" t="s">
        <v>5734</v>
      </c>
    </row>
    <row r="3539" ht="15.75" customHeight="1">
      <c r="A3539" s="2">
        <v>27455.0</v>
      </c>
      <c r="B3539" s="2" t="s">
        <v>6432</v>
      </c>
      <c r="C3539" s="2" t="s">
        <v>7714</v>
      </c>
      <c r="D3539" s="2" t="s">
        <v>7715</v>
      </c>
      <c r="E3539" s="2" t="s">
        <v>20</v>
      </c>
      <c r="F3539" s="2">
        <v>7.0</v>
      </c>
      <c r="G3539" s="2">
        <v>314.0</v>
      </c>
      <c r="H3539" s="3" t="str">
        <f>HYPERLINK("http://www.linkedin.com/pub/marcela-nuccaro/11/b8b/a2","http://www.linkedin.com/pub/marcela-nuccaro/11/b8b/a2")</f>
        <v>http://www.linkedin.com/pub/marcela-nuccaro/11/b8b/a2</v>
      </c>
      <c r="I3539" s="2" t="s">
        <v>458</v>
      </c>
      <c r="J3539" s="2" t="s">
        <v>21</v>
      </c>
      <c r="K3539" s="2" t="s">
        <v>5727</v>
      </c>
    </row>
    <row r="3540" ht="15.75" customHeight="1">
      <c r="A3540" s="2">
        <v>27462.0</v>
      </c>
      <c r="B3540" s="2" t="s">
        <v>5945</v>
      </c>
      <c r="C3540" s="2" t="s">
        <v>7716</v>
      </c>
      <c r="D3540" s="2" t="s">
        <v>7717</v>
      </c>
      <c r="E3540" s="2" t="s">
        <v>20</v>
      </c>
      <c r="F3540" s="2" t="s">
        <v>13</v>
      </c>
      <c r="G3540" s="2">
        <v>500.0</v>
      </c>
      <c r="H3540" s="3" t="str">
        <f>HYPERLINK("http://ar.linkedin.com/in/roxana73","http://ar.linkedin.com/in/roxana73")</f>
        <v>http://ar.linkedin.com/in/roxana73</v>
      </c>
      <c r="I3540" s="2" t="s">
        <v>4727</v>
      </c>
      <c r="J3540" s="2" t="s">
        <v>21</v>
      </c>
      <c r="K3540" s="2" t="s">
        <v>5848</v>
      </c>
    </row>
    <row r="3541" ht="15.75" customHeight="1">
      <c r="A3541" s="2">
        <v>27465.0</v>
      </c>
      <c r="B3541" s="2" t="s">
        <v>7718</v>
      </c>
      <c r="C3541" s="2" t="s">
        <v>13</v>
      </c>
      <c r="D3541" s="2" t="s">
        <v>13</v>
      </c>
      <c r="E3541" s="2" t="s">
        <v>20</v>
      </c>
      <c r="F3541" s="2">
        <v>0.0</v>
      </c>
      <c r="G3541" s="2">
        <v>483.0</v>
      </c>
      <c r="H3541" s="3" t="str">
        <f>HYPERLINK("http://www.linkedin.com/pub/paula-patrignani/15/43/33","http://www.linkedin.com/pub/paula-patrignani/15/43/33")</f>
        <v>http://www.linkedin.com/pub/paula-patrignani/15/43/33</v>
      </c>
      <c r="I3541" s="2" t="s">
        <v>458</v>
      </c>
      <c r="J3541" s="2" t="s">
        <v>21</v>
      </c>
      <c r="K3541" s="2" t="s">
        <v>5734</v>
      </c>
    </row>
    <row r="3542" ht="15.75" customHeight="1">
      <c r="A3542" s="2">
        <v>27473.0</v>
      </c>
      <c r="B3542" s="2" t="s">
        <v>7719</v>
      </c>
      <c r="C3542" s="2" t="s">
        <v>7720</v>
      </c>
      <c r="D3542" s="2" t="s">
        <v>7721</v>
      </c>
      <c r="E3542" s="2" t="s">
        <v>20</v>
      </c>
      <c r="F3542" s="2">
        <v>3.0</v>
      </c>
      <c r="G3542" s="2">
        <v>240.0</v>
      </c>
      <c r="H3542" s="3" t="str">
        <f>HYPERLINK("http://ar.linkedin.com/pub/eliana-garzia/16/A91/B34","http://ar.linkedin.com/pub/eliana-garzia/16/A91/B34")</f>
        <v>http://ar.linkedin.com/pub/eliana-garzia/16/A91/B34</v>
      </c>
      <c r="I3542" s="2" t="s">
        <v>470</v>
      </c>
      <c r="J3542" s="2" t="s">
        <v>21</v>
      </c>
      <c r="K3542" s="2" t="s">
        <v>5727</v>
      </c>
    </row>
    <row r="3543" ht="15.75" customHeight="1">
      <c r="A3543" s="2">
        <v>27492.0</v>
      </c>
      <c r="B3543" s="2" t="s">
        <v>609</v>
      </c>
      <c r="C3543" s="2" t="s">
        <v>7722</v>
      </c>
      <c r="D3543" s="2" t="s">
        <v>7723</v>
      </c>
      <c r="E3543" s="2" t="s">
        <v>20</v>
      </c>
      <c r="F3543" s="2">
        <v>3.0</v>
      </c>
      <c r="G3543" s="2">
        <v>391.0</v>
      </c>
      <c r="H3543" s="3" t="str">
        <f>HYPERLINK("http://ar.linkedin.com/in/ricardoagra","http://ar.linkedin.com/in/ricardoagra")</f>
        <v>http://ar.linkedin.com/in/ricardoagra</v>
      </c>
      <c r="I3543" s="2" t="s">
        <v>579</v>
      </c>
      <c r="J3543" s="2" t="s">
        <v>21</v>
      </c>
      <c r="K3543" s="2" t="s">
        <v>5743</v>
      </c>
    </row>
    <row r="3544" ht="15.75" customHeight="1">
      <c r="A3544" s="2">
        <v>27496.0</v>
      </c>
      <c r="B3544" s="2" t="s">
        <v>7724</v>
      </c>
      <c r="C3544" s="2" t="s">
        <v>7725</v>
      </c>
      <c r="D3544" s="2" t="s">
        <v>7726</v>
      </c>
      <c r="E3544" s="2" t="s">
        <v>20</v>
      </c>
      <c r="F3544" s="2">
        <v>3.0</v>
      </c>
      <c r="G3544" s="2">
        <v>500.0</v>
      </c>
      <c r="H3544" s="3" t="str">
        <f>HYPERLINK("http://ar.linkedin.com/pub/lara-yepes/5/64B/B04","http://ar.linkedin.com/pub/lara-yepes/5/64B/B04")</f>
        <v>http://ar.linkedin.com/pub/lara-yepes/5/64B/B04</v>
      </c>
      <c r="I3544" s="2" t="s">
        <v>579</v>
      </c>
      <c r="J3544" s="2" t="s">
        <v>21</v>
      </c>
      <c r="K3544" s="2" t="s">
        <v>5731</v>
      </c>
    </row>
    <row r="3545" ht="15.75" customHeight="1">
      <c r="A3545" s="2">
        <v>27499.0</v>
      </c>
      <c r="B3545" s="2" t="s">
        <v>7727</v>
      </c>
      <c r="C3545" s="2" t="s">
        <v>59</v>
      </c>
      <c r="D3545" s="2" t="s">
        <v>7728</v>
      </c>
      <c r="E3545" s="2" t="s">
        <v>20</v>
      </c>
      <c r="F3545" s="2">
        <v>11.0</v>
      </c>
      <c r="G3545" s="2">
        <v>500.0</v>
      </c>
      <c r="H3545" s="3" t="str">
        <f>HYPERLINK("http://ar.linkedin.com/pub/hernan-diego-martin/5/76A/903","http://ar.linkedin.com/pub/hernan-diego-martin/5/76A/903")</f>
        <v>http://ar.linkedin.com/pub/hernan-diego-martin/5/76A/903</v>
      </c>
      <c r="I3545" s="2" t="s">
        <v>579</v>
      </c>
      <c r="J3545" s="2" t="s">
        <v>21</v>
      </c>
      <c r="K3545" s="2" t="s">
        <v>7058</v>
      </c>
    </row>
    <row r="3546" ht="15.75" customHeight="1">
      <c r="A3546" s="2">
        <v>27501.0</v>
      </c>
      <c r="B3546" s="2" t="s">
        <v>7729</v>
      </c>
      <c r="C3546" s="2" t="s">
        <v>206</v>
      </c>
      <c r="D3546" s="2" t="s">
        <v>7730</v>
      </c>
      <c r="E3546" s="2" t="s">
        <v>20</v>
      </c>
      <c r="F3546" s="2">
        <v>11.0</v>
      </c>
      <c r="G3546" s="2">
        <v>252.0</v>
      </c>
      <c r="H3546" s="3" t="str">
        <f>HYPERLINK("http://ar.linkedin.com/pub/zulema-garcia/7/716/350","http://ar.linkedin.com/pub/zulema-garcia/7/716/350")</f>
        <v>http://ar.linkedin.com/pub/zulema-garcia/7/716/350</v>
      </c>
      <c r="I3546" s="2" t="s">
        <v>57</v>
      </c>
      <c r="J3546" s="2" t="s">
        <v>21</v>
      </c>
      <c r="K3546" s="2" t="s">
        <v>5727</v>
      </c>
    </row>
    <row r="3547" ht="15.75" customHeight="1">
      <c r="A3547" s="2">
        <v>27504.0</v>
      </c>
      <c r="B3547" s="2" t="s">
        <v>82</v>
      </c>
      <c r="C3547" s="2" t="s">
        <v>7731</v>
      </c>
      <c r="D3547" s="2" t="s">
        <v>7732</v>
      </c>
      <c r="E3547" s="2" t="s">
        <v>20</v>
      </c>
      <c r="F3547" s="2" t="s">
        <v>13</v>
      </c>
      <c r="G3547" s="2">
        <v>117.0</v>
      </c>
      <c r="H3547" s="3" t="str">
        <f>HYPERLINK("http://ar.linkedin.com/pub/sonia-loizaga/10/B43/6A7","http://ar.linkedin.com/pub/sonia-loizaga/10/B43/6A7")</f>
        <v>http://ar.linkedin.com/pub/sonia-loizaga/10/B43/6A7</v>
      </c>
      <c r="I3547" s="2" t="s">
        <v>458</v>
      </c>
      <c r="J3547" s="2" t="s">
        <v>21</v>
      </c>
      <c r="K3547" s="2" t="s">
        <v>5734</v>
      </c>
    </row>
    <row r="3548" ht="15.75" customHeight="1">
      <c r="A3548" s="2">
        <v>27512.0</v>
      </c>
      <c r="B3548" s="2" t="s">
        <v>7733</v>
      </c>
      <c r="C3548" s="2" t="s">
        <v>7734</v>
      </c>
      <c r="D3548" s="2" t="s">
        <v>13</v>
      </c>
      <c r="E3548" s="2" t="s">
        <v>20</v>
      </c>
      <c r="F3548" s="2">
        <v>0.0</v>
      </c>
      <c r="G3548" s="2">
        <v>500.0</v>
      </c>
      <c r="H3548" s="3" t="str">
        <f>HYPERLINK("http://www.linkedin.com/pub/ana-julia-kechichian/8/374/426","http://www.linkedin.com/pub/ana-julia-kechichian/8/374/426")</f>
        <v>http://www.linkedin.com/pub/ana-julia-kechichian/8/374/426</v>
      </c>
      <c r="I3548" s="2" t="s">
        <v>458</v>
      </c>
      <c r="J3548" s="2" t="s">
        <v>21</v>
      </c>
      <c r="K3548" s="2" t="s">
        <v>5734</v>
      </c>
    </row>
    <row r="3549" ht="15.75" customHeight="1">
      <c r="A3549" s="2">
        <v>27518.0</v>
      </c>
      <c r="B3549" s="2" t="s">
        <v>6467</v>
      </c>
      <c r="C3549" s="2" t="s">
        <v>7735</v>
      </c>
      <c r="D3549" s="2" t="s">
        <v>13</v>
      </c>
      <c r="E3549" s="2" t="s">
        <v>20</v>
      </c>
      <c r="F3549" s="2">
        <v>0.0</v>
      </c>
      <c r="G3549" s="2">
        <v>500.0</v>
      </c>
      <c r="H3549" s="3" t="str">
        <f>HYPERLINK("http://www.linkedin.com/pub/florencia-labaronnie/21/b23/a30","http://www.linkedin.com/pub/florencia-labaronnie/21/b23/a30")</f>
        <v>http://www.linkedin.com/pub/florencia-labaronnie/21/b23/a30</v>
      </c>
      <c r="I3549" s="2" t="s">
        <v>458</v>
      </c>
      <c r="J3549" s="2" t="s">
        <v>21</v>
      </c>
      <c r="K3549" s="2" t="s">
        <v>5727</v>
      </c>
    </row>
    <row r="3550" ht="15.75" customHeight="1">
      <c r="A3550" s="2">
        <v>27536.0</v>
      </c>
      <c r="B3550" s="2" t="s">
        <v>7736</v>
      </c>
      <c r="C3550" s="2" t="s">
        <v>7737</v>
      </c>
      <c r="D3550" s="2" t="s">
        <v>13</v>
      </c>
      <c r="E3550" s="2" t="s">
        <v>5213</v>
      </c>
      <c r="F3550" s="2">
        <v>0.0</v>
      </c>
      <c r="G3550" s="2">
        <v>500.0</v>
      </c>
      <c r="H3550" s="3" t="str">
        <f>HYPERLINK("http://www.linkedin.com/pub/mia-ferolito-mba-phr-shrm-cp-cdr/3/906/b19","http://www.linkedin.com/pub/mia-ferolito-mba-phr-shrm-cp-cdr/3/906/b19")</f>
        <v>http://www.linkedin.com/pub/mia-ferolito-mba-phr-shrm-cp-cdr/3/906/b19</v>
      </c>
      <c r="I3550" s="2" t="s">
        <v>458</v>
      </c>
      <c r="J3550" s="2" t="s">
        <v>102</v>
      </c>
      <c r="K3550" s="2" t="s">
        <v>6118</v>
      </c>
    </row>
    <row r="3551" ht="15.75" customHeight="1">
      <c r="A3551" s="2">
        <v>27552.0</v>
      </c>
      <c r="B3551" s="2" t="s">
        <v>7738</v>
      </c>
      <c r="C3551" s="2" t="s">
        <v>965</v>
      </c>
      <c r="D3551" s="2" t="s">
        <v>4224</v>
      </c>
      <c r="E3551" s="2" t="s">
        <v>20</v>
      </c>
      <c r="F3551" s="2" t="s">
        <v>13</v>
      </c>
      <c r="G3551" s="2">
        <v>151.0</v>
      </c>
      <c r="H3551" s="3" t="str">
        <f>HYPERLINK("http://ar.linkedin.com/in/hilenjordan","http://ar.linkedin.com/in/hilenjordan")</f>
        <v>http://ar.linkedin.com/in/hilenjordan</v>
      </c>
      <c r="I3551" s="2" t="s">
        <v>48</v>
      </c>
      <c r="J3551" s="2" t="s">
        <v>21</v>
      </c>
      <c r="K3551" s="2" t="s">
        <v>5725</v>
      </c>
    </row>
    <row r="3552" ht="15.75" customHeight="1">
      <c r="A3552" s="2">
        <v>27560.0</v>
      </c>
      <c r="B3552" s="2" t="s">
        <v>431</v>
      </c>
      <c r="C3552" s="2" t="s">
        <v>6168</v>
      </c>
      <c r="D3552" s="2" t="s">
        <v>6260</v>
      </c>
      <c r="E3552" s="2" t="s">
        <v>20</v>
      </c>
      <c r="F3552" s="2" t="s">
        <v>13</v>
      </c>
      <c r="G3552" s="2">
        <v>170.0</v>
      </c>
      <c r="H3552" s="3" t="str">
        <f>HYPERLINK("http://ar.linkedin.com/pub/rodrigo-vidal/31/105/746","http://ar.linkedin.com/pub/rodrigo-vidal/31/105/746")</f>
        <v>http://ar.linkedin.com/pub/rodrigo-vidal/31/105/746</v>
      </c>
      <c r="I3552" s="2" t="s">
        <v>15</v>
      </c>
      <c r="J3552" s="2" t="s">
        <v>21</v>
      </c>
      <c r="K3552" s="2" t="s">
        <v>6280</v>
      </c>
    </row>
    <row r="3553" ht="15.75" customHeight="1">
      <c r="A3553" s="2">
        <v>27569.0</v>
      </c>
      <c r="B3553" s="2" t="s">
        <v>7739</v>
      </c>
      <c r="C3553" s="2" t="s">
        <v>5924</v>
      </c>
      <c r="D3553" s="2" t="s">
        <v>6260</v>
      </c>
      <c r="E3553" s="2" t="s">
        <v>20</v>
      </c>
      <c r="F3553" s="2">
        <v>1.0</v>
      </c>
      <c r="G3553" s="2">
        <v>371.0</v>
      </c>
      <c r="H3553" s="3" t="str">
        <f>HYPERLINK("http://www.linkedin.com/pub/ramiro-matias-alonso/10/480/a30","http://www.linkedin.com/pub/ramiro-matias-alonso/10/480/a30")</f>
        <v>http://www.linkedin.com/pub/ramiro-matias-alonso/10/480/a30</v>
      </c>
      <c r="I3553" s="2" t="s">
        <v>77</v>
      </c>
      <c r="J3553" s="2" t="s">
        <v>21</v>
      </c>
      <c r="K3553" s="2" t="s">
        <v>5848</v>
      </c>
    </row>
    <row r="3554" ht="15.75" customHeight="1">
      <c r="A3554" s="2">
        <v>27576.0</v>
      </c>
      <c r="B3554" s="2" t="s">
        <v>1499</v>
      </c>
      <c r="C3554" s="2" t="s">
        <v>7740</v>
      </c>
      <c r="D3554" s="2" t="s">
        <v>7741</v>
      </c>
      <c r="E3554" s="2" t="s">
        <v>20</v>
      </c>
      <c r="F3554" s="2" t="s">
        <v>13</v>
      </c>
      <c r="G3554" s="2">
        <v>160.0</v>
      </c>
      <c r="H3554" s="3" t="str">
        <f>HYPERLINK("http://ar.linkedin.com/pub/adrian-lambardi/A/95/692","http://ar.linkedin.com/pub/adrian-lambardi/A/95/692")</f>
        <v>http://ar.linkedin.com/pub/adrian-lambardi/A/95/692</v>
      </c>
      <c r="I3554" s="2" t="s">
        <v>15</v>
      </c>
      <c r="J3554" s="2" t="s">
        <v>21</v>
      </c>
      <c r="K3554" s="2" t="s">
        <v>6124</v>
      </c>
    </row>
    <row r="3555" ht="15.75" customHeight="1">
      <c r="A3555" s="2">
        <v>27606.0</v>
      </c>
      <c r="B3555" s="2" t="s">
        <v>201</v>
      </c>
      <c r="C3555" s="2" t="s">
        <v>7742</v>
      </c>
      <c r="D3555" s="2" t="s">
        <v>7743</v>
      </c>
      <c r="E3555" s="2" t="s">
        <v>20</v>
      </c>
      <c r="F3555" s="2">
        <v>3.0</v>
      </c>
      <c r="G3555" s="2">
        <v>250.0</v>
      </c>
      <c r="H3555" s="3" t="str">
        <f>HYPERLINK("http://ar.linkedin.com/in/nataliaravale","http://ar.linkedin.com/in/nataliaravale")</f>
        <v>http://ar.linkedin.com/in/nataliaravale</v>
      </c>
      <c r="I3555" s="2" t="s">
        <v>77</v>
      </c>
      <c r="J3555" s="2" t="s">
        <v>21</v>
      </c>
      <c r="K3555" s="2" t="s">
        <v>5731</v>
      </c>
    </row>
    <row r="3556" ht="15.75" customHeight="1">
      <c r="A3556" s="2">
        <v>27627.0</v>
      </c>
      <c r="B3556" s="2" t="s">
        <v>7744</v>
      </c>
      <c r="C3556" s="2" t="s">
        <v>7745</v>
      </c>
      <c r="D3556" s="2" t="s">
        <v>7746</v>
      </c>
      <c r="E3556" s="2" t="s">
        <v>20</v>
      </c>
      <c r="F3556" s="2">
        <v>1.0</v>
      </c>
      <c r="G3556" s="2">
        <v>398.0</v>
      </c>
      <c r="H3556" s="3" t="str">
        <f>HYPERLINK("http://ar.linkedin.com/in/oscarferre","http://ar.linkedin.com/in/oscarferre")</f>
        <v>http://ar.linkedin.com/in/oscarferre</v>
      </c>
      <c r="I3556" s="2" t="s">
        <v>77</v>
      </c>
      <c r="J3556" s="2" t="s">
        <v>21</v>
      </c>
      <c r="K3556" s="2" t="s">
        <v>5848</v>
      </c>
    </row>
    <row r="3557" ht="15.75" customHeight="1">
      <c r="A3557" s="2">
        <v>27639.0</v>
      </c>
      <c r="B3557" s="2" t="s">
        <v>152</v>
      </c>
      <c r="C3557" s="2" t="s">
        <v>7747</v>
      </c>
      <c r="D3557" s="2" t="s">
        <v>6872</v>
      </c>
      <c r="E3557" s="2" t="s">
        <v>20</v>
      </c>
      <c r="F3557" s="2">
        <v>2.0</v>
      </c>
      <c r="G3557" s="2">
        <v>290.0</v>
      </c>
      <c r="H3557" s="3" t="str">
        <f>HYPERLINK("http://ar.linkedin.com/pub/eduardo-asilian/24/676/66","http://ar.linkedin.com/pub/eduardo-asilian/24/676/66")</f>
        <v>http://ar.linkedin.com/pub/eduardo-asilian/24/676/66</v>
      </c>
      <c r="I3557" s="2" t="s">
        <v>57</v>
      </c>
      <c r="J3557" s="2" t="s">
        <v>21</v>
      </c>
      <c r="K3557" s="2" t="s">
        <v>5727</v>
      </c>
    </row>
    <row r="3558" ht="15.75" customHeight="1">
      <c r="A3558" s="2">
        <v>27651.0</v>
      </c>
      <c r="B3558" s="2" t="s">
        <v>5808</v>
      </c>
      <c r="C3558" s="2" t="s">
        <v>7748</v>
      </c>
      <c r="D3558" s="2" t="s">
        <v>7749</v>
      </c>
      <c r="E3558" s="2" t="s">
        <v>20</v>
      </c>
      <c r="F3558" s="2">
        <v>2.0</v>
      </c>
      <c r="G3558" s="2">
        <v>120.0</v>
      </c>
      <c r="H3558" s="3" t="str">
        <f>HYPERLINK("http://ar.linkedin.com/pub/matias-rossetti/8/325/6B6","http://ar.linkedin.com/pub/matias-rossetti/8/325/6B6")</f>
        <v>http://ar.linkedin.com/pub/matias-rossetti/8/325/6B6</v>
      </c>
      <c r="I3558" s="2" t="s">
        <v>15</v>
      </c>
      <c r="J3558" s="2" t="s">
        <v>21</v>
      </c>
      <c r="K3558" s="2" t="s">
        <v>6588</v>
      </c>
    </row>
    <row r="3559" ht="15.75" customHeight="1">
      <c r="A3559" s="2">
        <v>27679.0</v>
      </c>
      <c r="B3559" s="2" t="s">
        <v>1042</v>
      </c>
      <c r="C3559" s="2" t="s">
        <v>7750</v>
      </c>
      <c r="D3559" s="2" t="s">
        <v>7751</v>
      </c>
      <c r="E3559" s="2" t="s">
        <v>20</v>
      </c>
      <c r="F3559" s="2">
        <v>1.0</v>
      </c>
      <c r="G3559" s="2">
        <v>500.0</v>
      </c>
      <c r="H3559" s="3" t="str">
        <f>HYPERLINK("http://ar.linkedin.com/pub/marina-rosas/24/6A4/679","http://ar.linkedin.com/pub/marina-rosas/24/6A4/679")</f>
        <v>http://ar.linkedin.com/pub/marina-rosas/24/6A4/679</v>
      </c>
      <c r="I3559" s="2" t="s">
        <v>252</v>
      </c>
      <c r="J3559" s="2" t="s">
        <v>21</v>
      </c>
      <c r="K3559" s="2" t="s">
        <v>5734</v>
      </c>
    </row>
    <row r="3560" ht="15.75" customHeight="1">
      <c r="A3560" s="2">
        <v>27708.0</v>
      </c>
      <c r="B3560" s="2" t="s">
        <v>6198</v>
      </c>
      <c r="C3560" s="2" t="s">
        <v>7752</v>
      </c>
      <c r="D3560" s="2" t="s">
        <v>7753</v>
      </c>
      <c r="E3560" s="2" t="s">
        <v>20</v>
      </c>
      <c r="F3560" s="2">
        <v>6.0</v>
      </c>
      <c r="G3560" s="2">
        <v>444.0</v>
      </c>
      <c r="H3560" s="3" t="str">
        <f>HYPERLINK("http://ar.linkedin.com/pub/andr%C3%A9s-maccio/3/1B/52","http://ar.linkedin.com/pub/andr%C3%A9s-maccio/3/1B/52")</f>
        <v>http://ar.linkedin.com/pub/andr%C3%A9s-maccio/3/1B/52</v>
      </c>
      <c r="I3560" s="2" t="s">
        <v>119</v>
      </c>
      <c r="J3560" s="2" t="s">
        <v>21</v>
      </c>
      <c r="K3560" s="2" t="s">
        <v>5743</v>
      </c>
    </row>
    <row r="3561" ht="15.75" customHeight="1">
      <c r="A3561" s="2">
        <v>27731.0</v>
      </c>
      <c r="B3561" s="2" t="s">
        <v>193</v>
      </c>
      <c r="C3561" s="2" t="s">
        <v>7754</v>
      </c>
      <c r="D3561" s="2" t="s">
        <v>3128</v>
      </c>
      <c r="E3561" s="2" t="s">
        <v>20</v>
      </c>
      <c r="F3561" s="2" t="s">
        <v>13</v>
      </c>
      <c r="G3561" s="2">
        <v>232.0</v>
      </c>
      <c r="H3561" s="3" t="str">
        <f>HYPERLINK("http://ar.linkedin.com/pub/guillermo-dausa/9/917/399","http://ar.linkedin.com/pub/guillermo-dausa/9/917/399")</f>
        <v>http://ar.linkedin.com/pub/guillermo-dausa/9/917/399</v>
      </c>
      <c r="I3561" s="2" t="s">
        <v>57</v>
      </c>
      <c r="J3561" s="2" t="s">
        <v>21</v>
      </c>
      <c r="K3561" s="2" t="s">
        <v>5725</v>
      </c>
    </row>
    <row r="3562" ht="15.75" customHeight="1">
      <c r="A3562" s="2">
        <v>27734.0</v>
      </c>
      <c r="B3562" s="2" t="s">
        <v>6064</v>
      </c>
      <c r="C3562" s="2" t="s">
        <v>7755</v>
      </c>
      <c r="D3562" s="2" t="s">
        <v>13</v>
      </c>
      <c r="E3562" s="2" t="s">
        <v>20</v>
      </c>
      <c r="F3562" s="2">
        <v>8.0</v>
      </c>
      <c r="G3562" s="2">
        <v>500.0</v>
      </c>
      <c r="H3562" s="3" t="str">
        <f>HYPERLINK("http://www.linkedin.com/pub/romina-labaton/a/197/743","http://www.linkedin.com/pub/romina-labaton/a/197/743")</f>
        <v>http://www.linkedin.com/pub/romina-labaton/a/197/743</v>
      </c>
      <c r="I3562" s="2" t="s">
        <v>458</v>
      </c>
      <c r="J3562" s="2" t="s">
        <v>21</v>
      </c>
      <c r="K3562" s="2" t="s">
        <v>5727</v>
      </c>
    </row>
    <row r="3563" ht="15.75" customHeight="1">
      <c r="A3563" s="2">
        <v>27738.0</v>
      </c>
      <c r="B3563" s="2" t="s">
        <v>423</v>
      </c>
      <c r="C3563" s="2" t="s">
        <v>2019</v>
      </c>
      <c r="D3563" s="2" t="s">
        <v>7756</v>
      </c>
      <c r="E3563" s="2" t="s">
        <v>20</v>
      </c>
      <c r="F3563" s="2">
        <v>2.0</v>
      </c>
      <c r="G3563" s="2">
        <v>343.0</v>
      </c>
      <c r="H3563" s="3" t="str">
        <f>HYPERLINK("http://ar.linkedin.com/pub/carolina-turner/22/A29/957","http://ar.linkedin.com/pub/carolina-turner/22/A29/957")</f>
        <v>http://ar.linkedin.com/pub/carolina-turner/22/A29/957</v>
      </c>
      <c r="I3563" s="2" t="s">
        <v>15</v>
      </c>
      <c r="J3563" s="2" t="s">
        <v>21</v>
      </c>
      <c r="K3563" s="2" t="s">
        <v>5777</v>
      </c>
    </row>
    <row r="3564" ht="15.75" customHeight="1">
      <c r="A3564" s="2">
        <v>27748.0</v>
      </c>
      <c r="B3564" s="2" t="s">
        <v>1201</v>
      </c>
      <c r="C3564" s="2" t="s">
        <v>7757</v>
      </c>
      <c r="D3564" s="2" t="s">
        <v>7758</v>
      </c>
      <c r="E3564" s="2" t="s">
        <v>971</v>
      </c>
      <c r="F3564" s="2">
        <v>2.0</v>
      </c>
      <c r="G3564" s="2">
        <v>156.0</v>
      </c>
      <c r="H3564" s="3" t="str">
        <f>HYPERLINK("http://www.linkedin.com/in/mpedraza","http://www.linkedin.com/in/mpedraza")</f>
        <v>http://www.linkedin.com/in/mpedraza</v>
      </c>
      <c r="I3564" s="2" t="s">
        <v>579</v>
      </c>
      <c r="J3564" s="2" t="s">
        <v>102</v>
      </c>
      <c r="K3564" s="2" t="s">
        <v>6075</v>
      </c>
    </row>
    <row r="3565" ht="15.75" customHeight="1">
      <c r="A3565" s="2">
        <v>27771.0</v>
      </c>
      <c r="B3565" s="2" t="s">
        <v>7759</v>
      </c>
      <c r="C3565" s="2" t="s">
        <v>7760</v>
      </c>
      <c r="D3565" s="2" t="s">
        <v>13</v>
      </c>
      <c r="E3565" s="2" t="s">
        <v>20</v>
      </c>
      <c r="F3565" s="2">
        <v>0.0</v>
      </c>
      <c r="G3565" s="2">
        <v>460.0</v>
      </c>
      <c r="H3565" s="3" t="str">
        <f>HYPERLINK("http://www.linkedin.com/pub/gonzalo-ezequiel-gianturco/20/803/185","http://www.linkedin.com/pub/gonzalo-ezequiel-gianturco/20/803/185")</f>
        <v>http://www.linkedin.com/pub/gonzalo-ezequiel-gianturco/20/803/185</v>
      </c>
      <c r="I3565" s="2" t="s">
        <v>15</v>
      </c>
      <c r="J3565" s="2" t="s">
        <v>21</v>
      </c>
      <c r="K3565" s="2" t="s">
        <v>6280</v>
      </c>
    </row>
    <row r="3566" ht="15.75" customHeight="1">
      <c r="A3566" s="2">
        <v>27790.0</v>
      </c>
      <c r="B3566" s="2" t="s">
        <v>3692</v>
      </c>
      <c r="C3566" s="2" t="s">
        <v>7761</v>
      </c>
      <c r="D3566" s="2" t="s">
        <v>13</v>
      </c>
      <c r="E3566" s="2" t="s">
        <v>20</v>
      </c>
      <c r="F3566" s="2">
        <v>0.0</v>
      </c>
      <c r="G3566" s="2">
        <v>205.0</v>
      </c>
      <c r="H3566" s="3" t="str">
        <f>HYPERLINK("http://www.linkedin.com/pub/federico-szuchet/20/b97/582","http://www.linkedin.com/pub/federico-szuchet/20/b97/582")</f>
        <v>http://www.linkedin.com/pub/federico-szuchet/20/b97/582</v>
      </c>
      <c r="I3566" s="2" t="s">
        <v>579</v>
      </c>
      <c r="J3566" s="2" t="s">
        <v>21</v>
      </c>
      <c r="K3566" s="2" t="s">
        <v>5785</v>
      </c>
    </row>
    <row r="3567" ht="15.75" customHeight="1">
      <c r="A3567" s="2">
        <v>27793.0</v>
      </c>
      <c r="B3567" s="2" t="s">
        <v>5803</v>
      </c>
      <c r="C3567" s="2" t="s">
        <v>7762</v>
      </c>
      <c r="D3567" s="2" t="s">
        <v>7763</v>
      </c>
      <c r="E3567" s="2" t="s">
        <v>20</v>
      </c>
      <c r="F3567" s="2">
        <v>15.0</v>
      </c>
      <c r="G3567" s="2">
        <v>379.0</v>
      </c>
      <c r="H3567" s="3" t="str">
        <f>HYPERLINK("http://ar.linkedin.com/in/zamborlini","http://ar.linkedin.com/in/zamborlini")</f>
        <v>http://ar.linkedin.com/in/zamborlini</v>
      </c>
      <c r="I3567" s="2" t="s">
        <v>1841</v>
      </c>
      <c r="J3567" s="2" t="s">
        <v>21</v>
      </c>
      <c r="K3567" s="2" t="s">
        <v>5727</v>
      </c>
    </row>
    <row r="3568" ht="15.75" customHeight="1">
      <c r="A3568" s="2">
        <v>27798.0</v>
      </c>
      <c r="B3568" s="2" t="s">
        <v>5078</v>
      </c>
      <c r="C3568" s="2" t="s">
        <v>7764</v>
      </c>
      <c r="D3568" s="2" t="s">
        <v>7765</v>
      </c>
      <c r="E3568" s="2" t="s">
        <v>20</v>
      </c>
      <c r="F3568" s="2">
        <v>1.0</v>
      </c>
      <c r="G3568" s="2">
        <v>191.0</v>
      </c>
      <c r="H3568" s="3" t="str">
        <f>HYPERLINK("http://ar.linkedin.com/pub/diego-montesinos/9/5A2/933","http://ar.linkedin.com/pub/diego-montesinos/9/5A2/933")</f>
        <v>http://ar.linkedin.com/pub/diego-montesinos/9/5A2/933</v>
      </c>
      <c r="I3568" s="2" t="s">
        <v>15</v>
      </c>
      <c r="J3568" s="2" t="s">
        <v>21</v>
      </c>
      <c r="K3568" s="2" t="s">
        <v>5725</v>
      </c>
    </row>
    <row r="3569" ht="15.75" customHeight="1">
      <c r="A3569" s="2">
        <v>27824.0</v>
      </c>
      <c r="B3569" s="2" t="s">
        <v>314</v>
      </c>
      <c r="C3569" s="2" t="s">
        <v>7766</v>
      </c>
      <c r="D3569" s="2" t="s">
        <v>7767</v>
      </c>
      <c r="E3569" s="2" t="s">
        <v>20</v>
      </c>
      <c r="F3569" s="2">
        <v>3.0</v>
      </c>
      <c r="G3569" s="2">
        <v>500.0</v>
      </c>
      <c r="H3569" s="3" t="str">
        <f>HYPERLINK("http://www.linkedin.com/in/marcosredellegandine","http://www.linkedin.com/in/marcosredellegandine")</f>
        <v>http://www.linkedin.com/in/marcosredellegandine</v>
      </c>
      <c r="I3569" s="2" t="s">
        <v>15</v>
      </c>
      <c r="J3569" s="2" t="s">
        <v>21</v>
      </c>
      <c r="K3569" s="2" t="s">
        <v>7768</v>
      </c>
    </row>
    <row r="3570" ht="15.75" customHeight="1">
      <c r="A3570" s="2">
        <v>27861.0</v>
      </c>
      <c r="B3570" s="2" t="s">
        <v>353</v>
      </c>
      <c r="C3570" s="2" t="s">
        <v>7769</v>
      </c>
      <c r="D3570" s="2" t="s">
        <v>13</v>
      </c>
      <c r="E3570" s="2" t="s">
        <v>20</v>
      </c>
      <c r="F3570" s="2">
        <v>13.0</v>
      </c>
      <c r="G3570" s="2">
        <v>500.0</v>
      </c>
      <c r="H3570" s="3" t="str">
        <f>HYPERLINK("http://www.linkedin.com/pub/alejandro-schuff/9/11b/50","http://www.linkedin.com/pub/alejandro-schuff/9/11b/50")</f>
        <v>http://www.linkedin.com/pub/alejandro-schuff/9/11b/50</v>
      </c>
      <c r="I3570" s="2" t="s">
        <v>475</v>
      </c>
      <c r="J3570" s="2" t="s">
        <v>21</v>
      </c>
      <c r="K3570" s="2" t="s">
        <v>5727</v>
      </c>
    </row>
    <row r="3571" ht="15.75" customHeight="1">
      <c r="A3571" s="2">
        <v>27869.0</v>
      </c>
      <c r="B3571" s="2" t="s">
        <v>6232</v>
      </c>
      <c r="C3571" s="2" t="s">
        <v>5949</v>
      </c>
      <c r="D3571" s="2" t="s">
        <v>7770</v>
      </c>
      <c r="E3571" s="2" t="s">
        <v>20</v>
      </c>
      <c r="F3571" s="2">
        <v>0.0</v>
      </c>
      <c r="G3571" s="2">
        <v>16.0</v>
      </c>
      <c r="H3571" s="3" t="str">
        <f>HYPERLINK("http://www.linkedin.com/in/emilianobrito","http://www.linkedin.com/in/emilianobrito")</f>
        <v>http://www.linkedin.com/in/emilianobrito</v>
      </c>
      <c r="I3571" s="2" t="s">
        <v>458</v>
      </c>
      <c r="J3571" s="2" t="s">
        <v>21</v>
      </c>
      <c r="K3571" s="2" t="s">
        <v>5819</v>
      </c>
    </row>
    <row r="3572" ht="15.75" customHeight="1">
      <c r="A3572" s="2">
        <v>27871.0</v>
      </c>
      <c r="B3572" s="2" t="s">
        <v>1076</v>
      </c>
      <c r="C3572" s="2" t="s">
        <v>7771</v>
      </c>
      <c r="D3572" s="2" t="s">
        <v>7772</v>
      </c>
      <c r="E3572" s="2" t="s">
        <v>20</v>
      </c>
      <c r="F3572" s="2">
        <v>3.0</v>
      </c>
      <c r="G3572" s="2">
        <v>194.0</v>
      </c>
      <c r="H3572" s="3" t="str">
        <f>HYPERLINK("http://ar.linkedin.com/pub/jennifer-cristiano/25/21B/472","http://ar.linkedin.com/pub/jennifer-cristiano/25/21B/472")</f>
        <v>http://ar.linkedin.com/pub/jennifer-cristiano/25/21B/472</v>
      </c>
      <c r="I3572" s="2" t="s">
        <v>458</v>
      </c>
      <c r="J3572" s="2" t="s">
        <v>21</v>
      </c>
      <c r="K3572" s="2" t="s">
        <v>5727</v>
      </c>
    </row>
    <row r="3573" ht="15.75" customHeight="1">
      <c r="A3573" s="2">
        <v>27874.0</v>
      </c>
      <c r="B3573" s="2" t="s">
        <v>45</v>
      </c>
      <c r="C3573" s="2" t="s">
        <v>7773</v>
      </c>
      <c r="D3573" s="2" t="s">
        <v>7774</v>
      </c>
      <c r="E3573" s="2" t="s">
        <v>20</v>
      </c>
      <c r="F3573" s="2">
        <v>7.0</v>
      </c>
      <c r="G3573" s="2">
        <v>500.0</v>
      </c>
      <c r="H3573" s="3" t="str">
        <f>HYPERLINK("http://ar.linkedin.com/in/carlosmicheltorena","http://ar.linkedin.com/in/carlosmicheltorena")</f>
        <v>http://ar.linkedin.com/in/carlosmicheltorena</v>
      </c>
      <c r="I3573" s="2" t="s">
        <v>1740</v>
      </c>
      <c r="J3573" s="2" t="s">
        <v>21</v>
      </c>
      <c r="K3573" s="2" t="s">
        <v>5727</v>
      </c>
    </row>
    <row r="3574" ht="15.75" customHeight="1">
      <c r="A3574" s="2">
        <v>27876.0</v>
      </c>
      <c r="B3574" s="2" t="s">
        <v>3175</v>
      </c>
      <c r="C3574" s="2" t="s">
        <v>7775</v>
      </c>
      <c r="D3574" s="2" t="s">
        <v>7776</v>
      </c>
      <c r="E3574" s="2" t="s">
        <v>20</v>
      </c>
      <c r="F3574" s="2">
        <v>2.0</v>
      </c>
      <c r="G3574" s="2">
        <v>494.0</v>
      </c>
      <c r="H3574" s="3" t="str">
        <f>HYPERLINK("http://ar.linkedin.com/pub/daniela-zavalski/14/123/872","http://ar.linkedin.com/pub/daniela-zavalski/14/123/872")</f>
        <v>http://ar.linkedin.com/pub/daniela-zavalski/14/123/872</v>
      </c>
      <c r="I3574" s="2" t="s">
        <v>458</v>
      </c>
      <c r="J3574" s="2" t="s">
        <v>21</v>
      </c>
      <c r="K3574" s="2" t="s">
        <v>5727</v>
      </c>
    </row>
    <row r="3575" ht="15.75" customHeight="1">
      <c r="A3575" s="2">
        <v>27878.0</v>
      </c>
      <c r="B3575" s="2" t="s">
        <v>70</v>
      </c>
      <c r="C3575" s="2" t="s">
        <v>7777</v>
      </c>
      <c r="D3575" s="2" t="s">
        <v>7778</v>
      </c>
      <c r="E3575" s="2" t="s">
        <v>20</v>
      </c>
      <c r="F3575" s="2">
        <v>2.0</v>
      </c>
      <c r="G3575" s="2">
        <v>165.0</v>
      </c>
      <c r="H3575" s="3" t="str">
        <f>HYPERLINK("http://ar.linkedin.com/in/gfracassi","http://ar.linkedin.com/in/gfracassi")</f>
        <v>http://ar.linkedin.com/in/gfracassi</v>
      </c>
      <c r="I3575" s="2" t="s">
        <v>910</v>
      </c>
      <c r="J3575" s="2" t="s">
        <v>21</v>
      </c>
      <c r="K3575" s="2" t="s">
        <v>5727</v>
      </c>
    </row>
    <row r="3576" ht="15.75" customHeight="1">
      <c r="A3576" s="2">
        <v>27897.0</v>
      </c>
      <c r="B3576" s="2" t="s">
        <v>7779</v>
      </c>
      <c r="C3576" s="2" t="s">
        <v>7780</v>
      </c>
      <c r="D3576" s="2" t="s">
        <v>13</v>
      </c>
      <c r="E3576" s="2" t="s">
        <v>20</v>
      </c>
      <c r="F3576" s="2">
        <v>0.0</v>
      </c>
      <c r="G3576" s="2">
        <v>500.0</v>
      </c>
      <c r="H3576" s="3" t="str">
        <f>HYPERLINK("http://www.linkedin.com/pub/patricia-anal%C3%ADa-doval/10/457/43","http://www.linkedin.com/pub/patricia-anal%C3%ADa-doval/10/457/43")</f>
        <v>http://www.linkedin.com/pub/patricia-anal%C3%ADa-doval/10/457/43</v>
      </c>
      <c r="I3576" s="2" t="s">
        <v>1237</v>
      </c>
      <c r="J3576" s="2" t="s">
        <v>21</v>
      </c>
      <c r="K3576" s="2" t="s">
        <v>5727</v>
      </c>
    </row>
    <row r="3577" ht="15.75" customHeight="1">
      <c r="A3577" s="2">
        <v>27905.0</v>
      </c>
      <c r="B3577" s="2" t="s">
        <v>6870</v>
      </c>
      <c r="C3577" s="2" t="s">
        <v>7781</v>
      </c>
      <c r="D3577" s="2"/>
      <c r="E3577" s="2" t="s">
        <v>2058</v>
      </c>
      <c r="F3577" s="2">
        <v>0.0</v>
      </c>
      <c r="G3577" s="2">
        <v>20.0</v>
      </c>
      <c r="H3577" s="3" t="str">
        <f>HYPERLINK("http://www.linkedin.com/pub/melina-magan/2/49A/117","http://www.linkedin.com/pub/melina-magan/2/49A/117")</f>
        <v>http://www.linkedin.com/pub/melina-magan/2/49A/117</v>
      </c>
      <c r="I3577" s="2" t="s">
        <v>458</v>
      </c>
      <c r="J3577" s="2" t="s">
        <v>102</v>
      </c>
      <c r="K3577" s="2" t="s">
        <v>5725</v>
      </c>
    </row>
    <row r="3578" ht="15.75" customHeight="1">
      <c r="A3578" s="2">
        <v>27907.0</v>
      </c>
      <c r="B3578" s="2" t="s">
        <v>238</v>
      </c>
      <c r="C3578" s="2" t="s">
        <v>7782</v>
      </c>
      <c r="D3578" s="2" t="s">
        <v>7783</v>
      </c>
      <c r="E3578" s="2" t="s">
        <v>20</v>
      </c>
      <c r="F3578" s="2">
        <v>1.0</v>
      </c>
      <c r="G3578" s="2">
        <v>357.0</v>
      </c>
      <c r="H3578" s="3" t="str">
        <f>HYPERLINK("http://ar.linkedin.com/in/juanquintela","http://ar.linkedin.com/in/juanquintela")</f>
        <v>http://ar.linkedin.com/in/juanquintela</v>
      </c>
      <c r="I3578" s="2" t="s">
        <v>844</v>
      </c>
      <c r="J3578" s="2" t="s">
        <v>21</v>
      </c>
      <c r="K3578" s="2" t="s">
        <v>6282</v>
      </c>
    </row>
    <row r="3579" ht="15.75" customHeight="1">
      <c r="A3579" s="2">
        <v>27917.0</v>
      </c>
      <c r="B3579" s="2" t="s">
        <v>7784</v>
      </c>
      <c r="C3579" s="2" t="s">
        <v>7785</v>
      </c>
      <c r="D3579" s="2" t="s">
        <v>289</v>
      </c>
      <c r="E3579" s="2" t="s">
        <v>20</v>
      </c>
      <c r="F3579" s="2">
        <v>2.0</v>
      </c>
      <c r="G3579" s="2">
        <v>500.0</v>
      </c>
      <c r="H3579" s="3" t="str">
        <f>HYPERLINK("http://www.linkedin.com/in/margaritabruzzone","http://www.linkedin.com/in/margaritabruzzone")</f>
        <v>http://www.linkedin.com/in/margaritabruzzone</v>
      </c>
      <c r="I3579" s="2" t="s">
        <v>318</v>
      </c>
      <c r="J3579" s="2" t="s">
        <v>21</v>
      </c>
      <c r="K3579" s="2" t="s">
        <v>5743</v>
      </c>
    </row>
    <row r="3580" ht="15.75" customHeight="1">
      <c r="A3580" s="2">
        <v>27927.0</v>
      </c>
      <c r="B3580" s="2" t="s">
        <v>353</v>
      </c>
      <c r="C3580" s="2" t="s">
        <v>2909</v>
      </c>
      <c r="D3580" s="2" t="s">
        <v>3144</v>
      </c>
      <c r="E3580" s="2" t="s">
        <v>20</v>
      </c>
      <c r="F3580" s="2">
        <v>3.0</v>
      </c>
      <c r="G3580" s="2">
        <v>500.0</v>
      </c>
      <c r="H3580" s="3" t="str">
        <f>HYPERLINK("http://ar.linkedin.com/pub/alejandro-marshall/2/BB8/B75","http://ar.linkedin.com/pub/alejandro-marshall/2/BB8/B75")</f>
        <v>http://ar.linkedin.com/pub/alejandro-marshall/2/BB8/B75</v>
      </c>
      <c r="I3580" s="2" t="s">
        <v>458</v>
      </c>
      <c r="J3580" s="2" t="s">
        <v>21</v>
      </c>
      <c r="K3580" s="2" t="s">
        <v>5727</v>
      </c>
    </row>
    <row r="3581" ht="15.75" customHeight="1">
      <c r="A3581" s="2">
        <v>27933.0</v>
      </c>
      <c r="B3581" s="2" t="s">
        <v>7786</v>
      </c>
      <c r="C3581" s="2" t="s">
        <v>265</v>
      </c>
      <c r="D3581" s="2" t="s">
        <v>7787</v>
      </c>
      <c r="E3581" s="2" t="s">
        <v>20</v>
      </c>
      <c r="F3581" s="2">
        <v>25.0</v>
      </c>
      <c r="G3581" s="2">
        <v>500.0</v>
      </c>
      <c r="H3581" s="3" t="str">
        <f>HYPERLINK("http://www.linkedin.com/in/alejandramabelruiz","http://www.linkedin.com/in/alejandramabelruiz")</f>
        <v>http://www.linkedin.com/in/alejandramabelruiz</v>
      </c>
      <c r="I3581" s="2" t="s">
        <v>458</v>
      </c>
      <c r="J3581" s="2" t="s">
        <v>21</v>
      </c>
      <c r="K3581" s="2" t="s">
        <v>5727</v>
      </c>
    </row>
    <row r="3582" ht="15.75" customHeight="1">
      <c r="A3582" s="2">
        <v>27952.0</v>
      </c>
      <c r="B3582" s="2" t="s">
        <v>59</v>
      </c>
      <c r="C3582" s="2" t="s">
        <v>7788</v>
      </c>
      <c r="D3582" s="2" t="s">
        <v>7789</v>
      </c>
      <c r="E3582" s="2" t="s">
        <v>20</v>
      </c>
      <c r="F3582" s="2">
        <v>5.0</v>
      </c>
      <c r="G3582" s="2">
        <v>313.0</v>
      </c>
      <c r="H3582" s="3" t="str">
        <f>HYPERLINK("http://www.linkedin.com/in/mturina","http://www.linkedin.com/in/mturina")</f>
        <v>http://www.linkedin.com/in/mturina</v>
      </c>
      <c r="I3582" s="2" t="s">
        <v>77</v>
      </c>
      <c r="J3582" s="2" t="s">
        <v>21</v>
      </c>
      <c r="K3582" s="2" t="s">
        <v>5731</v>
      </c>
    </row>
    <row r="3583" ht="15.75" customHeight="1">
      <c r="A3583" s="2">
        <v>27957.0</v>
      </c>
      <c r="B3583" s="2" t="s">
        <v>543</v>
      </c>
      <c r="C3583" s="2" t="s">
        <v>7790</v>
      </c>
      <c r="D3583" s="2" t="s">
        <v>7791</v>
      </c>
      <c r="E3583" s="2" t="s">
        <v>20</v>
      </c>
      <c r="F3583" s="2" t="s">
        <v>13</v>
      </c>
      <c r="G3583" s="2">
        <v>158.0</v>
      </c>
      <c r="H3583" s="3" t="str">
        <f>HYPERLINK("http://ar.linkedin.com/pub/cesar-guarinoni/1/B36/360","http://ar.linkedin.com/pub/cesar-guarinoni/1/B36/360")</f>
        <v>http://ar.linkedin.com/pub/cesar-guarinoni/1/B36/360</v>
      </c>
      <c r="I3583" s="2" t="s">
        <v>143</v>
      </c>
      <c r="J3583" s="2" t="s">
        <v>21</v>
      </c>
      <c r="K3583" s="2" t="s">
        <v>5725</v>
      </c>
    </row>
    <row r="3584" ht="15.75" customHeight="1">
      <c r="A3584" s="2">
        <v>28029.0</v>
      </c>
      <c r="B3584" s="2" t="s">
        <v>3378</v>
      </c>
      <c r="C3584" s="2" t="s">
        <v>1729</v>
      </c>
      <c r="D3584" s="2" t="s">
        <v>7792</v>
      </c>
      <c r="E3584" s="2" t="s">
        <v>20</v>
      </c>
      <c r="F3584" s="2">
        <v>20.0</v>
      </c>
      <c r="G3584" s="2">
        <v>500.0</v>
      </c>
      <c r="H3584" s="3" t="str">
        <f>HYPERLINK("http://www.linkedin.com/in/juliamartinez","http://www.linkedin.com/in/juliamartinez")</f>
        <v>http://www.linkedin.com/in/juliamartinez</v>
      </c>
      <c r="I3584" s="2" t="s">
        <v>458</v>
      </c>
      <c r="J3584" s="2" t="s">
        <v>21</v>
      </c>
      <c r="K3584" s="2" t="s">
        <v>5727</v>
      </c>
    </row>
    <row r="3585" ht="15.75" customHeight="1">
      <c r="A3585" s="2">
        <v>28052.0</v>
      </c>
      <c r="B3585" s="2" t="s">
        <v>227</v>
      </c>
      <c r="C3585" s="2" t="s">
        <v>7793</v>
      </c>
      <c r="D3585" s="2" t="s">
        <v>42</v>
      </c>
      <c r="E3585" s="2" t="s">
        <v>7794</v>
      </c>
      <c r="F3585" s="2">
        <v>2.0</v>
      </c>
      <c r="G3585" s="2">
        <v>500.0</v>
      </c>
      <c r="H3585" s="3" t="str">
        <f>HYPERLINK("http://www.linkedin.com/pub/jorge-salles/15/753/6B2","http://www.linkedin.com/pub/jorge-salles/15/753/6B2")</f>
        <v>http://www.linkedin.com/pub/jorge-salles/15/753/6B2</v>
      </c>
      <c r="I3585" s="2" t="s">
        <v>69</v>
      </c>
      <c r="J3585" s="2" t="s">
        <v>34</v>
      </c>
      <c r="K3585" s="2" t="s">
        <v>5819</v>
      </c>
    </row>
    <row r="3586" ht="15.75" customHeight="1">
      <c r="A3586" s="2">
        <v>28087.0</v>
      </c>
      <c r="B3586" s="2" t="s">
        <v>7795</v>
      </c>
      <c r="C3586" s="2" t="s">
        <v>7796</v>
      </c>
      <c r="D3586" s="2"/>
      <c r="E3586" s="2" t="s">
        <v>1234</v>
      </c>
      <c r="F3586" s="2">
        <v>0.0</v>
      </c>
      <c r="G3586" s="2">
        <v>39.0</v>
      </c>
      <c r="H3586" s="3" t="str">
        <f>HYPERLINK("http://www.linkedin.com/pub/henrique-corr%C3%AAa/0/37B/50B","http://www.linkedin.com/pub/henrique-corr%C3%AAa/0/37B/50B")</f>
        <v>http://www.linkedin.com/pub/henrique-corr%C3%AAa/0/37B/50B</v>
      </c>
      <c r="I3586" s="2" t="s">
        <v>240</v>
      </c>
      <c r="J3586" s="2" t="s">
        <v>102</v>
      </c>
      <c r="K3586" s="2" t="s">
        <v>5734</v>
      </c>
    </row>
    <row r="3587" ht="15.75" customHeight="1">
      <c r="A3587" s="2">
        <v>28088.0</v>
      </c>
      <c r="B3587" s="2" t="s">
        <v>193</v>
      </c>
      <c r="C3587" s="2" t="s">
        <v>7797</v>
      </c>
      <c r="D3587" s="2" t="s">
        <v>7798</v>
      </c>
      <c r="E3587" s="2" t="s">
        <v>1190</v>
      </c>
      <c r="F3587" s="2">
        <v>46.0</v>
      </c>
      <c r="G3587" s="2">
        <v>500.0</v>
      </c>
      <c r="H3587" s="3" t="str">
        <f>HYPERLINK("http://www.linkedin.com/in/foryourpeace","http://www.linkedin.com/in/foryourpeace")</f>
        <v>http://www.linkedin.com/in/foryourpeace</v>
      </c>
      <c r="I3587" s="2" t="s">
        <v>422</v>
      </c>
      <c r="J3587" s="2" t="s">
        <v>102</v>
      </c>
      <c r="K3587" s="2" t="s">
        <v>6973</v>
      </c>
    </row>
    <row r="3588" ht="15.75" customHeight="1">
      <c r="A3588" s="2">
        <v>28138.0</v>
      </c>
      <c r="B3588" s="2" t="s">
        <v>59</v>
      </c>
      <c r="C3588" s="2" t="s">
        <v>7799</v>
      </c>
      <c r="D3588" s="2" t="s">
        <v>7800</v>
      </c>
      <c r="E3588" s="2" t="s">
        <v>20</v>
      </c>
      <c r="F3588" s="2" t="s">
        <v>13</v>
      </c>
      <c r="G3588" s="2">
        <v>414.0</v>
      </c>
      <c r="H3588" s="3" t="str">
        <f>HYPERLINK("http://ar.linkedin.com/pub/martin-poletto/0/125/A49","http://ar.linkedin.com/pub/martin-poletto/0/125/A49")</f>
        <v>http://ar.linkedin.com/pub/martin-poletto/0/125/A49</v>
      </c>
      <c r="I3588" s="2" t="s">
        <v>579</v>
      </c>
      <c r="J3588" s="2" t="s">
        <v>21</v>
      </c>
      <c r="K3588" s="2" t="s">
        <v>5785</v>
      </c>
    </row>
    <row r="3589" ht="15.75" customHeight="1">
      <c r="A3589" s="2">
        <v>28282.0</v>
      </c>
      <c r="B3589" s="2" t="s">
        <v>7801</v>
      </c>
      <c r="C3589" s="2" t="s">
        <v>7802</v>
      </c>
      <c r="D3589" s="2" t="s">
        <v>7803</v>
      </c>
      <c r="E3589" s="2" t="s">
        <v>2058</v>
      </c>
      <c r="F3589" s="2">
        <v>7.0</v>
      </c>
      <c r="G3589" s="2">
        <v>500.0</v>
      </c>
      <c r="H3589" s="3" t="str">
        <f>HYPERLINK("http://www.linkedin.com/in/johnsunder","http://www.linkedin.com/in/johnsunder")</f>
        <v>http://www.linkedin.com/in/johnsunder</v>
      </c>
      <c r="I3589" s="2" t="s">
        <v>2931</v>
      </c>
      <c r="J3589" s="2" t="s">
        <v>102</v>
      </c>
      <c r="K3589" s="2" t="s">
        <v>7643</v>
      </c>
    </row>
    <row r="3590" ht="15.75" customHeight="1">
      <c r="A3590" s="2">
        <v>28391.0</v>
      </c>
      <c r="B3590" s="2" t="s">
        <v>371</v>
      </c>
      <c r="C3590" s="2" t="s">
        <v>7804</v>
      </c>
      <c r="D3590" s="2" t="s">
        <v>13</v>
      </c>
      <c r="E3590" s="2" t="s">
        <v>836</v>
      </c>
      <c r="F3590" s="2">
        <v>0.0</v>
      </c>
      <c r="G3590" s="2">
        <v>500.0</v>
      </c>
      <c r="H3590" s="3" t="str">
        <f>HYPERLINK("http://www.linkedin.com/in/cristinagberta","http://www.linkedin.com/in/cristinagberta")</f>
        <v>http://www.linkedin.com/in/cristinagberta</v>
      </c>
      <c r="I3590" s="2" t="s">
        <v>69</v>
      </c>
      <c r="J3590" s="2" t="s">
        <v>837</v>
      </c>
      <c r="K3590" s="2" t="s">
        <v>5725</v>
      </c>
    </row>
    <row r="3591" ht="15.75" customHeight="1">
      <c r="A3591" s="2">
        <v>28394.0</v>
      </c>
      <c r="B3591" s="2" t="s">
        <v>2578</v>
      </c>
      <c r="C3591" s="2" t="s">
        <v>7805</v>
      </c>
      <c r="D3591" s="2" t="s">
        <v>7806</v>
      </c>
      <c r="E3591" s="2" t="s">
        <v>662</v>
      </c>
      <c r="F3591" s="2">
        <v>16.0</v>
      </c>
      <c r="G3591" s="2">
        <v>500.0</v>
      </c>
      <c r="H3591" s="3" t="str">
        <f>HYPERLINK("http://www.linkedin.com/pub/philip-de-la-vega/7/377/5B0","http://www.linkedin.com/pub/philip-de-la-vega/7/377/5B0")</f>
        <v>http://www.linkedin.com/pub/philip-de-la-vega/7/377/5B0</v>
      </c>
      <c r="I3591" s="2" t="s">
        <v>560</v>
      </c>
      <c r="J3591" s="2" t="s">
        <v>28</v>
      </c>
      <c r="K3591" s="2" t="s">
        <v>5743</v>
      </c>
    </row>
    <row r="3592" ht="15.75" customHeight="1">
      <c r="A3592" s="2">
        <v>28395.0</v>
      </c>
      <c r="B3592" s="2" t="s">
        <v>7807</v>
      </c>
      <c r="C3592" s="2" t="s">
        <v>7808</v>
      </c>
      <c r="D3592" s="2"/>
      <c r="E3592" s="2" t="s">
        <v>1190</v>
      </c>
      <c r="F3592" s="2">
        <v>0.0</v>
      </c>
      <c r="G3592" s="2">
        <v>411.0</v>
      </c>
      <c r="H3592" s="3" t="str">
        <f>HYPERLINK("http://www.linkedin.com/pub/maurizio-angelone/2/BA5/358","http://www.linkedin.com/pub/maurizio-angelone/2/BA5/358")</f>
        <v>http://www.linkedin.com/pub/maurizio-angelone/2/BA5/358</v>
      </c>
      <c r="I3592" s="2" t="s">
        <v>608</v>
      </c>
      <c r="J3592" s="2" t="s">
        <v>102</v>
      </c>
      <c r="K3592" s="2" t="s">
        <v>5785</v>
      </c>
    </row>
    <row r="3593" ht="15.75" customHeight="1">
      <c r="A3593" s="2">
        <v>28568.0</v>
      </c>
      <c r="B3593" s="2" t="s">
        <v>852</v>
      </c>
      <c r="C3593" s="2" t="s">
        <v>2586</v>
      </c>
      <c r="D3593" s="2"/>
      <c r="E3593" s="2" t="s">
        <v>122</v>
      </c>
      <c r="F3593" s="2">
        <v>4.0</v>
      </c>
      <c r="G3593" s="2">
        <v>428.0</v>
      </c>
      <c r="H3593" s="3" t="str">
        <f>HYPERLINK("http://uk.linkedin.com/pub/alexander-lawrence/0/4A1/4A1","http://uk.linkedin.com/pub/alexander-lawrence/0/4A1/4A1")</f>
        <v>http://uk.linkedin.com/pub/alexander-lawrence/0/4A1/4A1</v>
      </c>
      <c r="I3593" s="2" t="s">
        <v>77</v>
      </c>
      <c r="J3593" s="2" t="s">
        <v>53</v>
      </c>
      <c r="K3593" s="2" t="s">
        <v>5725</v>
      </c>
    </row>
    <row r="3594" ht="15.75" customHeight="1">
      <c r="A3594" s="2">
        <v>28730.0</v>
      </c>
      <c r="B3594" s="2" t="s">
        <v>7809</v>
      </c>
      <c r="C3594" s="2" t="s">
        <v>7810</v>
      </c>
      <c r="D3594" s="2" t="s">
        <v>4224</v>
      </c>
      <c r="E3594" s="2" t="s">
        <v>181</v>
      </c>
      <c r="F3594" s="2">
        <v>11.0</v>
      </c>
      <c r="G3594" s="2">
        <v>500.0</v>
      </c>
      <c r="H3594" s="3" t="str">
        <f>HYPERLINK("http://www.linkedin.com/pub/altaf-mohammed/1/A25/157","http://www.linkedin.com/pub/altaf-mohammed/1/A25/157")</f>
        <v>http://www.linkedin.com/pub/altaf-mohammed/1/A25/157</v>
      </c>
      <c r="I3594" s="2" t="s">
        <v>608</v>
      </c>
      <c r="J3594" s="2" t="s">
        <v>102</v>
      </c>
      <c r="K3594" s="2" t="s">
        <v>5785</v>
      </c>
    </row>
    <row r="3595" ht="15.75" customHeight="1">
      <c r="A3595" s="2">
        <v>28755.0</v>
      </c>
      <c r="B3595" s="2" t="s">
        <v>5389</v>
      </c>
      <c r="C3595" s="2" t="s">
        <v>7811</v>
      </c>
      <c r="D3595" s="2" t="s">
        <v>13</v>
      </c>
      <c r="E3595" s="2" t="s">
        <v>20</v>
      </c>
      <c r="F3595" s="2">
        <v>0.0</v>
      </c>
      <c r="G3595" s="2">
        <v>500.0</v>
      </c>
      <c r="H3595" s="3" t="str">
        <f>HYPERLINK("http://www.linkedin.com/pub/paula-vogliazzo-gphr/a/777/328","http://www.linkedin.com/pub/paula-vogliazzo-gphr/a/777/328")</f>
        <v>http://www.linkedin.com/pub/paula-vogliazzo-gphr/a/777/328</v>
      </c>
      <c r="I3595" s="2" t="s">
        <v>458</v>
      </c>
      <c r="J3595" s="2" t="s">
        <v>21</v>
      </c>
      <c r="K3595" s="2" t="s">
        <v>7812</v>
      </c>
    </row>
    <row r="3596" ht="15.75" customHeight="1">
      <c r="A3596" s="2">
        <v>28952.0</v>
      </c>
      <c r="B3596" s="2" t="s">
        <v>7813</v>
      </c>
      <c r="C3596" s="2" t="s">
        <v>7814</v>
      </c>
      <c r="D3596" s="2"/>
      <c r="E3596" s="2" t="s">
        <v>1407</v>
      </c>
      <c r="F3596" s="2">
        <v>55.0</v>
      </c>
      <c r="G3596" s="2">
        <v>500.0</v>
      </c>
      <c r="H3596" s="3" t="str">
        <f>HYPERLINK("http://www.linkedin.com/pub/cecy-mckee/3/63/909","http://www.linkedin.com/pub/cecy-mckee/3/63/909")</f>
        <v>http://www.linkedin.com/pub/cecy-mckee/3/63/909</v>
      </c>
      <c r="I3596" s="2" t="s">
        <v>96</v>
      </c>
      <c r="J3596" s="2" t="s">
        <v>102</v>
      </c>
      <c r="K3596" s="2" t="s">
        <v>5727</v>
      </c>
    </row>
    <row r="3597" ht="15.75" customHeight="1">
      <c r="A3597" s="2">
        <v>29015.0</v>
      </c>
      <c r="B3597" s="2" t="s">
        <v>7815</v>
      </c>
      <c r="C3597" s="2" t="s">
        <v>1325</v>
      </c>
      <c r="D3597" s="2" t="s">
        <v>1647</v>
      </c>
      <c r="E3597" s="2" t="s">
        <v>2968</v>
      </c>
      <c r="F3597" s="2">
        <v>0.0</v>
      </c>
      <c r="G3597" s="2">
        <v>116.0</v>
      </c>
      <c r="H3597" s="3" t="str">
        <f>HYPERLINK("http://www.linkedin.com/pub/lauri-miller/6/773/851","http://www.linkedin.com/pub/lauri-miller/6/773/851")</f>
        <v>http://www.linkedin.com/pub/lauri-miller/6/773/851</v>
      </c>
      <c r="I3597" s="2" t="s">
        <v>77</v>
      </c>
      <c r="J3597" s="2" t="s">
        <v>102</v>
      </c>
      <c r="K3597" s="2" t="s">
        <v>6739</v>
      </c>
    </row>
    <row r="3598" ht="15.75" customHeight="1">
      <c r="A3598" s="2">
        <v>29024.0</v>
      </c>
      <c r="B3598" s="2" t="s">
        <v>133</v>
      </c>
      <c r="C3598" s="2" t="s">
        <v>626</v>
      </c>
      <c r="D3598" s="2" t="s">
        <v>7816</v>
      </c>
      <c r="E3598" s="2" t="s">
        <v>728</v>
      </c>
      <c r="F3598" s="2">
        <v>0.0</v>
      </c>
      <c r="G3598" s="2">
        <v>242.0</v>
      </c>
      <c r="H3598" s="3" t="str">
        <f>HYPERLINK("http://www.linkedin.com/pub/michael-sullivan/6/7A2/B44","http://www.linkedin.com/pub/michael-sullivan/6/7A2/B44")</f>
        <v>http://www.linkedin.com/pub/michael-sullivan/6/7A2/B44</v>
      </c>
      <c r="I3598" s="2" t="s">
        <v>1237</v>
      </c>
      <c r="J3598" s="2" t="s">
        <v>102</v>
      </c>
      <c r="K3598" s="2" t="s">
        <v>5823</v>
      </c>
    </row>
    <row r="3599" ht="15.75" customHeight="1">
      <c r="A3599" s="2">
        <v>29042.0</v>
      </c>
      <c r="B3599" s="2" t="s">
        <v>7817</v>
      </c>
      <c r="C3599" s="2" t="s">
        <v>7818</v>
      </c>
      <c r="D3599" s="2" t="s">
        <v>7819</v>
      </c>
      <c r="E3599" s="2" t="s">
        <v>20</v>
      </c>
      <c r="F3599" s="2">
        <v>1.0</v>
      </c>
      <c r="G3599" s="2">
        <v>182.0</v>
      </c>
      <c r="H3599" s="3" t="str">
        <f>HYPERLINK("http://ar.linkedin.com/in/swaltamirano","http://ar.linkedin.com/in/swaltamirano")</f>
        <v>http://ar.linkedin.com/in/swaltamirano</v>
      </c>
      <c r="I3599" s="2" t="s">
        <v>252</v>
      </c>
      <c r="J3599" s="2" t="s">
        <v>21</v>
      </c>
      <c r="K3599" s="2" t="s">
        <v>5994</v>
      </c>
    </row>
    <row r="3600" ht="15.75" customHeight="1">
      <c r="A3600" s="2">
        <v>29048.0</v>
      </c>
      <c r="B3600" s="2" t="s">
        <v>5846</v>
      </c>
      <c r="C3600" s="2" t="s">
        <v>7820</v>
      </c>
      <c r="D3600" s="2" t="s">
        <v>13</v>
      </c>
      <c r="E3600" s="2" t="s">
        <v>20</v>
      </c>
      <c r="F3600" s="2">
        <v>0.0</v>
      </c>
      <c r="G3600" s="2">
        <v>87.0</v>
      </c>
      <c r="H3600" s="3" t="str">
        <f>HYPERLINK("http://www.linkedin.com/pub/horacio-natale/1/245/b52","http://www.linkedin.com/pub/horacio-natale/1/245/b52")</f>
        <v>http://www.linkedin.com/pub/horacio-natale/1/245/b52</v>
      </c>
      <c r="I3600" s="2" t="s">
        <v>48</v>
      </c>
      <c r="J3600" s="2" t="s">
        <v>21</v>
      </c>
      <c r="K3600" s="2" t="s">
        <v>5725</v>
      </c>
    </row>
    <row r="3601" ht="15.75" customHeight="1">
      <c r="A3601" s="2">
        <v>29058.0</v>
      </c>
      <c r="B3601" s="2" t="s">
        <v>5723</v>
      </c>
      <c r="C3601" s="2" t="s">
        <v>7821</v>
      </c>
      <c r="D3601" s="2" t="s">
        <v>7822</v>
      </c>
      <c r="E3601" s="2" t="s">
        <v>20</v>
      </c>
      <c r="F3601" s="2">
        <v>9.0</v>
      </c>
      <c r="G3601" s="2">
        <v>500.0</v>
      </c>
      <c r="H3601" s="3" t="str">
        <f>HYPERLINK("http://ar.linkedin.com/in/pablokillian","http://ar.linkedin.com/in/pablokillian")</f>
        <v>http://ar.linkedin.com/in/pablokillian</v>
      </c>
      <c r="I3601" s="2" t="s">
        <v>248</v>
      </c>
      <c r="J3601" s="2" t="s">
        <v>21</v>
      </c>
      <c r="K3601" s="2" t="s">
        <v>6096</v>
      </c>
    </row>
    <row r="3602" ht="15.75" customHeight="1">
      <c r="A3602" s="2">
        <v>29078.0</v>
      </c>
      <c r="B3602" s="2" t="s">
        <v>353</v>
      </c>
      <c r="C3602" s="2" t="s">
        <v>7823</v>
      </c>
      <c r="D3602" s="2" t="s">
        <v>13</v>
      </c>
      <c r="E3602" s="2" t="s">
        <v>20</v>
      </c>
      <c r="F3602" s="2">
        <v>0.0</v>
      </c>
      <c r="G3602" s="2">
        <v>34.0</v>
      </c>
      <c r="H3602" s="3" t="str">
        <f>HYPERLINK("http://www.linkedin.com/pub/alejandro-sabolansky/8/72/346","http://www.linkedin.com/pub/alejandro-sabolansky/8/72/346")</f>
        <v>http://www.linkedin.com/pub/alejandro-sabolansky/8/72/346</v>
      </c>
      <c r="I3602" s="2" t="s">
        <v>873</v>
      </c>
      <c r="J3602" s="2" t="s">
        <v>21</v>
      </c>
      <c r="K3602" s="2" t="s">
        <v>5734</v>
      </c>
    </row>
    <row r="3603" ht="15.75" customHeight="1">
      <c r="A3603" s="2">
        <v>29097.0</v>
      </c>
      <c r="B3603" s="2" t="s">
        <v>353</v>
      </c>
      <c r="C3603" s="2" t="s">
        <v>7824</v>
      </c>
      <c r="D3603" s="2" t="s">
        <v>13</v>
      </c>
      <c r="E3603" s="2" t="s">
        <v>20</v>
      </c>
      <c r="F3603" s="2">
        <v>0.0</v>
      </c>
      <c r="G3603" s="2">
        <v>500.0</v>
      </c>
      <c r="H3603" s="3" t="str">
        <f>HYPERLINK("http://www.linkedin.com/pub/alejandro-fern%C3%A1ndez-acosta/a/ab4/585","http://www.linkedin.com/pub/alejandro-fern%C3%A1ndez-acosta/a/ab4/585")</f>
        <v>http://www.linkedin.com/pub/alejandro-fern%C3%A1ndez-acosta/a/ab4/585</v>
      </c>
      <c r="I3603" s="2" t="s">
        <v>458</v>
      </c>
      <c r="J3603" s="2" t="s">
        <v>21</v>
      </c>
      <c r="K3603" s="2" t="s">
        <v>5734</v>
      </c>
    </row>
    <row r="3604" ht="15.75" customHeight="1">
      <c r="A3604" s="2">
        <v>29105.0</v>
      </c>
      <c r="B3604" s="2" t="s">
        <v>201</v>
      </c>
      <c r="C3604" s="2" t="s">
        <v>7825</v>
      </c>
      <c r="D3604" s="2" t="s">
        <v>7826</v>
      </c>
      <c r="E3604" s="2" t="s">
        <v>20</v>
      </c>
      <c r="F3604" s="2">
        <v>5.0</v>
      </c>
      <c r="G3604" s="2">
        <v>500.0</v>
      </c>
      <c r="H3604" s="3" t="str">
        <f>HYPERLINK("http://ar.linkedin.com/in/nataliaseccia","http://ar.linkedin.com/in/nataliaseccia")</f>
        <v>http://ar.linkedin.com/in/nataliaseccia</v>
      </c>
      <c r="I3604" s="2" t="s">
        <v>910</v>
      </c>
      <c r="J3604" s="2" t="s">
        <v>21</v>
      </c>
      <c r="K3604" s="2" t="s">
        <v>5727</v>
      </c>
    </row>
    <row r="3605" ht="15.75" customHeight="1">
      <c r="A3605" s="2">
        <v>29141.0</v>
      </c>
      <c r="B3605" s="2" t="s">
        <v>6032</v>
      </c>
      <c r="C3605" s="2" t="s">
        <v>7827</v>
      </c>
      <c r="D3605" s="2" t="s">
        <v>13</v>
      </c>
      <c r="E3605" s="2" t="s">
        <v>20</v>
      </c>
      <c r="F3605" s="2">
        <v>0.0</v>
      </c>
      <c r="G3605" s="2">
        <v>500.0</v>
      </c>
      <c r="H3605" s="3" t="str">
        <f>HYPERLINK("http://www.linkedin.com/pub/lic-victoria-utrilla/24/0/198","http://www.linkedin.com/pub/lic-victoria-utrilla/24/0/198")</f>
        <v>http://www.linkedin.com/pub/lic-victoria-utrilla/24/0/198</v>
      </c>
      <c r="I3605" s="2" t="s">
        <v>458</v>
      </c>
      <c r="J3605" s="2" t="s">
        <v>21</v>
      </c>
      <c r="K3605" s="2" t="s">
        <v>5734</v>
      </c>
    </row>
    <row r="3606" ht="15.75" customHeight="1">
      <c r="A3606" s="2">
        <v>29190.0</v>
      </c>
      <c r="B3606" s="2" t="s">
        <v>353</v>
      </c>
      <c r="C3606" s="2" t="s">
        <v>7828</v>
      </c>
      <c r="D3606" s="2" t="s">
        <v>13</v>
      </c>
      <c r="E3606" s="2" t="s">
        <v>20</v>
      </c>
      <c r="F3606" s="2">
        <v>0.0</v>
      </c>
      <c r="G3606" s="2">
        <v>214.0</v>
      </c>
      <c r="H3606" s="3" t="str">
        <f>HYPERLINK("http://www.linkedin.com/pub/alejandro-szpak/26/534/980","http://www.linkedin.com/pub/alejandro-szpak/26/534/980")</f>
        <v>http://www.linkedin.com/pub/alejandro-szpak/26/534/980</v>
      </c>
      <c r="I3606" s="2" t="s">
        <v>279</v>
      </c>
      <c r="J3606" s="2" t="s">
        <v>21</v>
      </c>
      <c r="K3606" s="2" t="s">
        <v>5994</v>
      </c>
    </row>
    <row r="3607" ht="15.75" customHeight="1">
      <c r="A3607" s="2">
        <v>29232.0</v>
      </c>
      <c r="B3607" s="2" t="s">
        <v>193</v>
      </c>
      <c r="C3607" s="2" t="s">
        <v>7829</v>
      </c>
      <c r="D3607" s="2" t="s">
        <v>7149</v>
      </c>
      <c r="E3607" s="2" t="s">
        <v>20</v>
      </c>
      <c r="F3607" s="2">
        <v>5.0</v>
      </c>
      <c r="G3607" s="2">
        <v>242.0</v>
      </c>
      <c r="H3607" s="3" t="str">
        <f>HYPERLINK("http://ar.linkedin.com/pub/guillermo-ballester/2/89A/3AA","http://ar.linkedin.com/pub/guillermo-ballester/2/89A/3AA")</f>
        <v>http://ar.linkedin.com/pub/guillermo-ballester/2/89A/3AA</v>
      </c>
      <c r="I3607" s="2" t="s">
        <v>374</v>
      </c>
      <c r="J3607" s="2" t="s">
        <v>21</v>
      </c>
      <c r="K3607" s="2" t="s">
        <v>5727</v>
      </c>
    </row>
    <row r="3608" ht="15.75" customHeight="1">
      <c r="A3608" s="2">
        <v>29246.0</v>
      </c>
      <c r="B3608" s="2" t="s">
        <v>1254</v>
      </c>
      <c r="C3608" s="2" t="s">
        <v>7830</v>
      </c>
      <c r="D3608" s="2" t="s">
        <v>7831</v>
      </c>
      <c r="E3608" s="2" t="s">
        <v>1605</v>
      </c>
      <c r="F3608" s="2" t="s">
        <v>13</v>
      </c>
      <c r="G3608" s="2">
        <v>500.0</v>
      </c>
      <c r="H3608" s="3" t="str">
        <f>HYPERLINK("http://ca.linkedin.com/pub/rick-costanzo/0/212/A72","http://ca.linkedin.com/pub/rick-costanzo/0/212/A72")</f>
        <v>http://ca.linkedin.com/pub/rick-costanzo/0/212/A72</v>
      </c>
      <c r="I3608" s="2" t="s">
        <v>15</v>
      </c>
      <c r="J3608" s="2" t="s">
        <v>44</v>
      </c>
      <c r="K3608" s="2" t="s">
        <v>5725</v>
      </c>
    </row>
    <row r="3609" ht="15.75" customHeight="1">
      <c r="A3609" s="2">
        <v>29269.0</v>
      </c>
      <c r="B3609" s="2" t="s">
        <v>7832</v>
      </c>
      <c r="C3609" s="2" t="s">
        <v>7833</v>
      </c>
      <c r="D3609" s="2" t="s">
        <v>6702</v>
      </c>
      <c r="E3609" s="2" t="s">
        <v>20</v>
      </c>
      <c r="F3609" s="2" t="s">
        <v>13</v>
      </c>
      <c r="G3609" s="2">
        <v>112.0</v>
      </c>
      <c r="H3609" s="3" t="str">
        <f>HYPERLINK("http://ar.linkedin.com/pub/vanesa-mazzon/A/228/15B","http://ar.linkedin.com/pub/vanesa-mazzon/A/228/15B")</f>
        <v>http://ar.linkedin.com/pub/vanesa-mazzon/A/228/15B</v>
      </c>
      <c r="I3609" s="2" t="s">
        <v>279</v>
      </c>
      <c r="J3609" s="2" t="s">
        <v>21</v>
      </c>
      <c r="K3609" s="2" t="s">
        <v>5734</v>
      </c>
    </row>
    <row r="3610" ht="15.75" customHeight="1">
      <c r="A3610" s="2">
        <v>29270.0</v>
      </c>
      <c r="B3610" s="2" t="s">
        <v>7834</v>
      </c>
      <c r="C3610" s="2" t="s">
        <v>7835</v>
      </c>
      <c r="D3610" s="2" t="s">
        <v>7836</v>
      </c>
      <c r="E3610" s="2" t="s">
        <v>20</v>
      </c>
      <c r="F3610" s="2">
        <v>11.0</v>
      </c>
      <c r="G3610" s="2">
        <v>403.0</v>
      </c>
      <c r="H3610" s="3" t="str">
        <f>HYPERLINK("http://www.linkedin.com/in/carlosdanielperri","http://www.linkedin.com/in/carlosdanielperri")</f>
        <v>http://www.linkedin.com/in/carlosdanielperri</v>
      </c>
      <c r="I3610" s="2" t="s">
        <v>1679</v>
      </c>
      <c r="J3610" s="2" t="s">
        <v>21</v>
      </c>
      <c r="K3610" s="2" t="s">
        <v>5727</v>
      </c>
    </row>
    <row r="3611" ht="15.75" customHeight="1">
      <c r="A3611" s="2">
        <v>29287.0</v>
      </c>
      <c r="B3611" s="2" t="s">
        <v>7837</v>
      </c>
      <c r="C3611" s="2" t="s">
        <v>7838</v>
      </c>
      <c r="D3611" s="2" t="s">
        <v>6129</v>
      </c>
      <c r="E3611" s="2" t="s">
        <v>20</v>
      </c>
      <c r="F3611" s="2" t="s">
        <v>13</v>
      </c>
      <c r="G3611" s="2">
        <v>52.0</v>
      </c>
      <c r="H3611" s="3" t="str">
        <f>HYPERLINK("http://ar.linkedin.com/pub/mar%C3%ADa-fernanda-miceli-medina/14/679/1B3","http://ar.linkedin.com/pub/mar%C3%ADa-fernanda-miceli-medina/14/679/1B3")</f>
        <v>http://ar.linkedin.com/pub/mar%C3%ADa-fernanda-miceli-medina/14/679/1B3</v>
      </c>
      <c r="I3611" s="2" t="s">
        <v>279</v>
      </c>
      <c r="J3611" s="2" t="s">
        <v>21</v>
      </c>
      <c r="K3611" s="2" t="s">
        <v>5734</v>
      </c>
    </row>
    <row r="3612" ht="15.75" customHeight="1">
      <c r="A3612" s="2">
        <v>29296.0</v>
      </c>
      <c r="B3612" s="2" t="s">
        <v>5755</v>
      </c>
      <c r="C3612" s="2" t="s">
        <v>5839</v>
      </c>
      <c r="D3612" s="2" t="s">
        <v>13</v>
      </c>
      <c r="E3612" s="2" t="s">
        <v>20</v>
      </c>
      <c r="F3612" s="2">
        <v>0.0</v>
      </c>
      <c r="G3612" s="2">
        <v>500.0</v>
      </c>
      <c r="H3612" s="3" t="str">
        <f>HYPERLINK("http://www.linkedin.com/pub/maria-eugenia-viola/1a/bb6/286","http://www.linkedin.com/pub/maria-eugenia-viola/1a/bb6/286")</f>
        <v>http://www.linkedin.com/pub/maria-eugenia-viola/1a/bb6/286</v>
      </c>
      <c r="I3612" s="2" t="s">
        <v>57</v>
      </c>
      <c r="J3612" s="2" t="s">
        <v>21</v>
      </c>
      <c r="K3612" s="2" t="s">
        <v>5977</v>
      </c>
    </row>
    <row r="3613" ht="15.75" customHeight="1">
      <c r="A3613" s="2">
        <v>29341.0</v>
      </c>
      <c r="B3613" s="2" t="s">
        <v>2720</v>
      </c>
      <c r="C3613" s="2" t="s">
        <v>7839</v>
      </c>
      <c r="D3613" s="2" t="s">
        <v>7840</v>
      </c>
      <c r="E3613" s="2" t="s">
        <v>101</v>
      </c>
      <c r="F3613" s="2">
        <v>15.0</v>
      </c>
      <c r="G3613" s="2">
        <v>399.0</v>
      </c>
      <c r="H3613" s="3" t="str">
        <f>HYPERLINK("http://www.linkedin.com/pub/alexis-gerjets/3/890/973","http://www.linkedin.com/pub/alexis-gerjets/3/890/973")</f>
        <v>http://www.linkedin.com/pub/alexis-gerjets/3/890/973</v>
      </c>
      <c r="I3613" s="2" t="s">
        <v>612</v>
      </c>
      <c r="J3613" s="2" t="s">
        <v>102</v>
      </c>
      <c r="K3613" s="2" t="s">
        <v>6118</v>
      </c>
    </row>
    <row r="3614" ht="15.75" customHeight="1">
      <c r="A3614" s="2">
        <v>29373.0</v>
      </c>
      <c r="B3614" s="2" t="s">
        <v>7841</v>
      </c>
      <c r="C3614" s="2" t="s">
        <v>7842</v>
      </c>
      <c r="D3614" s="2" t="s">
        <v>7843</v>
      </c>
      <c r="E3614" s="2" t="s">
        <v>7844</v>
      </c>
      <c r="F3614" s="2">
        <v>10.0</v>
      </c>
      <c r="G3614" s="2">
        <v>475.0</v>
      </c>
      <c r="H3614" s="3" t="str">
        <f>HYPERLINK("http://www.linkedin.com/pub/lyndsey-carlson-ruhland/0/437/656","http://www.linkedin.com/pub/lyndsey-carlson-ruhland/0/437/656")</f>
        <v>http://www.linkedin.com/pub/lyndsey-carlson-ruhland/0/437/656</v>
      </c>
      <c r="I3614" s="2" t="s">
        <v>96</v>
      </c>
      <c r="J3614" s="2" t="s">
        <v>102</v>
      </c>
      <c r="K3614" s="2" t="s">
        <v>6376</v>
      </c>
    </row>
    <row r="3615" ht="15.75" customHeight="1">
      <c r="A3615" s="2">
        <v>29376.0</v>
      </c>
      <c r="B3615" s="2" t="s">
        <v>7845</v>
      </c>
      <c r="C3615" s="2" t="s">
        <v>6655</v>
      </c>
      <c r="D3615" s="2" t="s">
        <v>13</v>
      </c>
      <c r="E3615" s="2" t="s">
        <v>20</v>
      </c>
      <c r="F3615" s="2">
        <v>1.0</v>
      </c>
      <c r="G3615" s="2">
        <v>80.0</v>
      </c>
      <c r="H3615" s="3" t="str">
        <f>HYPERLINK("http://www.linkedin.com/pub/fernando-gabriel-lezcano/23/386/248","http://www.linkedin.com/pub/fernando-gabriel-lezcano/23/386/248")</f>
        <v>http://www.linkedin.com/pub/fernando-gabriel-lezcano/23/386/248</v>
      </c>
      <c r="I3615" s="2" t="s">
        <v>57</v>
      </c>
      <c r="J3615" s="2" t="s">
        <v>21</v>
      </c>
      <c r="K3615" s="2" t="s">
        <v>5727</v>
      </c>
    </row>
    <row r="3616" ht="15.75" customHeight="1">
      <c r="A3616" s="2">
        <v>29411.0</v>
      </c>
      <c r="B3616" s="2" t="s">
        <v>201</v>
      </c>
      <c r="C3616" s="2" t="s">
        <v>7846</v>
      </c>
      <c r="D3616" s="2" t="s">
        <v>7847</v>
      </c>
      <c r="E3616" s="2" t="s">
        <v>20</v>
      </c>
      <c r="F3616" s="2" t="s">
        <v>13</v>
      </c>
      <c r="G3616" s="2">
        <v>500.0</v>
      </c>
      <c r="H3616" s="3" t="str">
        <f>HYPERLINK("http://ar.linkedin.com/pub/natalia-ds/15/493/698","http://ar.linkedin.com/pub/natalia-ds/15/493/698")</f>
        <v>http://ar.linkedin.com/pub/natalia-ds/15/493/698</v>
      </c>
      <c r="I3616" s="2" t="s">
        <v>2046</v>
      </c>
      <c r="J3616" s="2" t="s">
        <v>21</v>
      </c>
      <c r="K3616" s="2" t="s">
        <v>5785</v>
      </c>
    </row>
    <row r="3617" ht="15.75" customHeight="1">
      <c r="A3617" s="2">
        <v>29437.0</v>
      </c>
      <c r="B3617" s="2" t="s">
        <v>82</v>
      </c>
      <c r="C3617" s="2" t="s">
        <v>6038</v>
      </c>
      <c r="D3617" s="2" t="s">
        <v>7848</v>
      </c>
      <c r="E3617" s="2" t="s">
        <v>20</v>
      </c>
      <c r="F3617" s="2">
        <v>4.0</v>
      </c>
      <c r="G3617" s="2">
        <v>220.0</v>
      </c>
      <c r="H3617" s="3" t="str">
        <f>HYPERLINK("http://ar.linkedin.com/pub/sonia-joaquin/11/A04/973","http://ar.linkedin.com/pub/sonia-joaquin/11/A04/973")</f>
        <v>http://ar.linkedin.com/pub/sonia-joaquin/11/A04/973</v>
      </c>
      <c r="I3617" s="2" t="s">
        <v>279</v>
      </c>
      <c r="J3617" s="2" t="s">
        <v>21</v>
      </c>
      <c r="K3617" s="2" t="s">
        <v>5727</v>
      </c>
    </row>
    <row r="3618" ht="15.75" customHeight="1">
      <c r="A3618" s="2">
        <v>29504.0</v>
      </c>
      <c r="B3618" s="2" t="s">
        <v>5495</v>
      </c>
      <c r="C3618" s="2" t="s">
        <v>7849</v>
      </c>
      <c r="D3618" s="2" t="s">
        <v>7850</v>
      </c>
      <c r="E3618" s="2" t="s">
        <v>20</v>
      </c>
      <c r="F3618" s="2" t="s">
        <v>13</v>
      </c>
      <c r="G3618" s="2">
        <v>258.0</v>
      </c>
      <c r="H3618" s="3" t="str">
        <f>HYPERLINK("http://ar.linkedin.com/pub/fabio-orellano/3/363/794","http://ar.linkedin.com/pub/fabio-orellano/3/363/794")</f>
        <v>http://ar.linkedin.com/pub/fabio-orellano/3/363/794</v>
      </c>
      <c r="I3618" s="2" t="s">
        <v>77</v>
      </c>
      <c r="J3618" s="2" t="s">
        <v>21</v>
      </c>
      <c r="K3618" s="2" t="s">
        <v>5785</v>
      </c>
    </row>
    <row r="3619" ht="15.75" customHeight="1">
      <c r="A3619" s="2">
        <v>29509.0</v>
      </c>
      <c r="B3619" s="2" t="s">
        <v>7851</v>
      </c>
      <c r="C3619" s="2" t="s">
        <v>7852</v>
      </c>
      <c r="D3619" s="2" t="s">
        <v>13</v>
      </c>
      <c r="E3619" s="2" t="s">
        <v>20</v>
      </c>
      <c r="F3619" s="2">
        <v>0.0</v>
      </c>
      <c r="G3619" s="2">
        <v>500.0</v>
      </c>
      <c r="H3619" s="3" t="str">
        <f>HYPERLINK("http://www.linkedin.com/pub/pascual-enrique-rombol%C3%A1/6/366/246","http://www.linkedin.com/pub/pascual-enrique-rombol%C3%A1/6/366/246")</f>
        <v>http://www.linkedin.com/pub/pascual-enrique-rombol%C3%A1/6/366/246</v>
      </c>
      <c r="I3619" s="2" t="s">
        <v>77</v>
      </c>
      <c r="J3619" s="2" t="s">
        <v>21</v>
      </c>
      <c r="K3619" s="2" t="s">
        <v>5731</v>
      </c>
    </row>
    <row r="3620" ht="15.75" customHeight="1">
      <c r="A3620" s="2">
        <v>29511.0</v>
      </c>
      <c r="B3620" s="2" t="s">
        <v>5078</v>
      </c>
      <c r="C3620" s="2" t="s">
        <v>7853</v>
      </c>
      <c r="D3620" s="2" t="s">
        <v>13</v>
      </c>
      <c r="E3620" s="2" t="s">
        <v>20</v>
      </c>
      <c r="F3620" s="2">
        <v>3.0</v>
      </c>
      <c r="G3620" s="2">
        <v>500.0</v>
      </c>
      <c r="H3620" s="3" t="str">
        <f>HYPERLINK("http://www.linkedin.com/pub/diego-cinto/0/280/75a","http://www.linkedin.com/pub/diego-cinto/0/280/75a")</f>
        <v>http://www.linkedin.com/pub/diego-cinto/0/280/75a</v>
      </c>
      <c r="I3620" s="2" t="s">
        <v>77</v>
      </c>
      <c r="J3620" s="2" t="s">
        <v>21</v>
      </c>
      <c r="K3620" s="2" t="s">
        <v>5743</v>
      </c>
    </row>
    <row r="3621" ht="15.75" customHeight="1">
      <c r="A3621" s="2">
        <v>29538.0</v>
      </c>
      <c r="B3621" s="2" t="s">
        <v>7854</v>
      </c>
      <c r="C3621" s="2" t="s">
        <v>4486</v>
      </c>
      <c r="D3621" s="2" t="s">
        <v>13</v>
      </c>
      <c r="E3621" s="2" t="s">
        <v>20</v>
      </c>
      <c r="F3621" s="2">
        <v>0.0</v>
      </c>
      <c r="G3621" s="2">
        <v>353.0</v>
      </c>
      <c r="H3621" s="3" t="str">
        <f>HYPERLINK("http://www.linkedin.com/pub/teresita-fatima-fernandez/2/442/1a7","http://www.linkedin.com/pub/teresita-fatima-fernandez/2/442/1a7")</f>
        <v>http://www.linkedin.com/pub/teresita-fatima-fernandez/2/442/1a7</v>
      </c>
      <c r="I3621" s="2" t="s">
        <v>279</v>
      </c>
      <c r="J3621" s="2" t="s">
        <v>21</v>
      </c>
      <c r="K3621" s="2" t="s">
        <v>5734</v>
      </c>
    </row>
    <row r="3622" ht="15.75" customHeight="1">
      <c r="A3622" s="2">
        <v>29551.0</v>
      </c>
      <c r="B3622" s="2" t="s">
        <v>5078</v>
      </c>
      <c r="C3622" s="2" t="s">
        <v>7855</v>
      </c>
      <c r="D3622" s="2" t="s">
        <v>7856</v>
      </c>
      <c r="E3622" s="2" t="s">
        <v>20</v>
      </c>
      <c r="F3622" s="2">
        <v>6.0</v>
      </c>
      <c r="G3622" s="2">
        <v>500.0</v>
      </c>
      <c r="H3622" s="3" t="str">
        <f>HYPERLINK("http://ar.linkedin.com/pub/diego-ledesma/9/117/6A2","http://ar.linkedin.com/pub/diego-ledesma/9/117/6A2")</f>
        <v>http://ar.linkedin.com/pub/diego-ledesma/9/117/6A2</v>
      </c>
      <c r="I3622" s="2" t="s">
        <v>1679</v>
      </c>
      <c r="J3622" s="2" t="s">
        <v>21</v>
      </c>
      <c r="K3622" s="2" t="s">
        <v>5727</v>
      </c>
    </row>
    <row r="3623" ht="15.75" customHeight="1">
      <c r="A3623" s="2">
        <v>29557.0</v>
      </c>
      <c r="B3623" s="2" t="s">
        <v>3692</v>
      </c>
      <c r="C3623" s="2" t="s">
        <v>7857</v>
      </c>
      <c r="D3623" s="2" t="s">
        <v>7858</v>
      </c>
      <c r="E3623" s="2" t="s">
        <v>20</v>
      </c>
      <c r="F3623" s="2" t="s">
        <v>13</v>
      </c>
      <c r="G3623" s="2">
        <v>93.0</v>
      </c>
      <c r="H3623" s="3" t="str">
        <f>HYPERLINK("http://ar.linkedin.com/pub/federico-estivill/1/67/192","http://ar.linkedin.com/pub/federico-estivill/1/67/192")</f>
        <v>http://ar.linkedin.com/pub/federico-estivill/1/67/192</v>
      </c>
      <c r="I3623" s="2" t="s">
        <v>48</v>
      </c>
      <c r="J3623" s="2" t="s">
        <v>21</v>
      </c>
      <c r="K3623" s="2" t="s">
        <v>5725</v>
      </c>
    </row>
    <row r="3624" ht="15.75" customHeight="1">
      <c r="A3624" s="2">
        <v>29572.0</v>
      </c>
      <c r="B3624" s="2" t="s">
        <v>7859</v>
      </c>
      <c r="C3624" s="2" t="s">
        <v>7860</v>
      </c>
      <c r="D3624" s="2" t="s">
        <v>13</v>
      </c>
      <c r="E3624" s="2" t="s">
        <v>20</v>
      </c>
      <c r="F3624" s="2">
        <v>0.0</v>
      </c>
      <c r="G3624" s="2">
        <v>265.0</v>
      </c>
      <c r="H3624" s="3" t="str">
        <f>HYPERLINK("http://ar.linkedin.com/pub/juan-jose-carro/A/192/580","http://ar.linkedin.com/pub/juan-jose-carro/A/192/580")</f>
        <v>http://ar.linkedin.com/pub/juan-jose-carro/A/192/580</v>
      </c>
      <c r="I3624" s="2" t="s">
        <v>15</v>
      </c>
      <c r="J3624" s="2" t="s">
        <v>21</v>
      </c>
      <c r="K3624" s="2" t="s">
        <v>5725</v>
      </c>
    </row>
    <row r="3625" ht="15.75" customHeight="1">
      <c r="A3625" s="2">
        <v>29600.0</v>
      </c>
      <c r="B3625" s="2" t="s">
        <v>609</v>
      </c>
      <c r="C3625" s="2" t="s">
        <v>7861</v>
      </c>
      <c r="D3625" s="2" t="s">
        <v>7862</v>
      </c>
      <c r="E3625" s="2" t="s">
        <v>20</v>
      </c>
      <c r="F3625" s="2">
        <v>1.0</v>
      </c>
      <c r="G3625" s="2">
        <v>152.0</v>
      </c>
      <c r="H3625" s="3" t="str">
        <f>HYPERLINK("http://ar.linkedin.com/in/jperelli","http://ar.linkedin.com/in/jperelli")</f>
        <v>http://ar.linkedin.com/in/jperelli</v>
      </c>
      <c r="I3625" s="2" t="s">
        <v>57</v>
      </c>
      <c r="J3625" s="2" t="s">
        <v>21</v>
      </c>
      <c r="K3625" s="2" t="s">
        <v>5819</v>
      </c>
    </row>
    <row r="3626" ht="15.75" customHeight="1">
      <c r="A3626" s="2">
        <v>29602.0</v>
      </c>
      <c r="B3626" s="2" t="s">
        <v>7863</v>
      </c>
      <c r="C3626" s="2" t="s">
        <v>7864</v>
      </c>
      <c r="D3626" s="2" t="s">
        <v>7865</v>
      </c>
      <c r="E3626" s="2" t="s">
        <v>20</v>
      </c>
      <c r="F3626" s="2" t="s">
        <v>13</v>
      </c>
      <c r="G3626" s="2">
        <v>303.0</v>
      </c>
      <c r="H3626" s="3" t="str">
        <f>HYPERLINK("http://ar.linkedin.com/in/virginiv","http://ar.linkedin.com/in/virginiv")</f>
        <v>http://ar.linkedin.com/in/virginiv</v>
      </c>
      <c r="I3626" s="2" t="s">
        <v>15</v>
      </c>
      <c r="J3626" s="2" t="s">
        <v>21</v>
      </c>
      <c r="K3626" s="2" t="s">
        <v>5725</v>
      </c>
    </row>
    <row r="3627" ht="15.75" customHeight="1">
      <c r="A3627" s="2">
        <v>29609.0</v>
      </c>
      <c r="B3627" s="2" t="s">
        <v>5846</v>
      </c>
      <c r="C3627" s="2" t="s">
        <v>7866</v>
      </c>
      <c r="D3627" s="2" t="s">
        <v>7867</v>
      </c>
      <c r="E3627" s="2" t="s">
        <v>20</v>
      </c>
      <c r="F3627" s="2" t="s">
        <v>13</v>
      </c>
      <c r="G3627" s="2">
        <v>106.0</v>
      </c>
      <c r="H3627" s="3" t="str">
        <f>HYPERLINK("http://ar.linkedin.com/pub/horacio-leone/23/3B2/6A5","http://ar.linkedin.com/pub/horacio-leone/23/3B2/6A5")</f>
        <v>http://ar.linkedin.com/pub/horacio-leone/23/3B2/6A5</v>
      </c>
      <c r="I3627" s="2" t="s">
        <v>225</v>
      </c>
      <c r="J3627" s="2" t="s">
        <v>21</v>
      </c>
      <c r="K3627" s="2" t="s">
        <v>5734</v>
      </c>
    </row>
    <row r="3628" ht="15.75" customHeight="1">
      <c r="A3628" s="2">
        <v>29622.0</v>
      </c>
      <c r="B3628" s="2" t="s">
        <v>152</v>
      </c>
      <c r="C3628" s="2" t="s">
        <v>4791</v>
      </c>
      <c r="D3628" s="2" t="s">
        <v>7868</v>
      </c>
      <c r="E3628" s="2" t="s">
        <v>20</v>
      </c>
      <c r="F3628" s="2" t="s">
        <v>13</v>
      </c>
      <c r="G3628" s="2">
        <v>138.0</v>
      </c>
      <c r="H3628" s="3" t="str">
        <f>HYPERLINK("http://ar.linkedin.com/pub/eduardo-gomez/22/809/458","http://ar.linkedin.com/pub/eduardo-gomez/22/809/458")</f>
        <v>http://ar.linkedin.com/pub/eduardo-gomez/22/809/458</v>
      </c>
      <c r="I3628" s="2" t="s">
        <v>225</v>
      </c>
      <c r="J3628" s="2" t="s">
        <v>21</v>
      </c>
      <c r="K3628" s="2" t="s">
        <v>7869</v>
      </c>
    </row>
    <row r="3629" ht="15.75" customHeight="1">
      <c r="A3629" s="2">
        <v>29629.0</v>
      </c>
      <c r="B3629" s="2" t="s">
        <v>7870</v>
      </c>
      <c r="C3629" s="2" t="s">
        <v>5383</v>
      </c>
      <c r="D3629" s="2" t="s">
        <v>13</v>
      </c>
      <c r="E3629" s="2" t="s">
        <v>20</v>
      </c>
      <c r="F3629" s="2">
        <v>0.0</v>
      </c>
      <c r="G3629" s="2">
        <v>24.0</v>
      </c>
      <c r="H3629" s="3" t="str">
        <f>HYPERLINK("http://www.linkedin.com/pub/roberto-oscar-lucero/28/7a7/6a5","http://www.linkedin.com/pub/roberto-oscar-lucero/28/7a7/6a5")</f>
        <v>http://www.linkedin.com/pub/roberto-oscar-lucero/28/7a7/6a5</v>
      </c>
      <c r="I3629" s="2" t="s">
        <v>15</v>
      </c>
      <c r="J3629" s="2" t="s">
        <v>21</v>
      </c>
      <c r="K3629" s="2" t="s">
        <v>5785</v>
      </c>
    </row>
    <row r="3630" ht="15.75" customHeight="1">
      <c r="A3630" s="2">
        <v>29632.0</v>
      </c>
      <c r="B3630" s="2" t="s">
        <v>431</v>
      </c>
      <c r="C3630" s="2" t="s">
        <v>7855</v>
      </c>
      <c r="D3630" s="2" t="s">
        <v>7871</v>
      </c>
      <c r="E3630" s="2" t="s">
        <v>20</v>
      </c>
      <c r="F3630" s="2" t="s">
        <v>13</v>
      </c>
      <c r="G3630" s="2">
        <v>58.0</v>
      </c>
      <c r="H3630" s="3" t="str">
        <f>HYPERLINK("http://ar.linkedin.com/pub/rodrigo-ledesma/14/170/176","http://ar.linkedin.com/pub/rodrigo-ledesma/14/170/176")</f>
        <v>http://ar.linkedin.com/pub/rodrigo-ledesma/14/170/176</v>
      </c>
      <c r="I3630" s="2" t="s">
        <v>119</v>
      </c>
      <c r="J3630" s="2" t="s">
        <v>21</v>
      </c>
      <c r="K3630" s="2" t="s">
        <v>5785</v>
      </c>
    </row>
    <row r="3631" ht="15.75" customHeight="1">
      <c r="A3631" s="2">
        <v>29652.0</v>
      </c>
      <c r="B3631" s="2" t="s">
        <v>7872</v>
      </c>
      <c r="C3631" s="2" t="s">
        <v>7873</v>
      </c>
      <c r="D3631" s="2" t="s">
        <v>6129</v>
      </c>
      <c r="E3631" s="2" t="s">
        <v>20</v>
      </c>
      <c r="F3631" s="2">
        <v>1.0</v>
      </c>
      <c r="G3631" s="2">
        <v>500.0</v>
      </c>
      <c r="H3631" s="3" t="str">
        <f>HYPERLINK("http://ar.linkedin.com/pub/ary-eppel/1/630/501","http://ar.linkedin.com/pub/ary-eppel/1/630/501")</f>
        <v>http://ar.linkedin.com/pub/ary-eppel/1/630/501</v>
      </c>
      <c r="I3631" s="2" t="s">
        <v>15</v>
      </c>
      <c r="J3631" s="2" t="s">
        <v>21</v>
      </c>
      <c r="K3631" s="2" t="s">
        <v>5725</v>
      </c>
    </row>
    <row r="3632" ht="15.75" customHeight="1">
      <c r="A3632" s="2">
        <v>29669.0</v>
      </c>
      <c r="B3632" s="2" t="s">
        <v>5922</v>
      </c>
      <c r="C3632" s="2" t="s">
        <v>7874</v>
      </c>
      <c r="D3632" s="2" t="s">
        <v>7875</v>
      </c>
      <c r="E3632" s="2" t="s">
        <v>20</v>
      </c>
      <c r="F3632" s="2">
        <v>10.0</v>
      </c>
      <c r="G3632" s="2">
        <v>199.0</v>
      </c>
      <c r="H3632" s="3" t="str">
        <f>HYPERLINK("http://ar.linkedin.com/pub/gabriela-marazzi/21/959/8A1","http://ar.linkedin.com/pub/gabriela-marazzi/21/959/8A1")</f>
        <v>http://ar.linkedin.com/pub/gabriela-marazzi/21/959/8A1</v>
      </c>
      <c r="I3632" s="2" t="s">
        <v>844</v>
      </c>
      <c r="J3632" s="2" t="s">
        <v>21</v>
      </c>
      <c r="K3632" s="2" t="s">
        <v>5727</v>
      </c>
    </row>
    <row r="3633" ht="15.75" customHeight="1">
      <c r="A3633" s="2">
        <v>29673.0</v>
      </c>
      <c r="B3633" s="2" t="s">
        <v>7876</v>
      </c>
      <c r="C3633" s="2" t="s">
        <v>7877</v>
      </c>
      <c r="D3633" s="2" t="s">
        <v>7878</v>
      </c>
      <c r="E3633" s="2" t="s">
        <v>20</v>
      </c>
      <c r="F3633" s="2">
        <v>2.0</v>
      </c>
      <c r="G3633" s="2">
        <v>97.0</v>
      </c>
      <c r="H3633" s="3" t="str">
        <f>HYPERLINK("http://ar.linkedin.com/in/peraltapastor","http://ar.linkedin.com/in/peraltapastor")</f>
        <v>http://ar.linkedin.com/in/peraltapastor</v>
      </c>
      <c r="I3633" s="2" t="s">
        <v>77</v>
      </c>
      <c r="J3633" s="2" t="s">
        <v>21</v>
      </c>
      <c r="K3633" s="2" t="s">
        <v>5731</v>
      </c>
    </row>
    <row r="3634" ht="15.75" customHeight="1">
      <c r="A3634" s="2">
        <v>29708.0</v>
      </c>
      <c r="B3634" s="2" t="s">
        <v>7879</v>
      </c>
      <c r="C3634" s="2" t="s">
        <v>7880</v>
      </c>
      <c r="D3634" s="2" t="s">
        <v>7881</v>
      </c>
      <c r="E3634" s="2" t="s">
        <v>20</v>
      </c>
      <c r="F3634" s="2">
        <v>7.0</v>
      </c>
      <c r="G3634" s="2">
        <v>364.0</v>
      </c>
      <c r="H3634" s="3" t="str">
        <f>HYPERLINK("http://ar.linkedin.com/in/vpkammerer","http://ar.linkedin.com/in/vpkammerer")</f>
        <v>http://ar.linkedin.com/in/vpkammerer</v>
      </c>
      <c r="I3634" s="2" t="s">
        <v>599</v>
      </c>
      <c r="J3634" s="2" t="s">
        <v>21</v>
      </c>
      <c r="K3634" s="2" t="s">
        <v>5727</v>
      </c>
    </row>
    <row r="3635" ht="15.75" customHeight="1">
      <c r="A3635" s="2">
        <v>29718.0</v>
      </c>
      <c r="B3635" s="2" t="s">
        <v>6339</v>
      </c>
      <c r="C3635" s="2" t="s">
        <v>7882</v>
      </c>
      <c r="D3635" s="2" t="s">
        <v>7883</v>
      </c>
      <c r="E3635" s="2" t="s">
        <v>20</v>
      </c>
      <c r="F3635" s="2">
        <v>2.0</v>
      </c>
      <c r="G3635" s="2">
        <v>188.0</v>
      </c>
      <c r="H3635" s="3" t="str">
        <f>HYPERLINK("http://ar.linkedin.com/in/echamorro","http://ar.linkedin.com/in/echamorro")</f>
        <v>http://ar.linkedin.com/in/echamorro</v>
      </c>
      <c r="I3635" s="2" t="s">
        <v>77</v>
      </c>
      <c r="J3635" s="2" t="s">
        <v>21</v>
      </c>
      <c r="K3635" s="2" t="s">
        <v>5731</v>
      </c>
    </row>
    <row r="3636" ht="15.75" customHeight="1">
      <c r="A3636" s="2">
        <v>29750.0</v>
      </c>
      <c r="B3636" s="2" t="s">
        <v>227</v>
      </c>
      <c r="C3636" s="2" t="s">
        <v>7884</v>
      </c>
      <c r="D3636" s="2" t="s">
        <v>13</v>
      </c>
      <c r="E3636" s="2" t="s">
        <v>20</v>
      </c>
      <c r="F3636" s="2">
        <v>0.0</v>
      </c>
      <c r="G3636" s="2">
        <v>500.0</v>
      </c>
      <c r="H3636" s="3" t="str">
        <f>HYPERLINK("http://www.linkedin.com/pub/jorge-goulu/6/42a/928?trk=pub-pbmap","http://www.linkedin.com/pub/jorge-goulu/6/42a/928?trk=pub-pbmap")</f>
        <v>http://www.linkedin.com/pub/jorge-goulu/6/42a/928?trk=pub-pbmap</v>
      </c>
      <c r="I3636" s="2" t="s">
        <v>15</v>
      </c>
      <c r="J3636" s="2" t="s">
        <v>21</v>
      </c>
      <c r="K3636" s="2" t="s">
        <v>5725</v>
      </c>
    </row>
    <row r="3637" ht="15.75" customHeight="1">
      <c r="A3637" s="2">
        <v>29755.0</v>
      </c>
      <c r="B3637" s="2" t="s">
        <v>152</v>
      </c>
      <c r="C3637" s="2" t="s">
        <v>7016</v>
      </c>
      <c r="D3637" s="2" t="s">
        <v>7885</v>
      </c>
      <c r="E3637" s="2" t="s">
        <v>20</v>
      </c>
      <c r="F3637" s="2">
        <v>1.0</v>
      </c>
      <c r="G3637" s="2">
        <v>101.0</v>
      </c>
      <c r="H3637" s="3" t="str">
        <f>HYPERLINK("http://ar.linkedin.com/pub/eduardo-penedo/0/56A/154","http://ar.linkedin.com/pub/eduardo-penedo/0/56A/154")</f>
        <v>http://ar.linkedin.com/pub/eduardo-penedo/0/56A/154</v>
      </c>
      <c r="I3637" s="2" t="s">
        <v>77</v>
      </c>
      <c r="J3637" s="2" t="s">
        <v>21</v>
      </c>
      <c r="K3637" s="2" t="s">
        <v>5785</v>
      </c>
    </row>
    <row r="3638" ht="15.75" customHeight="1">
      <c r="A3638" s="2">
        <v>29772.0</v>
      </c>
      <c r="B3638" s="2" t="s">
        <v>7886</v>
      </c>
      <c r="C3638" s="2" t="s">
        <v>7887</v>
      </c>
      <c r="D3638" s="2" t="s">
        <v>7888</v>
      </c>
      <c r="E3638" s="2" t="s">
        <v>20</v>
      </c>
      <c r="F3638" s="2">
        <v>5.0</v>
      </c>
      <c r="G3638" s="2">
        <v>281.0</v>
      </c>
      <c r="H3638" s="3" t="str">
        <f>HYPERLINK("http://ar.linkedin.com/in/vittoriomuzzi","http://ar.linkedin.com/in/vittoriomuzzi")</f>
        <v>http://ar.linkedin.com/in/vittoriomuzzi</v>
      </c>
      <c r="I3638" s="2" t="s">
        <v>374</v>
      </c>
      <c r="J3638" s="2" t="s">
        <v>21</v>
      </c>
      <c r="K3638" s="2" t="s">
        <v>5743</v>
      </c>
    </row>
    <row r="3639" ht="15.75" customHeight="1">
      <c r="A3639" s="2">
        <v>29777.0</v>
      </c>
      <c r="B3639" s="2" t="s">
        <v>6025</v>
      </c>
      <c r="C3639" s="2" t="s">
        <v>7889</v>
      </c>
      <c r="D3639" s="2" t="s">
        <v>7890</v>
      </c>
      <c r="E3639" s="2" t="s">
        <v>20</v>
      </c>
      <c r="F3639" s="2">
        <v>3.0</v>
      </c>
      <c r="G3639" s="2">
        <v>500.0</v>
      </c>
      <c r="H3639" s="3" t="str">
        <f>HYPERLINK("http://ar.linkedin.com/pub/hernan-antolini/3/442/879","http://ar.linkedin.com/pub/hernan-antolini/3/442/879")</f>
        <v>http://ar.linkedin.com/pub/hernan-antolini/3/442/879</v>
      </c>
      <c r="I3639" s="2" t="s">
        <v>195</v>
      </c>
      <c r="J3639" s="2" t="s">
        <v>21</v>
      </c>
      <c r="K3639" s="2" t="s">
        <v>6046</v>
      </c>
    </row>
    <row r="3640" ht="15.75" customHeight="1">
      <c r="A3640" s="2">
        <v>29778.0</v>
      </c>
      <c r="B3640" s="2" t="s">
        <v>45</v>
      </c>
      <c r="C3640" s="2" t="s">
        <v>7891</v>
      </c>
      <c r="D3640" s="2" t="s">
        <v>7892</v>
      </c>
      <c r="E3640" s="2" t="s">
        <v>20</v>
      </c>
      <c r="F3640" s="2" t="s">
        <v>13</v>
      </c>
      <c r="G3640" s="2">
        <v>159.0</v>
      </c>
      <c r="H3640" s="3" t="str">
        <f>HYPERLINK("http://ar.linkedin.com/pub/carlos-morano/1/A2B/173","http://ar.linkedin.com/pub/carlos-morano/1/A2B/173")</f>
        <v>http://ar.linkedin.com/pub/carlos-morano/1/A2B/173</v>
      </c>
      <c r="I3640" s="2" t="s">
        <v>57</v>
      </c>
      <c r="J3640" s="2" t="s">
        <v>21</v>
      </c>
      <c r="K3640" s="2" t="s">
        <v>5725</v>
      </c>
    </row>
    <row r="3641" ht="15.75" customHeight="1">
      <c r="A3641" s="2">
        <v>29786.0</v>
      </c>
      <c r="B3641" s="2" t="s">
        <v>5723</v>
      </c>
      <c r="C3641" s="2" t="s">
        <v>7893</v>
      </c>
      <c r="D3641" s="2" t="s">
        <v>7894</v>
      </c>
      <c r="E3641" s="2" t="s">
        <v>20</v>
      </c>
      <c r="F3641" s="2">
        <v>16.0</v>
      </c>
      <c r="G3641" s="2">
        <v>274.0</v>
      </c>
      <c r="H3641" s="3" t="str">
        <f>HYPERLINK("http://ar.linkedin.com/in/delgiudice","http://ar.linkedin.com/in/delgiudice")</f>
        <v>http://ar.linkedin.com/in/delgiudice</v>
      </c>
      <c r="I3641" s="2" t="s">
        <v>77</v>
      </c>
      <c r="J3641" s="2" t="s">
        <v>21</v>
      </c>
      <c r="K3641" s="2" t="s">
        <v>5743</v>
      </c>
    </row>
    <row r="3642" ht="15.75" customHeight="1">
      <c r="A3642" s="2">
        <v>29791.0</v>
      </c>
      <c r="B3642" s="2" t="s">
        <v>5824</v>
      </c>
      <c r="C3642" s="2" t="s">
        <v>3392</v>
      </c>
      <c r="D3642" s="2" t="s">
        <v>7895</v>
      </c>
      <c r="E3642" s="2" t="s">
        <v>20</v>
      </c>
      <c r="F3642" s="2" t="s">
        <v>13</v>
      </c>
      <c r="G3642" s="2">
        <v>24.0</v>
      </c>
      <c r="H3642" s="3" t="str">
        <f>HYPERLINK("http://ar.linkedin.com/pub/alejandra-lopez/10/855/61A","http://ar.linkedin.com/pub/alejandra-lopez/10/855/61A")</f>
        <v>http://ar.linkedin.com/pub/alejandra-lopez/10/855/61A</v>
      </c>
      <c r="I3642" s="2" t="s">
        <v>15</v>
      </c>
      <c r="J3642" s="2" t="s">
        <v>21</v>
      </c>
      <c r="K3642" s="2" t="s">
        <v>5785</v>
      </c>
    </row>
    <row r="3643" ht="15.75" customHeight="1">
      <c r="A3643" s="2">
        <v>29792.0</v>
      </c>
      <c r="B3643" s="2" t="s">
        <v>7896</v>
      </c>
      <c r="C3643" s="2" t="s">
        <v>7897</v>
      </c>
      <c r="D3643" s="2" t="s">
        <v>7898</v>
      </c>
      <c r="E3643" s="2" t="s">
        <v>20</v>
      </c>
      <c r="F3643" s="2">
        <v>10.0</v>
      </c>
      <c r="G3643" s="2">
        <v>500.0</v>
      </c>
      <c r="H3643" s="3" t="str">
        <f>HYPERLINK("http://ar.linkedin.com/in/lbertola","http://ar.linkedin.com/in/lbertola")</f>
        <v>http://ar.linkedin.com/in/lbertola</v>
      </c>
      <c r="I3643" s="2" t="s">
        <v>195</v>
      </c>
      <c r="J3643" s="2" t="s">
        <v>21</v>
      </c>
      <c r="K3643" s="2" t="s">
        <v>6096</v>
      </c>
    </row>
    <row r="3644" ht="15.75" customHeight="1">
      <c r="A3644" s="2">
        <v>29812.0</v>
      </c>
      <c r="B3644" s="2" t="s">
        <v>5078</v>
      </c>
      <c r="C3644" s="2" t="s">
        <v>7899</v>
      </c>
      <c r="D3644" s="2" t="s">
        <v>13</v>
      </c>
      <c r="E3644" s="2" t="s">
        <v>20</v>
      </c>
      <c r="F3644" s="2">
        <v>3.0</v>
      </c>
      <c r="G3644" s="2">
        <v>500.0</v>
      </c>
      <c r="H3644" s="3" t="str">
        <f>HYPERLINK("http://www.linkedin.com/pub/diego-moltedo/1/b38/a5","http://www.linkedin.com/pub/diego-moltedo/1/b38/a5")</f>
        <v>http://www.linkedin.com/pub/diego-moltedo/1/b38/a5</v>
      </c>
      <c r="I3644" s="2" t="s">
        <v>279</v>
      </c>
      <c r="J3644" s="2" t="s">
        <v>21</v>
      </c>
      <c r="K3644" s="2" t="s">
        <v>5727</v>
      </c>
    </row>
    <row r="3645" ht="15.75" customHeight="1">
      <c r="A3645" s="2">
        <v>29835.0</v>
      </c>
      <c r="B3645" s="2" t="s">
        <v>5732</v>
      </c>
      <c r="C3645" s="2" t="s">
        <v>2544</v>
      </c>
      <c r="D3645" s="2" t="s">
        <v>13</v>
      </c>
      <c r="E3645" s="2" t="s">
        <v>20</v>
      </c>
      <c r="F3645" s="2">
        <v>6.0</v>
      </c>
      <c r="G3645" s="2">
        <v>500.0</v>
      </c>
      <c r="H3645" s="3" t="str">
        <f>HYPERLINK("http://www.linkedin.com/pub/mart%C3%ADn-barber/1b/683/683","http://www.linkedin.com/pub/mart%C3%ADn-barber/1b/683/683")</f>
        <v>http://www.linkedin.com/pub/mart%C3%ADn-barber/1b/683/683</v>
      </c>
      <c r="I3645" s="2" t="s">
        <v>48</v>
      </c>
      <c r="J3645" s="2" t="s">
        <v>21</v>
      </c>
      <c r="K3645" s="2" t="s">
        <v>5727</v>
      </c>
    </row>
    <row r="3646" ht="15.75" customHeight="1">
      <c r="A3646" s="2">
        <v>29847.0</v>
      </c>
      <c r="B3646" s="2" t="s">
        <v>6252</v>
      </c>
      <c r="C3646" s="2" t="s">
        <v>7900</v>
      </c>
      <c r="D3646" s="2" t="s">
        <v>7901</v>
      </c>
      <c r="E3646" s="2" t="s">
        <v>20</v>
      </c>
      <c r="F3646" s="2">
        <v>2.0</v>
      </c>
      <c r="G3646" s="2">
        <v>327.0</v>
      </c>
      <c r="H3646" s="3" t="str">
        <f>HYPERLINK("http://ar.linkedin.com/pub/santiago-fumo/1/4B8/9B3","http://ar.linkedin.com/pub/santiago-fumo/1/4B8/9B3")</f>
        <v>http://ar.linkedin.com/pub/santiago-fumo/1/4B8/9B3</v>
      </c>
      <c r="I3646" s="2" t="s">
        <v>279</v>
      </c>
      <c r="J3646" s="2" t="s">
        <v>21</v>
      </c>
      <c r="K3646" s="2" t="s">
        <v>5727</v>
      </c>
    </row>
    <row r="3647" ht="15.75" customHeight="1">
      <c r="A3647" s="2">
        <v>29879.0</v>
      </c>
      <c r="B3647" s="2" t="s">
        <v>7902</v>
      </c>
      <c r="C3647" s="2" t="s">
        <v>7903</v>
      </c>
      <c r="D3647" s="2" t="s">
        <v>7904</v>
      </c>
      <c r="E3647" s="2" t="s">
        <v>20</v>
      </c>
      <c r="F3647" s="2">
        <v>11.0</v>
      </c>
      <c r="G3647" s="2">
        <v>500.0</v>
      </c>
      <c r="H3647" s="3" t="str">
        <f>HYPERLINK("http://ar.linkedin.com/in/diegoross","http://ar.linkedin.com/in/diegoross")</f>
        <v>http://ar.linkedin.com/in/diegoross</v>
      </c>
      <c r="I3647" s="2" t="s">
        <v>1948</v>
      </c>
      <c r="J3647" s="2" t="s">
        <v>21</v>
      </c>
      <c r="K3647" s="2" t="s">
        <v>5727</v>
      </c>
    </row>
    <row r="3648" ht="15.75" customHeight="1">
      <c r="A3648" s="2">
        <v>29900.0</v>
      </c>
      <c r="B3648" s="2" t="s">
        <v>6112</v>
      </c>
      <c r="C3648" s="2" t="s">
        <v>6207</v>
      </c>
      <c r="D3648" s="2" t="s">
        <v>7905</v>
      </c>
      <c r="E3648" s="2" t="s">
        <v>20</v>
      </c>
      <c r="F3648" s="2">
        <v>6.0</v>
      </c>
      <c r="G3648" s="2">
        <v>213.0</v>
      </c>
      <c r="H3648" s="3" t="str">
        <f>HYPERLINK("http://ar.linkedin.com/in/jonatanalvarez","http://ar.linkedin.com/in/jonatanalvarez")</f>
        <v>http://ar.linkedin.com/in/jonatanalvarez</v>
      </c>
      <c r="I3648" s="2" t="s">
        <v>195</v>
      </c>
      <c r="J3648" s="2" t="s">
        <v>21</v>
      </c>
      <c r="K3648" s="2" t="s">
        <v>6046</v>
      </c>
    </row>
    <row r="3649" ht="15.75" customHeight="1">
      <c r="A3649" s="2">
        <v>29903.0</v>
      </c>
      <c r="B3649" s="2" t="s">
        <v>7906</v>
      </c>
      <c r="C3649" s="2" t="s">
        <v>7907</v>
      </c>
      <c r="D3649" s="2" t="s">
        <v>13</v>
      </c>
      <c r="E3649" s="2" t="s">
        <v>20</v>
      </c>
      <c r="F3649" s="2">
        <v>0.0</v>
      </c>
      <c r="G3649" s="2">
        <v>259.0</v>
      </c>
      <c r="H3649" s="3" t="str">
        <f>HYPERLINK("http://www.linkedin.com/pub/alirio-terraza/30/596/7","http://www.linkedin.com/pub/alirio-terraza/30/596/7")</f>
        <v>http://www.linkedin.com/pub/alirio-terraza/30/596/7</v>
      </c>
      <c r="I3649" s="2" t="s">
        <v>15</v>
      </c>
      <c r="J3649" s="2" t="s">
        <v>21</v>
      </c>
      <c r="K3649" s="2" t="s">
        <v>6970</v>
      </c>
    </row>
    <row r="3650" ht="15.75" customHeight="1">
      <c r="A3650" s="2">
        <v>29911.0</v>
      </c>
      <c r="B3650" s="2" t="s">
        <v>7908</v>
      </c>
      <c r="C3650" s="2" t="s">
        <v>7909</v>
      </c>
      <c r="D3650" s="2" t="s">
        <v>7910</v>
      </c>
      <c r="E3650" s="2" t="s">
        <v>20</v>
      </c>
      <c r="F3650" s="2">
        <v>5.0</v>
      </c>
      <c r="G3650" s="2">
        <v>183.0</v>
      </c>
      <c r="H3650" s="3" t="str">
        <f>HYPERLINK("http://ar.linkedin.com/in/satorushindoi","http://ar.linkedin.com/in/satorushindoi")</f>
        <v>http://ar.linkedin.com/in/satorushindoi</v>
      </c>
      <c r="I3650" s="2" t="s">
        <v>579</v>
      </c>
      <c r="J3650" s="2" t="s">
        <v>21</v>
      </c>
      <c r="K3650" s="2" t="s">
        <v>5743</v>
      </c>
    </row>
    <row r="3651" ht="15.75" customHeight="1">
      <c r="A3651" s="2">
        <v>29913.0</v>
      </c>
      <c r="B3651" s="2" t="s">
        <v>7911</v>
      </c>
      <c r="C3651" s="2" t="s">
        <v>7912</v>
      </c>
      <c r="D3651" s="2" t="s">
        <v>13</v>
      </c>
      <c r="E3651" s="2" t="s">
        <v>20</v>
      </c>
      <c r="F3651" s="2">
        <v>0.0</v>
      </c>
      <c r="G3651" s="2">
        <v>124.0</v>
      </c>
      <c r="H3651" s="3" t="str">
        <f>HYPERLINK("http://www.linkedin.com/pub/federico-miguel-garcia-scardilli/22/81/545","http://www.linkedin.com/pub/federico-miguel-garcia-scardilli/22/81/545")</f>
        <v>http://www.linkedin.com/pub/federico-miguel-garcia-scardilli/22/81/545</v>
      </c>
      <c r="I3651" s="2" t="s">
        <v>2268</v>
      </c>
      <c r="J3651" s="2" t="s">
        <v>21</v>
      </c>
      <c r="K3651" s="2" t="s">
        <v>5848</v>
      </c>
    </row>
    <row r="3652" ht="15.75" customHeight="1">
      <c r="A3652" s="2">
        <v>29925.0</v>
      </c>
      <c r="B3652" s="2" t="s">
        <v>7913</v>
      </c>
      <c r="C3652" s="2" t="s">
        <v>7914</v>
      </c>
      <c r="D3652" s="2"/>
      <c r="E3652" s="2" t="s">
        <v>2058</v>
      </c>
      <c r="F3652" s="2">
        <v>0.0</v>
      </c>
      <c r="G3652" s="2">
        <v>497.0</v>
      </c>
      <c r="H3652" s="3" t="str">
        <f>HYPERLINK("http://www.linkedin.com/pub/pj-sala/0/5/18A","http://www.linkedin.com/pub/pj-sala/0/5/18A")</f>
        <v>http://www.linkedin.com/pub/pj-sala/0/5/18A</v>
      </c>
      <c r="I3652" s="2" t="s">
        <v>475</v>
      </c>
      <c r="J3652" s="2" t="s">
        <v>102</v>
      </c>
      <c r="K3652" s="2" t="s">
        <v>5727</v>
      </c>
    </row>
    <row r="3653" ht="15.75" customHeight="1">
      <c r="A3653" s="2">
        <v>29930.0</v>
      </c>
      <c r="B3653" s="2" t="s">
        <v>3980</v>
      </c>
      <c r="C3653" s="2" t="s">
        <v>4179</v>
      </c>
      <c r="D3653" s="2" t="s">
        <v>7915</v>
      </c>
      <c r="E3653" s="2" t="s">
        <v>628</v>
      </c>
      <c r="F3653" s="2" t="s">
        <v>13</v>
      </c>
      <c r="G3653" s="2">
        <v>199.0</v>
      </c>
      <c r="H3653" s="3" t="str">
        <f>HYPERLINK("http://www.linkedin.com/in/nathanweber","http://www.linkedin.com/in/nathanweber")</f>
        <v>http://www.linkedin.com/in/nathanweber</v>
      </c>
      <c r="I3653" s="2" t="s">
        <v>475</v>
      </c>
      <c r="J3653" s="2" t="s">
        <v>102</v>
      </c>
      <c r="K3653" s="2" t="s">
        <v>5727</v>
      </c>
    </row>
    <row r="3654" ht="15.75" customHeight="1">
      <c r="A3654" s="2">
        <v>29941.0</v>
      </c>
      <c r="B3654" s="2" t="s">
        <v>7916</v>
      </c>
      <c r="C3654" s="2" t="s">
        <v>7917</v>
      </c>
      <c r="D3654" s="2" t="s">
        <v>7918</v>
      </c>
      <c r="E3654" s="2" t="s">
        <v>20</v>
      </c>
      <c r="F3654" s="2">
        <v>10.0</v>
      </c>
      <c r="G3654" s="2">
        <v>362.0</v>
      </c>
      <c r="H3654" s="3" t="str">
        <f>HYPERLINK("http://ar.linkedin.com/pub/analia-somma/5/A90/B06","http://ar.linkedin.com/pub/analia-somma/5/A90/B06")</f>
        <v>http://ar.linkedin.com/pub/analia-somma/5/A90/B06</v>
      </c>
      <c r="I3654" s="2" t="s">
        <v>681</v>
      </c>
      <c r="J3654" s="2" t="s">
        <v>21</v>
      </c>
      <c r="K3654" s="2" t="s">
        <v>5727</v>
      </c>
    </row>
    <row r="3655" ht="15.75" customHeight="1">
      <c r="A3655" s="2">
        <v>29978.0</v>
      </c>
      <c r="B3655" s="2" t="s">
        <v>70</v>
      </c>
      <c r="C3655" s="2" t="s">
        <v>7919</v>
      </c>
      <c r="D3655" s="2" t="s">
        <v>6826</v>
      </c>
      <c r="E3655" s="2" t="s">
        <v>20</v>
      </c>
      <c r="F3655" s="2" t="s">
        <v>13</v>
      </c>
      <c r="G3655" s="2">
        <v>48.0</v>
      </c>
      <c r="H3655" s="3" t="str">
        <f>HYPERLINK("http://ar.linkedin.com/pub/gustavo-deluca/9/54A/270","http://ar.linkedin.com/pub/gustavo-deluca/9/54A/270")</f>
        <v>http://ar.linkedin.com/pub/gustavo-deluca/9/54A/270</v>
      </c>
      <c r="I3655" s="2" t="s">
        <v>15</v>
      </c>
      <c r="J3655" s="2" t="s">
        <v>21</v>
      </c>
      <c r="K3655" s="2" t="s">
        <v>5725</v>
      </c>
    </row>
    <row r="3656" ht="15.75" customHeight="1">
      <c r="A3656" s="2">
        <v>30056.0</v>
      </c>
      <c r="B3656" s="2" t="s">
        <v>7920</v>
      </c>
      <c r="C3656" s="2" t="s">
        <v>7921</v>
      </c>
      <c r="D3656" s="2" t="s">
        <v>13</v>
      </c>
      <c r="E3656" s="2" t="s">
        <v>1407</v>
      </c>
      <c r="F3656" s="2">
        <v>0.0</v>
      </c>
      <c r="G3656" s="2">
        <v>354.0</v>
      </c>
      <c r="H3656" s="3" t="str">
        <f>HYPERLINK("http://www.linkedin.com/pub/stephy-ochoa/b/178/b46","http://www.linkedin.com/pub/stephy-ochoa/b/178/b46")</f>
        <v>http://www.linkedin.com/pub/stephy-ochoa/b/178/b46</v>
      </c>
      <c r="I3656" s="2" t="s">
        <v>326</v>
      </c>
      <c r="J3656" s="2" t="s">
        <v>102</v>
      </c>
      <c r="K3656" s="2" t="s">
        <v>5743</v>
      </c>
    </row>
    <row r="3657" ht="15.75" customHeight="1">
      <c r="A3657" s="2">
        <v>30179.0</v>
      </c>
      <c r="B3657" s="2" t="s">
        <v>1934</v>
      </c>
      <c r="C3657" s="2" t="s">
        <v>7922</v>
      </c>
      <c r="D3657" s="2" t="s">
        <v>7923</v>
      </c>
      <c r="E3657" s="2" t="s">
        <v>301</v>
      </c>
      <c r="F3657" s="2">
        <v>7.0</v>
      </c>
      <c r="G3657" s="2">
        <v>224.0</v>
      </c>
      <c r="H3657" s="3" t="str">
        <f>HYPERLINK("http://www.linkedin.com/in/gotogirl","http://www.linkedin.com/in/gotogirl")</f>
        <v>http://www.linkedin.com/in/gotogirl</v>
      </c>
      <c r="I3657" s="2" t="s">
        <v>69</v>
      </c>
      <c r="J3657" s="2" t="s">
        <v>102</v>
      </c>
      <c r="K3657" s="2" t="s">
        <v>5812</v>
      </c>
    </row>
    <row r="3658" ht="15.75" customHeight="1">
      <c r="A3658" s="2">
        <v>30253.0</v>
      </c>
      <c r="B3658" s="2" t="s">
        <v>4503</v>
      </c>
      <c r="C3658" s="2" t="s">
        <v>7924</v>
      </c>
      <c r="D3658" s="2" t="s">
        <v>7925</v>
      </c>
      <c r="E3658" s="2" t="s">
        <v>971</v>
      </c>
      <c r="F3658" s="2" t="s">
        <v>13</v>
      </c>
      <c r="G3658" s="2">
        <v>110.0</v>
      </c>
      <c r="H3658" s="3" t="str">
        <f>HYPERLINK("http://www.linkedin.com/pub/fernanda-costa/12/677/7B","http://www.linkedin.com/pub/fernanda-costa/12/677/7B")</f>
        <v>http://www.linkedin.com/pub/fernanda-costa/12/677/7B</v>
      </c>
      <c r="I3658" s="2" t="s">
        <v>77</v>
      </c>
      <c r="J3658" s="2" t="s">
        <v>102</v>
      </c>
      <c r="K3658" s="2" t="s">
        <v>6739</v>
      </c>
    </row>
    <row r="3659" ht="15.75" customHeight="1">
      <c r="A3659" s="2">
        <v>30300.0</v>
      </c>
      <c r="B3659" s="2" t="s">
        <v>3305</v>
      </c>
      <c r="C3659" s="2" t="s">
        <v>7926</v>
      </c>
      <c r="D3659" s="2" t="s">
        <v>7927</v>
      </c>
      <c r="E3659" s="2" t="s">
        <v>109</v>
      </c>
      <c r="F3659" s="2">
        <v>1.0</v>
      </c>
      <c r="G3659" s="2">
        <v>500.0</v>
      </c>
      <c r="H3659" s="3" t="str">
        <f>HYPERLINK("http://www.linkedin.com/pub/ana-de-almeida/1B/B13/B97","http://www.linkedin.com/pub/ana-de-almeida/1B/B13/B97")</f>
        <v>http://www.linkedin.com/pub/ana-de-almeida/1B/B13/B97</v>
      </c>
      <c r="I3659" s="2" t="s">
        <v>1948</v>
      </c>
      <c r="J3659" s="2" t="s">
        <v>110</v>
      </c>
      <c r="K3659" s="2" t="s">
        <v>5727</v>
      </c>
    </row>
    <row r="3660" ht="15.75" customHeight="1">
      <c r="A3660" s="2">
        <v>30449.0</v>
      </c>
      <c r="B3660" s="2" t="s">
        <v>567</v>
      </c>
      <c r="C3660" s="2" t="s">
        <v>7928</v>
      </c>
      <c r="D3660" s="2" t="s">
        <v>7929</v>
      </c>
      <c r="E3660" s="2" t="s">
        <v>1190</v>
      </c>
      <c r="F3660" s="2">
        <v>7.0</v>
      </c>
      <c r="G3660" s="2">
        <v>261.0</v>
      </c>
      <c r="H3660" s="3" t="str">
        <f>HYPERLINK("http://www.linkedin.com/in/susanaguerraphd","http://www.linkedin.com/in/susanaguerraphd")</f>
        <v>http://www.linkedin.com/in/susanaguerraphd</v>
      </c>
      <c r="I3660" s="2" t="s">
        <v>240</v>
      </c>
      <c r="J3660" s="2" t="s">
        <v>102</v>
      </c>
      <c r="K3660" s="2" t="s">
        <v>7930</v>
      </c>
    </row>
    <row r="3661" ht="15.75" customHeight="1">
      <c r="A3661" s="2">
        <v>30579.0</v>
      </c>
      <c r="B3661" s="2" t="s">
        <v>3684</v>
      </c>
      <c r="C3661" s="2" t="s">
        <v>7931</v>
      </c>
      <c r="D3661" s="2" t="s">
        <v>13</v>
      </c>
      <c r="E3661" s="2" t="s">
        <v>20</v>
      </c>
      <c r="F3661" s="2">
        <v>0.0</v>
      </c>
      <c r="G3661" s="2">
        <v>354.0</v>
      </c>
      <c r="H3661" s="3" t="str">
        <f>HYPERLINK("http://www.linkedin.com/pub/walter-m%C3%A9ndez-portela/13/b34/608","http://www.linkedin.com/pub/walter-m%C3%A9ndez-portela/13/b34/608")</f>
        <v>http://www.linkedin.com/pub/walter-m%C3%A9ndez-portela/13/b34/608</v>
      </c>
      <c r="I3661" s="2" t="s">
        <v>15</v>
      </c>
      <c r="J3661" s="2" t="s">
        <v>21</v>
      </c>
      <c r="K3661" s="2" t="s">
        <v>5848</v>
      </c>
    </row>
    <row r="3662" ht="15.75" customHeight="1">
      <c r="A3662" s="2">
        <v>30630.0</v>
      </c>
      <c r="B3662" s="2" t="s">
        <v>7932</v>
      </c>
      <c r="C3662" s="2" t="s">
        <v>7933</v>
      </c>
      <c r="D3662" s="2" t="s">
        <v>7934</v>
      </c>
      <c r="E3662" s="2" t="s">
        <v>122</v>
      </c>
      <c r="F3662" s="2">
        <v>3.0</v>
      </c>
      <c r="G3662" s="2">
        <v>500.0</v>
      </c>
      <c r="H3662" s="3" t="str">
        <f>HYPERLINK("http://uk.linkedin.com/pub/pali-jhita/5/90B/19","http://uk.linkedin.com/pub/pali-jhita/5/90B/19")</f>
        <v>http://uk.linkedin.com/pub/pali-jhita/5/90B/19</v>
      </c>
      <c r="I3662" s="2" t="s">
        <v>57</v>
      </c>
      <c r="J3662" s="2" t="s">
        <v>53</v>
      </c>
      <c r="K3662" s="2" t="s">
        <v>5743</v>
      </c>
    </row>
    <row r="3663" ht="15.75" customHeight="1">
      <c r="A3663" s="2">
        <v>30634.0</v>
      </c>
      <c r="B3663" s="2" t="s">
        <v>7935</v>
      </c>
      <c r="C3663" s="2" t="s">
        <v>2948</v>
      </c>
      <c r="D3663" s="2" t="s">
        <v>1865</v>
      </c>
      <c r="E3663" s="2" t="s">
        <v>122</v>
      </c>
      <c r="F3663" s="2">
        <v>0.0</v>
      </c>
      <c r="G3663" s="2">
        <v>276.0</v>
      </c>
      <c r="H3663" s="3" t="str">
        <f>HYPERLINK("http://uk.linkedin.com/pub/charlie-foster/26/149/AB8","http://uk.linkedin.com/pub/charlie-foster/26/149/AB8")</f>
        <v>http://uk.linkedin.com/pub/charlie-foster/26/149/AB8</v>
      </c>
      <c r="I3663" s="2" t="s">
        <v>57</v>
      </c>
      <c r="J3663" s="2" t="s">
        <v>53</v>
      </c>
      <c r="K3663" s="2" t="s">
        <v>5734</v>
      </c>
    </row>
    <row r="3664" ht="15.75" customHeight="1">
      <c r="A3664" s="2">
        <v>30671.0</v>
      </c>
      <c r="B3664" s="2" t="s">
        <v>1116</v>
      </c>
      <c r="C3664" s="2" t="s">
        <v>7936</v>
      </c>
      <c r="D3664" s="2" t="s">
        <v>3466</v>
      </c>
      <c r="E3664" s="2" t="s">
        <v>5837</v>
      </c>
      <c r="F3664" s="2">
        <v>10.0</v>
      </c>
      <c r="G3664" s="2">
        <v>395.0</v>
      </c>
      <c r="H3664" s="3" t="str">
        <f>HYPERLINK("http://www.linkedin.com/in/ccunha","http://www.linkedin.com/in/ccunha")</f>
        <v>http://www.linkedin.com/in/ccunha</v>
      </c>
      <c r="I3664" s="2" t="s">
        <v>15</v>
      </c>
      <c r="J3664" s="2" t="s">
        <v>34</v>
      </c>
      <c r="K3664" s="2" t="s">
        <v>5785</v>
      </c>
    </row>
    <row r="3665" ht="15.75" customHeight="1">
      <c r="A3665" s="2">
        <v>30711.0</v>
      </c>
      <c r="B3665" s="2" t="s">
        <v>6496</v>
      </c>
      <c r="C3665" s="2" t="s">
        <v>7937</v>
      </c>
      <c r="D3665" s="2" t="s">
        <v>7938</v>
      </c>
      <c r="E3665" s="2" t="s">
        <v>20</v>
      </c>
      <c r="F3665" s="2" t="s">
        <v>13</v>
      </c>
      <c r="G3665" s="2">
        <v>500.0</v>
      </c>
      <c r="H3665" s="3" t="str">
        <f>HYPERLINK("http://ar.linkedin.com/pub/karina-zullo/21/609/B38","http://ar.linkedin.com/pub/karina-zullo/21/609/B38")</f>
        <v>http://ar.linkedin.com/pub/karina-zullo/21/609/B38</v>
      </c>
      <c r="I3665" s="2" t="s">
        <v>119</v>
      </c>
      <c r="J3665" s="2" t="s">
        <v>21</v>
      </c>
      <c r="K3665" s="2" t="s">
        <v>5848</v>
      </c>
    </row>
    <row r="3666" ht="15.75" customHeight="1">
      <c r="A3666" s="2">
        <v>30742.0</v>
      </c>
      <c r="B3666" s="2" t="s">
        <v>7939</v>
      </c>
      <c r="C3666" s="2" t="s">
        <v>3392</v>
      </c>
      <c r="D3666" s="2" t="s">
        <v>498</v>
      </c>
      <c r="E3666" s="2" t="s">
        <v>20</v>
      </c>
      <c r="F3666" s="2">
        <v>9.0</v>
      </c>
      <c r="G3666" s="2">
        <v>500.0</v>
      </c>
      <c r="H3666" s="3" t="str">
        <f>HYPERLINK("http://www.linkedin.com/in/hugonlopez","http://www.linkedin.com/in/hugonlopez")</f>
        <v>http://www.linkedin.com/in/hugonlopez</v>
      </c>
      <c r="I3666" s="2" t="s">
        <v>681</v>
      </c>
      <c r="J3666" s="2" t="s">
        <v>21</v>
      </c>
      <c r="K3666" s="2" t="s">
        <v>5743</v>
      </c>
    </row>
    <row r="3667" ht="15.75" customHeight="1">
      <c r="A3667" s="2">
        <v>30744.0</v>
      </c>
      <c r="B3667" s="2" t="s">
        <v>7940</v>
      </c>
      <c r="C3667" s="2" t="s">
        <v>7941</v>
      </c>
      <c r="D3667" s="2" t="s">
        <v>7942</v>
      </c>
      <c r="E3667" s="2" t="s">
        <v>20</v>
      </c>
      <c r="F3667" s="2">
        <v>4.0</v>
      </c>
      <c r="G3667" s="2">
        <v>500.0</v>
      </c>
      <c r="H3667" s="3" t="str">
        <f>HYPERLINK("http://ar.linkedin.com/pub/florentino-estrada/B/347/3B5","http://ar.linkedin.com/pub/florentino-estrada/B/347/3B5")</f>
        <v>http://ar.linkedin.com/pub/florentino-estrada/B/347/3B5</v>
      </c>
      <c r="I3667" s="2" t="s">
        <v>1507</v>
      </c>
      <c r="J3667" s="2" t="s">
        <v>21</v>
      </c>
      <c r="K3667" s="2" t="s">
        <v>7943</v>
      </c>
    </row>
    <row r="3668" ht="15.75" customHeight="1">
      <c r="A3668" s="2">
        <v>30748.0</v>
      </c>
      <c r="B3668" s="2" t="s">
        <v>7944</v>
      </c>
      <c r="C3668" s="2" t="s">
        <v>7945</v>
      </c>
      <c r="D3668" s="2" t="s">
        <v>13</v>
      </c>
      <c r="E3668" s="2" t="s">
        <v>20</v>
      </c>
      <c r="F3668" s="2">
        <v>6.0</v>
      </c>
      <c r="G3668" s="2">
        <v>500.0</v>
      </c>
      <c r="H3668" s="3" t="str">
        <f>HYPERLINK("http://www.linkedin.com/pub/alejandro-daniel-aranguren/5/421/513","http://www.linkedin.com/pub/alejandro-daniel-aranguren/5/421/513")</f>
        <v>http://www.linkedin.com/pub/alejandro-daniel-aranguren/5/421/513</v>
      </c>
      <c r="I3668" s="2" t="s">
        <v>172</v>
      </c>
      <c r="J3668" s="2" t="s">
        <v>21</v>
      </c>
      <c r="K3668" s="2" t="s">
        <v>5727</v>
      </c>
    </row>
    <row r="3669" ht="15.75" customHeight="1">
      <c r="A3669" s="2">
        <v>30822.0</v>
      </c>
      <c r="B3669" s="2" t="s">
        <v>7946</v>
      </c>
      <c r="C3669" s="2" t="s">
        <v>7947</v>
      </c>
      <c r="D3669" s="2" t="s">
        <v>13</v>
      </c>
      <c r="E3669" s="2" t="s">
        <v>20</v>
      </c>
      <c r="F3669" s="2">
        <v>4.0</v>
      </c>
      <c r="G3669" s="2">
        <v>147.0</v>
      </c>
      <c r="H3669" s="3" t="str">
        <f>HYPERLINK("http://www.linkedin.com/pub/debora-humerez/7/588/61","http://www.linkedin.com/pub/debora-humerez/7/588/61")</f>
        <v>http://www.linkedin.com/pub/debora-humerez/7/588/61</v>
      </c>
      <c r="I3669" s="2" t="s">
        <v>599</v>
      </c>
      <c r="J3669" s="2" t="s">
        <v>21</v>
      </c>
      <c r="K3669" s="2" t="s">
        <v>5731</v>
      </c>
    </row>
    <row r="3670" ht="15.75" customHeight="1">
      <c r="A3670" s="2">
        <v>30830.0</v>
      </c>
      <c r="B3670" s="2" t="s">
        <v>671</v>
      </c>
      <c r="C3670" s="2" t="s">
        <v>7948</v>
      </c>
      <c r="D3670" s="2" t="s">
        <v>7949</v>
      </c>
      <c r="E3670" s="2" t="s">
        <v>20</v>
      </c>
      <c r="F3670" s="2">
        <v>11.0</v>
      </c>
      <c r="G3670" s="2">
        <v>187.0</v>
      </c>
      <c r="H3670" s="3" t="str">
        <f>HYPERLINK("http://ar.linkedin.com/pub/mariana-carballeda/13/474/A67","http://ar.linkedin.com/pub/mariana-carballeda/13/474/A67")</f>
        <v>http://ar.linkedin.com/pub/mariana-carballeda/13/474/A67</v>
      </c>
      <c r="I3670" s="2" t="s">
        <v>910</v>
      </c>
      <c r="J3670" s="2" t="s">
        <v>21</v>
      </c>
      <c r="K3670" s="2" t="s">
        <v>5727</v>
      </c>
    </row>
    <row r="3671" ht="15.75" customHeight="1">
      <c r="A3671" s="2">
        <v>30901.0</v>
      </c>
      <c r="B3671" s="2" t="s">
        <v>7950</v>
      </c>
      <c r="C3671" s="2" t="s">
        <v>7951</v>
      </c>
      <c r="D3671" s="2" t="s">
        <v>13</v>
      </c>
      <c r="E3671" s="2" t="s">
        <v>20</v>
      </c>
      <c r="F3671" s="2">
        <v>0.0</v>
      </c>
      <c r="G3671" s="2">
        <v>244.0</v>
      </c>
      <c r="H3671" s="3" t="str">
        <f>HYPERLINK("http://www.linkedin.com/pub/pablo-diego-fern%C3%A1ndez-beccacece/22/623/a99","http://www.linkedin.com/pub/pablo-diego-fern%C3%A1ndez-beccacece/22/623/a99")</f>
        <v>http://www.linkedin.com/pub/pablo-diego-fern%C3%A1ndez-beccacece/22/623/a99</v>
      </c>
      <c r="I3671" s="2" t="s">
        <v>57</v>
      </c>
      <c r="J3671" s="2" t="s">
        <v>21</v>
      </c>
      <c r="K3671" s="2" t="s">
        <v>5725</v>
      </c>
    </row>
    <row r="3672" ht="15.75" customHeight="1">
      <c r="A3672" s="2">
        <v>30931.0</v>
      </c>
      <c r="B3672" s="2" t="s">
        <v>3692</v>
      </c>
      <c r="C3672" s="2" t="s">
        <v>7952</v>
      </c>
      <c r="D3672" s="2" t="s">
        <v>13</v>
      </c>
      <c r="E3672" s="2" t="s">
        <v>20</v>
      </c>
      <c r="F3672" s="2">
        <v>0.0</v>
      </c>
      <c r="G3672" s="2">
        <v>500.0</v>
      </c>
      <c r="H3672" s="3" t="str">
        <f>HYPERLINK("http://www.linkedin.com/pub/federico-ozar%C3%A1n/7/848/8a5","http://www.linkedin.com/pub/federico-ozar%C3%A1n/7/848/8a5")</f>
        <v>http://www.linkedin.com/pub/federico-ozar%C3%A1n/7/848/8a5</v>
      </c>
      <c r="I3672" s="2" t="s">
        <v>579</v>
      </c>
      <c r="J3672" s="2" t="s">
        <v>21</v>
      </c>
      <c r="K3672" s="2" t="s">
        <v>5743</v>
      </c>
    </row>
    <row r="3673" ht="15.75" customHeight="1">
      <c r="A3673" s="2">
        <v>30933.0</v>
      </c>
      <c r="B3673" s="2" t="s">
        <v>6309</v>
      </c>
      <c r="C3673" s="2" t="s">
        <v>7953</v>
      </c>
      <c r="D3673" s="2" t="s">
        <v>13</v>
      </c>
      <c r="E3673" s="2" t="s">
        <v>20</v>
      </c>
      <c r="F3673" s="2">
        <v>3.0</v>
      </c>
      <c r="G3673" s="2">
        <v>500.0</v>
      </c>
      <c r="H3673" s="3" t="str">
        <f>HYPERLINK("http://www.linkedin.com/pub/mar%C3%ADa-bel%C3%A9n-diez-targise/8/621/823","http://www.linkedin.com/pub/mar%C3%ADa-bel%C3%A9n-diez-targise/8/621/823")</f>
        <v>http://www.linkedin.com/pub/mar%C3%ADa-bel%C3%A9n-diez-targise/8/621/823</v>
      </c>
      <c r="I3673" s="2" t="s">
        <v>458</v>
      </c>
      <c r="J3673" s="2" t="s">
        <v>21</v>
      </c>
      <c r="K3673" s="2" t="s">
        <v>5727</v>
      </c>
    </row>
    <row r="3674" ht="15.75" customHeight="1">
      <c r="A3674" s="2">
        <v>30969.0</v>
      </c>
      <c r="B3674" s="2" t="s">
        <v>4503</v>
      </c>
      <c r="C3674" s="2" t="s">
        <v>7954</v>
      </c>
      <c r="D3674" s="2" t="s">
        <v>7955</v>
      </c>
      <c r="E3674" s="2" t="s">
        <v>20</v>
      </c>
      <c r="F3674" s="2" t="s">
        <v>13</v>
      </c>
      <c r="G3674" s="2">
        <v>144.0</v>
      </c>
      <c r="H3674" s="3" t="str">
        <f>HYPERLINK("http://ar.linkedin.com/pub/fernanda-apicella/16/388/633","http://ar.linkedin.com/pub/fernanda-apicella/16/388/633")</f>
        <v>http://ar.linkedin.com/pub/fernanda-apicella/16/388/633</v>
      </c>
      <c r="I3674" s="2" t="s">
        <v>579</v>
      </c>
      <c r="J3674" s="2" t="s">
        <v>21</v>
      </c>
      <c r="K3674" s="2" t="s">
        <v>5848</v>
      </c>
    </row>
    <row r="3675" ht="15.75" customHeight="1">
      <c r="A3675" s="2">
        <v>30984.0</v>
      </c>
      <c r="B3675" s="2" t="s">
        <v>215</v>
      </c>
      <c r="C3675" s="2" t="s">
        <v>658</v>
      </c>
      <c r="D3675" s="2" t="s">
        <v>6017</v>
      </c>
      <c r="E3675" s="2" t="s">
        <v>20</v>
      </c>
      <c r="F3675" s="2">
        <v>1.0</v>
      </c>
      <c r="G3675" s="2">
        <v>211.0</v>
      </c>
      <c r="H3675" s="3" t="str">
        <f>HYPERLINK("http://ar.linkedin.com/pub/anabella-l%C3%B3pez/1B/686/489","http://ar.linkedin.com/pub/anabella-l%C3%B3pez/1B/686/489")</f>
        <v>http://ar.linkedin.com/pub/anabella-l%C3%B3pez/1B/686/489</v>
      </c>
      <c r="I3675" s="2" t="s">
        <v>2081</v>
      </c>
      <c r="J3675" s="2" t="s">
        <v>21</v>
      </c>
      <c r="K3675" s="2" t="s">
        <v>5734</v>
      </c>
    </row>
    <row r="3676" ht="15.75" customHeight="1">
      <c r="A3676" s="2">
        <v>31002.0</v>
      </c>
      <c r="B3676" s="2" t="s">
        <v>7956</v>
      </c>
      <c r="C3676" s="2" t="s">
        <v>7957</v>
      </c>
      <c r="D3676" s="2" t="s">
        <v>13</v>
      </c>
      <c r="E3676" s="2" t="s">
        <v>20</v>
      </c>
      <c r="F3676" s="2">
        <v>1.0</v>
      </c>
      <c r="G3676" s="2">
        <v>500.0</v>
      </c>
      <c r="H3676" s="3" t="str">
        <f>HYPERLINK("http://www.linkedin.com/pub/anah%C3%AD-caligaris/23/a02/98a","http://www.linkedin.com/pub/anah%C3%AD-caligaris/23/a02/98a")</f>
        <v>http://www.linkedin.com/pub/anah%C3%AD-caligaris/23/a02/98a</v>
      </c>
      <c r="I3676" s="2" t="s">
        <v>458</v>
      </c>
      <c r="J3676" s="2" t="s">
        <v>21</v>
      </c>
      <c r="K3676" s="2" t="s">
        <v>5734</v>
      </c>
    </row>
    <row r="3677" ht="15.75" customHeight="1">
      <c r="A3677" s="2">
        <v>31024.0</v>
      </c>
      <c r="B3677" s="2" t="s">
        <v>7958</v>
      </c>
      <c r="C3677" s="2" t="s">
        <v>7959</v>
      </c>
      <c r="D3677" s="2" t="s">
        <v>7960</v>
      </c>
      <c r="E3677" s="2" t="s">
        <v>20</v>
      </c>
      <c r="F3677" s="2">
        <v>3.0</v>
      </c>
      <c r="G3677" s="2">
        <v>353.0</v>
      </c>
      <c r="H3677" s="3" t="str">
        <f>HYPERLINK("http://ar.linkedin.com/in/psapoznik","http://ar.linkedin.com/in/psapoznik")</f>
        <v>http://ar.linkedin.com/in/psapoznik</v>
      </c>
      <c r="I3677" s="2" t="s">
        <v>326</v>
      </c>
      <c r="J3677" s="2" t="s">
        <v>21</v>
      </c>
      <c r="K3677" s="2" t="s">
        <v>5727</v>
      </c>
    </row>
    <row r="3678" ht="15.75" customHeight="1">
      <c r="A3678" s="2">
        <v>31028.0</v>
      </c>
      <c r="B3678" s="2" t="s">
        <v>824</v>
      </c>
      <c r="C3678" s="2" t="s">
        <v>7961</v>
      </c>
      <c r="D3678" s="2" t="s">
        <v>335</v>
      </c>
      <c r="E3678" s="2" t="s">
        <v>235</v>
      </c>
      <c r="F3678" s="2">
        <v>12.0</v>
      </c>
      <c r="G3678" s="2">
        <v>403.0</v>
      </c>
      <c r="H3678" s="3" t="str">
        <f>HYPERLINK("http://www.linkedin.com/in/nancysturm","http://www.linkedin.com/in/nancysturm")</f>
        <v>http://www.linkedin.com/in/nancysturm</v>
      </c>
      <c r="I3678" s="2" t="s">
        <v>268</v>
      </c>
      <c r="J3678" s="2" t="s">
        <v>102</v>
      </c>
      <c r="K3678" s="2" t="s">
        <v>6118</v>
      </c>
    </row>
    <row r="3679" ht="15.75" customHeight="1">
      <c r="A3679" s="2">
        <v>31032.0</v>
      </c>
      <c r="B3679" s="2" t="s">
        <v>238</v>
      </c>
      <c r="C3679" s="2" t="s">
        <v>6252</v>
      </c>
      <c r="D3679" s="2" t="s">
        <v>7962</v>
      </c>
      <c r="E3679" s="2" t="s">
        <v>142</v>
      </c>
      <c r="F3679" s="2">
        <v>2.0</v>
      </c>
      <c r="G3679" s="2">
        <v>500.0</v>
      </c>
      <c r="H3679" s="3" t="str">
        <f>HYPERLINK("http://www.linkedin.com/pub/juan-santiago/2/194/146","http://www.linkedin.com/pub/juan-santiago/2/194/146")</f>
        <v>http://www.linkedin.com/pub/juan-santiago/2/194/146</v>
      </c>
      <c r="I3679" s="2" t="s">
        <v>15</v>
      </c>
      <c r="J3679" s="2" t="s">
        <v>144</v>
      </c>
      <c r="K3679" s="2" t="s">
        <v>7963</v>
      </c>
    </row>
    <row r="3680" ht="15.75" customHeight="1">
      <c r="A3680" s="2">
        <v>31062.0</v>
      </c>
      <c r="B3680" s="2" t="s">
        <v>5763</v>
      </c>
      <c r="C3680" s="2" t="s">
        <v>7964</v>
      </c>
      <c r="D3680" s="2" t="s">
        <v>7965</v>
      </c>
      <c r="E3680" s="2" t="s">
        <v>701</v>
      </c>
      <c r="F3680" s="2" t="s">
        <v>13</v>
      </c>
      <c r="G3680" s="2">
        <v>396.0</v>
      </c>
      <c r="H3680" s="3" t="str">
        <f>HYPERLINK("http://ar.linkedin.com/pub/ezequiel-lecea/26/466/456","http://ar.linkedin.com/pub/ezequiel-lecea/26/466/456")</f>
        <v>http://ar.linkedin.com/pub/ezequiel-lecea/26/466/456</v>
      </c>
      <c r="I3680" s="2" t="s">
        <v>105</v>
      </c>
      <c r="J3680" s="2" t="s">
        <v>702</v>
      </c>
      <c r="K3680" s="2" t="s">
        <v>5734</v>
      </c>
    </row>
    <row r="3681" ht="15.75" customHeight="1">
      <c r="A3681" s="2">
        <v>31100.0</v>
      </c>
      <c r="B3681" s="2" t="s">
        <v>7966</v>
      </c>
      <c r="C3681" s="2" t="s">
        <v>7967</v>
      </c>
      <c r="D3681" s="2" t="s">
        <v>13</v>
      </c>
      <c r="E3681" s="2" t="s">
        <v>20</v>
      </c>
      <c r="F3681" s="2">
        <v>0.0</v>
      </c>
      <c r="G3681" s="2">
        <v>462.0</v>
      </c>
      <c r="H3681" s="3" t="str">
        <f>HYPERLINK("http://ar.linkedin.com/pub/maria-virginia-gomez-mena/28/614/792","http://ar.linkedin.com/pub/maria-virginia-gomez-mena/28/614/792")</f>
        <v>http://ar.linkedin.com/pub/maria-virginia-gomez-mena/28/614/792</v>
      </c>
      <c r="I3681" s="2" t="s">
        <v>105</v>
      </c>
      <c r="J3681" s="2" t="s">
        <v>21</v>
      </c>
      <c r="K3681" s="2" t="s">
        <v>5734</v>
      </c>
    </row>
    <row r="3682" ht="15.75" customHeight="1">
      <c r="A3682" s="2">
        <v>31106.0</v>
      </c>
      <c r="B3682" s="2" t="s">
        <v>7968</v>
      </c>
      <c r="C3682" s="2" t="s">
        <v>7969</v>
      </c>
      <c r="D3682" s="2" t="s">
        <v>7970</v>
      </c>
      <c r="E3682" s="2" t="s">
        <v>20</v>
      </c>
      <c r="F3682" s="2">
        <v>1.0</v>
      </c>
      <c r="G3682" s="2">
        <v>166.0</v>
      </c>
      <c r="H3682" s="3" t="str">
        <f>HYPERLINK("http://ar.linkedin.com/in/nataliavcorvalan","http://ar.linkedin.com/in/nataliavcorvalan")</f>
        <v>http://ar.linkedin.com/in/nataliavcorvalan</v>
      </c>
      <c r="I3682" s="2" t="s">
        <v>15</v>
      </c>
      <c r="J3682" s="2" t="s">
        <v>21</v>
      </c>
      <c r="K3682" s="2" t="s">
        <v>6124</v>
      </c>
    </row>
    <row r="3683" ht="15.75" customHeight="1">
      <c r="A3683" s="2">
        <v>31107.0</v>
      </c>
      <c r="B3683" s="2" t="s">
        <v>5763</v>
      </c>
      <c r="C3683" s="2" t="s">
        <v>7971</v>
      </c>
      <c r="D3683" s="2" t="s">
        <v>7972</v>
      </c>
      <c r="E3683" s="2" t="s">
        <v>20</v>
      </c>
      <c r="F3683" s="2" t="s">
        <v>13</v>
      </c>
      <c r="G3683" s="2">
        <v>305.0</v>
      </c>
      <c r="H3683" s="3" t="str">
        <f>HYPERLINK("http://ar.linkedin.com/pub/ezequiel-saidman/16/556/9A5","http://ar.linkedin.com/pub/ezequiel-saidman/16/556/9A5")</f>
        <v>http://ar.linkedin.com/pub/ezequiel-saidman/16/556/9A5</v>
      </c>
      <c r="I3683" s="2" t="s">
        <v>15</v>
      </c>
      <c r="J3683" s="2" t="s">
        <v>21</v>
      </c>
      <c r="K3683" s="2" t="s">
        <v>5725</v>
      </c>
    </row>
    <row r="3684" ht="15.75" customHeight="1">
      <c r="A3684" s="2">
        <v>31120.0</v>
      </c>
      <c r="B3684" s="2" t="s">
        <v>7973</v>
      </c>
      <c r="C3684" s="2" t="s">
        <v>7974</v>
      </c>
      <c r="D3684" s="2" t="s">
        <v>7975</v>
      </c>
      <c r="E3684" s="2" t="s">
        <v>20</v>
      </c>
      <c r="F3684" s="2" t="s">
        <v>13</v>
      </c>
      <c r="G3684" s="2">
        <v>490.0</v>
      </c>
      <c r="H3684" s="3" t="str">
        <f>HYPERLINK("http://ar.linkedin.com/pub/zaira-g-erci/23/66B/A5A","http://ar.linkedin.com/pub/zaira-g-erci/23/66B/A5A")</f>
        <v>http://ar.linkedin.com/pub/zaira-g-erci/23/66B/A5A</v>
      </c>
      <c r="I3684" s="2" t="s">
        <v>458</v>
      </c>
      <c r="J3684" s="2" t="s">
        <v>21</v>
      </c>
      <c r="K3684" s="2" t="s">
        <v>5734</v>
      </c>
    </row>
    <row r="3685" ht="15.75" customHeight="1">
      <c r="A3685" s="2">
        <v>31131.0</v>
      </c>
      <c r="B3685" s="2" t="s">
        <v>634</v>
      </c>
      <c r="C3685" s="2" t="s">
        <v>239</v>
      </c>
      <c r="D3685" s="2" t="s">
        <v>13</v>
      </c>
      <c r="E3685" s="2" t="s">
        <v>20</v>
      </c>
      <c r="F3685" s="2">
        <v>5.0</v>
      </c>
      <c r="G3685" s="2">
        <v>500.0</v>
      </c>
      <c r="H3685" s="3" t="str">
        <f>HYPERLINK("http://www.linkedin.com/pub/flavio-hecht/2/ab5/a31","http://www.linkedin.com/pub/flavio-hecht/2/ab5/a31")</f>
        <v>http://www.linkedin.com/pub/flavio-hecht/2/ab5/a31</v>
      </c>
      <c r="I3685" s="2" t="s">
        <v>612</v>
      </c>
      <c r="J3685" s="2" t="s">
        <v>21</v>
      </c>
      <c r="K3685" s="2" t="s">
        <v>5727</v>
      </c>
    </row>
    <row r="3686" ht="15.75" customHeight="1">
      <c r="A3686" s="2">
        <v>31166.0</v>
      </c>
      <c r="B3686" s="2" t="s">
        <v>70</v>
      </c>
      <c r="C3686" s="2" t="s">
        <v>7976</v>
      </c>
      <c r="D3686" s="2" t="s">
        <v>7977</v>
      </c>
      <c r="E3686" s="2" t="s">
        <v>20</v>
      </c>
      <c r="F3686" s="2">
        <v>1.0</v>
      </c>
      <c r="G3686" s="2">
        <v>500.0</v>
      </c>
      <c r="H3686" s="3" t="str">
        <f>HYPERLINK("http://ar.linkedin.com/pub/gustavo-parodi/12/116/B5A","http://ar.linkedin.com/pub/gustavo-parodi/12/116/B5A")</f>
        <v>http://ar.linkedin.com/pub/gustavo-parodi/12/116/B5A</v>
      </c>
      <c r="I3686" s="2" t="s">
        <v>57</v>
      </c>
      <c r="J3686" s="2" t="s">
        <v>21</v>
      </c>
      <c r="K3686" s="2" t="s">
        <v>5725</v>
      </c>
    </row>
    <row r="3687" ht="15.75" customHeight="1">
      <c r="A3687" s="2">
        <v>31183.0</v>
      </c>
      <c r="B3687" s="2" t="s">
        <v>6018</v>
      </c>
      <c r="C3687" s="2" t="s">
        <v>7978</v>
      </c>
      <c r="D3687" s="2" t="s">
        <v>13</v>
      </c>
      <c r="E3687" s="2" t="s">
        <v>701</v>
      </c>
      <c r="F3687" s="2">
        <v>0.0</v>
      </c>
      <c r="G3687" s="2">
        <v>258.0</v>
      </c>
      <c r="H3687" s="3" t="str">
        <f>HYPERLINK("http://www.linkedin.com/pub/lucio-inda/15/960/5a","http://www.linkedin.com/pub/lucio-inda/15/960/5a")</f>
        <v>http://www.linkedin.com/pub/lucio-inda/15/960/5a</v>
      </c>
      <c r="I3687" s="2" t="s">
        <v>15</v>
      </c>
      <c r="J3687" s="2" t="s">
        <v>702</v>
      </c>
      <c r="K3687" s="2" t="s">
        <v>5743</v>
      </c>
    </row>
    <row r="3688" ht="15.75" customHeight="1">
      <c r="A3688" s="2">
        <v>31187.0</v>
      </c>
      <c r="B3688" s="2" t="s">
        <v>253</v>
      </c>
      <c r="C3688" s="2" t="s">
        <v>7979</v>
      </c>
      <c r="D3688" s="2" t="s">
        <v>13</v>
      </c>
      <c r="E3688" s="2" t="s">
        <v>20</v>
      </c>
      <c r="F3688" s="2">
        <v>0.0</v>
      </c>
      <c r="G3688" s="2">
        <v>279.0</v>
      </c>
      <c r="H3688" s="3" t="str">
        <f>HYPERLINK("http://www.linkedin.com/pub/fernando-aguiar-mella/0/a95/820","http://www.linkedin.com/pub/fernando-aguiar-mella/0/a95/820")</f>
        <v>http://www.linkedin.com/pub/fernando-aguiar-mella/0/a95/820</v>
      </c>
      <c r="I3688" s="2" t="s">
        <v>15</v>
      </c>
      <c r="J3688" s="2" t="s">
        <v>21</v>
      </c>
      <c r="K3688" s="2" t="s">
        <v>5785</v>
      </c>
    </row>
    <row r="3689" ht="15.75" customHeight="1">
      <c r="A3689" s="2">
        <v>31268.0</v>
      </c>
      <c r="B3689" s="2" t="s">
        <v>329</v>
      </c>
      <c r="C3689" s="2" t="s">
        <v>2335</v>
      </c>
      <c r="D3689" s="2" t="s">
        <v>7980</v>
      </c>
      <c r="E3689" s="2" t="s">
        <v>20</v>
      </c>
      <c r="F3689" s="2" t="s">
        <v>13</v>
      </c>
      <c r="G3689" s="2">
        <v>284.0</v>
      </c>
      <c r="H3689" s="3" t="str">
        <f>HYPERLINK("http://ar.linkedin.com/pub/juan-pablo-bruno/4/485/1A9","http://ar.linkedin.com/pub/juan-pablo-bruno/4/485/1A9")</f>
        <v>http://ar.linkedin.com/pub/juan-pablo-bruno/4/485/1A9</v>
      </c>
      <c r="I3689" s="2" t="s">
        <v>77</v>
      </c>
      <c r="J3689" s="2" t="s">
        <v>21</v>
      </c>
      <c r="K3689" s="2" t="s">
        <v>6342</v>
      </c>
    </row>
    <row r="3690" ht="15.75" customHeight="1">
      <c r="A3690" s="2">
        <v>31269.0</v>
      </c>
      <c r="B3690" s="2" t="s">
        <v>7267</v>
      </c>
      <c r="C3690" s="2" t="s">
        <v>7981</v>
      </c>
      <c r="D3690" s="2" t="s">
        <v>7982</v>
      </c>
      <c r="E3690" s="2" t="s">
        <v>20</v>
      </c>
      <c r="F3690" s="2">
        <v>1.0</v>
      </c>
      <c r="G3690" s="2">
        <v>421.0</v>
      </c>
      <c r="H3690" s="3" t="str">
        <f>HYPERLINK("http://ar.linkedin.com/in/eugeniaingaramo","http://ar.linkedin.com/in/eugeniaingaramo")</f>
        <v>http://ar.linkedin.com/in/eugeniaingaramo</v>
      </c>
      <c r="I3690" s="2" t="s">
        <v>15</v>
      </c>
      <c r="J3690" s="2" t="s">
        <v>21</v>
      </c>
      <c r="K3690" s="2" t="s">
        <v>5725</v>
      </c>
    </row>
    <row r="3691" ht="15.75" customHeight="1">
      <c r="A3691" s="2">
        <v>31270.0</v>
      </c>
      <c r="B3691" s="2" t="s">
        <v>353</v>
      </c>
      <c r="C3691" s="2" t="s">
        <v>7983</v>
      </c>
      <c r="D3691" s="2" t="s">
        <v>7984</v>
      </c>
      <c r="E3691" s="2" t="s">
        <v>20</v>
      </c>
      <c r="F3691" s="2">
        <v>15.0</v>
      </c>
      <c r="G3691" s="2">
        <v>500.0</v>
      </c>
      <c r="H3691" s="3" t="str">
        <f>HYPERLINK("http://ar.linkedin.com/in/adutto","http://ar.linkedin.com/in/adutto")</f>
        <v>http://ar.linkedin.com/in/adutto</v>
      </c>
      <c r="I3691" s="2" t="s">
        <v>873</v>
      </c>
      <c r="J3691" s="2" t="s">
        <v>21</v>
      </c>
      <c r="K3691" s="2" t="s">
        <v>5743</v>
      </c>
    </row>
    <row r="3692" ht="15.75" customHeight="1">
      <c r="A3692" s="2">
        <v>31311.0</v>
      </c>
      <c r="B3692" s="2" t="s">
        <v>5939</v>
      </c>
      <c r="C3692" s="2" t="s">
        <v>1720</v>
      </c>
      <c r="D3692" s="2" t="s">
        <v>7985</v>
      </c>
      <c r="E3692" s="2" t="s">
        <v>20</v>
      </c>
      <c r="F3692" s="2">
        <v>1.0</v>
      </c>
      <c r="G3692" s="2">
        <v>274.0</v>
      </c>
      <c r="H3692" s="3" t="str">
        <f>HYPERLINK("http://ar.linkedin.com/in/constanzabianchi","http://ar.linkedin.com/in/constanzabianchi")</f>
        <v>http://ar.linkedin.com/in/constanzabianchi</v>
      </c>
      <c r="I3692" s="2" t="s">
        <v>167</v>
      </c>
      <c r="J3692" s="2" t="s">
        <v>21</v>
      </c>
      <c r="K3692" s="2" t="s">
        <v>5785</v>
      </c>
    </row>
    <row r="3693" ht="15.75" customHeight="1">
      <c r="A3693" s="2">
        <v>31312.0</v>
      </c>
      <c r="B3693" s="2" t="s">
        <v>2329</v>
      </c>
      <c r="C3693" s="2" t="s">
        <v>7986</v>
      </c>
      <c r="D3693" s="2" t="s">
        <v>13</v>
      </c>
      <c r="E3693" s="2" t="s">
        <v>20</v>
      </c>
      <c r="F3693" s="2">
        <v>0.0</v>
      </c>
      <c r="G3693" s="2">
        <v>322.0</v>
      </c>
      <c r="H3693" s="3" t="str">
        <f>HYPERLINK("http://www.linkedin.com/pub/paulo-gioino/2/8a4/671","http://www.linkedin.com/pub/paulo-gioino/2/8a4/671")</f>
        <v>http://www.linkedin.com/pub/paulo-gioino/2/8a4/671</v>
      </c>
      <c r="I3693" s="2" t="s">
        <v>48</v>
      </c>
      <c r="J3693" s="2" t="s">
        <v>21</v>
      </c>
      <c r="K3693" s="2" t="s">
        <v>5725</v>
      </c>
    </row>
    <row r="3694" ht="15.75" customHeight="1">
      <c r="A3694" s="2">
        <v>31323.0</v>
      </c>
      <c r="B3694" s="2" t="s">
        <v>7987</v>
      </c>
      <c r="C3694" s="2" t="s">
        <v>7988</v>
      </c>
      <c r="D3694" s="2" t="s">
        <v>6202</v>
      </c>
      <c r="E3694" s="2" t="s">
        <v>20</v>
      </c>
      <c r="F3694" s="2">
        <v>1.0</v>
      </c>
      <c r="G3694" s="2">
        <v>202.0</v>
      </c>
      <c r="H3694" s="3" t="str">
        <f>HYPERLINK("http://ar.linkedin.com/pub/emilio-bottino/3/289/117","http://ar.linkedin.com/pub/emilio-bottino/3/289/117")</f>
        <v>http://ar.linkedin.com/pub/emilio-bottino/3/289/117</v>
      </c>
      <c r="I3694" s="2" t="s">
        <v>48</v>
      </c>
      <c r="J3694" s="2" t="s">
        <v>21</v>
      </c>
      <c r="K3694" s="2" t="s">
        <v>5725</v>
      </c>
    </row>
    <row r="3695" ht="15.75" customHeight="1">
      <c r="A3695" s="2">
        <v>31355.0</v>
      </c>
      <c r="B3695" s="2" t="s">
        <v>193</v>
      </c>
      <c r="C3695" s="2" t="s">
        <v>7989</v>
      </c>
      <c r="D3695" s="2" t="s">
        <v>7990</v>
      </c>
      <c r="E3695" s="2" t="s">
        <v>20</v>
      </c>
      <c r="F3695" s="2">
        <v>3.0</v>
      </c>
      <c r="G3695" s="2">
        <v>417.0</v>
      </c>
      <c r="H3695" s="3" t="str">
        <f>HYPERLINK("http://ar.linkedin.com/pub/guillermo-jacobi/1/353/B16","http://ar.linkedin.com/pub/guillermo-jacobi/1/353/B16")</f>
        <v>http://ar.linkedin.com/pub/guillermo-jacobi/1/353/B16</v>
      </c>
      <c r="I3695" s="2" t="s">
        <v>1679</v>
      </c>
      <c r="J3695" s="2" t="s">
        <v>21</v>
      </c>
      <c r="K3695" s="2" t="s">
        <v>5727</v>
      </c>
    </row>
    <row r="3696" ht="15.75" customHeight="1">
      <c r="A3696" s="2">
        <v>31358.0</v>
      </c>
      <c r="B3696" s="2" t="s">
        <v>7991</v>
      </c>
      <c r="C3696" s="2" t="s">
        <v>7992</v>
      </c>
      <c r="D3696" s="2" t="s">
        <v>7993</v>
      </c>
      <c r="E3696" s="2" t="s">
        <v>20</v>
      </c>
      <c r="F3696" s="2" t="s">
        <v>13</v>
      </c>
      <c r="G3696" s="2">
        <v>337.0</v>
      </c>
      <c r="H3696" s="3" t="str">
        <f>HYPERLINK("http://ar.linkedin.com/in/alejandromartindiaz","http://ar.linkedin.com/in/alejandromartindiaz")</f>
        <v>http://ar.linkedin.com/in/alejandromartindiaz</v>
      </c>
      <c r="I3696" s="2" t="s">
        <v>15</v>
      </c>
      <c r="J3696" s="2" t="s">
        <v>21</v>
      </c>
      <c r="K3696" s="2" t="s">
        <v>5725</v>
      </c>
    </row>
    <row r="3697" ht="15.75" customHeight="1">
      <c r="A3697" s="2">
        <v>31365.0</v>
      </c>
      <c r="B3697" s="2" t="s">
        <v>7994</v>
      </c>
      <c r="C3697" s="2" t="s">
        <v>7995</v>
      </c>
      <c r="D3697" s="2" t="s">
        <v>13</v>
      </c>
      <c r="E3697" s="2" t="s">
        <v>20</v>
      </c>
      <c r="F3697" s="2">
        <v>0.0</v>
      </c>
      <c r="G3697" s="2">
        <v>287.0</v>
      </c>
      <c r="H3697" s="3" t="str">
        <f>HYPERLINK("http://www.linkedin.com/in/hrajchert","http://www.linkedin.com/in/hrajchert")</f>
        <v>http://www.linkedin.com/in/hrajchert</v>
      </c>
      <c r="I3697" s="2" t="s">
        <v>48</v>
      </c>
      <c r="J3697" s="2" t="s">
        <v>21</v>
      </c>
      <c r="K3697" s="2" t="s">
        <v>5727</v>
      </c>
    </row>
    <row r="3698" ht="15.75" customHeight="1">
      <c r="A3698" s="2">
        <v>31374.0</v>
      </c>
      <c r="B3698" s="2" t="s">
        <v>5883</v>
      </c>
      <c r="C3698" s="2" t="s">
        <v>7211</v>
      </c>
      <c r="D3698" s="2" t="s">
        <v>7996</v>
      </c>
      <c r="E3698" s="2" t="s">
        <v>20</v>
      </c>
      <c r="F3698" s="2">
        <v>52.0</v>
      </c>
      <c r="G3698" s="2">
        <v>500.0</v>
      </c>
      <c r="H3698" s="3" t="str">
        <f>HYPERLINK("http://ar.linkedin.com/in/arielzunino","http://ar.linkedin.com/in/arielzunino")</f>
        <v>http://ar.linkedin.com/in/arielzunino</v>
      </c>
      <c r="I3698" s="2" t="s">
        <v>470</v>
      </c>
      <c r="J3698" s="2" t="s">
        <v>21</v>
      </c>
      <c r="K3698" s="2" t="s">
        <v>5727</v>
      </c>
    </row>
    <row r="3699" ht="15.75" customHeight="1">
      <c r="A3699" s="2">
        <v>31382.0</v>
      </c>
      <c r="B3699" s="2" t="s">
        <v>6232</v>
      </c>
      <c r="C3699" s="2" t="s">
        <v>7997</v>
      </c>
      <c r="D3699" s="2" t="s">
        <v>7998</v>
      </c>
      <c r="E3699" s="2" t="s">
        <v>3963</v>
      </c>
      <c r="F3699" s="2">
        <v>1.0</v>
      </c>
      <c r="G3699" s="2">
        <v>293.0</v>
      </c>
      <c r="H3699" s="3" t="str">
        <f>HYPERLINK("http://www.linkedin.com/pub/emiliano-yache/5/5a5/608","http://www.linkedin.com/pub/emiliano-yache/5/5a5/608")</f>
        <v>http://www.linkedin.com/pub/emiliano-yache/5/5a5/608</v>
      </c>
      <c r="I3699" s="2" t="s">
        <v>48</v>
      </c>
      <c r="J3699" s="2" t="s">
        <v>3964</v>
      </c>
      <c r="K3699" s="2" t="s">
        <v>6075</v>
      </c>
    </row>
    <row r="3700" ht="15.75" customHeight="1">
      <c r="A3700" s="2">
        <v>31391.0</v>
      </c>
      <c r="B3700" s="2" t="s">
        <v>5791</v>
      </c>
      <c r="C3700" s="2" t="s">
        <v>7999</v>
      </c>
      <c r="D3700" s="2" t="s">
        <v>8000</v>
      </c>
      <c r="E3700" s="2" t="s">
        <v>20</v>
      </c>
      <c r="F3700" s="2" t="s">
        <v>13</v>
      </c>
      <c r="G3700" s="2">
        <v>108.0</v>
      </c>
      <c r="H3700" s="3" t="str">
        <f>HYPERLINK("http://ar.linkedin.com/pub/mat-as-chiodi/11/915/B60","http://ar.linkedin.com/pub/mat-as-chiodi/11/915/B60")</f>
        <v>http://ar.linkedin.com/pub/mat-as-chiodi/11/915/B60</v>
      </c>
      <c r="I3700" s="2" t="s">
        <v>172</v>
      </c>
      <c r="J3700" s="2" t="s">
        <v>21</v>
      </c>
      <c r="K3700" s="2" t="s">
        <v>6178</v>
      </c>
    </row>
    <row r="3701" ht="15.75" customHeight="1">
      <c r="A3701" s="2">
        <v>31393.0</v>
      </c>
      <c r="B3701" s="2" t="s">
        <v>3072</v>
      </c>
      <c r="C3701" s="2" t="s">
        <v>8001</v>
      </c>
      <c r="D3701" s="2" t="s">
        <v>3791</v>
      </c>
      <c r="E3701" s="2" t="s">
        <v>20</v>
      </c>
      <c r="F3701" s="2">
        <v>3.0</v>
      </c>
      <c r="G3701" s="2">
        <v>500.0</v>
      </c>
      <c r="H3701" s="3" t="str">
        <f>HYPERLINK("http://ar.linkedin.com/in/ingenierogaray","http://ar.linkedin.com/in/ingenierogaray")</f>
        <v>http://ar.linkedin.com/in/ingenierogaray</v>
      </c>
      <c r="I3701" s="2" t="s">
        <v>1948</v>
      </c>
      <c r="J3701" s="2" t="s">
        <v>21</v>
      </c>
      <c r="K3701" s="2" t="s">
        <v>5727</v>
      </c>
    </row>
    <row r="3702" ht="15.75" customHeight="1">
      <c r="A3702" s="2">
        <v>31413.0</v>
      </c>
      <c r="B3702" s="2" t="s">
        <v>8002</v>
      </c>
      <c r="C3702" s="2" t="s">
        <v>8003</v>
      </c>
      <c r="D3702" s="2" t="s">
        <v>8004</v>
      </c>
      <c r="E3702" s="2" t="s">
        <v>20</v>
      </c>
      <c r="F3702" s="2">
        <v>5.0</v>
      </c>
      <c r="G3702" s="2">
        <v>254.0</v>
      </c>
      <c r="H3702" s="3" t="str">
        <f>HYPERLINK("http://ar.linkedin.com/pub/valeria-yanina-pace/6/25A/4A7","http://ar.linkedin.com/pub/valeria-yanina-pace/6/25A/4A7")</f>
        <v>http://ar.linkedin.com/pub/valeria-yanina-pace/6/25A/4A7</v>
      </c>
      <c r="I3702" s="2" t="s">
        <v>2000</v>
      </c>
      <c r="J3702" s="2" t="s">
        <v>21</v>
      </c>
      <c r="K3702" s="2" t="s">
        <v>6973</v>
      </c>
    </row>
    <row r="3703" ht="15.75" customHeight="1">
      <c r="A3703" s="2">
        <v>31432.0</v>
      </c>
      <c r="B3703" s="2" t="s">
        <v>8005</v>
      </c>
      <c r="C3703" s="2" t="s">
        <v>2531</v>
      </c>
      <c r="D3703" s="2" t="s">
        <v>13</v>
      </c>
      <c r="E3703" s="2" t="s">
        <v>20</v>
      </c>
      <c r="F3703" s="2">
        <v>0.0</v>
      </c>
      <c r="G3703" s="2">
        <v>500.0</v>
      </c>
      <c r="H3703" s="3" t="str">
        <f>HYPERLINK("https://www.linkedin.com/in/ayelenchavez","https://www.linkedin.com/in/ayelenchavez")</f>
        <v>https://www.linkedin.com/in/ayelenchavez</v>
      </c>
      <c r="I3703" s="2" t="s">
        <v>143</v>
      </c>
      <c r="J3703" s="2" t="s">
        <v>21</v>
      </c>
      <c r="K3703" s="2" t="s">
        <v>5848</v>
      </c>
    </row>
    <row r="3704" ht="15.75" customHeight="1">
      <c r="A3704" s="2">
        <v>31438.0</v>
      </c>
      <c r="B3704" s="2" t="s">
        <v>70</v>
      </c>
      <c r="C3704" s="2" t="s">
        <v>8006</v>
      </c>
      <c r="D3704" s="2" t="s">
        <v>5066</v>
      </c>
      <c r="E3704" s="2" t="s">
        <v>20</v>
      </c>
      <c r="F3704" s="2" t="s">
        <v>13</v>
      </c>
      <c r="G3704" s="2">
        <v>20.0</v>
      </c>
      <c r="H3704" s="3" t="str">
        <f>HYPERLINK("http://ar.linkedin.com/pub/gustavo-garmendia/5/146/81","http://ar.linkedin.com/pub/gustavo-garmendia/5/146/81")</f>
        <v>http://ar.linkedin.com/pub/gustavo-garmendia/5/146/81</v>
      </c>
      <c r="I3704" s="2" t="s">
        <v>57</v>
      </c>
      <c r="J3704" s="2" t="s">
        <v>21</v>
      </c>
      <c r="K3704" s="2" t="s">
        <v>5734</v>
      </c>
    </row>
    <row r="3705" ht="15.75" customHeight="1">
      <c r="A3705" s="2">
        <v>31446.0</v>
      </c>
      <c r="B3705" s="2" t="s">
        <v>264</v>
      </c>
      <c r="C3705" s="2" t="s">
        <v>8007</v>
      </c>
      <c r="D3705" s="2" t="s">
        <v>8008</v>
      </c>
      <c r="E3705" s="2" t="s">
        <v>20</v>
      </c>
      <c r="F3705" s="2" t="s">
        <v>13</v>
      </c>
      <c r="G3705" s="2">
        <v>364.0</v>
      </c>
      <c r="H3705" s="3" t="str">
        <f>HYPERLINK("http://ar.linkedin.com/pub/andres-devoto/5/225/405","http://ar.linkedin.com/pub/andres-devoto/5/225/405")</f>
        <v>http://ar.linkedin.com/pub/andres-devoto/5/225/405</v>
      </c>
      <c r="I3705" s="2" t="s">
        <v>579</v>
      </c>
      <c r="J3705" s="2" t="s">
        <v>21</v>
      </c>
      <c r="K3705" s="2" t="s">
        <v>5848</v>
      </c>
    </row>
    <row r="3706" ht="15.75" customHeight="1">
      <c r="A3706" s="2">
        <v>31470.0</v>
      </c>
      <c r="B3706" s="2" t="s">
        <v>353</v>
      </c>
      <c r="C3706" s="2" t="s">
        <v>8009</v>
      </c>
      <c r="D3706" s="2" t="s">
        <v>13</v>
      </c>
      <c r="E3706" s="2" t="s">
        <v>20</v>
      </c>
      <c r="F3706" s="2">
        <v>4.0</v>
      </c>
      <c r="G3706" s="2">
        <v>322.0</v>
      </c>
      <c r="H3706" s="3" t="str">
        <f>HYPERLINK("http://www.linkedin.com/pub/alejandro-aiupe/5/589/7a9","http://www.linkedin.com/pub/alejandro-aiupe/5/589/7a9")</f>
        <v>http://www.linkedin.com/pub/alejandro-aiupe/5/589/7a9</v>
      </c>
      <c r="I3706" s="2" t="s">
        <v>48</v>
      </c>
      <c r="J3706" s="2" t="s">
        <v>21</v>
      </c>
      <c r="K3706" s="2" t="s">
        <v>5777</v>
      </c>
    </row>
    <row r="3707" ht="15.75" customHeight="1">
      <c r="A3707" s="2">
        <v>31480.0</v>
      </c>
      <c r="B3707" s="2" t="s">
        <v>8010</v>
      </c>
      <c r="C3707" s="2" t="s">
        <v>8011</v>
      </c>
      <c r="D3707" s="2" t="s">
        <v>8012</v>
      </c>
      <c r="E3707" s="2" t="s">
        <v>20</v>
      </c>
      <c r="F3707" s="2">
        <v>2.0</v>
      </c>
      <c r="G3707" s="2">
        <v>500.0</v>
      </c>
      <c r="H3707" s="3" t="str">
        <f>HYPERLINK("http://ar.linkedin.com/pub/luis-benigno-olive/B/285/178","http://ar.linkedin.com/pub/luis-benigno-olive/B/285/178")</f>
        <v>http://ar.linkedin.com/pub/luis-benigno-olive/B/285/178</v>
      </c>
      <c r="I3707" s="2" t="s">
        <v>356</v>
      </c>
      <c r="J3707" s="2" t="s">
        <v>21</v>
      </c>
      <c r="K3707" s="2" t="s">
        <v>5727</v>
      </c>
    </row>
    <row r="3708" ht="15.75" customHeight="1">
      <c r="A3708" s="2">
        <v>31484.0</v>
      </c>
      <c r="B3708" s="2" t="s">
        <v>3692</v>
      </c>
      <c r="C3708" s="2" t="s">
        <v>5815</v>
      </c>
      <c r="D3708" s="2" t="s">
        <v>8013</v>
      </c>
      <c r="E3708" s="2" t="s">
        <v>20</v>
      </c>
      <c r="F3708" s="2">
        <v>1.0</v>
      </c>
      <c r="G3708" s="2">
        <v>435.0</v>
      </c>
      <c r="H3708" s="3" t="str">
        <f>HYPERLINK("http://ar.linkedin.com/in/federicomuzio","http://ar.linkedin.com/in/federicomuzio")</f>
        <v>http://ar.linkedin.com/in/federicomuzio</v>
      </c>
      <c r="I3708" s="2" t="s">
        <v>15</v>
      </c>
      <c r="J3708" s="2" t="s">
        <v>21</v>
      </c>
      <c r="K3708" s="2" t="s">
        <v>6124</v>
      </c>
    </row>
    <row r="3709" ht="15.75" customHeight="1">
      <c r="A3709" s="2">
        <v>31488.0</v>
      </c>
      <c r="B3709" s="2" t="s">
        <v>8014</v>
      </c>
      <c r="C3709" s="2" t="s">
        <v>8015</v>
      </c>
      <c r="D3709" s="2" t="s">
        <v>13</v>
      </c>
      <c r="E3709" s="2" t="s">
        <v>20</v>
      </c>
      <c r="F3709" s="2">
        <v>0.0</v>
      </c>
      <c r="G3709" s="2">
        <v>500.0</v>
      </c>
      <c r="H3709" s="3" t="str">
        <f>HYPERLINK("http://www.linkedin.com/pub/leandro-javier-ipes/11/3a9/2a5","http://www.linkedin.com/pub/leandro-javier-ipes/11/3a9/2a5")</f>
        <v>http://www.linkedin.com/pub/leandro-javier-ipes/11/3a9/2a5</v>
      </c>
      <c r="I3709" s="2" t="s">
        <v>48</v>
      </c>
      <c r="J3709" s="2" t="s">
        <v>21</v>
      </c>
      <c r="K3709" s="2" t="s">
        <v>5777</v>
      </c>
    </row>
    <row r="3710" ht="15.75" customHeight="1">
      <c r="A3710" s="2">
        <v>31500.0</v>
      </c>
      <c r="B3710" s="2" t="s">
        <v>59</v>
      </c>
      <c r="C3710" s="2" t="s">
        <v>8016</v>
      </c>
      <c r="D3710" s="2" t="s">
        <v>8017</v>
      </c>
      <c r="E3710" s="2" t="s">
        <v>20</v>
      </c>
      <c r="F3710" s="2" t="s">
        <v>13</v>
      </c>
      <c r="G3710" s="2">
        <v>146.0</v>
      </c>
      <c r="H3710" s="3" t="str">
        <f>HYPERLINK("http://ar.linkedin.com/pub/martin-rodriguez-arias/7/900/267","http://ar.linkedin.com/pub/martin-rodriguez-arias/7/900/267")</f>
        <v>http://ar.linkedin.com/pub/martin-rodriguez-arias/7/900/267</v>
      </c>
      <c r="I3710" s="2" t="s">
        <v>48</v>
      </c>
      <c r="J3710" s="2" t="s">
        <v>21</v>
      </c>
      <c r="K3710" s="2" t="s">
        <v>8018</v>
      </c>
    </row>
    <row r="3711" ht="15.75" customHeight="1">
      <c r="A3711" s="2">
        <v>31501.0</v>
      </c>
      <c r="B3711" s="2" t="s">
        <v>3201</v>
      </c>
      <c r="C3711" s="2" t="s">
        <v>8019</v>
      </c>
      <c r="D3711" s="2" t="s">
        <v>8020</v>
      </c>
      <c r="E3711" s="2" t="s">
        <v>20</v>
      </c>
      <c r="F3711" s="2" t="s">
        <v>13</v>
      </c>
      <c r="G3711" s="2">
        <v>172.0</v>
      </c>
      <c r="H3711" s="3" t="str">
        <f>HYPERLINK("http://ar.linkedin.com/pub/sebastian-barreto/B/6A2/810","http://ar.linkedin.com/pub/sebastian-barreto/B/6A2/810")</f>
        <v>http://ar.linkedin.com/pub/sebastian-barreto/B/6A2/810</v>
      </c>
      <c r="I3711" s="2" t="s">
        <v>15</v>
      </c>
      <c r="J3711" s="2" t="s">
        <v>21</v>
      </c>
      <c r="K3711" s="2" t="s">
        <v>6124</v>
      </c>
    </row>
    <row r="3712" ht="15.75" customHeight="1">
      <c r="A3712" s="2">
        <v>31502.0</v>
      </c>
      <c r="B3712" s="2" t="s">
        <v>6198</v>
      </c>
      <c r="C3712" s="2" t="s">
        <v>8021</v>
      </c>
      <c r="D3712" s="2" t="s">
        <v>8022</v>
      </c>
      <c r="E3712" s="2" t="s">
        <v>20</v>
      </c>
      <c r="F3712" s="2" t="s">
        <v>13</v>
      </c>
      <c r="G3712" s="2">
        <v>175.0</v>
      </c>
      <c r="H3712" s="3" t="str">
        <f>HYPERLINK("http://ar.linkedin.com/pub/andr%C3%A9s-inostroza/A/292/195","http://ar.linkedin.com/pub/andr%C3%A9s-inostroza/A/292/195")</f>
        <v>http://ar.linkedin.com/pub/andr%C3%A9s-inostroza/A/292/195</v>
      </c>
      <c r="I3712" s="2" t="s">
        <v>15</v>
      </c>
      <c r="J3712" s="2" t="s">
        <v>21</v>
      </c>
      <c r="K3712" s="2" t="s">
        <v>6124</v>
      </c>
    </row>
    <row r="3713" ht="15.75" customHeight="1">
      <c r="A3713" s="2">
        <v>31506.0</v>
      </c>
      <c r="B3713" s="2" t="s">
        <v>6666</v>
      </c>
      <c r="C3713" s="2" t="s">
        <v>6928</v>
      </c>
      <c r="D3713" s="2" t="s">
        <v>8023</v>
      </c>
      <c r="E3713" s="2" t="s">
        <v>20</v>
      </c>
      <c r="F3713" s="2" t="s">
        <v>13</v>
      </c>
      <c r="G3713" s="2">
        <v>135.0</v>
      </c>
      <c r="H3713" s="3" t="str">
        <f>HYPERLINK("http://ar.linkedin.com/in/szalazar","http://ar.linkedin.com/in/szalazar")</f>
        <v>http://ar.linkedin.com/in/szalazar</v>
      </c>
      <c r="I3713" s="2" t="s">
        <v>15</v>
      </c>
      <c r="J3713" s="2" t="s">
        <v>21</v>
      </c>
      <c r="K3713" s="2" t="s">
        <v>6124</v>
      </c>
    </row>
    <row r="3714" ht="15.75" customHeight="1">
      <c r="A3714" s="2">
        <v>31518.0</v>
      </c>
      <c r="B3714" s="2" t="s">
        <v>8024</v>
      </c>
      <c r="C3714" s="2" t="s">
        <v>8025</v>
      </c>
      <c r="D3714" s="2" t="s">
        <v>8026</v>
      </c>
      <c r="E3714" s="2" t="s">
        <v>20</v>
      </c>
      <c r="F3714" s="2">
        <v>3.0</v>
      </c>
      <c r="G3714" s="2">
        <v>307.0</v>
      </c>
      <c r="H3714" s="3" t="str">
        <f>HYPERLINK("http://ar.linkedin.com/in/josemariaduce","http://ar.linkedin.com/in/josemariaduce")</f>
        <v>http://ar.linkedin.com/in/josemariaduce</v>
      </c>
      <c r="I3714" s="2" t="s">
        <v>279</v>
      </c>
      <c r="J3714" s="2" t="s">
        <v>21</v>
      </c>
      <c r="K3714" s="2" t="s">
        <v>5727</v>
      </c>
    </row>
    <row r="3715" ht="15.75" customHeight="1">
      <c r="A3715" s="2">
        <v>31521.0</v>
      </c>
      <c r="B3715" s="2" t="s">
        <v>6252</v>
      </c>
      <c r="C3715" s="2" t="s">
        <v>8027</v>
      </c>
      <c r="D3715" s="2" t="s">
        <v>13</v>
      </c>
      <c r="E3715" s="2" t="s">
        <v>20</v>
      </c>
      <c r="F3715" s="2">
        <v>0.0</v>
      </c>
      <c r="G3715" s="2">
        <v>184.0</v>
      </c>
      <c r="H3715" s="3" t="str">
        <f>HYPERLINK("http://www.linkedin.com/pub/santiago-pigliacampi/30/747/5b1","http://www.linkedin.com/pub/santiago-pigliacampi/30/747/5b1")</f>
        <v>http://www.linkedin.com/pub/santiago-pigliacampi/30/747/5b1</v>
      </c>
      <c r="I3715" s="2" t="s">
        <v>15</v>
      </c>
      <c r="J3715" s="2" t="s">
        <v>21</v>
      </c>
      <c r="K3715" s="2" t="s">
        <v>5725</v>
      </c>
    </row>
    <row r="3716" ht="15.75" customHeight="1">
      <c r="A3716" s="2">
        <v>31527.0</v>
      </c>
      <c r="B3716" s="2" t="s">
        <v>362</v>
      </c>
      <c r="C3716" s="2" t="s">
        <v>8028</v>
      </c>
      <c r="D3716" s="2" t="s">
        <v>8029</v>
      </c>
      <c r="E3716" s="2" t="s">
        <v>20</v>
      </c>
      <c r="F3716" s="2">
        <v>5.0</v>
      </c>
      <c r="G3716" s="2">
        <v>266.0</v>
      </c>
      <c r="H3716" s="3" t="str">
        <f>HYPERLINK("http://ar.linkedin.com/in/javiervila","http://ar.linkedin.com/in/javiervila")</f>
        <v>http://ar.linkedin.com/in/javiervila</v>
      </c>
      <c r="I3716" s="2" t="s">
        <v>1679</v>
      </c>
      <c r="J3716" s="2" t="s">
        <v>21</v>
      </c>
      <c r="K3716" s="2" t="s">
        <v>5727</v>
      </c>
    </row>
    <row r="3717" ht="15.75" customHeight="1">
      <c r="A3717" s="2">
        <v>31548.0</v>
      </c>
      <c r="B3717" s="2" t="s">
        <v>8030</v>
      </c>
      <c r="C3717" s="2" t="s">
        <v>13</v>
      </c>
      <c r="D3717" s="2" t="s">
        <v>13</v>
      </c>
      <c r="E3717" s="2" t="s">
        <v>20</v>
      </c>
      <c r="F3717" s="2">
        <v>0.0</v>
      </c>
      <c r="G3717" s="2">
        <v>110.0</v>
      </c>
      <c r="H3717" s="3" t="str">
        <f>HYPERLINK("http://www.linkedin.com/pub/miguel-angel-basuf/1b/322/a33","http://www.linkedin.com/pub/miguel-angel-basuf/1b/322/a33")</f>
        <v>http://www.linkedin.com/pub/miguel-angel-basuf/1b/322/a33</v>
      </c>
      <c r="I3717" s="2" t="s">
        <v>77</v>
      </c>
      <c r="J3717" s="2" t="s">
        <v>21</v>
      </c>
      <c r="K3717" s="2" t="s">
        <v>5848</v>
      </c>
    </row>
    <row r="3718" ht="15.75" customHeight="1">
      <c r="A3718" s="2">
        <v>31594.0</v>
      </c>
      <c r="B3718" s="2" t="s">
        <v>6225</v>
      </c>
      <c r="C3718" s="2" t="s">
        <v>8031</v>
      </c>
      <c r="D3718" s="2" t="s">
        <v>8032</v>
      </c>
      <c r="E3718" s="2" t="s">
        <v>20</v>
      </c>
      <c r="F3718" s="2" t="s">
        <v>13</v>
      </c>
      <c r="G3718" s="2">
        <v>416.0</v>
      </c>
      <c r="H3718" s="3" t="str">
        <f>HYPERLINK("http://ar.linkedin.com/pub/paola-murua/24/16A/B70","http://ar.linkedin.com/pub/paola-murua/24/16A/B70")</f>
        <v>http://ar.linkedin.com/pub/paola-murua/24/16A/B70</v>
      </c>
      <c r="I3718" s="2" t="s">
        <v>77</v>
      </c>
      <c r="J3718" s="2" t="s">
        <v>21</v>
      </c>
      <c r="K3718" s="2" t="s">
        <v>5848</v>
      </c>
    </row>
    <row r="3719" ht="15.75" customHeight="1">
      <c r="A3719" s="2">
        <v>31616.0</v>
      </c>
      <c r="B3719" s="2" t="s">
        <v>79</v>
      </c>
      <c r="C3719" s="2" t="s">
        <v>8033</v>
      </c>
      <c r="D3719" s="2" t="s">
        <v>8034</v>
      </c>
      <c r="E3719" s="2" t="s">
        <v>20</v>
      </c>
      <c r="F3719" s="2">
        <v>1.0</v>
      </c>
      <c r="G3719" s="2">
        <v>71.0</v>
      </c>
      <c r="H3719" s="3" t="str">
        <f>HYPERLINK("http://ar.linkedin.com/pub/tomas-hearne/A/797/269","http://ar.linkedin.com/pub/tomas-hearne/A/797/269")</f>
        <v>http://ar.linkedin.com/pub/tomas-hearne/A/797/269</v>
      </c>
      <c r="I3719" s="2" t="s">
        <v>2268</v>
      </c>
      <c r="J3719" s="2" t="s">
        <v>21</v>
      </c>
      <c r="K3719" s="2" t="s">
        <v>5785</v>
      </c>
    </row>
    <row r="3720" ht="15.75" customHeight="1">
      <c r="A3720" s="2">
        <v>31623.0</v>
      </c>
      <c r="B3720" s="2" t="s">
        <v>18</v>
      </c>
      <c r="C3720" s="2" t="s">
        <v>8035</v>
      </c>
      <c r="D3720" s="2" t="s">
        <v>8036</v>
      </c>
      <c r="E3720" s="2" t="s">
        <v>20</v>
      </c>
      <c r="F3720" s="2">
        <v>3.0</v>
      </c>
      <c r="G3720" s="2">
        <v>181.0</v>
      </c>
      <c r="H3720" s="3" t="str">
        <f>HYPERLINK("http://ar.linkedin.com/in/mauriciofalco","http://ar.linkedin.com/in/mauriciofalco")</f>
        <v>http://ar.linkedin.com/in/mauriciofalco</v>
      </c>
      <c r="I3720" s="2" t="s">
        <v>681</v>
      </c>
      <c r="J3720" s="2" t="s">
        <v>21</v>
      </c>
      <c r="K3720" s="2" t="s">
        <v>5727</v>
      </c>
    </row>
    <row r="3721" ht="15.75" customHeight="1">
      <c r="A3721" s="2">
        <v>31649.0</v>
      </c>
      <c r="B3721" s="2" t="s">
        <v>8037</v>
      </c>
      <c r="C3721" s="2" t="s">
        <v>8038</v>
      </c>
      <c r="D3721" s="2" t="s">
        <v>8039</v>
      </c>
      <c r="E3721" s="2" t="s">
        <v>20</v>
      </c>
      <c r="F3721" s="2">
        <v>1.0</v>
      </c>
      <c r="G3721" s="2">
        <v>176.0</v>
      </c>
      <c r="H3721" s="3" t="str">
        <f>HYPERLINK("http://ar.linkedin.com/pub/delia-fojo/B/88B/5A0","http://ar.linkedin.com/pub/delia-fojo/B/88B/5A0")</f>
        <v>http://ar.linkedin.com/pub/delia-fojo/B/88B/5A0</v>
      </c>
      <c r="I3721" s="2" t="s">
        <v>57</v>
      </c>
      <c r="J3721" s="2" t="s">
        <v>21</v>
      </c>
      <c r="K3721" s="2" t="s">
        <v>5725</v>
      </c>
    </row>
    <row r="3722" ht="15.75" customHeight="1">
      <c r="A3722" s="2">
        <v>31666.0</v>
      </c>
      <c r="B3722" s="2" t="s">
        <v>8040</v>
      </c>
      <c r="C3722" s="2" t="s">
        <v>8041</v>
      </c>
      <c r="D3722" s="2" t="s">
        <v>8042</v>
      </c>
      <c r="E3722" s="2" t="s">
        <v>20</v>
      </c>
      <c r="F3722" s="2">
        <v>2.0</v>
      </c>
      <c r="G3722" s="2">
        <v>323.0</v>
      </c>
      <c r="H3722" s="3" t="str">
        <f>HYPERLINK("http://ar.linkedin.com/in/charitocerenzia","http://ar.linkedin.com/in/charitocerenzia")</f>
        <v>http://ar.linkedin.com/in/charitocerenzia</v>
      </c>
      <c r="I3722" s="2" t="s">
        <v>1679</v>
      </c>
      <c r="J3722" s="2" t="s">
        <v>21</v>
      </c>
      <c r="K3722" s="2" t="s">
        <v>5727</v>
      </c>
    </row>
    <row r="3723" ht="15.75" customHeight="1">
      <c r="A3723" s="2">
        <v>31792.0</v>
      </c>
      <c r="B3723" s="2" t="s">
        <v>5495</v>
      </c>
      <c r="C3723" s="2" t="s">
        <v>8043</v>
      </c>
      <c r="D3723" s="2" t="s">
        <v>8044</v>
      </c>
      <c r="E3723" s="2" t="s">
        <v>728</v>
      </c>
      <c r="F3723" s="2">
        <v>13.0</v>
      </c>
      <c r="G3723" s="2">
        <v>500.0</v>
      </c>
      <c r="H3723" s="3" t="str">
        <f>HYPERLINK("http://www.linkedin.com/in/fabiodasilva","http://www.linkedin.com/in/fabiodasilva")</f>
        <v>http://www.linkedin.com/in/fabiodasilva</v>
      </c>
      <c r="I3723" s="2" t="s">
        <v>240</v>
      </c>
      <c r="J3723" s="2" t="s">
        <v>102</v>
      </c>
      <c r="K3723" s="2" t="s">
        <v>8045</v>
      </c>
    </row>
    <row r="3724" ht="15.75" customHeight="1">
      <c r="A3724" s="2">
        <v>32441.0</v>
      </c>
      <c r="B3724" s="2" t="s">
        <v>2099</v>
      </c>
      <c r="C3724" s="2" t="s">
        <v>8046</v>
      </c>
      <c r="D3724" s="2" t="s">
        <v>8047</v>
      </c>
      <c r="E3724" s="2" t="s">
        <v>8048</v>
      </c>
      <c r="F3724" s="2">
        <v>28.0</v>
      </c>
      <c r="G3724" s="2">
        <v>500.0</v>
      </c>
      <c r="H3724" s="3" t="str">
        <f>HYPERLINK("http://www.linkedin.com/in/wankelc","http://www.linkedin.com/in/wankelc")</f>
        <v>http://www.linkedin.com/in/wankelc</v>
      </c>
      <c r="I3724" s="2" t="s">
        <v>240</v>
      </c>
      <c r="J3724" s="2" t="s">
        <v>102</v>
      </c>
      <c r="K3724" s="2" t="s">
        <v>5785</v>
      </c>
    </row>
    <row r="3725" ht="15.75" customHeight="1">
      <c r="A3725" s="2">
        <v>32667.0</v>
      </c>
      <c r="B3725" s="2" t="s">
        <v>523</v>
      </c>
      <c r="C3725" s="2" t="s">
        <v>8049</v>
      </c>
      <c r="D3725" s="2" t="s">
        <v>8050</v>
      </c>
      <c r="E3725" s="2" t="s">
        <v>20</v>
      </c>
      <c r="F3725" s="2" t="s">
        <v>13</v>
      </c>
      <c r="G3725" s="2">
        <v>359.0</v>
      </c>
      <c r="H3725" s="3" t="str">
        <f>HYPERLINK("http://ar.linkedin.com/in/ignaciolozita","http://ar.linkedin.com/in/ignaciolozita")</f>
        <v>http://ar.linkedin.com/in/ignaciolozita</v>
      </c>
      <c r="I3725" s="2" t="s">
        <v>77</v>
      </c>
      <c r="J3725" s="2" t="s">
        <v>21</v>
      </c>
      <c r="K3725" s="2" t="s">
        <v>5848</v>
      </c>
    </row>
    <row r="3726" ht="15.75" customHeight="1">
      <c r="A3726" s="2">
        <v>32691.0</v>
      </c>
      <c r="B3726" s="2" t="s">
        <v>329</v>
      </c>
      <c r="C3726" s="2" t="s">
        <v>8051</v>
      </c>
      <c r="D3726" s="2" t="s">
        <v>8052</v>
      </c>
      <c r="E3726" s="2" t="s">
        <v>20</v>
      </c>
      <c r="F3726" s="2">
        <v>8.0</v>
      </c>
      <c r="G3726" s="2">
        <v>286.0</v>
      </c>
      <c r="H3726" s="3" t="str">
        <f>HYPERLINK("http://ar.linkedin.com/pub/juan-pablo-norverto/6/B50/4BB","http://ar.linkedin.com/pub/juan-pablo-norverto/6/B50/4BB")</f>
        <v>http://ar.linkedin.com/pub/juan-pablo-norverto/6/B50/4BB</v>
      </c>
      <c r="I3726" s="2" t="s">
        <v>57</v>
      </c>
      <c r="J3726" s="2" t="s">
        <v>21</v>
      </c>
      <c r="K3726" s="2" t="s">
        <v>5727</v>
      </c>
    </row>
    <row r="3727" ht="15.75" customHeight="1">
      <c r="A3727" s="2">
        <v>32694.0</v>
      </c>
      <c r="B3727" s="2" t="s">
        <v>5888</v>
      </c>
      <c r="C3727" s="2" t="s">
        <v>8053</v>
      </c>
      <c r="D3727" s="2" t="s">
        <v>6579</v>
      </c>
      <c r="E3727" s="2" t="s">
        <v>20</v>
      </c>
      <c r="F3727" s="2">
        <v>1.0</v>
      </c>
      <c r="G3727" s="2">
        <v>206.0</v>
      </c>
      <c r="H3727" s="3" t="str">
        <f>HYPERLINK("http://ar.linkedin.com/in/gastonscapusio","http://ar.linkedin.com/in/gastonscapusio")</f>
        <v>http://ar.linkedin.com/in/gastonscapusio</v>
      </c>
      <c r="I3727" s="2" t="s">
        <v>458</v>
      </c>
      <c r="J3727" s="2" t="s">
        <v>21</v>
      </c>
      <c r="K3727" s="2" t="s">
        <v>5994</v>
      </c>
    </row>
    <row r="3728" ht="15.75" customHeight="1">
      <c r="A3728" s="2">
        <v>32704.0</v>
      </c>
      <c r="B3728" s="2" t="s">
        <v>5828</v>
      </c>
      <c r="C3728" s="2" t="s">
        <v>4791</v>
      </c>
      <c r="D3728" s="2" t="s">
        <v>7871</v>
      </c>
      <c r="E3728" s="2" t="s">
        <v>20</v>
      </c>
      <c r="F3728" s="2" t="s">
        <v>13</v>
      </c>
      <c r="G3728" s="2">
        <v>66.0</v>
      </c>
      <c r="H3728" s="3" t="str">
        <f>HYPERLINK("http://ar.linkedin.com/pub/silvia-gomez/4/511/566","http://ar.linkedin.com/pub/silvia-gomez/4/511/566")</f>
        <v>http://ar.linkedin.com/pub/silvia-gomez/4/511/566</v>
      </c>
      <c r="I3728" s="2" t="s">
        <v>15</v>
      </c>
      <c r="J3728" s="2" t="s">
        <v>21</v>
      </c>
      <c r="K3728" s="2" t="s">
        <v>5725</v>
      </c>
    </row>
    <row r="3729" ht="15.75" customHeight="1">
      <c r="A3729" s="2">
        <v>32731.0</v>
      </c>
      <c r="B3729" s="2" t="s">
        <v>3178</v>
      </c>
      <c r="C3729" s="2" t="s">
        <v>8054</v>
      </c>
      <c r="D3729" s="2" t="s">
        <v>6069</v>
      </c>
      <c r="E3729" s="2" t="s">
        <v>20</v>
      </c>
      <c r="F3729" s="2">
        <v>3.0</v>
      </c>
      <c r="G3729" s="2">
        <v>121.0</v>
      </c>
      <c r="H3729" s="3" t="str">
        <f>HYPERLINK("http://ar.linkedin.com/pub/lucas-velazco/6/2A0/9AB","http://ar.linkedin.com/pub/lucas-velazco/6/2A0/9AB")</f>
        <v>http://ar.linkedin.com/pub/lucas-velazco/6/2A0/9AB</v>
      </c>
      <c r="I3729" s="2" t="s">
        <v>663</v>
      </c>
      <c r="J3729" s="2" t="s">
        <v>21</v>
      </c>
      <c r="K3729" s="2" t="s">
        <v>5727</v>
      </c>
    </row>
    <row r="3730" ht="15.75" customHeight="1">
      <c r="A3730" s="2">
        <v>32766.0</v>
      </c>
      <c r="B3730" s="2" t="s">
        <v>45</v>
      </c>
      <c r="C3730" s="2" t="s">
        <v>8055</v>
      </c>
      <c r="D3730" s="2" t="s">
        <v>13</v>
      </c>
      <c r="E3730" s="2" t="s">
        <v>20</v>
      </c>
      <c r="F3730" s="2">
        <v>1.0</v>
      </c>
      <c r="G3730" s="2">
        <v>295.0</v>
      </c>
      <c r="H3730" s="3" t="str">
        <f>HYPERLINK("http://www.linkedin.com/pub/carlos-pedeflous/2/759/881","http://www.linkedin.com/pub/carlos-pedeflous/2/759/881")</f>
        <v>http://www.linkedin.com/pub/carlos-pedeflous/2/759/881</v>
      </c>
      <c r="I3730" s="2" t="s">
        <v>15</v>
      </c>
      <c r="J3730" s="2" t="s">
        <v>21</v>
      </c>
      <c r="K3730" s="2" t="s">
        <v>5725</v>
      </c>
    </row>
    <row r="3731" ht="15.75" customHeight="1">
      <c r="A3731" s="2">
        <v>32769.0</v>
      </c>
      <c r="B3731" s="2" t="s">
        <v>8056</v>
      </c>
      <c r="C3731" s="2" t="s">
        <v>8057</v>
      </c>
      <c r="D3731" s="2" t="s">
        <v>347</v>
      </c>
      <c r="E3731" s="2" t="s">
        <v>20</v>
      </c>
      <c r="F3731" s="2" t="s">
        <v>13</v>
      </c>
      <c r="G3731" s="2">
        <v>236.0</v>
      </c>
      <c r="H3731" s="3" t="str">
        <f>HYPERLINK("http://ar.linkedin.com/pub/maria-marta-carpinelli/7/BB8/5A8","http://ar.linkedin.com/pub/maria-marta-carpinelli/7/BB8/5A8")</f>
        <v>http://ar.linkedin.com/pub/maria-marta-carpinelli/7/BB8/5A8</v>
      </c>
      <c r="I3731" s="2" t="s">
        <v>15</v>
      </c>
      <c r="J3731" s="2" t="s">
        <v>21</v>
      </c>
      <c r="K3731" s="2" t="s">
        <v>5725</v>
      </c>
    </row>
    <row r="3732" ht="15.75" customHeight="1">
      <c r="A3732" s="2">
        <v>32773.0</v>
      </c>
      <c r="B3732" s="2" t="s">
        <v>492</v>
      </c>
      <c r="C3732" s="2" t="s">
        <v>6691</v>
      </c>
      <c r="D3732" s="2" t="s">
        <v>13</v>
      </c>
      <c r="E3732" s="2" t="s">
        <v>20</v>
      </c>
      <c r="F3732" s="2">
        <v>0.0</v>
      </c>
      <c r="G3732" s="2">
        <v>258.0</v>
      </c>
      <c r="H3732" s="3" t="str">
        <f>HYPERLINK("http://www.linkedin.com/pub/sergio-laschera/1/4b6/3b2","http://www.linkedin.com/pub/sergio-laschera/1/4b6/3b2")</f>
        <v>http://www.linkedin.com/pub/sergio-laschera/1/4b6/3b2</v>
      </c>
      <c r="I3732" s="2" t="s">
        <v>15</v>
      </c>
      <c r="J3732" s="2" t="s">
        <v>21</v>
      </c>
      <c r="K3732" s="2" t="s">
        <v>5725</v>
      </c>
    </row>
    <row r="3733" ht="15.75" customHeight="1">
      <c r="A3733" s="2">
        <v>32775.0</v>
      </c>
      <c r="B3733" s="2" t="s">
        <v>353</v>
      </c>
      <c r="C3733" s="2" t="s">
        <v>8058</v>
      </c>
      <c r="D3733" s="2" t="s">
        <v>13</v>
      </c>
      <c r="E3733" s="2" t="s">
        <v>20</v>
      </c>
      <c r="F3733" s="2">
        <v>2.0</v>
      </c>
      <c r="G3733" s="2">
        <v>97.0</v>
      </c>
      <c r="H3733" s="3" t="str">
        <f>HYPERLINK("http://www.linkedin.com/pub/alejandro-schiffrin/5/647/9b4","http://www.linkedin.com/pub/alejandro-schiffrin/5/647/9b4")</f>
        <v>http://www.linkedin.com/pub/alejandro-schiffrin/5/647/9b4</v>
      </c>
      <c r="I3733" s="2" t="s">
        <v>48</v>
      </c>
      <c r="J3733" s="2" t="s">
        <v>21</v>
      </c>
      <c r="K3733" s="2" t="s">
        <v>5725</v>
      </c>
    </row>
    <row r="3734" ht="15.75" customHeight="1">
      <c r="A3734" s="2">
        <v>32785.0</v>
      </c>
      <c r="B3734" s="2" t="s">
        <v>6417</v>
      </c>
      <c r="C3734" s="2" t="s">
        <v>8059</v>
      </c>
      <c r="D3734" s="2" t="s">
        <v>13</v>
      </c>
      <c r="E3734" s="2" t="s">
        <v>20</v>
      </c>
      <c r="F3734" s="2">
        <v>0.0</v>
      </c>
      <c r="G3734" s="2">
        <v>500.0</v>
      </c>
      <c r="H3734" s="3" t="str">
        <f>HYPERLINK("http://www.linkedin.com/pub/gonzalo-soaje-pinto/17/160/61b","http://www.linkedin.com/pub/gonzalo-soaje-pinto/17/160/61b")</f>
        <v>http://www.linkedin.com/pub/gonzalo-soaje-pinto/17/160/61b</v>
      </c>
      <c r="I3734" s="2" t="s">
        <v>2603</v>
      </c>
      <c r="J3734" s="2" t="s">
        <v>21</v>
      </c>
      <c r="K3734" s="2" t="s">
        <v>5727</v>
      </c>
    </row>
    <row r="3735" ht="15.75" customHeight="1">
      <c r="A3735" s="2">
        <v>32790.0</v>
      </c>
      <c r="B3735" s="2" t="s">
        <v>70</v>
      </c>
      <c r="C3735" s="2" t="s">
        <v>8060</v>
      </c>
      <c r="D3735" s="2" t="s">
        <v>5066</v>
      </c>
      <c r="E3735" s="2" t="s">
        <v>20</v>
      </c>
      <c r="F3735" s="2" t="s">
        <v>13</v>
      </c>
      <c r="G3735" s="2">
        <v>318.0</v>
      </c>
      <c r="H3735" s="3" t="str">
        <f>HYPERLINK("http://ar.linkedin.com/pub/gustavo-finkelstein/11/677/791","http://ar.linkedin.com/pub/gustavo-finkelstein/11/677/791")</f>
        <v>http://ar.linkedin.com/pub/gustavo-finkelstein/11/677/791</v>
      </c>
      <c r="I3735" s="2" t="s">
        <v>599</v>
      </c>
      <c r="J3735" s="2" t="s">
        <v>21</v>
      </c>
      <c r="K3735" s="2" t="s">
        <v>5785</v>
      </c>
    </row>
    <row r="3736" ht="15.75" customHeight="1">
      <c r="A3736" s="2">
        <v>32800.0</v>
      </c>
      <c r="B3736" s="2" t="s">
        <v>5828</v>
      </c>
      <c r="C3736" s="2" t="s">
        <v>8061</v>
      </c>
      <c r="D3736" s="2" t="s">
        <v>8062</v>
      </c>
      <c r="E3736" s="2" t="s">
        <v>20</v>
      </c>
      <c r="F3736" s="2">
        <v>1.0</v>
      </c>
      <c r="G3736" s="2">
        <v>291.0</v>
      </c>
      <c r="H3736" s="3" t="str">
        <f>HYPERLINK("http://ar.linkedin.com/in/silviamontesanto","http://ar.linkedin.com/in/silviamontesanto")</f>
        <v>http://ar.linkedin.com/in/silviamontesanto</v>
      </c>
      <c r="I3736" s="2" t="s">
        <v>96</v>
      </c>
      <c r="J3736" s="2" t="s">
        <v>21</v>
      </c>
      <c r="K3736" s="2" t="s">
        <v>5743</v>
      </c>
    </row>
    <row r="3737" ht="15.75" customHeight="1">
      <c r="A3737" s="2">
        <v>32809.0</v>
      </c>
      <c r="B3737" s="2" t="s">
        <v>8063</v>
      </c>
      <c r="C3737" s="2" t="s">
        <v>8064</v>
      </c>
      <c r="D3737" s="2" t="s">
        <v>13</v>
      </c>
      <c r="E3737" s="2" t="s">
        <v>20</v>
      </c>
      <c r="F3737" s="2">
        <v>0.0</v>
      </c>
      <c r="G3737" s="2">
        <v>441.0</v>
      </c>
      <c r="H3737" s="3" t="str">
        <f>HYPERLINK("http://www.linkedin.com/pub/juan-alejandro-devincenzi/7/853/819","http://www.linkedin.com/pub/juan-alejandro-devincenzi/7/853/819")</f>
        <v>http://www.linkedin.com/pub/juan-alejandro-devincenzi/7/853/819</v>
      </c>
      <c r="I3737" s="2" t="s">
        <v>15</v>
      </c>
      <c r="J3737" s="2" t="s">
        <v>21</v>
      </c>
      <c r="K3737" s="2" t="s">
        <v>5848</v>
      </c>
    </row>
    <row r="3738" ht="15.75" customHeight="1">
      <c r="A3738" s="2">
        <v>32810.0</v>
      </c>
      <c r="B3738" s="2" t="s">
        <v>193</v>
      </c>
      <c r="C3738" s="2" t="s">
        <v>8065</v>
      </c>
      <c r="D3738" s="2" t="s">
        <v>8066</v>
      </c>
      <c r="E3738" s="2" t="s">
        <v>20</v>
      </c>
      <c r="F3738" s="2">
        <v>3.0</v>
      </c>
      <c r="G3738" s="2">
        <v>162.0</v>
      </c>
      <c r="H3738" s="3" t="str">
        <f>HYPERLINK("http://ar.linkedin.com/in/gcaminer","http://ar.linkedin.com/in/gcaminer")</f>
        <v>http://ar.linkedin.com/in/gcaminer</v>
      </c>
      <c r="I3738" s="2" t="s">
        <v>160</v>
      </c>
      <c r="J3738" s="2" t="s">
        <v>21</v>
      </c>
      <c r="K3738" s="2" t="s">
        <v>5731</v>
      </c>
    </row>
    <row r="3739" ht="15.75" customHeight="1">
      <c r="A3739" s="2">
        <v>32818.0</v>
      </c>
      <c r="B3739" s="2" t="s">
        <v>6445</v>
      </c>
      <c r="C3739" s="2" t="s">
        <v>8067</v>
      </c>
      <c r="D3739" s="2" t="s">
        <v>13</v>
      </c>
      <c r="E3739" s="2" t="s">
        <v>20</v>
      </c>
      <c r="F3739" s="2">
        <v>9.0</v>
      </c>
      <c r="G3739" s="2">
        <v>500.0</v>
      </c>
      <c r="H3739" s="3" t="str">
        <f>HYPERLINK("http://www.linkedin.com/pub/georgina-stachino-cia-cisa/b/8ba/14","http://www.linkedin.com/pub/georgina-stachino-cia-cisa/b/8ba/14")</f>
        <v>http://www.linkedin.com/pub/georgina-stachino-cia-cisa/b/8ba/14</v>
      </c>
      <c r="I3739" s="2" t="s">
        <v>57</v>
      </c>
      <c r="J3739" s="2" t="s">
        <v>21</v>
      </c>
      <c r="K3739" s="2" t="s">
        <v>5727</v>
      </c>
    </row>
    <row r="3740" ht="15.75" customHeight="1">
      <c r="A3740" s="2">
        <v>32823.0</v>
      </c>
      <c r="B3740" s="2" t="s">
        <v>8068</v>
      </c>
      <c r="C3740" s="2" t="s">
        <v>8069</v>
      </c>
      <c r="D3740" s="2" t="s">
        <v>8070</v>
      </c>
      <c r="E3740" s="2" t="s">
        <v>20</v>
      </c>
      <c r="F3740" s="2" t="s">
        <v>13</v>
      </c>
      <c r="G3740" s="2">
        <v>385.0</v>
      </c>
      <c r="H3740" s="3" t="str">
        <f>HYPERLINK("http://ar.linkedin.com/pub/juli-n-el-as-deblauwe/7/41A/979","http://ar.linkedin.com/pub/juli-n-el-as-deblauwe/7/41A/979")</f>
        <v>http://ar.linkedin.com/pub/juli-n-el-as-deblauwe/7/41A/979</v>
      </c>
      <c r="I3740" s="2" t="s">
        <v>696</v>
      </c>
      <c r="J3740" s="2" t="s">
        <v>21</v>
      </c>
      <c r="K3740" s="2" t="s">
        <v>5848</v>
      </c>
    </row>
    <row r="3741" ht="15.75" customHeight="1">
      <c r="A3741" s="2">
        <v>32830.0</v>
      </c>
      <c r="B3741" s="2" t="s">
        <v>492</v>
      </c>
      <c r="C3741" s="2" t="s">
        <v>8071</v>
      </c>
      <c r="D3741" s="2" t="s">
        <v>13</v>
      </c>
      <c r="E3741" s="2" t="s">
        <v>701</v>
      </c>
      <c r="F3741" s="2">
        <v>0.0</v>
      </c>
      <c r="G3741" s="2">
        <v>49.0</v>
      </c>
      <c r="H3741" s="3" t="str">
        <f>HYPERLINK("http://www.linkedin.com/pub/sergio-forastiero/2/101/963","http://www.linkedin.com/pub/sergio-forastiero/2/101/963")</f>
        <v>http://www.linkedin.com/pub/sergio-forastiero/2/101/963</v>
      </c>
      <c r="I3741" s="2" t="s">
        <v>279</v>
      </c>
      <c r="J3741" s="2" t="s">
        <v>702</v>
      </c>
      <c r="K3741" s="2" t="s">
        <v>5785</v>
      </c>
    </row>
    <row r="3742" ht="15.75" customHeight="1">
      <c r="A3742" s="2">
        <v>32835.0</v>
      </c>
      <c r="B3742" s="2" t="s">
        <v>6061</v>
      </c>
      <c r="C3742" s="2" t="s">
        <v>8072</v>
      </c>
      <c r="D3742" s="2" t="s">
        <v>13</v>
      </c>
      <c r="E3742" s="2" t="s">
        <v>2325</v>
      </c>
      <c r="F3742" s="2">
        <v>14.0</v>
      </c>
      <c r="G3742" s="2">
        <v>500.0</v>
      </c>
      <c r="H3742" s="3" t="str">
        <f>HYPERLINK("http://www.linkedin.com/pub/agustin-chernitsky/4/b47/593","http://www.linkedin.com/pub/agustin-chernitsky/4/b47/593")</f>
        <v>http://www.linkedin.com/pub/agustin-chernitsky/4/b47/593</v>
      </c>
      <c r="I3742" s="2" t="s">
        <v>15</v>
      </c>
      <c r="J3742" s="2" t="s">
        <v>337</v>
      </c>
      <c r="K3742" s="2" t="s">
        <v>5777</v>
      </c>
    </row>
    <row r="3743" ht="15.75" customHeight="1">
      <c r="A3743" s="2">
        <v>32850.0</v>
      </c>
      <c r="B3743" s="2" t="s">
        <v>3223</v>
      </c>
      <c r="C3743" s="2" t="s">
        <v>3452</v>
      </c>
      <c r="D3743" s="2" t="s">
        <v>8073</v>
      </c>
      <c r="E3743" s="2" t="s">
        <v>20</v>
      </c>
      <c r="F3743" s="2">
        <v>14.0</v>
      </c>
      <c r="G3743" s="2">
        <v>212.0</v>
      </c>
      <c r="H3743" s="3" t="str">
        <f>HYPERLINK("http://ar.linkedin.com/in/laurajones83","http://ar.linkedin.com/in/laurajones83")</f>
        <v>http://ar.linkedin.com/in/laurajones83</v>
      </c>
      <c r="I3743" s="2" t="s">
        <v>1679</v>
      </c>
      <c r="J3743" s="2" t="s">
        <v>21</v>
      </c>
      <c r="K3743" s="2" t="s">
        <v>5727</v>
      </c>
    </row>
    <row r="3744" ht="15.75" customHeight="1">
      <c r="A3744" s="2">
        <v>32853.0</v>
      </c>
      <c r="B3744" s="2" t="s">
        <v>8074</v>
      </c>
      <c r="C3744" s="2" t="s">
        <v>6543</v>
      </c>
      <c r="D3744" s="2" t="s">
        <v>13</v>
      </c>
      <c r="E3744" s="2" t="s">
        <v>20</v>
      </c>
      <c r="F3744" s="2">
        <v>3.0</v>
      </c>
      <c r="G3744" s="2">
        <v>500.0</v>
      </c>
      <c r="H3744" s="3" t="str">
        <f>HYPERLINK("http://www.linkedin.com/pub/mariel-l-blanco/9/a60/5b0","http://www.linkedin.com/pub/mariel-l-blanco/9/a60/5b0")</f>
        <v>http://www.linkedin.com/pub/mariel-l-blanco/9/a60/5b0</v>
      </c>
      <c r="I3744" s="2" t="s">
        <v>15</v>
      </c>
      <c r="J3744" s="2" t="s">
        <v>21</v>
      </c>
      <c r="K3744" s="2" t="s">
        <v>5727</v>
      </c>
    </row>
    <row r="3745" ht="15.75" customHeight="1">
      <c r="A3745" s="2">
        <v>32854.0</v>
      </c>
      <c r="B3745" s="2" t="s">
        <v>8075</v>
      </c>
      <c r="C3745" s="2" t="s">
        <v>8076</v>
      </c>
      <c r="D3745" s="2" t="s">
        <v>6095</v>
      </c>
      <c r="E3745" s="2" t="s">
        <v>20</v>
      </c>
      <c r="F3745" s="2">
        <v>2.0</v>
      </c>
      <c r="G3745" s="2">
        <v>148.0</v>
      </c>
      <c r="H3745" s="3" t="str">
        <f>HYPERLINK("http://ar.linkedin.com/pub/solange-galaz/9/952/608","http://ar.linkedin.com/pub/solange-galaz/9/952/608")</f>
        <v>http://ar.linkedin.com/pub/solange-galaz/9/952/608</v>
      </c>
      <c r="I3745" s="2" t="s">
        <v>599</v>
      </c>
      <c r="J3745" s="2" t="s">
        <v>21</v>
      </c>
      <c r="K3745" s="2" t="s">
        <v>5727</v>
      </c>
    </row>
    <row r="3746" ht="15.75" customHeight="1">
      <c r="A3746" s="2">
        <v>32873.0</v>
      </c>
      <c r="B3746" s="2" t="s">
        <v>8077</v>
      </c>
      <c r="C3746" s="2" t="s">
        <v>8078</v>
      </c>
      <c r="D3746" s="2" t="s">
        <v>8079</v>
      </c>
      <c r="E3746" s="2" t="s">
        <v>122</v>
      </c>
      <c r="F3746" s="2">
        <v>3.0</v>
      </c>
      <c r="G3746" s="2">
        <v>500.0</v>
      </c>
      <c r="H3746" s="3" t="str">
        <f>HYPERLINK("http://uk.linkedin.com/pub/nassos-oikonomopoulos/15/752/AA5","http://uk.linkedin.com/pub/nassos-oikonomopoulos/15/752/AA5")</f>
        <v>http://uk.linkedin.com/pub/nassos-oikonomopoulos/15/752/AA5</v>
      </c>
      <c r="I3746" s="2" t="s">
        <v>279</v>
      </c>
      <c r="J3746" s="2" t="s">
        <v>53</v>
      </c>
      <c r="K3746" s="2" t="s">
        <v>5743</v>
      </c>
    </row>
    <row r="3747" ht="15.75" customHeight="1">
      <c r="A3747" s="2">
        <v>32876.0</v>
      </c>
      <c r="B3747" s="2" t="s">
        <v>845</v>
      </c>
      <c r="C3747" s="2" t="s">
        <v>8080</v>
      </c>
      <c r="D3747" s="2" t="s">
        <v>8081</v>
      </c>
      <c r="E3747" s="2" t="s">
        <v>122</v>
      </c>
      <c r="F3747" s="2">
        <v>0.0</v>
      </c>
      <c r="G3747" s="2">
        <v>435.0</v>
      </c>
      <c r="H3747" s="3" t="str">
        <f>HYPERLINK("http://uk.linkedin.com/pub/david-weatherley/3/8B8/848","http://uk.linkedin.com/pub/david-weatherley/3/8B8/848")</f>
        <v>http://uk.linkedin.com/pub/david-weatherley/3/8B8/848</v>
      </c>
      <c r="I3747" s="2" t="s">
        <v>1679</v>
      </c>
      <c r="J3747" s="2" t="s">
        <v>53</v>
      </c>
      <c r="K3747" s="2" t="s">
        <v>5785</v>
      </c>
    </row>
    <row r="3748" ht="15.75" customHeight="1">
      <c r="A3748" s="2">
        <v>32879.0</v>
      </c>
      <c r="B3748" s="2" t="s">
        <v>3268</v>
      </c>
      <c r="C3748" s="2" t="s">
        <v>6541</v>
      </c>
      <c r="D3748" s="2" t="s">
        <v>8082</v>
      </c>
      <c r="E3748" s="2" t="s">
        <v>20</v>
      </c>
      <c r="F3748" s="2" t="s">
        <v>13</v>
      </c>
      <c r="G3748" s="2">
        <v>303.0</v>
      </c>
      <c r="H3748" s="3" t="str">
        <f>HYPERLINK("http://ar.linkedin.com/pub/patricia-barrionuevo/A/600/B66","http://ar.linkedin.com/pub/patricia-barrionuevo/A/600/B66")</f>
        <v>http://ar.linkedin.com/pub/patricia-barrionuevo/A/600/B66</v>
      </c>
      <c r="I3748" s="2" t="s">
        <v>579</v>
      </c>
      <c r="J3748" s="2" t="s">
        <v>21</v>
      </c>
      <c r="K3748" s="2" t="s">
        <v>5848</v>
      </c>
    </row>
    <row r="3749" ht="15.75" customHeight="1">
      <c r="A3749" s="2">
        <v>32904.0</v>
      </c>
      <c r="B3749" s="2" t="s">
        <v>3692</v>
      </c>
      <c r="C3749" s="2" t="s">
        <v>8083</v>
      </c>
      <c r="D3749" s="2" t="s">
        <v>13</v>
      </c>
      <c r="E3749" s="2" t="s">
        <v>20</v>
      </c>
      <c r="F3749" s="2">
        <v>0.0</v>
      </c>
      <c r="G3749" s="2">
        <v>421.0</v>
      </c>
      <c r="H3749" s="3" t="str">
        <f>HYPERLINK("http://ar.linkedin.com/pub/federico-toccaceli/6/192/213","http://ar.linkedin.com/pub/federico-toccaceli/6/192/213")</f>
        <v>http://ar.linkedin.com/pub/federico-toccaceli/6/192/213</v>
      </c>
      <c r="I3749" s="2" t="s">
        <v>344</v>
      </c>
      <c r="J3749" s="2" t="s">
        <v>21</v>
      </c>
      <c r="K3749" s="2" t="s">
        <v>5785</v>
      </c>
    </row>
    <row r="3750" ht="15.75" customHeight="1">
      <c r="A3750" s="2">
        <v>32907.0</v>
      </c>
      <c r="B3750" s="2" t="s">
        <v>8084</v>
      </c>
      <c r="C3750" s="2" t="s">
        <v>8085</v>
      </c>
      <c r="D3750" s="2" t="s">
        <v>2115</v>
      </c>
      <c r="E3750" s="2" t="s">
        <v>20</v>
      </c>
      <c r="F3750" s="2" t="s">
        <v>13</v>
      </c>
      <c r="G3750" s="2">
        <v>130.0</v>
      </c>
      <c r="H3750" s="3" t="str">
        <f>HYPERLINK("http://ar.linkedin.com/pub/rocio-martinez-samarra/23/123/A51","http://ar.linkedin.com/pub/rocio-martinez-samarra/23/123/A51")</f>
        <v>http://ar.linkedin.com/pub/rocio-martinez-samarra/23/123/A51</v>
      </c>
      <c r="I3750" s="2" t="s">
        <v>195</v>
      </c>
      <c r="J3750" s="2" t="s">
        <v>21</v>
      </c>
      <c r="K3750" s="2" t="s">
        <v>5727</v>
      </c>
    </row>
    <row r="3751" ht="15.75" customHeight="1">
      <c r="A3751" s="2">
        <v>32912.0</v>
      </c>
      <c r="B3751" s="2" t="s">
        <v>8086</v>
      </c>
      <c r="C3751" s="2" t="s">
        <v>8087</v>
      </c>
      <c r="D3751" s="2" t="s">
        <v>13</v>
      </c>
      <c r="E3751" s="2" t="s">
        <v>20</v>
      </c>
      <c r="F3751" s="2">
        <v>0.0</v>
      </c>
      <c r="G3751" s="2">
        <v>216.0</v>
      </c>
      <c r="H3751" s="3" t="str">
        <f>HYPERLINK("http://www.linkedin.com/pub/maricel-tramontin/8/414/b62","http://www.linkedin.com/pub/maricel-tramontin/8/414/b62")</f>
        <v>http://www.linkedin.com/pub/maricel-tramontin/8/414/b62</v>
      </c>
      <c r="I3751" s="2" t="s">
        <v>252</v>
      </c>
      <c r="J3751" s="2" t="s">
        <v>21</v>
      </c>
      <c r="K3751" s="2" t="s">
        <v>5994</v>
      </c>
    </row>
    <row r="3752" ht="15.75" customHeight="1">
      <c r="A3752" s="2">
        <v>32914.0</v>
      </c>
      <c r="B3752" s="2" t="s">
        <v>5922</v>
      </c>
      <c r="C3752" s="2" t="s">
        <v>8088</v>
      </c>
      <c r="D3752" s="2" t="s">
        <v>8089</v>
      </c>
      <c r="E3752" s="2" t="s">
        <v>20</v>
      </c>
      <c r="F3752" s="2">
        <v>1.0</v>
      </c>
      <c r="G3752" s="2">
        <v>181.0</v>
      </c>
      <c r="H3752" s="3" t="str">
        <f>HYPERLINK("http://ar.linkedin.com/pub/gabriela-gil-paricio/8/616/87","http://ar.linkedin.com/pub/gabriela-gil-paricio/8/616/87")</f>
        <v>http://ar.linkedin.com/pub/gabriela-gil-paricio/8/616/87</v>
      </c>
      <c r="I3752" s="2" t="s">
        <v>57</v>
      </c>
      <c r="J3752" s="2" t="s">
        <v>21</v>
      </c>
      <c r="K3752" s="2" t="s">
        <v>5725</v>
      </c>
    </row>
    <row r="3753" ht="15.75" customHeight="1">
      <c r="A3753" s="2">
        <v>32932.0</v>
      </c>
      <c r="B3753" s="2" t="s">
        <v>5883</v>
      </c>
      <c r="C3753" s="2" t="s">
        <v>8090</v>
      </c>
      <c r="D3753" s="2" t="s">
        <v>289</v>
      </c>
      <c r="E3753" s="2" t="s">
        <v>20</v>
      </c>
      <c r="F3753" s="2" t="s">
        <v>13</v>
      </c>
      <c r="G3753" s="2">
        <v>234.0</v>
      </c>
      <c r="H3753" s="3" t="str">
        <f>HYPERLINK("http://ar.linkedin.com/pub/ariel-schvartzapel/24/222/960","http://ar.linkedin.com/pub/ariel-schvartzapel/24/222/960")</f>
        <v>http://ar.linkedin.com/pub/ariel-schvartzapel/24/222/960</v>
      </c>
      <c r="I3753" s="2" t="s">
        <v>15</v>
      </c>
      <c r="J3753" s="2" t="s">
        <v>21</v>
      </c>
      <c r="K3753" s="2" t="s">
        <v>5725</v>
      </c>
    </row>
    <row r="3754" ht="15.75" customHeight="1">
      <c r="A3754" s="2">
        <v>32982.0</v>
      </c>
      <c r="B3754" s="2" t="s">
        <v>6089</v>
      </c>
      <c r="C3754" s="2" t="s">
        <v>8091</v>
      </c>
      <c r="D3754" s="2" t="s">
        <v>8092</v>
      </c>
      <c r="E3754" s="2" t="s">
        <v>20</v>
      </c>
      <c r="F3754" s="2" t="s">
        <v>13</v>
      </c>
      <c r="G3754" s="2">
        <v>173.0</v>
      </c>
      <c r="H3754" s="3" t="str">
        <f>HYPERLINK("http://ar.linkedin.com/pub/alicia-napoli/0/425/253","http://ar.linkedin.com/pub/alicia-napoli/0/425/253")</f>
        <v>http://ar.linkedin.com/pub/alicia-napoli/0/425/253</v>
      </c>
      <c r="I3754" s="2" t="s">
        <v>279</v>
      </c>
      <c r="J3754" s="2" t="s">
        <v>21</v>
      </c>
      <c r="K3754" s="2" t="s">
        <v>5734</v>
      </c>
    </row>
    <row r="3755" ht="15.75" customHeight="1">
      <c r="A3755" s="2">
        <v>32987.0</v>
      </c>
      <c r="B3755" s="2" t="s">
        <v>3201</v>
      </c>
      <c r="C3755" s="2" t="s">
        <v>8093</v>
      </c>
      <c r="D3755" s="2" t="s">
        <v>8094</v>
      </c>
      <c r="E3755" s="2" t="s">
        <v>20</v>
      </c>
      <c r="F3755" s="2" t="s">
        <v>13</v>
      </c>
      <c r="G3755" s="2">
        <v>59.0</v>
      </c>
      <c r="H3755" s="3" t="str">
        <f>HYPERLINK("http://ar.linkedin.com/in/sebaalthabe","http://ar.linkedin.com/in/sebaalthabe")</f>
        <v>http://ar.linkedin.com/in/sebaalthabe</v>
      </c>
      <c r="I3755" s="2" t="s">
        <v>696</v>
      </c>
      <c r="J3755" s="2" t="s">
        <v>21</v>
      </c>
      <c r="K3755" s="2" t="s">
        <v>5848</v>
      </c>
    </row>
    <row r="3756" ht="15.75" customHeight="1">
      <c r="A3756" s="2">
        <v>32988.0</v>
      </c>
      <c r="B3756" s="2" t="s">
        <v>70</v>
      </c>
      <c r="C3756" s="2" t="s">
        <v>8095</v>
      </c>
      <c r="D3756" s="2" t="s">
        <v>13</v>
      </c>
      <c r="E3756" s="2" t="s">
        <v>20</v>
      </c>
      <c r="F3756" s="2">
        <v>0.0</v>
      </c>
      <c r="G3756" s="2">
        <v>48.0</v>
      </c>
      <c r="H3756" s="3" t="str">
        <f>HYPERLINK("http://www.linkedin.com/pub/gustavo-cocciolo/15/788/614","http://www.linkedin.com/pub/gustavo-cocciolo/15/788/614")</f>
        <v>http://www.linkedin.com/pub/gustavo-cocciolo/15/788/614</v>
      </c>
      <c r="I3756" s="2" t="s">
        <v>458</v>
      </c>
      <c r="J3756" s="2" t="s">
        <v>21</v>
      </c>
      <c r="K3756" s="2" t="s">
        <v>5848</v>
      </c>
    </row>
    <row r="3757" ht="15.75" customHeight="1">
      <c r="A3757" s="2">
        <v>32996.0</v>
      </c>
      <c r="B3757" s="2" t="s">
        <v>4304</v>
      </c>
      <c r="C3757" s="2" t="s">
        <v>8096</v>
      </c>
      <c r="D3757" s="2" t="s">
        <v>13</v>
      </c>
      <c r="E3757" s="2" t="s">
        <v>4425</v>
      </c>
      <c r="F3757" s="2">
        <v>0.0</v>
      </c>
      <c r="G3757" s="2">
        <v>286.0</v>
      </c>
      <c r="H3757" s="3" t="str">
        <f>HYPERLINK("http://www.linkedin.com/pub/leandro-perez-rodriguez-pmp/2a/835/28","http://www.linkedin.com/pub/leandro-perez-rodriguez-pmp/2a/835/28")</f>
        <v>http://www.linkedin.com/pub/leandro-perez-rodriguez-pmp/2a/835/28</v>
      </c>
      <c r="I3757" s="2" t="s">
        <v>15</v>
      </c>
      <c r="J3757" s="2" t="s">
        <v>4426</v>
      </c>
      <c r="K3757" s="2" t="s">
        <v>6588</v>
      </c>
    </row>
    <row r="3758" ht="15.75" customHeight="1">
      <c r="A3758" s="2">
        <v>33007.0</v>
      </c>
      <c r="B3758" s="2" t="s">
        <v>5723</v>
      </c>
      <c r="C3758" s="2" t="s">
        <v>8097</v>
      </c>
      <c r="D3758" s="2" t="s">
        <v>8098</v>
      </c>
      <c r="E3758" s="2" t="s">
        <v>20</v>
      </c>
      <c r="F3758" s="2">
        <v>16.0</v>
      </c>
      <c r="G3758" s="2">
        <v>139.0</v>
      </c>
      <c r="H3758" s="3" t="str">
        <f>HYPERLINK("http://ar.linkedin.com/in/pablogiber","http://ar.linkedin.com/in/pablogiber")</f>
        <v>http://ar.linkedin.com/in/pablogiber</v>
      </c>
      <c r="I3758" s="2" t="s">
        <v>470</v>
      </c>
      <c r="J3758" s="2" t="s">
        <v>21</v>
      </c>
      <c r="K3758" s="2" t="s">
        <v>5727</v>
      </c>
    </row>
    <row r="3759" ht="15.75" customHeight="1">
      <c r="A3759" s="2">
        <v>33018.0</v>
      </c>
      <c r="B3759" s="2" t="s">
        <v>358</v>
      </c>
      <c r="C3759" s="2" t="s">
        <v>8099</v>
      </c>
      <c r="D3759" s="2" t="s">
        <v>8100</v>
      </c>
      <c r="E3759" s="2" t="s">
        <v>20</v>
      </c>
      <c r="F3759" s="2" t="s">
        <v>13</v>
      </c>
      <c r="G3759" s="2">
        <v>48.0</v>
      </c>
      <c r="H3759" s="3" t="str">
        <f>HYPERLINK("http://ar.linkedin.com/pub/marcelo-maciorowski/5/942/B70","http://ar.linkedin.com/pub/marcelo-maciorowski/5/942/B70")</f>
        <v>http://ar.linkedin.com/pub/marcelo-maciorowski/5/942/B70</v>
      </c>
      <c r="I3759" s="2" t="s">
        <v>48</v>
      </c>
      <c r="J3759" s="2" t="s">
        <v>21</v>
      </c>
      <c r="K3759" s="2" t="s">
        <v>5725</v>
      </c>
    </row>
    <row r="3760" ht="15.75" customHeight="1">
      <c r="A3760" s="2">
        <v>33020.0</v>
      </c>
      <c r="B3760" s="2" t="s">
        <v>671</v>
      </c>
      <c r="C3760" s="2" t="s">
        <v>8101</v>
      </c>
      <c r="D3760" s="2" t="s">
        <v>8102</v>
      </c>
      <c r="E3760" s="2" t="s">
        <v>20</v>
      </c>
      <c r="F3760" s="2" t="s">
        <v>13</v>
      </c>
      <c r="G3760" s="2">
        <v>41.0</v>
      </c>
      <c r="H3760" s="3" t="str">
        <f>HYPERLINK("http://ar.linkedin.com/pub/mariana-martos/24/AA4/569","http://ar.linkedin.com/pub/mariana-martos/24/AA4/569")</f>
        <v>http://ar.linkedin.com/pub/mariana-martos/24/AA4/569</v>
      </c>
      <c r="I3760" s="2" t="s">
        <v>2268</v>
      </c>
      <c r="J3760" s="2" t="s">
        <v>21</v>
      </c>
      <c r="K3760" s="2" t="s">
        <v>5734</v>
      </c>
    </row>
    <row r="3761" ht="15.75" customHeight="1">
      <c r="A3761" s="2">
        <v>33026.0</v>
      </c>
      <c r="B3761" s="2" t="s">
        <v>5808</v>
      </c>
      <c r="C3761" s="2" t="s">
        <v>3943</v>
      </c>
      <c r="D3761" s="2" t="s">
        <v>8103</v>
      </c>
      <c r="E3761" s="2" t="s">
        <v>20</v>
      </c>
      <c r="F3761" s="2">
        <v>2.0</v>
      </c>
      <c r="G3761" s="2">
        <v>180.0</v>
      </c>
      <c r="H3761" s="3" t="str">
        <f>HYPERLINK("http://ar.linkedin.com/in/matiasgastonrodriguez","http://ar.linkedin.com/in/matiasgastonrodriguez")</f>
        <v>http://ar.linkedin.com/in/matiasgastonrodriguez</v>
      </c>
      <c r="I3761" s="2" t="s">
        <v>57</v>
      </c>
      <c r="J3761" s="2" t="s">
        <v>21</v>
      </c>
      <c r="K3761" s="2" t="s">
        <v>5727</v>
      </c>
    </row>
    <row r="3762" ht="15.75" customHeight="1">
      <c r="A3762" s="2">
        <v>33054.0</v>
      </c>
      <c r="B3762" s="2" t="s">
        <v>8104</v>
      </c>
      <c r="C3762" s="2" t="s">
        <v>1729</v>
      </c>
      <c r="D3762" s="2" t="s">
        <v>13</v>
      </c>
      <c r="E3762" s="2" t="s">
        <v>20</v>
      </c>
      <c r="F3762" s="2">
        <v>0.0</v>
      </c>
      <c r="G3762" s="2">
        <v>88.0</v>
      </c>
      <c r="H3762" s="3" t="str">
        <f>HYPERLINK("http://www.linkedin.com/pub/melina-andrea-martinez/13/b00/43b","http://www.linkedin.com/pub/melina-andrea-martinez/13/b00/43b")</f>
        <v>http://www.linkedin.com/pub/melina-andrea-martinez/13/b00/43b</v>
      </c>
      <c r="I3762" s="2" t="s">
        <v>15</v>
      </c>
      <c r="J3762" s="2" t="s">
        <v>21</v>
      </c>
      <c r="K3762" s="2" t="s">
        <v>5725</v>
      </c>
    </row>
    <row r="3763" ht="15.75" customHeight="1">
      <c r="A3763" s="2">
        <v>33063.0</v>
      </c>
      <c r="B3763" s="2" t="s">
        <v>8105</v>
      </c>
      <c r="C3763" s="2" t="s">
        <v>8106</v>
      </c>
      <c r="D3763" s="2" t="s">
        <v>8107</v>
      </c>
      <c r="E3763" s="2" t="s">
        <v>20</v>
      </c>
      <c r="F3763" s="2">
        <v>3.0</v>
      </c>
      <c r="G3763" s="2">
        <v>153.0</v>
      </c>
      <c r="H3763" s="3" t="str">
        <f>HYPERLINK("http://ar.linkedin.com/in/pescetti","http://ar.linkedin.com/in/pescetti")</f>
        <v>http://ar.linkedin.com/in/pescetti</v>
      </c>
      <c r="I3763" s="2" t="s">
        <v>374</v>
      </c>
      <c r="J3763" s="2" t="s">
        <v>21</v>
      </c>
      <c r="K3763" s="2" t="s">
        <v>5727</v>
      </c>
    </row>
    <row r="3764" ht="15.75" customHeight="1">
      <c r="A3764" s="2">
        <v>33082.0</v>
      </c>
      <c r="B3764" s="2" t="s">
        <v>540</v>
      </c>
      <c r="C3764" s="2" t="s">
        <v>8108</v>
      </c>
      <c r="D3764" s="2" t="s">
        <v>6129</v>
      </c>
      <c r="E3764" s="2" t="s">
        <v>20</v>
      </c>
      <c r="F3764" s="2">
        <v>10.0</v>
      </c>
      <c r="G3764" s="2">
        <v>87.0</v>
      </c>
      <c r="H3764" s="3" t="str">
        <f>HYPERLINK("http://ar.linkedin.com/pub/christian-jaurena/14/859/253","http://ar.linkedin.com/pub/christian-jaurena/14/859/253")</f>
        <v>http://ar.linkedin.com/pub/christian-jaurena/14/859/253</v>
      </c>
      <c r="I3764" s="2" t="s">
        <v>57</v>
      </c>
      <c r="J3764" s="2" t="s">
        <v>21</v>
      </c>
      <c r="K3764" s="2" t="s">
        <v>5727</v>
      </c>
    </row>
    <row r="3765" ht="15.75" customHeight="1">
      <c r="A3765" s="2">
        <v>33107.0</v>
      </c>
      <c r="B3765" s="2" t="s">
        <v>5808</v>
      </c>
      <c r="C3765" s="2" t="s">
        <v>8109</v>
      </c>
      <c r="D3765" s="2" t="s">
        <v>8110</v>
      </c>
      <c r="E3765" s="2" t="s">
        <v>20</v>
      </c>
      <c r="F3765" s="2">
        <v>1.0</v>
      </c>
      <c r="G3765" s="2">
        <v>310.0</v>
      </c>
      <c r="H3765" s="3" t="str">
        <f>HYPERLINK("http://ar.linkedin.com/pub/matias-chirikiles/15/A51/75","http://ar.linkedin.com/pub/matias-chirikiles/15/A51/75")</f>
        <v>http://ar.linkedin.com/pub/matias-chirikiles/15/A51/75</v>
      </c>
      <c r="I3765" s="2" t="s">
        <v>2443</v>
      </c>
      <c r="J3765" s="2" t="s">
        <v>21</v>
      </c>
      <c r="K3765" s="2" t="s">
        <v>8111</v>
      </c>
    </row>
    <row r="3766" ht="15.75" customHeight="1">
      <c r="A3766" s="2">
        <v>33201.0</v>
      </c>
      <c r="B3766" s="2" t="s">
        <v>7403</v>
      </c>
      <c r="C3766" s="2" t="s">
        <v>675</v>
      </c>
      <c r="D3766" s="2" t="s">
        <v>8112</v>
      </c>
      <c r="E3766" s="2" t="s">
        <v>20</v>
      </c>
      <c r="F3766" s="2">
        <v>1.0</v>
      </c>
      <c r="G3766" s="2">
        <v>93.0</v>
      </c>
      <c r="H3766" s="3" t="str">
        <f>HYPERLINK("http://ar.linkedin.com/pub/lorena-torres/6/462/75B","http://ar.linkedin.com/pub/lorena-torres/6/462/75B")</f>
        <v>http://ar.linkedin.com/pub/lorena-torres/6/462/75B</v>
      </c>
      <c r="I3766" s="2" t="s">
        <v>2268</v>
      </c>
      <c r="J3766" s="2" t="s">
        <v>21</v>
      </c>
      <c r="K3766" s="2" t="s">
        <v>5734</v>
      </c>
    </row>
    <row r="3767" ht="15.75" customHeight="1">
      <c r="A3767" s="2">
        <v>33207.0</v>
      </c>
      <c r="B3767" s="2" t="s">
        <v>5078</v>
      </c>
      <c r="C3767" s="2" t="s">
        <v>8113</v>
      </c>
      <c r="D3767" s="2" t="s">
        <v>7240</v>
      </c>
      <c r="E3767" s="2" t="s">
        <v>20</v>
      </c>
      <c r="F3767" s="2">
        <v>4.0</v>
      </c>
      <c r="G3767" s="2">
        <v>100.0</v>
      </c>
      <c r="H3767" s="3" t="str">
        <f>HYPERLINK("http://ar.linkedin.com/pub/diego-scocco/A/632/474","http://ar.linkedin.com/pub/diego-scocco/A/632/474")</f>
        <v>http://ar.linkedin.com/pub/diego-scocco/A/632/474</v>
      </c>
      <c r="I3767" s="2" t="s">
        <v>1679</v>
      </c>
      <c r="J3767" s="2" t="s">
        <v>21</v>
      </c>
      <c r="K3767" s="2" t="s">
        <v>5727</v>
      </c>
    </row>
    <row r="3768" ht="15.75" customHeight="1">
      <c r="A3768" s="2">
        <v>33225.0</v>
      </c>
      <c r="B3768" s="2" t="s">
        <v>3201</v>
      </c>
      <c r="C3768" s="2" t="s">
        <v>8114</v>
      </c>
      <c r="D3768" s="2" t="s">
        <v>3733</v>
      </c>
      <c r="E3768" s="2" t="s">
        <v>20</v>
      </c>
      <c r="F3768" s="2" t="s">
        <v>13</v>
      </c>
      <c r="G3768" s="2">
        <v>120.0</v>
      </c>
      <c r="H3768" s="3" t="str">
        <f>HYPERLINK("http://ar.linkedin.com/in/sphilippi","http://ar.linkedin.com/in/sphilippi")</f>
        <v>http://ar.linkedin.com/in/sphilippi</v>
      </c>
      <c r="I3768" s="2" t="s">
        <v>15</v>
      </c>
      <c r="J3768" s="2" t="s">
        <v>21</v>
      </c>
      <c r="K3768" s="2" t="s">
        <v>5725</v>
      </c>
    </row>
    <row r="3769" ht="15.75" customHeight="1">
      <c r="A3769" s="2">
        <v>33249.0</v>
      </c>
      <c r="B3769" s="2" t="s">
        <v>862</v>
      </c>
      <c r="C3769" s="2" t="s">
        <v>8115</v>
      </c>
      <c r="D3769" s="2" t="s">
        <v>8116</v>
      </c>
      <c r="E3769" s="2" t="s">
        <v>20</v>
      </c>
      <c r="F3769" s="2">
        <v>13.0</v>
      </c>
      <c r="G3769" s="2">
        <v>353.0</v>
      </c>
      <c r="H3769" s="3" t="str">
        <f>HYPERLINK("http://ar.linkedin.com/in/gabrielbortnik","http://ar.linkedin.com/in/gabrielbortnik")</f>
        <v>http://ar.linkedin.com/in/gabrielbortnik</v>
      </c>
      <c r="I3769" s="2" t="s">
        <v>279</v>
      </c>
      <c r="J3769" s="2" t="s">
        <v>21</v>
      </c>
      <c r="K3769" s="2" t="s">
        <v>5743</v>
      </c>
    </row>
    <row r="3770" ht="15.75" customHeight="1">
      <c r="A3770" s="2">
        <v>33255.0</v>
      </c>
      <c r="B3770" s="2" t="s">
        <v>8117</v>
      </c>
      <c r="C3770" s="2" t="s">
        <v>8118</v>
      </c>
      <c r="D3770" s="2" t="s">
        <v>13</v>
      </c>
      <c r="E3770" s="2" t="s">
        <v>20</v>
      </c>
      <c r="F3770" s="2">
        <v>0.0</v>
      </c>
      <c r="G3770" s="2">
        <v>147.0</v>
      </c>
      <c r="H3770" s="3" t="str">
        <f>HYPERLINK("http://www.linkedin.com/pub/leticia-tossici/5/961/64","http://www.linkedin.com/pub/leticia-tossici/5/961/64")</f>
        <v>http://www.linkedin.com/pub/leticia-tossici/5/961/64</v>
      </c>
      <c r="I3770" s="2" t="s">
        <v>1679</v>
      </c>
      <c r="J3770" s="2" t="s">
        <v>21</v>
      </c>
      <c r="K3770" s="2" t="s">
        <v>5743</v>
      </c>
    </row>
    <row r="3771" ht="15.75" customHeight="1">
      <c r="A3771" s="2">
        <v>33262.0</v>
      </c>
      <c r="B3771" s="2" t="s">
        <v>8119</v>
      </c>
      <c r="C3771" s="2" t="s">
        <v>8120</v>
      </c>
      <c r="D3771" s="2" t="s">
        <v>8121</v>
      </c>
      <c r="E3771" s="2" t="s">
        <v>20</v>
      </c>
      <c r="F3771" s="2">
        <v>3.0</v>
      </c>
      <c r="G3771" s="2">
        <v>295.0</v>
      </c>
      <c r="H3771" s="3" t="str">
        <f>HYPERLINK("http://ar.linkedin.com/in/adrianmerli","http://ar.linkedin.com/in/adrianmerli")</f>
        <v>http://ar.linkedin.com/in/adrianmerli</v>
      </c>
      <c r="I3771" s="2" t="s">
        <v>252</v>
      </c>
      <c r="J3771" s="2" t="s">
        <v>21</v>
      </c>
      <c r="K3771" s="2" t="s">
        <v>5727</v>
      </c>
    </row>
    <row r="3772" ht="15.75" customHeight="1">
      <c r="A3772" s="2">
        <v>33265.0</v>
      </c>
      <c r="B3772" s="2" t="s">
        <v>6417</v>
      </c>
      <c r="C3772" s="2" t="s">
        <v>8122</v>
      </c>
      <c r="D3772" s="2" t="s">
        <v>6069</v>
      </c>
      <c r="E3772" s="2" t="s">
        <v>20</v>
      </c>
      <c r="F3772" s="2">
        <v>4.0</v>
      </c>
      <c r="G3772" s="2">
        <v>66.0</v>
      </c>
      <c r="H3772" s="3" t="str">
        <f>HYPERLINK("http://ar.linkedin.com/pub/gonzalo-gugliotta/A/775/B26","http://ar.linkedin.com/pub/gonzalo-gugliotta/A/775/B26")</f>
        <v>http://ar.linkedin.com/pub/gonzalo-gugliotta/A/775/B26</v>
      </c>
      <c r="I3772" s="2" t="s">
        <v>279</v>
      </c>
      <c r="J3772" s="2" t="s">
        <v>21</v>
      </c>
      <c r="K3772" s="2" t="s">
        <v>5727</v>
      </c>
    </row>
    <row r="3773" ht="15.75" customHeight="1">
      <c r="A3773" s="2">
        <v>33334.0</v>
      </c>
      <c r="B3773" s="2" t="s">
        <v>1545</v>
      </c>
      <c r="C3773" s="2" t="s">
        <v>2457</v>
      </c>
      <c r="D3773" s="2" t="s">
        <v>8123</v>
      </c>
      <c r="E3773" s="2" t="s">
        <v>628</v>
      </c>
      <c r="F3773" s="2">
        <v>8.0</v>
      </c>
      <c r="G3773" s="2">
        <v>472.0</v>
      </c>
      <c r="H3773" s="3" t="str">
        <f>HYPERLINK("http://www.linkedin.com/pub/patrick-stephen/7/151/835","http://www.linkedin.com/pub/patrick-stephen/7/151/835")</f>
        <v>http://www.linkedin.com/pub/patrick-stephen/7/151/835</v>
      </c>
      <c r="I3773" s="2" t="s">
        <v>96</v>
      </c>
      <c r="J3773" s="2" t="s">
        <v>102</v>
      </c>
      <c r="K3773" s="2" t="s">
        <v>5727</v>
      </c>
    </row>
    <row r="3774" ht="15.75" customHeight="1">
      <c r="A3774" s="2">
        <v>33337.0</v>
      </c>
      <c r="B3774" s="2" t="s">
        <v>5078</v>
      </c>
      <c r="C3774" s="2" t="s">
        <v>1502</v>
      </c>
      <c r="D3774" s="2" t="s">
        <v>6202</v>
      </c>
      <c r="E3774" s="2" t="s">
        <v>20</v>
      </c>
      <c r="F3774" s="2">
        <v>11.0</v>
      </c>
      <c r="G3774" s="2">
        <v>389.0</v>
      </c>
      <c r="H3774" s="3" t="str">
        <f>HYPERLINK("http://ar.linkedin.com/pub/diego-cohen/8/863/693","http://ar.linkedin.com/pub/diego-cohen/8/863/693")</f>
        <v>http://ar.linkedin.com/pub/diego-cohen/8/863/693</v>
      </c>
      <c r="I3774" s="2" t="s">
        <v>77</v>
      </c>
      <c r="J3774" s="2" t="s">
        <v>21</v>
      </c>
      <c r="K3774" s="2" t="s">
        <v>8124</v>
      </c>
    </row>
    <row r="3775" ht="15.75" customHeight="1">
      <c r="A3775" s="2">
        <v>33390.0</v>
      </c>
      <c r="B3775" s="2" t="s">
        <v>353</v>
      </c>
      <c r="C3775" s="2" t="s">
        <v>8125</v>
      </c>
      <c r="D3775" s="2" t="s">
        <v>13</v>
      </c>
      <c r="E3775" s="2" t="s">
        <v>20</v>
      </c>
      <c r="F3775" s="2">
        <v>0.0</v>
      </c>
      <c r="G3775" s="2">
        <v>153.0</v>
      </c>
      <c r="H3775" s="3" t="str">
        <f>HYPERLINK("http://www.linkedin.com/pub/alejandro-gordillo-pmp/2/199/451","http://www.linkedin.com/pub/alejandro-gordillo-pmp/2/199/451")</f>
        <v>http://www.linkedin.com/pub/alejandro-gordillo-pmp/2/199/451</v>
      </c>
      <c r="I3775" s="2" t="s">
        <v>77</v>
      </c>
      <c r="J3775" s="2" t="s">
        <v>21</v>
      </c>
      <c r="K3775" s="2" t="s">
        <v>5785</v>
      </c>
    </row>
    <row r="3776" ht="15.75" customHeight="1">
      <c r="A3776" s="2">
        <v>33392.0</v>
      </c>
      <c r="B3776" s="2" t="s">
        <v>59</v>
      </c>
      <c r="C3776" s="2" t="s">
        <v>8126</v>
      </c>
      <c r="D3776" s="2" t="s">
        <v>8127</v>
      </c>
      <c r="E3776" s="2" t="s">
        <v>20</v>
      </c>
      <c r="F3776" s="2" t="s">
        <v>13</v>
      </c>
      <c r="G3776" s="2">
        <v>195.0</v>
      </c>
      <c r="H3776" s="3" t="str">
        <f>HYPERLINK("http://ar.linkedin.com/pub/martin-miceli/1/589/6BB","http://ar.linkedin.com/pub/martin-miceli/1/589/6BB")</f>
        <v>http://ar.linkedin.com/pub/martin-miceli/1/589/6BB</v>
      </c>
      <c r="I3776" s="2" t="s">
        <v>48</v>
      </c>
      <c r="J3776" s="2" t="s">
        <v>21</v>
      </c>
      <c r="K3776" s="2" t="s">
        <v>5725</v>
      </c>
    </row>
    <row r="3777" ht="15.75" customHeight="1">
      <c r="A3777" s="2">
        <v>33394.0</v>
      </c>
      <c r="B3777" s="2" t="s">
        <v>8128</v>
      </c>
      <c r="C3777" s="2" t="s">
        <v>8129</v>
      </c>
      <c r="D3777" s="2" t="s">
        <v>13</v>
      </c>
      <c r="E3777" s="2" t="s">
        <v>20</v>
      </c>
      <c r="F3777" s="2">
        <v>0.0</v>
      </c>
      <c r="G3777" s="2">
        <v>124.0</v>
      </c>
      <c r="H3777" s="3" t="str">
        <f>HYPERLINK("http://www.linkedin.com/pub/daniel-alfredo-sottile/0/826/880","http://www.linkedin.com/pub/daniel-alfredo-sottile/0/826/880")</f>
        <v>http://www.linkedin.com/pub/daniel-alfredo-sottile/0/826/880</v>
      </c>
      <c r="I3777" s="2" t="s">
        <v>48</v>
      </c>
      <c r="J3777" s="2" t="s">
        <v>21</v>
      </c>
      <c r="K3777" s="2" t="s">
        <v>5725</v>
      </c>
    </row>
    <row r="3778" ht="15.75" customHeight="1">
      <c r="A3778" s="2">
        <v>33396.0</v>
      </c>
      <c r="B3778" s="2" t="s">
        <v>5723</v>
      </c>
      <c r="C3778" s="2" t="s">
        <v>675</v>
      </c>
      <c r="D3778" s="2" t="s">
        <v>8130</v>
      </c>
      <c r="E3778" s="2" t="s">
        <v>20</v>
      </c>
      <c r="F3778" s="2">
        <v>11.0</v>
      </c>
      <c r="G3778" s="2">
        <v>352.0</v>
      </c>
      <c r="H3778" s="3" t="str">
        <f>HYPERLINK("http://ar.linkedin.com/pub/pablo-torres/1/869/883","http://ar.linkedin.com/pub/pablo-torres/1/869/883")</f>
        <v>http://ar.linkedin.com/pub/pablo-torres/1/869/883</v>
      </c>
      <c r="I3778" s="2" t="s">
        <v>96</v>
      </c>
      <c r="J3778" s="2" t="s">
        <v>21</v>
      </c>
      <c r="K3778" s="2" t="s">
        <v>5727</v>
      </c>
    </row>
    <row r="3779" ht="15.75" customHeight="1">
      <c r="A3779" s="2">
        <v>33400.0</v>
      </c>
      <c r="B3779" s="2" t="s">
        <v>3178</v>
      </c>
      <c r="C3779" s="2" t="s">
        <v>8131</v>
      </c>
      <c r="D3779" s="2" t="s">
        <v>8132</v>
      </c>
      <c r="E3779" s="2" t="s">
        <v>20</v>
      </c>
      <c r="F3779" s="2">
        <v>1.0</v>
      </c>
      <c r="G3779" s="2">
        <v>145.0</v>
      </c>
      <c r="H3779" s="3" t="str">
        <f>HYPERLINK("http://ar.linkedin.com/pub/lucas-mingorance/16/8/8A8","http://ar.linkedin.com/pub/lucas-mingorance/16/8/8A8")</f>
        <v>http://ar.linkedin.com/pub/lucas-mingorance/16/8/8A8</v>
      </c>
      <c r="I3779" s="2" t="s">
        <v>167</v>
      </c>
      <c r="J3779" s="2" t="s">
        <v>21</v>
      </c>
      <c r="K3779" s="2" t="s">
        <v>5785</v>
      </c>
    </row>
    <row r="3780" ht="15.75" customHeight="1">
      <c r="A3780" s="2">
        <v>33408.0</v>
      </c>
      <c r="B3780" s="2" t="s">
        <v>6690</v>
      </c>
      <c r="C3780" s="2" t="s">
        <v>8133</v>
      </c>
      <c r="D3780" s="2" t="s">
        <v>8134</v>
      </c>
      <c r="E3780" s="2" t="s">
        <v>20</v>
      </c>
      <c r="F3780" s="2">
        <v>2.0</v>
      </c>
      <c r="G3780" s="2">
        <v>290.0</v>
      </c>
      <c r="H3780" s="3" t="str">
        <f>HYPERLINK("http://ar.linkedin.com/pub/carlos-hern-n-lorenzana/11/83B/B10","http://ar.linkedin.com/pub/carlos-hern-n-lorenzana/11/83B/B10")</f>
        <v>http://ar.linkedin.com/pub/carlos-hern-n-lorenzana/11/83B/B10</v>
      </c>
      <c r="I3780" s="2" t="s">
        <v>1237</v>
      </c>
      <c r="J3780" s="2" t="s">
        <v>21</v>
      </c>
      <c r="K3780" s="2" t="s">
        <v>7341</v>
      </c>
    </row>
    <row r="3781" ht="15.75" customHeight="1">
      <c r="A3781" s="2">
        <v>33413.0</v>
      </c>
      <c r="B3781" s="2" t="s">
        <v>3201</v>
      </c>
      <c r="C3781" s="2" t="s">
        <v>8135</v>
      </c>
      <c r="D3781" s="2" t="s">
        <v>8136</v>
      </c>
      <c r="E3781" s="2" t="s">
        <v>20</v>
      </c>
      <c r="F3781" s="2">
        <v>7.0</v>
      </c>
      <c r="G3781" s="2">
        <v>500.0</v>
      </c>
      <c r="H3781" s="3" t="str">
        <f>HYPERLINK("http://ar.linkedin.com/pub/sebastian-buxdorf/19/82A/BB1","http://ar.linkedin.com/pub/sebastian-buxdorf/19/82A/BB1")</f>
        <v>http://ar.linkedin.com/pub/sebastian-buxdorf/19/82A/BB1</v>
      </c>
      <c r="I3781" s="2" t="s">
        <v>15</v>
      </c>
      <c r="J3781" s="2" t="s">
        <v>21</v>
      </c>
      <c r="K3781" s="2" t="s">
        <v>5777</v>
      </c>
    </row>
    <row r="3782" ht="15.75" customHeight="1">
      <c r="A3782" s="2">
        <v>33420.0</v>
      </c>
      <c r="B3782" s="2" t="s">
        <v>7698</v>
      </c>
      <c r="C3782" s="2" t="s">
        <v>8137</v>
      </c>
      <c r="D3782" s="2" t="s">
        <v>13</v>
      </c>
      <c r="E3782" s="2" t="s">
        <v>20</v>
      </c>
      <c r="F3782" s="2">
        <v>0.0</v>
      </c>
      <c r="G3782" s="2">
        <v>500.0</v>
      </c>
      <c r="H3782" s="3" t="str">
        <f>HYPERLINK("http://www.linkedin.com/pub/melisa-faucher/2b/89a/85","http://www.linkedin.com/pub/melisa-faucher/2b/89a/85")</f>
        <v>http://www.linkedin.com/pub/melisa-faucher/2b/89a/85</v>
      </c>
      <c r="I3782" s="2" t="s">
        <v>458</v>
      </c>
      <c r="J3782" s="2" t="s">
        <v>21</v>
      </c>
      <c r="K3782" s="2" t="s">
        <v>5734</v>
      </c>
    </row>
    <row r="3783" ht="15.75" customHeight="1">
      <c r="A3783" s="2">
        <v>33444.0</v>
      </c>
      <c r="B3783" s="2" t="s">
        <v>6783</v>
      </c>
      <c r="C3783" s="2" t="s">
        <v>8138</v>
      </c>
      <c r="D3783" s="2" t="s">
        <v>8139</v>
      </c>
      <c r="E3783" s="2" t="s">
        <v>20</v>
      </c>
      <c r="F3783" s="2">
        <v>1.0</v>
      </c>
      <c r="G3783" s="2">
        <v>96.0</v>
      </c>
      <c r="H3783" s="3" t="str">
        <f>HYPERLINK("http://ar.linkedin.com/pub/silvana-banegas/5/403/713","http://ar.linkedin.com/pub/silvana-banegas/5/403/713")</f>
        <v>http://ar.linkedin.com/pub/silvana-banegas/5/403/713</v>
      </c>
      <c r="I3783" s="2" t="s">
        <v>77</v>
      </c>
      <c r="J3783" s="2" t="s">
        <v>21</v>
      </c>
      <c r="K3783" s="2" t="s">
        <v>5848</v>
      </c>
    </row>
    <row r="3784" ht="15.75" customHeight="1">
      <c r="A3784" s="2">
        <v>33453.0</v>
      </c>
      <c r="B3784" s="2" t="s">
        <v>1232</v>
      </c>
      <c r="C3784" s="2" t="s">
        <v>8140</v>
      </c>
      <c r="D3784" s="2" t="s">
        <v>8141</v>
      </c>
      <c r="E3784" s="2" t="s">
        <v>8142</v>
      </c>
      <c r="F3784" s="2">
        <v>10.0</v>
      </c>
      <c r="G3784" s="2">
        <v>215.0</v>
      </c>
      <c r="H3784" s="3" t="str">
        <f>HYPERLINK("http://ar.linkedin.com/pub/roger-mizrach/5/464/86B","http://ar.linkedin.com/pub/roger-mizrach/5/464/86B")</f>
        <v>http://ar.linkedin.com/pub/roger-mizrach/5/464/86B</v>
      </c>
      <c r="I3784" s="2" t="s">
        <v>96</v>
      </c>
      <c r="J3784" s="2" t="s">
        <v>44</v>
      </c>
      <c r="K3784" s="2" t="s">
        <v>8143</v>
      </c>
    </row>
    <row r="3785" ht="15.75" customHeight="1">
      <c r="A3785" s="2">
        <v>33454.0</v>
      </c>
      <c r="B3785" s="2" t="s">
        <v>353</v>
      </c>
      <c r="C3785" s="2" t="s">
        <v>2650</v>
      </c>
      <c r="D3785" s="2" t="s">
        <v>8144</v>
      </c>
      <c r="E3785" s="2" t="s">
        <v>20</v>
      </c>
      <c r="F3785" s="2">
        <v>3.0</v>
      </c>
      <c r="G3785" s="2">
        <v>280.0</v>
      </c>
      <c r="H3785" s="3" t="str">
        <f>HYPERLINK("http://ar.linkedin.com/pub/alejandro-kohen/26/41A/717","http://ar.linkedin.com/pub/alejandro-kohen/26/41A/717")</f>
        <v>http://ar.linkedin.com/pub/alejandro-kohen/26/41A/717</v>
      </c>
      <c r="I3785" s="2" t="s">
        <v>5036</v>
      </c>
      <c r="J3785" s="2" t="s">
        <v>21</v>
      </c>
      <c r="K3785" s="2" t="s">
        <v>5727</v>
      </c>
    </row>
    <row r="3786" ht="15.75" customHeight="1">
      <c r="A3786" s="2">
        <v>33465.0</v>
      </c>
      <c r="B3786" s="2" t="s">
        <v>362</v>
      </c>
      <c r="C3786" s="2" t="s">
        <v>8145</v>
      </c>
      <c r="D3786" s="2" t="s">
        <v>8146</v>
      </c>
      <c r="E3786" s="2" t="s">
        <v>20</v>
      </c>
      <c r="F3786" s="2" t="s">
        <v>13</v>
      </c>
      <c r="G3786" s="2">
        <v>251.0</v>
      </c>
      <c r="H3786" s="3" t="str">
        <f>HYPERLINK("http://ar.linkedin.com/pub/javier-fileiv/B/230/68B","http://ar.linkedin.com/pub/javier-fileiv/B/230/68B")</f>
        <v>http://ar.linkedin.com/pub/javier-fileiv/B/230/68B</v>
      </c>
      <c r="I3786" s="2" t="s">
        <v>669</v>
      </c>
      <c r="J3786" s="2" t="s">
        <v>21</v>
      </c>
      <c r="K3786" s="2" t="s">
        <v>5725</v>
      </c>
    </row>
    <row r="3787" ht="15.75" customHeight="1">
      <c r="A3787" s="2">
        <v>33508.0</v>
      </c>
      <c r="B3787" s="2" t="s">
        <v>253</v>
      </c>
      <c r="C3787" s="2" t="s">
        <v>8147</v>
      </c>
      <c r="D3787" s="2" t="s">
        <v>8148</v>
      </c>
      <c r="E3787" s="2" t="s">
        <v>20</v>
      </c>
      <c r="F3787" s="2" t="s">
        <v>13</v>
      </c>
      <c r="G3787" s="2">
        <v>315.0</v>
      </c>
      <c r="H3787" s="3" t="str">
        <f>HYPERLINK("http://ar.linkedin.com/pub/fernando-alba/6/923/303","http://ar.linkedin.com/pub/fernando-alba/6/923/303")</f>
        <v>http://ar.linkedin.com/pub/fernando-alba/6/923/303</v>
      </c>
      <c r="I3787" s="2" t="s">
        <v>57</v>
      </c>
      <c r="J3787" s="2" t="s">
        <v>21</v>
      </c>
      <c r="K3787" s="2" t="s">
        <v>5785</v>
      </c>
    </row>
    <row r="3788" ht="15.75" customHeight="1">
      <c r="A3788" s="2">
        <v>33517.0</v>
      </c>
      <c r="B3788" s="2" t="s">
        <v>70</v>
      </c>
      <c r="C3788" s="2" t="s">
        <v>8149</v>
      </c>
      <c r="D3788" s="2" t="s">
        <v>835</v>
      </c>
      <c r="E3788" s="2" t="s">
        <v>20</v>
      </c>
      <c r="F3788" s="2" t="s">
        <v>13</v>
      </c>
      <c r="G3788" s="2">
        <v>352.0</v>
      </c>
      <c r="H3788" s="3" t="str">
        <f>HYPERLINK("http://ar.linkedin.com/pub/gustavo-hinz/0/B8/849","http://ar.linkedin.com/pub/gustavo-hinz/0/B8/849")</f>
        <v>http://ar.linkedin.com/pub/gustavo-hinz/0/B8/849</v>
      </c>
      <c r="I3788" s="2" t="s">
        <v>77</v>
      </c>
      <c r="J3788" s="2" t="s">
        <v>21</v>
      </c>
      <c r="K3788" s="2" t="s">
        <v>5785</v>
      </c>
    </row>
    <row r="3789" ht="15.75" customHeight="1">
      <c r="A3789" s="2">
        <v>33520.0</v>
      </c>
      <c r="B3789" s="2" t="s">
        <v>8150</v>
      </c>
      <c r="C3789" s="2" t="s">
        <v>3533</v>
      </c>
      <c r="D3789" s="2" t="s">
        <v>835</v>
      </c>
      <c r="E3789" s="2" t="s">
        <v>20</v>
      </c>
      <c r="F3789" s="2">
        <v>2.0</v>
      </c>
      <c r="G3789" s="2">
        <v>500.0</v>
      </c>
      <c r="H3789" s="3" t="str">
        <f>HYPERLINK("http://ar.linkedin.com/pub/cecilia-in%C3%A9s-giordano/7/727/651","http://ar.linkedin.com/pub/cecilia-in%C3%A9s-giordano/7/727/651")</f>
        <v>http://ar.linkedin.com/pub/cecilia-in%C3%A9s-giordano/7/727/651</v>
      </c>
      <c r="I3789" s="2" t="s">
        <v>57</v>
      </c>
      <c r="J3789" s="2" t="s">
        <v>21</v>
      </c>
      <c r="K3789" s="2" t="s">
        <v>5727</v>
      </c>
    </row>
    <row r="3790" ht="15.75" customHeight="1">
      <c r="A3790" s="2">
        <v>33534.0</v>
      </c>
      <c r="B3790" s="2" t="s">
        <v>8151</v>
      </c>
      <c r="C3790" s="2" t="s">
        <v>7945</v>
      </c>
      <c r="D3790" s="2" t="s">
        <v>8152</v>
      </c>
      <c r="E3790" s="2" t="s">
        <v>20</v>
      </c>
      <c r="F3790" s="2">
        <v>8.0</v>
      </c>
      <c r="G3790" s="2">
        <v>401.0</v>
      </c>
      <c r="H3790" s="3" t="str">
        <f>HYPERLINK("http://ar.linkedin.com/in/faranguren","http://ar.linkedin.com/in/faranguren")</f>
        <v>http://ar.linkedin.com/in/faranguren</v>
      </c>
      <c r="I3790" s="2" t="s">
        <v>57</v>
      </c>
      <c r="J3790" s="2" t="s">
        <v>21</v>
      </c>
      <c r="K3790" s="2" t="s">
        <v>5727</v>
      </c>
    </row>
    <row r="3791" ht="15.75" customHeight="1">
      <c r="A3791" s="2">
        <v>33548.0</v>
      </c>
      <c r="B3791" s="2" t="s">
        <v>492</v>
      </c>
      <c r="C3791" s="2" t="s">
        <v>7180</v>
      </c>
      <c r="D3791" s="2" t="s">
        <v>8153</v>
      </c>
      <c r="E3791" s="2" t="s">
        <v>20</v>
      </c>
      <c r="F3791" s="2">
        <v>2.0</v>
      </c>
      <c r="G3791" s="2">
        <v>420.0</v>
      </c>
      <c r="H3791" s="3" t="str">
        <f>HYPERLINK("http://ar.linkedin.com/pub/sergio-basualdo/0/50A/901","http://ar.linkedin.com/pub/sergio-basualdo/0/50A/901")</f>
        <v>http://ar.linkedin.com/pub/sergio-basualdo/0/50A/901</v>
      </c>
      <c r="I3791" s="2" t="s">
        <v>77</v>
      </c>
      <c r="J3791" s="2" t="s">
        <v>21</v>
      </c>
      <c r="K3791" s="2" t="s">
        <v>5743</v>
      </c>
    </row>
    <row r="3792" ht="15.75" customHeight="1">
      <c r="A3792" s="2">
        <v>33550.0</v>
      </c>
      <c r="B3792" s="2" t="s">
        <v>6716</v>
      </c>
      <c r="C3792" s="2" t="s">
        <v>8154</v>
      </c>
      <c r="D3792" s="2" t="s">
        <v>8155</v>
      </c>
      <c r="E3792" s="2" t="s">
        <v>20</v>
      </c>
      <c r="F3792" s="2" t="s">
        <v>13</v>
      </c>
      <c r="G3792" s="2">
        <v>277.0</v>
      </c>
      <c r="H3792" s="3" t="str">
        <f>HYPERLINK("http://ar.linkedin.com/pub/claudia-minzi/0/842/831","http://ar.linkedin.com/pub/claudia-minzi/0/842/831")</f>
        <v>http://ar.linkedin.com/pub/claudia-minzi/0/842/831</v>
      </c>
      <c r="I3792" s="2" t="s">
        <v>15</v>
      </c>
      <c r="J3792" s="2" t="s">
        <v>21</v>
      </c>
      <c r="K3792" s="2" t="s">
        <v>5725</v>
      </c>
    </row>
    <row r="3793" ht="15.75" customHeight="1">
      <c r="A3793" s="2">
        <v>33554.0</v>
      </c>
      <c r="B3793" s="2" t="s">
        <v>5846</v>
      </c>
      <c r="C3793" s="2" t="s">
        <v>8156</v>
      </c>
      <c r="D3793" s="2" t="s">
        <v>8157</v>
      </c>
      <c r="E3793" s="2" t="s">
        <v>20</v>
      </c>
      <c r="F3793" s="2">
        <v>3.0</v>
      </c>
      <c r="G3793" s="2">
        <v>160.0</v>
      </c>
      <c r="H3793" s="3" t="str">
        <f>HYPERLINK("http://www.linkedin.com/in/horaciogrilli","http://www.linkedin.com/in/horaciogrilli")</f>
        <v>http://www.linkedin.com/in/horaciogrilli</v>
      </c>
      <c r="I3793" s="2" t="s">
        <v>15</v>
      </c>
      <c r="J3793" s="2" t="s">
        <v>21</v>
      </c>
      <c r="K3793" s="2" t="s">
        <v>6588</v>
      </c>
    </row>
    <row r="3794" ht="15.75" customHeight="1">
      <c r="A3794" s="2">
        <v>33555.0</v>
      </c>
      <c r="B3794" s="2" t="s">
        <v>3201</v>
      </c>
      <c r="C3794" s="2" t="s">
        <v>8158</v>
      </c>
      <c r="D3794" s="2" t="s">
        <v>13</v>
      </c>
      <c r="E3794" s="2" t="s">
        <v>20</v>
      </c>
      <c r="F3794" s="2">
        <v>1.0</v>
      </c>
      <c r="G3794" s="2">
        <v>455.0</v>
      </c>
      <c r="H3794" s="3" t="str">
        <f>HYPERLINK("http://www.linkedin.com/pub/sebastian-schere/12/171/36b","http://www.linkedin.com/pub/sebastian-schere/12/171/36b")</f>
        <v>http://www.linkedin.com/pub/sebastian-schere/12/171/36b</v>
      </c>
      <c r="I3794" s="2" t="s">
        <v>27</v>
      </c>
      <c r="J3794" s="2" t="s">
        <v>21</v>
      </c>
      <c r="K3794" s="2" t="s">
        <v>5977</v>
      </c>
    </row>
    <row r="3795" ht="15.75" customHeight="1">
      <c r="A3795" s="2">
        <v>33557.0</v>
      </c>
      <c r="B3795" s="2" t="s">
        <v>5763</v>
      </c>
      <c r="C3795" s="2" t="s">
        <v>8159</v>
      </c>
      <c r="D3795" s="2" t="s">
        <v>8160</v>
      </c>
      <c r="E3795" s="2" t="s">
        <v>20</v>
      </c>
      <c r="F3795" s="2">
        <v>1.0</v>
      </c>
      <c r="G3795" s="2">
        <v>251.0</v>
      </c>
      <c r="H3795" s="3" t="str">
        <f>HYPERLINK("http://ar.linkedin.com/in/ezequielrugiero","http://ar.linkedin.com/in/ezequielrugiero")</f>
        <v>http://ar.linkedin.com/in/ezequielrugiero</v>
      </c>
      <c r="I3795" s="2" t="s">
        <v>1237</v>
      </c>
      <c r="J3795" s="2" t="s">
        <v>21</v>
      </c>
      <c r="K3795" s="2" t="s">
        <v>5977</v>
      </c>
    </row>
    <row r="3796" ht="15.75" customHeight="1">
      <c r="A3796" s="2">
        <v>33588.0</v>
      </c>
      <c r="B3796" s="2" t="s">
        <v>5078</v>
      </c>
      <c r="C3796" s="2" t="s">
        <v>8161</v>
      </c>
      <c r="D3796" s="2" t="s">
        <v>13</v>
      </c>
      <c r="E3796" s="2" t="s">
        <v>20</v>
      </c>
      <c r="F3796" s="2">
        <v>7.0</v>
      </c>
      <c r="G3796" s="2">
        <v>500.0</v>
      </c>
      <c r="H3796" s="3" t="str">
        <f>HYPERLINK("http://www.linkedin.com/pub/diego-pasjalidis/10/56a/a88","http://www.linkedin.com/pub/diego-pasjalidis/10/56a/a88")</f>
        <v>http://www.linkedin.com/pub/diego-pasjalidis/10/56a/a88</v>
      </c>
      <c r="I3796" s="2" t="s">
        <v>57</v>
      </c>
      <c r="J3796" s="2" t="s">
        <v>21</v>
      </c>
      <c r="K3796" s="2" t="s">
        <v>5727</v>
      </c>
    </row>
    <row r="3797" ht="15.75" customHeight="1">
      <c r="A3797" s="2">
        <v>33621.0</v>
      </c>
      <c r="B3797" s="2" t="s">
        <v>5723</v>
      </c>
      <c r="C3797" s="2" t="s">
        <v>5356</v>
      </c>
      <c r="D3797" s="2" t="s">
        <v>8162</v>
      </c>
      <c r="E3797" s="2" t="s">
        <v>20</v>
      </c>
      <c r="F3797" s="2">
        <v>3.0</v>
      </c>
      <c r="G3797" s="2">
        <v>252.0</v>
      </c>
      <c r="H3797" s="3" t="str">
        <f>HYPERLINK("http://ar.linkedin.com/pub/pablo-marino/2/21A/B10","http://ar.linkedin.com/pub/pablo-marino/2/21A/B10")</f>
        <v>http://ar.linkedin.com/pub/pablo-marino/2/21A/B10</v>
      </c>
      <c r="I3797" s="2" t="s">
        <v>1107</v>
      </c>
      <c r="J3797" s="2" t="s">
        <v>21</v>
      </c>
      <c r="K3797" s="2" t="s">
        <v>5727</v>
      </c>
    </row>
    <row r="3798" ht="15.75" customHeight="1">
      <c r="A3798" s="2">
        <v>33622.0</v>
      </c>
      <c r="B3798" s="2" t="s">
        <v>8163</v>
      </c>
      <c r="C3798" s="2" t="s">
        <v>8164</v>
      </c>
      <c r="D3798" s="2" t="s">
        <v>4384</v>
      </c>
      <c r="E3798" s="2" t="s">
        <v>20</v>
      </c>
      <c r="F3798" s="2">
        <v>1.0</v>
      </c>
      <c r="G3798" s="2">
        <v>113.0</v>
      </c>
      <c r="H3798" s="3" t="str">
        <f>HYPERLINK("http://ar.linkedin.com/pub/bernardo-legeren/12/A4A/420","http://ar.linkedin.com/pub/bernardo-legeren/12/A4A/420")</f>
        <v>http://ar.linkedin.com/pub/bernardo-legeren/12/A4A/420</v>
      </c>
      <c r="I3798" s="2" t="s">
        <v>1452</v>
      </c>
      <c r="J3798" s="2" t="s">
        <v>21</v>
      </c>
      <c r="K3798" s="2" t="s">
        <v>5865</v>
      </c>
    </row>
    <row r="3799" ht="15.75" customHeight="1">
      <c r="A3799" s="2">
        <v>33630.0</v>
      </c>
      <c r="B3799" s="2" t="s">
        <v>431</v>
      </c>
      <c r="C3799" s="2" t="s">
        <v>6630</v>
      </c>
      <c r="D3799" s="2" t="s">
        <v>8165</v>
      </c>
      <c r="E3799" s="2" t="s">
        <v>20</v>
      </c>
      <c r="F3799" s="2">
        <v>4.0</v>
      </c>
      <c r="G3799" s="2">
        <v>500.0</v>
      </c>
      <c r="H3799" s="3" t="str">
        <f>HYPERLINK("http://ar.linkedin.com/pub/rodrigo-medina/15/847/A76","http://ar.linkedin.com/pub/rodrigo-medina/15/847/A76")</f>
        <v>http://ar.linkedin.com/pub/rodrigo-medina/15/847/A76</v>
      </c>
      <c r="I3799" s="2" t="s">
        <v>709</v>
      </c>
      <c r="J3799" s="2" t="s">
        <v>21</v>
      </c>
      <c r="K3799" s="2" t="s">
        <v>5727</v>
      </c>
    </row>
    <row r="3800" ht="15.75" customHeight="1">
      <c r="A3800" s="2">
        <v>33635.0</v>
      </c>
      <c r="B3800" s="2" t="s">
        <v>523</v>
      </c>
      <c r="C3800" s="2" t="s">
        <v>8166</v>
      </c>
      <c r="D3800" s="2" t="s">
        <v>4094</v>
      </c>
      <c r="E3800" s="2" t="s">
        <v>20</v>
      </c>
      <c r="F3800" s="2">
        <v>4.0</v>
      </c>
      <c r="G3800" s="2">
        <v>500.0</v>
      </c>
      <c r="H3800" s="3" t="str">
        <f>HYPERLINK("http://ar.linkedin.com/pub/ignacio-spinetta/23/A8A/46","http://ar.linkedin.com/pub/ignacio-spinetta/23/A8A/46")</f>
        <v>http://ar.linkedin.com/pub/ignacio-spinetta/23/A8A/46</v>
      </c>
      <c r="I3800" s="2" t="s">
        <v>306</v>
      </c>
      <c r="J3800" s="2" t="s">
        <v>21</v>
      </c>
      <c r="K3800" s="2" t="s">
        <v>5727</v>
      </c>
    </row>
    <row r="3801" ht="15.75" customHeight="1">
      <c r="A3801" s="2">
        <v>33639.0</v>
      </c>
      <c r="B3801" s="2" t="s">
        <v>8167</v>
      </c>
      <c r="C3801" s="2" t="s">
        <v>8168</v>
      </c>
      <c r="D3801" s="2" t="s">
        <v>913</v>
      </c>
      <c r="E3801" s="2" t="s">
        <v>2058</v>
      </c>
      <c r="F3801" s="2">
        <v>1.0</v>
      </c>
      <c r="G3801" s="2">
        <v>414.0</v>
      </c>
      <c r="H3801" s="3" t="str">
        <f>HYPERLINK("http://www.linkedin.com/pub/katharine-couture/0/52/704","http://www.linkedin.com/pub/katharine-couture/0/52/704")</f>
        <v>http://www.linkedin.com/pub/katharine-couture/0/52/704</v>
      </c>
      <c r="I3801" s="2" t="s">
        <v>1507</v>
      </c>
      <c r="J3801" s="2" t="s">
        <v>102</v>
      </c>
      <c r="K3801" s="2" t="s">
        <v>6722</v>
      </c>
    </row>
    <row r="3802" ht="15.75" customHeight="1">
      <c r="A3802" s="2">
        <v>33641.0</v>
      </c>
      <c r="B3802" s="2" t="s">
        <v>8169</v>
      </c>
      <c r="C3802" s="2" t="s">
        <v>3869</v>
      </c>
      <c r="D3802" s="2" t="s">
        <v>8170</v>
      </c>
      <c r="E3802" s="2" t="s">
        <v>2058</v>
      </c>
      <c r="F3802" s="2">
        <v>6.0</v>
      </c>
      <c r="G3802" s="2">
        <v>500.0</v>
      </c>
      <c r="H3802" s="3" t="str">
        <f>HYPERLINK("http://www.linkedin.com/in/dotwilliams","http://www.linkedin.com/in/dotwilliams")</f>
        <v>http://www.linkedin.com/in/dotwilliams</v>
      </c>
      <c r="I3802" s="2" t="s">
        <v>96</v>
      </c>
      <c r="J3802" s="2" t="s">
        <v>102</v>
      </c>
      <c r="K3802" s="2" t="s">
        <v>5743</v>
      </c>
    </row>
    <row r="3803" ht="15.75" customHeight="1">
      <c r="A3803" s="2">
        <v>33804.0</v>
      </c>
      <c r="B3803" s="2" t="s">
        <v>501</v>
      </c>
      <c r="C3803" s="2" t="s">
        <v>8171</v>
      </c>
      <c r="D3803" s="2"/>
      <c r="E3803" s="2" t="s">
        <v>122</v>
      </c>
      <c r="F3803" s="2">
        <v>5.0</v>
      </c>
      <c r="G3803" s="2">
        <v>500.0</v>
      </c>
      <c r="H3803" s="3" t="str">
        <f>HYPERLINK("http://uk.linkedin.com/pub/francisco-villanueva/2/2AA/4A1","http://uk.linkedin.com/pub/francisco-villanueva/2/2AA/4A1")</f>
        <v>http://uk.linkedin.com/pub/francisco-villanueva/2/2AA/4A1</v>
      </c>
      <c r="I3803" s="2" t="s">
        <v>77</v>
      </c>
      <c r="J3803" s="2" t="s">
        <v>53</v>
      </c>
      <c r="K3803" s="2" t="s">
        <v>5725</v>
      </c>
    </row>
    <row r="3804" ht="15.75" customHeight="1">
      <c r="A3804" s="2">
        <v>33849.0</v>
      </c>
      <c r="B3804" s="2" t="s">
        <v>8172</v>
      </c>
      <c r="C3804" s="2" t="s">
        <v>8173</v>
      </c>
      <c r="D3804" s="2"/>
      <c r="E3804" s="2" t="s">
        <v>407</v>
      </c>
      <c r="F3804" s="2">
        <v>1.0</v>
      </c>
      <c r="G3804" s="2">
        <v>9.0</v>
      </c>
      <c r="H3804" s="3" t="str">
        <f>HYPERLINK("http://www.linkedin.com/pub/gerald-feege/0/299/95B","http://www.linkedin.com/pub/gerald-feege/0/299/95B")</f>
        <v>http://www.linkedin.com/pub/gerald-feege/0/299/95B</v>
      </c>
      <c r="I3804" s="2" t="s">
        <v>77</v>
      </c>
      <c r="J3804" s="2" t="s">
        <v>102</v>
      </c>
      <c r="K3804" s="2" t="s">
        <v>5725</v>
      </c>
    </row>
    <row r="3805" ht="15.75" customHeight="1">
      <c r="A3805" s="2">
        <v>34032.0</v>
      </c>
      <c r="B3805" s="2" t="s">
        <v>3557</v>
      </c>
      <c r="C3805" s="2" t="s">
        <v>8174</v>
      </c>
      <c r="D3805" s="2" t="s">
        <v>8175</v>
      </c>
      <c r="E3805" s="2" t="s">
        <v>574</v>
      </c>
      <c r="F3805" s="2">
        <v>19.0</v>
      </c>
      <c r="G3805" s="2">
        <v>500.0</v>
      </c>
      <c r="H3805" s="3" t="str">
        <f>HYPERLINK("http://in.linkedin.com/in/vinayakrb","http://in.linkedin.com/in/vinayakrb")</f>
        <v>http://in.linkedin.com/in/vinayakrb</v>
      </c>
      <c r="I3805" s="2" t="s">
        <v>69</v>
      </c>
      <c r="J3805" s="2" t="s">
        <v>575</v>
      </c>
      <c r="K3805" s="2" t="s">
        <v>8176</v>
      </c>
    </row>
    <row r="3806" ht="15.75" customHeight="1">
      <c r="A3806" s="2">
        <v>34520.0</v>
      </c>
      <c r="B3806" s="2" t="s">
        <v>8177</v>
      </c>
      <c r="C3806" s="2" t="s">
        <v>2530</v>
      </c>
      <c r="D3806" s="2"/>
      <c r="E3806" s="2" t="s">
        <v>1520</v>
      </c>
      <c r="F3806" s="2">
        <v>0.0</v>
      </c>
      <c r="G3806" s="2">
        <v>174.0</v>
      </c>
      <c r="H3806" s="3" t="str">
        <f>HYPERLINK("http://uk.linkedin.com/pub/basil-omar/0/353/A05","http://uk.linkedin.com/pub/basil-omar/0/353/A05")</f>
        <v>http://uk.linkedin.com/pub/basil-omar/0/353/A05</v>
      </c>
      <c r="I3806" s="2" t="s">
        <v>57</v>
      </c>
      <c r="J3806" s="2" t="s">
        <v>53</v>
      </c>
      <c r="K3806" s="2" t="s">
        <v>5785</v>
      </c>
    </row>
    <row r="3807" ht="15.75" customHeight="1">
      <c r="A3807" s="2">
        <v>34560.0</v>
      </c>
      <c r="B3807" s="2" t="s">
        <v>8178</v>
      </c>
      <c r="C3807" s="2" t="s">
        <v>8179</v>
      </c>
      <c r="D3807" s="2" t="s">
        <v>8180</v>
      </c>
      <c r="E3807" s="2" t="s">
        <v>301</v>
      </c>
      <c r="F3807" s="2">
        <v>5.0</v>
      </c>
      <c r="G3807" s="2">
        <v>117.0</v>
      </c>
      <c r="H3807" s="3" t="str">
        <f>HYPERLINK("http://www.linkedin.com/in/tomvalentino","http://www.linkedin.com/in/tomvalentino")</f>
        <v>http://www.linkedin.com/in/tomvalentino</v>
      </c>
      <c r="I3807" s="2" t="s">
        <v>910</v>
      </c>
      <c r="J3807" s="2" t="s">
        <v>102</v>
      </c>
      <c r="K3807" s="2" t="s">
        <v>6118</v>
      </c>
    </row>
    <row r="3808" ht="15.75" customHeight="1">
      <c r="A3808" s="2">
        <v>34573.0</v>
      </c>
      <c r="B3808" s="2" t="s">
        <v>796</v>
      </c>
      <c r="C3808" s="2" t="s">
        <v>8181</v>
      </c>
      <c r="D3808" s="2"/>
      <c r="E3808" s="2" t="s">
        <v>122</v>
      </c>
      <c r="F3808" s="2">
        <v>1.0</v>
      </c>
      <c r="G3808" s="2">
        <v>426.0</v>
      </c>
      <c r="H3808" s="3" t="str">
        <f>HYPERLINK("http://uk.linkedin.com/pub/simon-torrance/0/965/739","http://uk.linkedin.com/pub/simon-torrance/0/965/739")</f>
        <v>http://uk.linkedin.com/pub/simon-torrance/0/965/739</v>
      </c>
      <c r="I3808" s="2" t="s">
        <v>77</v>
      </c>
      <c r="J3808" s="2" t="s">
        <v>53</v>
      </c>
      <c r="K3808" s="2" t="s">
        <v>5734</v>
      </c>
    </row>
    <row r="3809" ht="15.75" customHeight="1">
      <c r="A3809" s="2">
        <v>34659.0</v>
      </c>
      <c r="B3809" s="2" t="s">
        <v>8182</v>
      </c>
      <c r="C3809" s="2" t="s">
        <v>2335</v>
      </c>
      <c r="D3809" s="2" t="s">
        <v>8183</v>
      </c>
      <c r="E3809" s="2" t="s">
        <v>20</v>
      </c>
      <c r="F3809" s="2">
        <v>10.0</v>
      </c>
      <c r="G3809" s="2">
        <v>500.0</v>
      </c>
      <c r="H3809" s="3" t="str">
        <f>HYPERLINK("http://www.linkedin.com/pub/luciano-adri%C3%A1n-bruno/23/737/54a","http://www.linkedin.com/pub/luciano-adri%C3%A1n-bruno/23/737/54a")</f>
        <v>http://www.linkedin.com/pub/luciano-adri%C3%A1n-bruno/23/737/54a</v>
      </c>
      <c r="I3809" s="2" t="s">
        <v>15</v>
      </c>
      <c r="J3809" s="2" t="s">
        <v>21</v>
      </c>
      <c r="K3809" s="2" t="s">
        <v>5727</v>
      </c>
    </row>
    <row r="3810" ht="15.75" customHeight="1">
      <c r="A3810" s="2">
        <v>34730.0</v>
      </c>
      <c r="B3810" s="2" t="s">
        <v>6666</v>
      </c>
      <c r="C3810" s="2" t="s">
        <v>8184</v>
      </c>
      <c r="D3810" s="2" t="s">
        <v>8185</v>
      </c>
      <c r="E3810" s="2" t="s">
        <v>20</v>
      </c>
      <c r="F3810" s="2">
        <v>2.0</v>
      </c>
      <c r="G3810" s="2">
        <v>413.0</v>
      </c>
      <c r="H3810" s="3" t="str">
        <f>HYPERLINK("http://ar.linkedin.com/in/jsazparren","http://ar.linkedin.com/in/jsazparren")</f>
        <v>http://ar.linkedin.com/in/jsazparren</v>
      </c>
      <c r="I3810" s="2" t="s">
        <v>669</v>
      </c>
      <c r="J3810" s="2" t="s">
        <v>21</v>
      </c>
      <c r="K3810" s="2" t="s">
        <v>6973</v>
      </c>
    </row>
    <row r="3811" ht="15.75" customHeight="1">
      <c r="A3811" s="2">
        <v>34734.0</v>
      </c>
      <c r="B3811" s="2" t="s">
        <v>6666</v>
      </c>
      <c r="C3811" s="2" t="s">
        <v>8186</v>
      </c>
      <c r="D3811" s="2" t="s">
        <v>8187</v>
      </c>
      <c r="E3811" s="2" t="s">
        <v>20</v>
      </c>
      <c r="F3811" s="2">
        <v>26.0</v>
      </c>
      <c r="G3811" s="2">
        <v>500.0</v>
      </c>
      <c r="H3811" s="3" t="str">
        <f>HYPERLINK("http://ar.linkedin.com/pub/sebasti%C3%A1n-soneyra/3/342/596","http://ar.linkedin.com/pub/sebasti%C3%A1n-soneyra/3/342/596")</f>
        <v>http://ar.linkedin.com/pub/sebasti%C3%A1n-soneyra/3/342/596</v>
      </c>
      <c r="I3811" s="2" t="s">
        <v>612</v>
      </c>
      <c r="J3811" s="2" t="s">
        <v>21</v>
      </c>
      <c r="K3811" s="2" t="s">
        <v>5743</v>
      </c>
    </row>
    <row r="3812" ht="15.75" customHeight="1">
      <c r="A3812" s="2">
        <v>34737.0</v>
      </c>
      <c r="B3812" s="2" t="s">
        <v>5078</v>
      </c>
      <c r="C3812" s="2" t="s">
        <v>8188</v>
      </c>
      <c r="D3812" s="2" t="s">
        <v>8189</v>
      </c>
      <c r="E3812" s="2" t="s">
        <v>20</v>
      </c>
      <c r="F3812" s="2">
        <v>2.0</v>
      </c>
      <c r="G3812" s="2">
        <v>350.0</v>
      </c>
      <c r="H3812" s="3" t="str">
        <f>HYPERLINK("http://ar.linkedin.com/pub/diego-hagman/0/590/11","http://ar.linkedin.com/pub/diego-hagman/0/590/11")</f>
        <v>http://ar.linkedin.com/pub/diego-hagman/0/590/11</v>
      </c>
      <c r="I3812" s="2" t="s">
        <v>57</v>
      </c>
      <c r="J3812" s="2" t="s">
        <v>21</v>
      </c>
      <c r="K3812" s="2" t="s">
        <v>5727</v>
      </c>
    </row>
    <row r="3813" ht="15.75" customHeight="1">
      <c r="A3813" s="2">
        <v>34790.0</v>
      </c>
      <c r="B3813" s="2" t="s">
        <v>7086</v>
      </c>
      <c r="C3813" s="2" t="s">
        <v>8190</v>
      </c>
      <c r="D3813" s="2" t="s">
        <v>6483</v>
      </c>
      <c r="E3813" s="2" t="s">
        <v>20</v>
      </c>
      <c r="F3813" s="2">
        <v>6.0</v>
      </c>
      <c r="G3813" s="2">
        <v>95.0</v>
      </c>
      <c r="H3813" s="3" t="str">
        <f>HYPERLINK("http://ar.linkedin.com/in/maurobruni","http://ar.linkedin.com/in/maurobruni")</f>
        <v>http://ar.linkedin.com/in/maurobruni</v>
      </c>
      <c r="I3813" s="2" t="s">
        <v>77</v>
      </c>
      <c r="J3813" s="2" t="s">
        <v>21</v>
      </c>
      <c r="K3813" s="2" t="s">
        <v>5731</v>
      </c>
    </row>
    <row r="3814" ht="15.75" customHeight="1">
      <c r="A3814" s="2">
        <v>34791.0</v>
      </c>
      <c r="B3814" s="2" t="s">
        <v>609</v>
      </c>
      <c r="C3814" s="2" t="s">
        <v>8191</v>
      </c>
      <c r="D3814" s="2" t="s">
        <v>8192</v>
      </c>
      <c r="E3814" s="2" t="s">
        <v>20</v>
      </c>
      <c r="F3814" s="2" t="s">
        <v>13</v>
      </c>
      <c r="G3814" s="2">
        <v>128.0</v>
      </c>
      <c r="H3814" s="3" t="str">
        <f>HYPERLINK("http://ar.linkedin.com/pub/ricardo-lopez-camino/3/25A/A97","http://ar.linkedin.com/pub/ricardo-lopez-camino/3/25A/A97")</f>
        <v>http://ar.linkedin.com/pub/ricardo-lopez-camino/3/25A/A97</v>
      </c>
      <c r="I3814" s="2" t="s">
        <v>77</v>
      </c>
      <c r="J3814" s="2" t="s">
        <v>21</v>
      </c>
      <c r="K3814" s="2" t="s">
        <v>5785</v>
      </c>
    </row>
    <row r="3815" ht="15.75" customHeight="1">
      <c r="A3815" s="2">
        <v>34793.0</v>
      </c>
      <c r="B3815" s="2" t="s">
        <v>5078</v>
      </c>
      <c r="C3815" s="2" t="s">
        <v>8193</v>
      </c>
      <c r="D3815" s="2" t="s">
        <v>8194</v>
      </c>
      <c r="E3815" s="2" t="s">
        <v>20</v>
      </c>
      <c r="F3815" s="2">
        <v>9.0</v>
      </c>
      <c r="G3815" s="2">
        <v>500.0</v>
      </c>
      <c r="H3815" s="3" t="str">
        <f>HYPERLINK("http://www.linkedin.com/in/diegomarengopeusso","http://www.linkedin.com/in/diegomarengopeusso")</f>
        <v>http://www.linkedin.com/in/diegomarengopeusso</v>
      </c>
      <c r="I3815" s="2" t="s">
        <v>669</v>
      </c>
      <c r="J3815" s="2" t="s">
        <v>21</v>
      </c>
      <c r="K3815" s="2" t="s">
        <v>5743</v>
      </c>
    </row>
    <row r="3816" ht="15.75" customHeight="1">
      <c r="A3816" s="2">
        <v>34801.0</v>
      </c>
      <c r="B3816" s="2" t="s">
        <v>515</v>
      </c>
      <c r="C3816" s="2" t="s">
        <v>8195</v>
      </c>
      <c r="D3816" s="2" t="s">
        <v>6202</v>
      </c>
      <c r="E3816" s="2" t="s">
        <v>20</v>
      </c>
      <c r="F3816" s="2">
        <v>4.0</v>
      </c>
      <c r="G3816" s="2">
        <v>331.0</v>
      </c>
      <c r="H3816" s="3" t="str">
        <f>HYPERLINK("http://ar.linkedin.com/in/juansaravia","http://ar.linkedin.com/in/juansaravia")</f>
        <v>http://ar.linkedin.com/in/juansaravia</v>
      </c>
      <c r="I3816" s="2" t="s">
        <v>167</v>
      </c>
      <c r="J3816" s="2" t="s">
        <v>21</v>
      </c>
      <c r="K3816" s="2" t="s">
        <v>5727</v>
      </c>
    </row>
    <row r="3817" ht="15.75" customHeight="1">
      <c r="A3817" s="2">
        <v>34809.0</v>
      </c>
      <c r="B3817" s="2" t="s">
        <v>471</v>
      </c>
      <c r="C3817" s="2" t="s">
        <v>8196</v>
      </c>
      <c r="D3817" s="2" t="s">
        <v>8197</v>
      </c>
      <c r="E3817" s="2" t="s">
        <v>20</v>
      </c>
      <c r="F3817" s="2" t="s">
        <v>13</v>
      </c>
      <c r="G3817" s="2">
        <v>388.0</v>
      </c>
      <c r="H3817" s="3" t="str">
        <f>HYPERLINK("http://ar.linkedin.com/in/dfhirsch","http://ar.linkedin.com/in/dfhirsch")</f>
        <v>http://ar.linkedin.com/in/dfhirsch</v>
      </c>
      <c r="I3817" s="2" t="s">
        <v>167</v>
      </c>
      <c r="J3817" s="2" t="s">
        <v>21</v>
      </c>
      <c r="K3817" s="2" t="s">
        <v>8198</v>
      </c>
    </row>
    <row r="3818" ht="15.75" customHeight="1">
      <c r="A3818" s="2">
        <v>34834.0</v>
      </c>
      <c r="B3818" s="2" t="s">
        <v>6856</v>
      </c>
      <c r="C3818" s="2" t="s">
        <v>8199</v>
      </c>
      <c r="D3818" s="2" t="s">
        <v>13</v>
      </c>
      <c r="E3818" s="2" t="s">
        <v>20</v>
      </c>
      <c r="F3818" s="2">
        <v>5.0</v>
      </c>
      <c r="G3818" s="2">
        <v>278.0</v>
      </c>
      <c r="H3818" s="3" t="str">
        <f>HYPERLINK("http://www.linkedin.com/pub/germ%C3%A1n-bett/29/318/b03","http://www.linkedin.com/pub/germ%C3%A1n-bett/29/318/b03")</f>
        <v>http://www.linkedin.com/pub/germ%C3%A1n-bett/29/318/b03</v>
      </c>
      <c r="I3818" s="2" t="s">
        <v>69</v>
      </c>
      <c r="J3818" s="2" t="s">
        <v>21</v>
      </c>
      <c r="K3818" s="2" t="s">
        <v>5731</v>
      </c>
    </row>
    <row r="3819" ht="15.75" customHeight="1">
      <c r="A3819" s="2">
        <v>34848.0</v>
      </c>
      <c r="B3819" s="2" t="s">
        <v>6666</v>
      </c>
      <c r="C3819" s="2" t="s">
        <v>8200</v>
      </c>
      <c r="D3819" s="2" t="s">
        <v>13</v>
      </c>
      <c r="E3819" s="2" t="s">
        <v>20</v>
      </c>
      <c r="F3819" s="2">
        <v>1.0</v>
      </c>
      <c r="G3819" s="2">
        <v>276.0</v>
      </c>
      <c r="H3819" s="3" t="str">
        <f>HYPERLINK("http://www.linkedin.com/pub/sebasti%C3%A1n-mil%C3%ADa/25/929/612","http://www.linkedin.com/pub/sebasti%C3%A1n-mil%C3%ADa/25/929/612")</f>
        <v>http://www.linkedin.com/pub/sebasti%C3%A1n-mil%C3%ADa/25/929/612</v>
      </c>
      <c r="I3819" s="2" t="s">
        <v>2000</v>
      </c>
      <c r="J3819" s="2" t="s">
        <v>21</v>
      </c>
      <c r="K3819" s="2" t="s">
        <v>6178</v>
      </c>
    </row>
    <row r="3820" ht="15.75" customHeight="1">
      <c r="A3820" s="2">
        <v>34870.0</v>
      </c>
      <c r="B3820" s="2" t="s">
        <v>677</v>
      </c>
      <c r="C3820" s="2" t="s">
        <v>5978</v>
      </c>
      <c r="D3820" s="2" t="s">
        <v>8201</v>
      </c>
      <c r="E3820" s="2" t="s">
        <v>20</v>
      </c>
      <c r="F3820" s="2" t="s">
        <v>13</v>
      </c>
      <c r="G3820" s="2">
        <v>82.0</v>
      </c>
      <c r="H3820" s="3" t="str">
        <f>HYPERLINK("http://ar.linkedin.com/pub/daniel-lipchak/20/65B/785","http://ar.linkedin.com/pub/daniel-lipchak/20/65B/785")</f>
        <v>http://ar.linkedin.com/pub/daniel-lipchak/20/65B/785</v>
      </c>
      <c r="I3820" s="2" t="s">
        <v>57</v>
      </c>
      <c r="J3820" s="2" t="s">
        <v>21</v>
      </c>
      <c r="K3820" s="2" t="s">
        <v>5725</v>
      </c>
    </row>
    <row r="3821" ht="15.75" customHeight="1">
      <c r="A3821" s="2">
        <v>34902.0</v>
      </c>
      <c r="B3821" s="2" t="s">
        <v>8202</v>
      </c>
      <c r="C3821" s="2" t="s">
        <v>8203</v>
      </c>
      <c r="D3821" s="2" t="s">
        <v>8204</v>
      </c>
      <c r="E3821" s="2" t="s">
        <v>20</v>
      </c>
      <c r="F3821" s="2">
        <v>1.0</v>
      </c>
      <c r="G3821" s="2">
        <v>90.0</v>
      </c>
      <c r="H3821" s="3" t="str">
        <f>HYPERLINK("http://ar.linkedin.com/pub/ignacio-laborde/14/260/981","http://ar.linkedin.com/pub/ignacio-laborde/14/260/981")</f>
        <v>http://ar.linkedin.com/pub/ignacio-laborde/14/260/981</v>
      </c>
      <c r="I3821" s="2" t="s">
        <v>15</v>
      </c>
      <c r="J3821" s="2" t="s">
        <v>21</v>
      </c>
      <c r="K3821" s="2" t="s">
        <v>5725</v>
      </c>
    </row>
    <row r="3822" ht="15.75" customHeight="1">
      <c r="A3822" s="2">
        <v>34911.0</v>
      </c>
      <c r="B3822" s="2" t="s">
        <v>6417</v>
      </c>
      <c r="C3822" s="2" t="s">
        <v>8205</v>
      </c>
      <c r="D3822" s="2" t="s">
        <v>6129</v>
      </c>
      <c r="E3822" s="2" t="s">
        <v>20</v>
      </c>
      <c r="F3822" s="2">
        <v>6.0</v>
      </c>
      <c r="G3822" s="2">
        <v>219.0</v>
      </c>
      <c r="H3822" s="3" t="str">
        <f>HYPERLINK("http://ar.linkedin.com/pub/gonzalo-de-salas/7/293/263","http://ar.linkedin.com/pub/gonzalo-de-salas/7/293/263")</f>
        <v>http://ar.linkedin.com/pub/gonzalo-de-salas/7/293/263</v>
      </c>
      <c r="I3822" s="2" t="s">
        <v>910</v>
      </c>
      <c r="J3822" s="2" t="s">
        <v>21</v>
      </c>
      <c r="K3822" s="2" t="s">
        <v>5727</v>
      </c>
    </row>
    <row r="3823" ht="15.75" customHeight="1">
      <c r="A3823" s="2">
        <v>34913.0</v>
      </c>
      <c r="B3823" s="2" t="s">
        <v>353</v>
      </c>
      <c r="C3823" s="2" t="s">
        <v>8206</v>
      </c>
      <c r="D3823" s="2" t="s">
        <v>8207</v>
      </c>
      <c r="E3823" s="2" t="s">
        <v>20</v>
      </c>
      <c r="F3823" s="2" t="s">
        <v>13</v>
      </c>
      <c r="G3823" s="2">
        <v>145.0</v>
      </c>
      <c r="H3823" s="3" t="str">
        <f>HYPERLINK("http://ar.linkedin.com/in/alejandrofurfaro","http://ar.linkedin.com/in/alejandrofurfaro")</f>
        <v>http://ar.linkedin.com/in/alejandrofurfaro</v>
      </c>
      <c r="I3823" s="2" t="s">
        <v>279</v>
      </c>
      <c r="J3823" s="2" t="s">
        <v>21</v>
      </c>
      <c r="K3823" s="2" t="s">
        <v>5734</v>
      </c>
    </row>
    <row r="3824" ht="15.75" customHeight="1">
      <c r="A3824" s="2">
        <v>34918.0</v>
      </c>
      <c r="B3824" s="2" t="s">
        <v>3594</v>
      </c>
      <c r="C3824" s="2" t="s">
        <v>8208</v>
      </c>
      <c r="D3824" s="2" t="s">
        <v>8209</v>
      </c>
      <c r="E3824" s="2" t="s">
        <v>20</v>
      </c>
      <c r="F3824" s="2">
        <v>3.0</v>
      </c>
      <c r="G3824" s="2">
        <v>103.0</v>
      </c>
      <c r="H3824" s="3" t="str">
        <f>HYPERLINK("http://ar.linkedin.com/pub/artem-ryabko/A/7B8/17B","http://ar.linkedin.com/pub/artem-ryabko/A/7B8/17B")</f>
        <v>http://ar.linkedin.com/pub/artem-ryabko/A/7B8/17B</v>
      </c>
      <c r="I3824" s="2" t="s">
        <v>57</v>
      </c>
      <c r="J3824" s="2" t="s">
        <v>21</v>
      </c>
      <c r="K3824" s="2" t="s">
        <v>5727</v>
      </c>
    </row>
    <row r="3825" ht="15.75" customHeight="1">
      <c r="A3825" s="2">
        <v>34927.0</v>
      </c>
      <c r="B3825" s="2" t="s">
        <v>45</v>
      </c>
      <c r="C3825" s="2" t="s">
        <v>8210</v>
      </c>
      <c r="D3825" s="2" t="s">
        <v>2446</v>
      </c>
      <c r="E3825" s="2" t="s">
        <v>20</v>
      </c>
      <c r="F3825" s="2">
        <v>2.0</v>
      </c>
      <c r="G3825" s="2">
        <v>333.0</v>
      </c>
      <c r="H3825" s="3" t="str">
        <f>HYPERLINK("http://ar.linkedin.com/pub/carlos-mart%C3%ADnez/9/484/904","http://ar.linkedin.com/pub/carlos-mart%C3%ADnez/9/484/904")</f>
        <v>http://ar.linkedin.com/pub/carlos-mart%C3%ADnez/9/484/904</v>
      </c>
      <c r="I3825" s="2" t="s">
        <v>57</v>
      </c>
      <c r="J3825" s="2" t="s">
        <v>21</v>
      </c>
      <c r="K3825" s="2" t="s">
        <v>5727</v>
      </c>
    </row>
    <row r="3826" ht="15.75" customHeight="1">
      <c r="A3826" s="2">
        <v>34929.0</v>
      </c>
      <c r="B3826" s="2" t="s">
        <v>6025</v>
      </c>
      <c r="C3826" s="2" t="s">
        <v>3491</v>
      </c>
      <c r="D3826" s="2" t="s">
        <v>8211</v>
      </c>
      <c r="E3826" s="2" t="s">
        <v>20</v>
      </c>
      <c r="F3826" s="2">
        <v>5.0</v>
      </c>
      <c r="G3826" s="2">
        <v>393.0</v>
      </c>
      <c r="H3826" s="3" t="str">
        <f>HYPERLINK("http://www.linkedin.com/pub/hernan-savio/6/a2/64a","http://www.linkedin.com/pub/hernan-savio/6/a2/64a")</f>
        <v>http://www.linkedin.com/pub/hernan-savio/6/a2/64a</v>
      </c>
      <c r="I3826" s="2" t="s">
        <v>15</v>
      </c>
      <c r="J3826" s="2" t="s">
        <v>21</v>
      </c>
      <c r="K3826" s="2" t="s">
        <v>5727</v>
      </c>
    </row>
    <row r="3827" ht="15.75" customHeight="1">
      <c r="A3827" s="2">
        <v>34939.0</v>
      </c>
      <c r="B3827" s="2" t="s">
        <v>8212</v>
      </c>
      <c r="C3827" s="2" t="s">
        <v>6617</v>
      </c>
      <c r="D3827" s="2" t="s">
        <v>8213</v>
      </c>
      <c r="E3827" s="2" t="s">
        <v>20</v>
      </c>
      <c r="F3827" s="2" t="s">
        <v>13</v>
      </c>
      <c r="G3827" s="2">
        <v>61.0</v>
      </c>
      <c r="H3827" s="3" t="str">
        <f>HYPERLINK("http://ar.linkedin.com/pub/jesus-juarez/11/446/6A2","http://ar.linkedin.com/pub/jesus-juarez/11/446/6A2")</f>
        <v>http://ar.linkedin.com/pub/jesus-juarez/11/446/6A2</v>
      </c>
      <c r="I3827" s="2" t="s">
        <v>279</v>
      </c>
      <c r="J3827" s="2" t="s">
        <v>21</v>
      </c>
      <c r="K3827" s="2" t="s">
        <v>5734</v>
      </c>
    </row>
    <row r="3828" ht="15.75" customHeight="1">
      <c r="A3828" s="2">
        <v>34940.0</v>
      </c>
      <c r="B3828" s="2" t="s">
        <v>8214</v>
      </c>
      <c r="C3828" s="2" t="s">
        <v>568</v>
      </c>
      <c r="D3828" s="2" t="s">
        <v>347</v>
      </c>
      <c r="E3828" s="2" t="s">
        <v>2447</v>
      </c>
      <c r="F3828" s="2">
        <v>1.0</v>
      </c>
      <c r="G3828" s="2">
        <v>369.0</v>
      </c>
      <c r="H3828" s="3" t="str">
        <f>HYPERLINK("http://ar.linkedin.com/in/sergiofabianrojas","http://ar.linkedin.com/in/sergiofabianrojas")</f>
        <v>http://ar.linkedin.com/in/sergiofabianrojas</v>
      </c>
      <c r="I3828" s="2" t="s">
        <v>15</v>
      </c>
      <c r="J3828" s="2" t="s">
        <v>16</v>
      </c>
      <c r="K3828" s="2" t="s">
        <v>8143</v>
      </c>
    </row>
    <row r="3829" ht="15.75" customHeight="1">
      <c r="A3829" s="2">
        <v>34949.0</v>
      </c>
      <c r="B3829" s="2" t="s">
        <v>329</v>
      </c>
      <c r="C3829" s="2" t="s">
        <v>8215</v>
      </c>
      <c r="D3829" s="2" t="s">
        <v>8216</v>
      </c>
      <c r="E3829" s="2" t="s">
        <v>20</v>
      </c>
      <c r="F3829" s="2">
        <v>28.0</v>
      </c>
      <c r="G3829" s="2">
        <v>500.0</v>
      </c>
      <c r="H3829" s="3" t="str">
        <f>HYPERLINK("http://ar.linkedin.com/in/jpdaniello","http://ar.linkedin.com/in/jpdaniello")</f>
        <v>http://ar.linkedin.com/in/jpdaniello</v>
      </c>
      <c r="I3829" s="2" t="s">
        <v>844</v>
      </c>
      <c r="J3829" s="2" t="s">
        <v>21</v>
      </c>
      <c r="K3829" s="2" t="s">
        <v>5727</v>
      </c>
    </row>
    <row r="3830" ht="15.75" customHeight="1">
      <c r="A3830" s="2">
        <v>34967.0</v>
      </c>
      <c r="B3830" s="2" t="s">
        <v>6666</v>
      </c>
      <c r="C3830" s="2" t="s">
        <v>7028</v>
      </c>
      <c r="D3830" s="2" t="s">
        <v>13</v>
      </c>
      <c r="E3830" s="2" t="s">
        <v>20</v>
      </c>
      <c r="F3830" s="2">
        <v>1.0</v>
      </c>
      <c r="G3830" s="2">
        <v>334.0</v>
      </c>
      <c r="H3830" s="3" t="str">
        <f>HYPERLINK("http://www.linkedin.com/pub/sebasti%C3%A1n-gagliardi/0/472/710","http://www.linkedin.com/pub/sebasti%C3%A1n-gagliardi/0/472/710")</f>
        <v>http://www.linkedin.com/pub/sebasti%C3%A1n-gagliardi/0/472/710</v>
      </c>
      <c r="I3830" s="2" t="s">
        <v>160</v>
      </c>
      <c r="J3830" s="2" t="s">
        <v>21</v>
      </c>
      <c r="K3830" s="2" t="s">
        <v>5785</v>
      </c>
    </row>
    <row r="3831" ht="15.75" customHeight="1">
      <c r="A3831" s="2">
        <v>34969.0</v>
      </c>
      <c r="B3831" s="2" t="s">
        <v>8217</v>
      </c>
      <c r="C3831" s="2" t="s">
        <v>8218</v>
      </c>
      <c r="D3831" s="2" t="s">
        <v>8219</v>
      </c>
      <c r="E3831" s="2" t="s">
        <v>20</v>
      </c>
      <c r="F3831" s="2">
        <v>8.0</v>
      </c>
      <c r="G3831" s="2">
        <v>143.0</v>
      </c>
      <c r="H3831" s="3" t="str">
        <f>HYPERLINK("http://ar.linkedin.com/pub/gustavo-gabriel-meza/20/106/932","http://ar.linkedin.com/pub/gustavo-gabriel-meza/20/106/932")</f>
        <v>http://ar.linkedin.com/pub/gustavo-gabriel-meza/20/106/932</v>
      </c>
      <c r="I3831" s="2" t="s">
        <v>195</v>
      </c>
      <c r="J3831" s="2" t="s">
        <v>21</v>
      </c>
      <c r="K3831" s="2" t="s">
        <v>5785</v>
      </c>
    </row>
    <row r="3832" ht="15.75" customHeight="1">
      <c r="A3832" s="2">
        <v>34996.0</v>
      </c>
      <c r="B3832" s="2" t="s">
        <v>8220</v>
      </c>
      <c r="C3832" s="2" t="s">
        <v>8221</v>
      </c>
      <c r="D3832" s="2" t="s">
        <v>6098</v>
      </c>
      <c r="E3832" s="2" t="s">
        <v>20</v>
      </c>
      <c r="F3832" s="2" t="s">
        <v>13</v>
      </c>
      <c r="G3832" s="2">
        <v>124.0</v>
      </c>
      <c r="H3832" s="3" t="str">
        <f>HYPERLINK("http://ar.linkedin.com/pub/exequiel-g%C3%B3mez/B/11/AB2","http://ar.linkedin.com/pub/exequiel-g%C3%B3mez/B/11/AB2")</f>
        <v>http://ar.linkedin.com/pub/exequiel-g%C3%B3mez/B/11/AB2</v>
      </c>
      <c r="I3832" s="2" t="s">
        <v>105</v>
      </c>
      <c r="J3832" s="2" t="s">
        <v>21</v>
      </c>
      <c r="K3832" s="2" t="s">
        <v>5725</v>
      </c>
    </row>
    <row r="3833" ht="15.75" customHeight="1">
      <c r="A3833" s="2">
        <v>35015.0</v>
      </c>
      <c r="B3833" s="2" t="s">
        <v>152</v>
      </c>
      <c r="C3833" s="2" t="s">
        <v>7018</v>
      </c>
      <c r="D3833" s="2" t="s">
        <v>8222</v>
      </c>
      <c r="E3833" s="2" t="s">
        <v>20</v>
      </c>
      <c r="F3833" s="2">
        <v>12.0</v>
      </c>
      <c r="G3833" s="2">
        <v>500.0</v>
      </c>
      <c r="H3833" s="3" t="str">
        <f>HYPERLINK("http://www.linkedin.com/pub/eduardo-nicolas-morales/17/351/514","http://www.linkedin.com/pub/eduardo-nicolas-morales/17/351/514")</f>
        <v>http://www.linkedin.com/pub/eduardo-nicolas-morales/17/351/514</v>
      </c>
      <c r="I3833" s="2" t="s">
        <v>77</v>
      </c>
      <c r="J3833" s="2" t="s">
        <v>21</v>
      </c>
      <c r="K3833" s="2" t="s">
        <v>5731</v>
      </c>
    </row>
    <row r="3834" ht="15.75" customHeight="1">
      <c r="A3834" s="2">
        <v>35019.0</v>
      </c>
      <c r="B3834" s="2" t="s">
        <v>70</v>
      </c>
      <c r="C3834" s="2" t="s">
        <v>8223</v>
      </c>
      <c r="D3834" s="2" t="s">
        <v>347</v>
      </c>
      <c r="E3834" s="2" t="s">
        <v>20</v>
      </c>
      <c r="F3834" s="2">
        <v>4.0</v>
      </c>
      <c r="G3834" s="2">
        <v>219.0</v>
      </c>
      <c r="H3834" s="3" t="str">
        <f>HYPERLINK("http://ar.linkedin.com/in/gustavopeuriot","http://ar.linkedin.com/in/gustavopeuriot")</f>
        <v>http://ar.linkedin.com/in/gustavopeuriot</v>
      </c>
      <c r="I3834" s="2" t="s">
        <v>57</v>
      </c>
      <c r="J3834" s="2" t="s">
        <v>21</v>
      </c>
      <c r="K3834" s="2" t="s">
        <v>5734</v>
      </c>
    </row>
    <row r="3835" ht="15.75" customHeight="1">
      <c r="A3835" s="2">
        <v>35052.0</v>
      </c>
      <c r="B3835" s="2" t="s">
        <v>6988</v>
      </c>
      <c r="C3835" s="2" t="s">
        <v>8224</v>
      </c>
      <c r="D3835" s="2" t="s">
        <v>13</v>
      </c>
      <c r="E3835" s="2" t="s">
        <v>20</v>
      </c>
      <c r="F3835" s="2">
        <v>0.0</v>
      </c>
      <c r="G3835" s="2">
        <v>383.0</v>
      </c>
      <c r="H3835" s="3" t="str">
        <f>HYPERLINK("http://www.linkedin.com/pub/ernesto-bergonzelli/2/54/a16","http://www.linkedin.com/pub/ernesto-bergonzelli/2/54/a16")</f>
        <v>http://www.linkedin.com/pub/ernesto-bergonzelli/2/54/a16</v>
      </c>
      <c r="I3835" s="2" t="s">
        <v>48</v>
      </c>
      <c r="J3835" s="2" t="s">
        <v>21</v>
      </c>
      <c r="K3835" s="2" t="s">
        <v>5725</v>
      </c>
    </row>
    <row r="3836" ht="15.75" customHeight="1">
      <c r="A3836" s="2">
        <v>35057.0</v>
      </c>
      <c r="B3836" s="2" t="s">
        <v>157</v>
      </c>
      <c r="C3836" s="2" t="s">
        <v>8225</v>
      </c>
      <c r="D3836" s="2" t="s">
        <v>8226</v>
      </c>
      <c r="E3836" s="2" t="s">
        <v>20</v>
      </c>
      <c r="F3836" s="2">
        <v>11.0</v>
      </c>
      <c r="G3836" s="2">
        <v>500.0</v>
      </c>
      <c r="H3836" s="3" t="str">
        <f>HYPERLINK("http://ar.linkedin.com/in/jonkoma","http://ar.linkedin.com/in/jonkoma")</f>
        <v>http://ar.linkedin.com/in/jonkoma</v>
      </c>
      <c r="I3836" s="2" t="s">
        <v>231</v>
      </c>
      <c r="J3836" s="2" t="s">
        <v>21</v>
      </c>
      <c r="K3836" s="2" t="s">
        <v>5727</v>
      </c>
    </row>
    <row r="3837" ht="15.75" customHeight="1">
      <c r="A3837" s="2">
        <v>35079.0</v>
      </c>
      <c r="B3837" s="2" t="s">
        <v>8227</v>
      </c>
      <c r="C3837" s="2" t="s">
        <v>8228</v>
      </c>
      <c r="D3837" s="2" t="s">
        <v>8229</v>
      </c>
      <c r="E3837" s="2" t="s">
        <v>20</v>
      </c>
      <c r="F3837" s="2">
        <v>1.0</v>
      </c>
      <c r="G3837" s="2">
        <v>322.0</v>
      </c>
      <c r="H3837" s="3" t="str">
        <f>HYPERLINK("http://ar.linkedin.com/pub/hernando-castiglioni/A/565/1BB","http://ar.linkedin.com/pub/hernando-castiglioni/A/565/1BB")</f>
        <v>http://ar.linkedin.com/pub/hernando-castiglioni/A/565/1BB</v>
      </c>
      <c r="I3837" s="2" t="s">
        <v>160</v>
      </c>
      <c r="J3837" s="2" t="s">
        <v>21</v>
      </c>
      <c r="K3837" s="2" t="s">
        <v>5848</v>
      </c>
    </row>
    <row r="3838" ht="15.75" customHeight="1">
      <c r="A3838" s="2">
        <v>35084.0</v>
      </c>
      <c r="B3838" s="2" t="s">
        <v>6846</v>
      </c>
      <c r="C3838" s="2" t="s">
        <v>8230</v>
      </c>
      <c r="D3838" s="2" t="s">
        <v>3791</v>
      </c>
      <c r="E3838" s="2" t="s">
        <v>20</v>
      </c>
      <c r="F3838" s="2" t="s">
        <v>13</v>
      </c>
      <c r="G3838" s="2">
        <v>231.0</v>
      </c>
      <c r="H3838" s="3" t="str">
        <f>HYPERLINK("http://ar.linkedin.com/pub/maria-ines-orlando/B/431/70","http://ar.linkedin.com/pub/maria-ines-orlando/B/431/70")</f>
        <v>http://ar.linkedin.com/pub/maria-ines-orlando/B/431/70</v>
      </c>
      <c r="I3838" s="2" t="s">
        <v>15</v>
      </c>
      <c r="J3838" s="2" t="s">
        <v>21</v>
      </c>
      <c r="K3838" s="2" t="s">
        <v>5725</v>
      </c>
    </row>
    <row r="3839" ht="15.75" customHeight="1">
      <c r="A3839" s="2">
        <v>35096.0</v>
      </c>
      <c r="B3839" s="2" t="s">
        <v>492</v>
      </c>
      <c r="C3839" s="2" t="s">
        <v>638</v>
      </c>
      <c r="D3839" s="2" t="s">
        <v>6264</v>
      </c>
      <c r="E3839" s="2" t="s">
        <v>20</v>
      </c>
      <c r="F3839" s="2">
        <v>9.0</v>
      </c>
      <c r="G3839" s="2">
        <v>433.0</v>
      </c>
      <c r="H3839" s="3" t="str">
        <f>HYPERLINK("http://ar.linkedin.com/pub/sergio-avila/15/B7B/82A","http://ar.linkedin.com/pub/sergio-avila/15/B7B/82A")</f>
        <v>http://ar.linkedin.com/pub/sergio-avila/15/B7B/82A</v>
      </c>
      <c r="I3839" s="2" t="s">
        <v>279</v>
      </c>
      <c r="J3839" s="2" t="s">
        <v>21</v>
      </c>
      <c r="K3839" s="2" t="s">
        <v>5727</v>
      </c>
    </row>
    <row r="3840" ht="15.75" customHeight="1">
      <c r="A3840" s="2">
        <v>35104.0</v>
      </c>
      <c r="B3840" s="2" t="s">
        <v>6417</v>
      </c>
      <c r="C3840" s="2" t="s">
        <v>8231</v>
      </c>
      <c r="D3840" s="2" t="s">
        <v>8232</v>
      </c>
      <c r="E3840" s="2" t="s">
        <v>20</v>
      </c>
      <c r="F3840" s="2">
        <v>4.0</v>
      </c>
      <c r="G3840" s="2">
        <v>500.0</v>
      </c>
      <c r="H3840" s="3" t="str">
        <f>HYPERLINK("http://ar.linkedin.com/in/gonzalorodriguezboido","http://ar.linkedin.com/in/gonzalorodriguezboido")</f>
        <v>http://ar.linkedin.com/in/gonzalorodriguezboido</v>
      </c>
      <c r="I3840" s="2" t="s">
        <v>77</v>
      </c>
      <c r="J3840" s="2" t="s">
        <v>21</v>
      </c>
      <c r="K3840" s="2" t="s">
        <v>5731</v>
      </c>
    </row>
    <row r="3841" ht="15.75" customHeight="1">
      <c r="A3841" s="2">
        <v>35109.0</v>
      </c>
      <c r="B3841" s="2" t="s">
        <v>8233</v>
      </c>
      <c r="C3841" s="2" t="s">
        <v>8234</v>
      </c>
      <c r="D3841" s="2" t="s">
        <v>8235</v>
      </c>
      <c r="E3841" s="2" t="s">
        <v>20</v>
      </c>
      <c r="F3841" s="2">
        <v>5.0</v>
      </c>
      <c r="G3841" s="2">
        <v>381.0</v>
      </c>
      <c r="H3841" s="3" t="str">
        <f>HYPERLINK("http://ar.linkedin.com/in/estebansavignone","http://ar.linkedin.com/in/estebansavignone")</f>
        <v>http://ar.linkedin.com/in/estebansavignone</v>
      </c>
      <c r="I3841" s="2" t="s">
        <v>252</v>
      </c>
      <c r="J3841" s="2" t="s">
        <v>21</v>
      </c>
      <c r="K3841" s="2" t="s">
        <v>5734</v>
      </c>
    </row>
    <row r="3842" ht="15.75" customHeight="1">
      <c r="A3842" s="2">
        <v>35133.0</v>
      </c>
      <c r="B3842" s="2" t="s">
        <v>3201</v>
      </c>
      <c r="C3842" s="2" t="s">
        <v>8236</v>
      </c>
      <c r="D3842" s="2" t="s">
        <v>8237</v>
      </c>
      <c r="E3842" s="2" t="s">
        <v>20</v>
      </c>
      <c r="F3842" s="2">
        <v>10.0</v>
      </c>
      <c r="G3842" s="2">
        <v>463.0</v>
      </c>
      <c r="H3842" s="3" t="str">
        <f>HYPERLINK("http://ar.linkedin.com/in/sebastiancuri","http://ar.linkedin.com/in/sebastiancuri")</f>
        <v>http://ar.linkedin.com/in/sebastiancuri</v>
      </c>
      <c r="I3842" s="2" t="s">
        <v>2241</v>
      </c>
      <c r="J3842" s="2" t="s">
        <v>21</v>
      </c>
      <c r="K3842" s="2" t="s">
        <v>6046</v>
      </c>
    </row>
    <row r="3843" ht="15.75" customHeight="1">
      <c r="A3843" s="2">
        <v>35136.0</v>
      </c>
      <c r="B3843" s="2" t="s">
        <v>6778</v>
      </c>
      <c r="C3843" s="2" t="s">
        <v>593</v>
      </c>
      <c r="D3843" s="2" t="s">
        <v>8238</v>
      </c>
      <c r="E3843" s="2" t="s">
        <v>20</v>
      </c>
      <c r="F3843" s="2">
        <v>2.0</v>
      </c>
      <c r="G3843" s="2">
        <v>328.0</v>
      </c>
      <c r="H3843" s="3" t="str">
        <f>HYPERLINK("http://ar.linkedin.com/pub/julieta-weiss/6/78B/4B1","http://ar.linkedin.com/pub/julieta-weiss/6/78B/4B1")</f>
        <v>http://ar.linkedin.com/pub/julieta-weiss/6/78B/4B1</v>
      </c>
      <c r="I3843" s="2" t="s">
        <v>1948</v>
      </c>
      <c r="J3843" s="2" t="s">
        <v>21</v>
      </c>
      <c r="K3843" s="2" t="s">
        <v>5727</v>
      </c>
    </row>
    <row r="3844" ht="15.75" customHeight="1">
      <c r="A3844" s="2">
        <v>35138.0</v>
      </c>
      <c r="B3844" s="2" t="s">
        <v>3287</v>
      </c>
      <c r="C3844" s="2" t="s">
        <v>8239</v>
      </c>
      <c r="D3844" s="2" t="s">
        <v>8240</v>
      </c>
      <c r="E3844" s="2" t="s">
        <v>20</v>
      </c>
      <c r="F3844" s="2">
        <v>2.0</v>
      </c>
      <c r="G3844" s="2">
        <v>61.0</v>
      </c>
      <c r="H3844" s="3" t="str">
        <f>HYPERLINK("http://ar.linkedin.com/in/nadiaquiroga","http://ar.linkedin.com/in/nadiaquiroga")</f>
        <v>http://ar.linkedin.com/in/nadiaquiroga</v>
      </c>
      <c r="I3844" s="2" t="s">
        <v>844</v>
      </c>
      <c r="J3844" s="2" t="s">
        <v>21</v>
      </c>
      <c r="K3844" s="2" t="s">
        <v>5727</v>
      </c>
    </row>
    <row r="3845" ht="15.75" customHeight="1">
      <c r="A3845" s="2">
        <v>35141.0</v>
      </c>
      <c r="B3845" s="2" t="s">
        <v>6004</v>
      </c>
      <c r="C3845" s="2" t="s">
        <v>8241</v>
      </c>
      <c r="D3845" s="2" t="s">
        <v>6098</v>
      </c>
      <c r="E3845" s="2" t="s">
        <v>20</v>
      </c>
      <c r="F3845" s="2">
        <v>6.0</v>
      </c>
      <c r="G3845" s="2">
        <v>286.0</v>
      </c>
      <c r="H3845" s="3" t="str">
        <f>HYPERLINK("http://ar.linkedin.com/in/jumadavila","http://ar.linkedin.com/in/jumadavila")</f>
        <v>http://ar.linkedin.com/in/jumadavila</v>
      </c>
      <c r="I3845" s="2" t="s">
        <v>105</v>
      </c>
      <c r="J3845" s="2" t="s">
        <v>21</v>
      </c>
      <c r="K3845" s="2" t="s">
        <v>5727</v>
      </c>
    </row>
    <row r="3846" ht="15.75" customHeight="1">
      <c r="A3846" s="2">
        <v>35154.0</v>
      </c>
      <c r="B3846" s="2" t="s">
        <v>637</v>
      </c>
      <c r="C3846" s="2" t="s">
        <v>8242</v>
      </c>
      <c r="D3846" s="2" t="s">
        <v>6275</v>
      </c>
      <c r="E3846" s="2" t="s">
        <v>20</v>
      </c>
      <c r="F3846" s="2" t="s">
        <v>13</v>
      </c>
      <c r="G3846" s="2">
        <v>88.0</v>
      </c>
      <c r="H3846" s="3" t="str">
        <f>HYPERLINK("http://ar.linkedin.com/pub/leonardo-suglia/19/687/2A","http://ar.linkedin.com/pub/leonardo-suglia/19/687/2A")</f>
        <v>http://ar.linkedin.com/pub/leonardo-suglia/19/687/2A</v>
      </c>
      <c r="I3846" s="2" t="s">
        <v>2023</v>
      </c>
      <c r="J3846" s="2" t="s">
        <v>21</v>
      </c>
      <c r="K3846" s="2" t="s">
        <v>5734</v>
      </c>
    </row>
    <row r="3847" ht="15.75" customHeight="1">
      <c r="A3847" s="2">
        <v>35155.0</v>
      </c>
      <c r="B3847" s="2" t="s">
        <v>7859</v>
      </c>
      <c r="C3847" s="2" t="s">
        <v>8243</v>
      </c>
      <c r="D3847" s="2" t="s">
        <v>13</v>
      </c>
      <c r="E3847" s="2" t="s">
        <v>20</v>
      </c>
      <c r="F3847" s="2">
        <v>0.0</v>
      </c>
      <c r="G3847" s="2">
        <v>240.0</v>
      </c>
      <c r="H3847" s="3" t="str">
        <f>HYPERLINK("http://www.linkedin.com/pub/juan-jose-dali-yv%C3%A1n/25/b60/189","http://www.linkedin.com/pub/juan-jose-dali-yv%C3%A1n/25/b60/189")</f>
        <v>http://www.linkedin.com/pub/juan-jose-dali-yv%C3%A1n/25/b60/189</v>
      </c>
      <c r="I3847" s="2" t="s">
        <v>2023</v>
      </c>
      <c r="J3847" s="2" t="s">
        <v>21</v>
      </c>
      <c r="K3847" s="2" t="s">
        <v>5734</v>
      </c>
    </row>
    <row r="3848" ht="15.75" customHeight="1">
      <c r="A3848" s="2">
        <v>35156.0</v>
      </c>
      <c r="B3848" s="2" t="s">
        <v>5735</v>
      </c>
      <c r="C3848" s="2" t="s">
        <v>8244</v>
      </c>
      <c r="D3848" s="2" t="s">
        <v>8245</v>
      </c>
      <c r="E3848" s="2" t="s">
        <v>20</v>
      </c>
      <c r="F3848" s="2">
        <v>1.0</v>
      </c>
      <c r="G3848" s="2">
        <v>75.0</v>
      </c>
      <c r="H3848" s="3" t="str">
        <f>HYPERLINK("http://ar.linkedin.com/pub/german-pastrana/23/609/AA2","http://ar.linkedin.com/pub/german-pastrana/23/609/AA2")</f>
        <v>http://ar.linkedin.com/pub/german-pastrana/23/609/AA2</v>
      </c>
      <c r="I3848" s="2" t="s">
        <v>2023</v>
      </c>
      <c r="J3848" s="2" t="s">
        <v>21</v>
      </c>
      <c r="K3848" s="2" t="s">
        <v>5734</v>
      </c>
    </row>
    <row r="3849" ht="15.75" customHeight="1">
      <c r="A3849" s="2">
        <v>35176.0</v>
      </c>
      <c r="B3849" s="2" t="s">
        <v>2198</v>
      </c>
      <c r="C3849" s="2" t="s">
        <v>8246</v>
      </c>
      <c r="D3849" s="2" t="s">
        <v>42</v>
      </c>
      <c r="E3849" s="2" t="s">
        <v>301</v>
      </c>
      <c r="F3849" s="2" t="s">
        <v>13</v>
      </c>
      <c r="G3849" s="2">
        <v>11.0</v>
      </c>
      <c r="H3849" s="3" t="str">
        <f>HYPERLINK("http://www.linkedin.com/pub/neil-veliz/10/138/37A","http://www.linkedin.com/pub/neil-veliz/10/138/37A")</f>
        <v>http://www.linkedin.com/pub/neil-veliz/10/138/37A</v>
      </c>
      <c r="I3849" s="2" t="s">
        <v>160</v>
      </c>
      <c r="J3849" s="2" t="s">
        <v>102</v>
      </c>
      <c r="K3849" s="2" t="s">
        <v>5725</v>
      </c>
    </row>
    <row r="3850" ht="15.75" customHeight="1">
      <c r="A3850" s="2">
        <v>35183.0</v>
      </c>
      <c r="B3850" s="2" t="s">
        <v>6417</v>
      </c>
      <c r="C3850" s="2" t="s">
        <v>8247</v>
      </c>
      <c r="D3850" s="2" t="s">
        <v>8248</v>
      </c>
      <c r="E3850" s="2" t="s">
        <v>20</v>
      </c>
      <c r="F3850" s="2">
        <v>6.0</v>
      </c>
      <c r="G3850" s="2">
        <v>214.0</v>
      </c>
      <c r="H3850" s="3" t="str">
        <f>HYPERLINK("http://ar.linkedin.com/in/gonzaloaguilar","http://ar.linkedin.com/in/gonzaloaguilar")</f>
        <v>http://ar.linkedin.com/in/gonzaloaguilar</v>
      </c>
      <c r="I3850" s="2" t="s">
        <v>15</v>
      </c>
      <c r="J3850" s="2" t="s">
        <v>21</v>
      </c>
      <c r="K3850" s="2" t="s">
        <v>5777</v>
      </c>
    </row>
    <row r="3851" ht="15.75" customHeight="1">
      <c r="A3851" s="2">
        <v>35200.0</v>
      </c>
      <c r="B3851" s="2" t="s">
        <v>8249</v>
      </c>
      <c r="C3851" s="2" t="s">
        <v>8250</v>
      </c>
      <c r="D3851" s="2" t="s">
        <v>13</v>
      </c>
      <c r="E3851" s="2" t="s">
        <v>20</v>
      </c>
      <c r="F3851" s="2">
        <v>0.0</v>
      </c>
      <c r="G3851" s="2">
        <v>328.0</v>
      </c>
      <c r="H3851" s="3" t="str">
        <f>HYPERLINK("http://www.linkedin.com/pub/federico-andr%C3%A9s-marenzi/b/11/296","http://www.linkedin.com/pub/federico-andr%C3%A9s-marenzi/b/11/296")</f>
        <v>http://www.linkedin.com/pub/federico-andr%C3%A9s-marenzi/b/11/296</v>
      </c>
      <c r="I3851" s="2" t="s">
        <v>15</v>
      </c>
      <c r="J3851" s="2" t="s">
        <v>21</v>
      </c>
      <c r="K3851" s="2" t="s">
        <v>5727</v>
      </c>
    </row>
    <row r="3852" ht="15.75" customHeight="1">
      <c r="A3852" s="2">
        <v>35259.0</v>
      </c>
      <c r="B3852" s="2" t="s">
        <v>609</v>
      </c>
      <c r="C3852" s="2" t="s">
        <v>8251</v>
      </c>
      <c r="D3852" s="2" t="s">
        <v>13</v>
      </c>
      <c r="E3852" s="2" t="s">
        <v>20</v>
      </c>
      <c r="F3852" s="2">
        <v>2.0</v>
      </c>
      <c r="G3852" s="2">
        <v>149.0</v>
      </c>
      <c r="H3852" s="3" t="str">
        <f>HYPERLINK("http://www.linkedin.com/pub/ricardo-sim%C3%B3n-padr%C3%B3s/5/281/346","http://www.linkedin.com/pub/ricardo-sim%C3%B3n-padr%C3%B3s/5/281/346")</f>
        <v>http://www.linkedin.com/pub/ricardo-sim%C3%B3n-padr%C3%B3s/5/281/346</v>
      </c>
      <c r="I3852" s="2" t="s">
        <v>475</v>
      </c>
      <c r="J3852" s="2" t="s">
        <v>21</v>
      </c>
      <c r="K3852" s="2" t="s">
        <v>5727</v>
      </c>
    </row>
    <row r="3853" ht="15.75" customHeight="1">
      <c r="A3853" s="2">
        <v>35266.0</v>
      </c>
      <c r="B3853" s="2" t="s">
        <v>918</v>
      </c>
      <c r="C3853" s="2" t="s">
        <v>8252</v>
      </c>
      <c r="D3853" s="2" t="s">
        <v>8253</v>
      </c>
      <c r="E3853" s="2" t="s">
        <v>20</v>
      </c>
      <c r="F3853" s="2">
        <v>1.0</v>
      </c>
      <c r="G3853" s="2">
        <v>172.0</v>
      </c>
      <c r="H3853" s="3" t="str">
        <f>HYPERLINK("http://ar.linkedin.com/pub/mariel-najman/3/137/1B1","http://ar.linkedin.com/pub/mariel-najman/3/137/1B1")</f>
        <v>http://ar.linkedin.com/pub/mariel-najman/3/137/1B1</v>
      </c>
      <c r="I3853" s="2" t="s">
        <v>15</v>
      </c>
      <c r="J3853" s="2" t="s">
        <v>21</v>
      </c>
      <c r="K3853" s="2" t="s">
        <v>5725</v>
      </c>
    </row>
    <row r="3854" ht="15.75" customHeight="1">
      <c r="A3854" s="2">
        <v>35285.0</v>
      </c>
      <c r="B3854" s="2" t="s">
        <v>531</v>
      </c>
      <c r="C3854" s="2" t="s">
        <v>8254</v>
      </c>
      <c r="D3854" s="2" t="s">
        <v>8255</v>
      </c>
      <c r="E3854" s="2" t="s">
        <v>20</v>
      </c>
      <c r="F3854" s="2">
        <v>3.0</v>
      </c>
      <c r="G3854" s="2">
        <v>367.0</v>
      </c>
      <c r="H3854" s="3" t="str">
        <f>HYPERLINK("http://ar.linkedin.com/in/raragunde","http://ar.linkedin.com/in/raragunde")</f>
        <v>http://ar.linkedin.com/in/raragunde</v>
      </c>
      <c r="I3854" s="2" t="s">
        <v>77</v>
      </c>
      <c r="J3854" s="2" t="s">
        <v>21</v>
      </c>
      <c r="K3854" s="2" t="s">
        <v>5743</v>
      </c>
    </row>
    <row r="3855" ht="15.75" customHeight="1">
      <c r="A3855" s="2">
        <v>35293.0</v>
      </c>
      <c r="B3855" s="2" t="s">
        <v>637</v>
      </c>
      <c r="C3855" s="2" t="s">
        <v>8256</v>
      </c>
      <c r="D3855" s="2" t="s">
        <v>6260</v>
      </c>
      <c r="E3855" s="2" t="s">
        <v>20</v>
      </c>
      <c r="F3855" s="2">
        <v>2.0</v>
      </c>
      <c r="G3855" s="2">
        <v>193.0</v>
      </c>
      <c r="H3855" s="3" t="str">
        <f>HYPERLINK("http://ar.linkedin.com/pub/leonardo-moro/19/201/503","http://ar.linkedin.com/pub/leonardo-moro/19/201/503")</f>
        <v>http://ar.linkedin.com/pub/leonardo-moro/19/201/503</v>
      </c>
      <c r="I3855" s="2" t="s">
        <v>681</v>
      </c>
      <c r="J3855" s="2" t="s">
        <v>21</v>
      </c>
      <c r="K3855" s="2" t="s">
        <v>6075</v>
      </c>
    </row>
    <row r="3856" ht="15.75" customHeight="1">
      <c r="A3856" s="2">
        <v>35294.0</v>
      </c>
      <c r="B3856" s="2" t="s">
        <v>5723</v>
      </c>
      <c r="C3856" s="2" t="s">
        <v>8257</v>
      </c>
      <c r="D3856" s="2" t="s">
        <v>347</v>
      </c>
      <c r="E3856" s="2" t="s">
        <v>20</v>
      </c>
      <c r="F3856" s="2">
        <v>3.0</v>
      </c>
      <c r="G3856" s="2">
        <v>205.0</v>
      </c>
      <c r="H3856" s="3" t="str">
        <f>HYPERLINK("http://ar.linkedin.com/pub/pablo-mazzeo/19/319/869","http://ar.linkedin.com/pub/pablo-mazzeo/19/319/869")</f>
        <v>http://ar.linkedin.com/pub/pablo-mazzeo/19/319/869</v>
      </c>
      <c r="I3856" s="2" t="s">
        <v>252</v>
      </c>
      <c r="J3856" s="2" t="s">
        <v>21</v>
      </c>
      <c r="K3856" s="2" t="s">
        <v>5734</v>
      </c>
    </row>
    <row r="3857" ht="15.75" customHeight="1">
      <c r="A3857" s="2">
        <v>35306.0</v>
      </c>
      <c r="B3857" s="2" t="s">
        <v>8258</v>
      </c>
      <c r="C3857" s="2" t="s">
        <v>8259</v>
      </c>
      <c r="D3857" s="2" t="s">
        <v>6260</v>
      </c>
      <c r="E3857" s="2" t="s">
        <v>20</v>
      </c>
      <c r="F3857" s="2" t="s">
        <v>13</v>
      </c>
      <c r="G3857" s="2">
        <v>39.0</v>
      </c>
      <c r="H3857" s="3" t="str">
        <f>HYPERLINK("http://ar.linkedin.com/pub/angel-javier-paez/25/64/906","http://ar.linkedin.com/pub/angel-javier-paez/25/64/906")</f>
        <v>http://ar.linkedin.com/pub/angel-javier-paez/25/64/906</v>
      </c>
      <c r="I3857" s="2" t="s">
        <v>15</v>
      </c>
      <c r="J3857" s="2" t="s">
        <v>21</v>
      </c>
      <c r="K3857" s="2" t="s">
        <v>5725</v>
      </c>
    </row>
    <row r="3858" ht="15.75" customHeight="1">
      <c r="A3858" s="2">
        <v>35395.0</v>
      </c>
      <c r="B3858" s="2" t="s">
        <v>5803</v>
      </c>
      <c r="C3858" s="2" t="s">
        <v>8260</v>
      </c>
      <c r="D3858" s="2" t="s">
        <v>8261</v>
      </c>
      <c r="E3858" s="2" t="s">
        <v>20</v>
      </c>
      <c r="F3858" s="2" t="s">
        <v>13</v>
      </c>
      <c r="G3858" s="2">
        <v>38.0</v>
      </c>
      <c r="H3858" s="3" t="str">
        <f>HYPERLINK("http://ar.linkedin.com/pub/mariano-moure/A/246/404","http://ar.linkedin.com/pub/mariano-moure/A/246/404")</f>
        <v>http://ar.linkedin.com/pub/mariano-moure/A/246/404</v>
      </c>
      <c r="I3858" s="2" t="s">
        <v>1237</v>
      </c>
      <c r="J3858" s="2" t="s">
        <v>21</v>
      </c>
      <c r="K3858" s="2" t="s">
        <v>5743</v>
      </c>
    </row>
    <row r="3859" ht="15.75" customHeight="1">
      <c r="A3859" s="2">
        <v>35419.0</v>
      </c>
      <c r="B3859" s="2" t="s">
        <v>314</v>
      </c>
      <c r="C3859" s="2" t="s">
        <v>8262</v>
      </c>
      <c r="D3859" s="2" t="s">
        <v>13</v>
      </c>
      <c r="E3859" s="2" t="s">
        <v>20</v>
      </c>
      <c r="F3859" s="2">
        <v>9.0</v>
      </c>
      <c r="G3859" s="2">
        <v>142.0</v>
      </c>
      <c r="H3859" s="3" t="str">
        <f>HYPERLINK("http://www.linkedin.com/pub/marcos-panichella/29/491/135","http://www.linkedin.com/pub/marcos-panichella/29/491/135")</f>
        <v>http://www.linkedin.com/pub/marcos-panichella/29/491/135</v>
      </c>
      <c r="I3859" s="2" t="s">
        <v>681</v>
      </c>
      <c r="J3859" s="2" t="s">
        <v>21</v>
      </c>
      <c r="K3859" s="2" t="s">
        <v>5727</v>
      </c>
    </row>
    <row r="3860" ht="15.75" customHeight="1">
      <c r="A3860" s="2">
        <v>35420.0</v>
      </c>
      <c r="B3860" s="2" t="s">
        <v>8263</v>
      </c>
      <c r="C3860" s="2" t="s">
        <v>8264</v>
      </c>
      <c r="D3860" s="2" t="s">
        <v>13</v>
      </c>
      <c r="E3860" s="2" t="s">
        <v>20</v>
      </c>
      <c r="F3860" s="2">
        <v>4.0</v>
      </c>
      <c r="G3860" s="2">
        <v>500.0</v>
      </c>
      <c r="H3860" s="3" t="str">
        <f>HYPERLINK("http://www.linkedin.com/pub/maria-lorena-iparraguirre/19/55a/941","http://www.linkedin.com/pub/maria-lorena-iparraguirre/19/55a/941")</f>
        <v>http://www.linkedin.com/pub/maria-lorena-iparraguirre/19/55a/941</v>
      </c>
      <c r="I3860" s="2" t="s">
        <v>681</v>
      </c>
      <c r="J3860" s="2" t="s">
        <v>21</v>
      </c>
      <c r="K3860" s="2" t="s">
        <v>5727</v>
      </c>
    </row>
    <row r="3861" ht="15.75" customHeight="1">
      <c r="A3861" s="2">
        <v>35432.0</v>
      </c>
      <c r="B3861" s="2" t="s">
        <v>8265</v>
      </c>
      <c r="C3861" s="2" t="s">
        <v>8266</v>
      </c>
      <c r="D3861" s="2" t="s">
        <v>8267</v>
      </c>
      <c r="E3861" s="2" t="s">
        <v>20</v>
      </c>
      <c r="F3861" s="2">
        <v>3.0</v>
      </c>
      <c r="G3861" s="2">
        <v>82.0</v>
      </c>
      <c r="H3861" s="3" t="str">
        <f>HYPERLINK("http://ar.linkedin.com/pub/nilda-balma/26/694/430","http://ar.linkedin.com/pub/nilda-balma/26/694/430")</f>
        <v>http://ar.linkedin.com/pub/nilda-balma/26/694/430</v>
      </c>
      <c r="I3861" s="2" t="s">
        <v>2574</v>
      </c>
      <c r="J3861" s="2" t="s">
        <v>21</v>
      </c>
      <c r="K3861" s="2" t="s">
        <v>5727</v>
      </c>
    </row>
    <row r="3862" ht="15.75" customHeight="1">
      <c r="A3862" s="2">
        <v>35514.0</v>
      </c>
      <c r="B3862" s="2" t="s">
        <v>287</v>
      </c>
      <c r="C3862" s="2" t="s">
        <v>8268</v>
      </c>
      <c r="D3862" s="2" t="s">
        <v>8269</v>
      </c>
      <c r="E3862" s="2" t="s">
        <v>8270</v>
      </c>
      <c r="F3862" s="2">
        <v>4.0</v>
      </c>
      <c r="G3862" s="2">
        <v>186.0</v>
      </c>
      <c r="H3862" s="3" t="str">
        <f>HYPERLINK("http://www.linkedin.com/in/duvoy","http://www.linkedin.com/in/duvoy")</f>
        <v>http://www.linkedin.com/in/duvoy</v>
      </c>
      <c r="I3862" s="2" t="s">
        <v>240</v>
      </c>
      <c r="J3862" s="2" t="s">
        <v>102</v>
      </c>
      <c r="K3862" s="2" t="s">
        <v>6574</v>
      </c>
    </row>
    <row r="3863" ht="15.75" customHeight="1">
      <c r="A3863" s="2">
        <v>35524.0</v>
      </c>
      <c r="B3863" s="2" t="s">
        <v>6004</v>
      </c>
      <c r="C3863" s="2" t="s">
        <v>2135</v>
      </c>
      <c r="D3863" s="2" t="s">
        <v>2446</v>
      </c>
      <c r="E3863" s="2" t="s">
        <v>20</v>
      </c>
      <c r="F3863" s="2">
        <v>3.0</v>
      </c>
      <c r="G3863" s="2">
        <v>298.0</v>
      </c>
      <c r="H3863" s="3" t="str">
        <f>HYPERLINK("http://ar.linkedin.com/pub/juan-manuel-gutierrez/7/940/153","http://ar.linkedin.com/pub/juan-manuel-gutierrez/7/940/153")</f>
        <v>http://ar.linkedin.com/pub/juan-manuel-gutierrez/7/940/153</v>
      </c>
      <c r="I3863" s="2" t="s">
        <v>57</v>
      </c>
      <c r="J3863" s="2" t="s">
        <v>21</v>
      </c>
      <c r="K3863" s="2" t="s">
        <v>5727</v>
      </c>
    </row>
    <row r="3864" ht="15.75" customHeight="1">
      <c r="A3864" s="2">
        <v>35568.0</v>
      </c>
      <c r="B3864" s="2" t="s">
        <v>8271</v>
      </c>
      <c r="C3864" s="2" t="s">
        <v>206</v>
      </c>
      <c r="D3864" s="2" t="s">
        <v>13</v>
      </c>
      <c r="E3864" s="2" t="s">
        <v>20</v>
      </c>
      <c r="F3864" s="2">
        <v>0.0</v>
      </c>
      <c r="G3864" s="2">
        <v>257.0</v>
      </c>
      <c r="H3864" s="3" t="str">
        <f>HYPERLINK("http://www.linkedin.com/pub/dario-ernesto-garcia/a/556/852","http://www.linkedin.com/pub/dario-ernesto-garcia/a/556/852")</f>
        <v>http://www.linkedin.com/pub/dario-ernesto-garcia/a/556/852</v>
      </c>
      <c r="I3864" s="2" t="s">
        <v>15</v>
      </c>
      <c r="J3864" s="2" t="s">
        <v>21</v>
      </c>
      <c r="K3864" s="2" t="s">
        <v>5848</v>
      </c>
    </row>
    <row r="3865" ht="15.75" customHeight="1">
      <c r="A3865" s="2">
        <v>35575.0</v>
      </c>
      <c r="B3865" s="2" t="s">
        <v>3223</v>
      </c>
      <c r="C3865" s="2" t="s">
        <v>8247</v>
      </c>
      <c r="D3865" s="2" t="s">
        <v>8272</v>
      </c>
      <c r="E3865" s="2" t="s">
        <v>20</v>
      </c>
      <c r="F3865" s="2">
        <v>3.0</v>
      </c>
      <c r="G3865" s="2">
        <v>280.0</v>
      </c>
      <c r="H3865" s="3" t="str">
        <f>HYPERLINK("http://ar.linkedin.com/in/inglauraaguilar","http://ar.linkedin.com/in/inglauraaguilar")</f>
        <v>http://ar.linkedin.com/in/inglauraaguilar</v>
      </c>
      <c r="I3865" s="2" t="s">
        <v>225</v>
      </c>
      <c r="J3865" s="2" t="s">
        <v>21</v>
      </c>
      <c r="K3865" s="2" t="s">
        <v>5727</v>
      </c>
    </row>
    <row r="3866" ht="15.75" customHeight="1">
      <c r="A3866" s="2">
        <v>35589.0</v>
      </c>
      <c r="B3866" s="2" t="s">
        <v>245</v>
      </c>
      <c r="C3866" s="2" t="s">
        <v>7619</v>
      </c>
      <c r="D3866" s="2"/>
      <c r="E3866" s="2" t="s">
        <v>2058</v>
      </c>
      <c r="F3866" s="2">
        <v>6.0</v>
      </c>
      <c r="G3866" s="2">
        <v>500.0</v>
      </c>
      <c r="H3866" s="3" t="str">
        <f>HYPERLINK("http://www.linkedin.com/pub/steven-corn/0/5/A61","http://www.linkedin.com/pub/steven-corn/0/5/A61")</f>
        <v>http://www.linkedin.com/pub/steven-corn/0/5/A61</v>
      </c>
      <c r="I3866" s="2" t="s">
        <v>318</v>
      </c>
      <c r="J3866" s="2" t="s">
        <v>102</v>
      </c>
      <c r="K3866" s="2" t="s">
        <v>5785</v>
      </c>
    </row>
    <row r="3867" ht="15.75" customHeight="1">
      <c r="A3867" s="2">
        <v>35598.0</v>
      </c>
      <c r="B3867" s="2" t="s">
        <v>245</v>
      </c>
      <c r="C3867" s="2" t="s">
        <v>8273</v>
      </c>
      <c r="D3867" s="2" t="s">
        <v>756</v>
      </c>
      <c r="E3867" s="2" t="s">
        <v>301</v>
      </c>
      <c r="F3867" s="2">
        <v>15.0</v>
      </c>
      <c r="G3867" s="2">
        <v>500.0</v>
      </c>
      <c r="H3867" s="3" t="str">
        <f>HYPERLINK("http://www.linkedin.com/in/masur","http://www.linkedin.com/in/masur")</f>
        <v>http://www.linkedin.com/in/masur</v>
      </c>
      <c r="I3867" s="2" t="s">
        <v>182</v>
      </c>
      <c r="J3867" s="2" t="s">
        <v>102</v>
      </c>
      <c r="K3867" s="2" t="s">
        <v>5725</v>
      </c>
    </row>
    <row r="3868" ht="15.75" customHeight="1">
      <c r="A3868" s="2">
        <v>35783.0</v>
      </c>
      <c r="B3868" s="2" t="s">
        <v>8274</v>
      </c>
      <c r="C3868" s="2" t="s">
        <v>8275</v>
      </c>
      <c r="D3868" s="2"/>
      <c r="E3868" s="2" t="s">
        <v>1288</v>
      </c>
      <c r="F3868" s="2">
        <v>1.0</v>
      </c>
      <c r="G3868" s="2">
        <v>500.0</v>
      </c>
      <c r="H3868" s="3" t="str">
        <f>HYPERLINK("http://uk.linkedin.com/in/avrilmcdonald28745","http://uk.linkedin.com/in/avrilmcdonald28745")</f>
        <v>http://uk.linkedin.com/in/avrilmcdonald28745</v>
      </c>
      <c r="I3868" s="2" t="s">
        <v>195</v>
      </c>
      <c r="J3868" s="2" t="s">
        <v>53</v>
      </c>
      <c r="K3868" s="2" t="s">
        <v>5743</v>
      </c>
    </row>
    <row r="3869" ht="15.75" customHeight="1">
      <c r="A3869" s="2">
        <v>35784.0</v>
      </c>
      <c r="B3869" s="2" t="s">
        <v>8276</v>
      </c>
      <c r="C3869" s="2" t="s">
        <v>1934</v>
      </c>
      <c r="D3869" s="2" t="s">
        <v>8277</v>
      </c>
      <c r="E3869" s="2" t="s">
        <v>1288</v>
      </c>
      <c r="F3869" s="2">
        <v>0.0</v>
      </c>
      <c r="G3869" s="2">
        <v>152.0</v>
      </c>
      <c r="H3869" s="3" t="str">
        <f>HYPERLINK("http://uk.linkedin.com/pub/tijani-kelly/28/667/407","http://uk.linkedin.com/pub/tijani-kelly/28/667/407")</f>
        <v>http://uk.linkedin.com/pub/tijani-kelly/28/667/407</v>
      </c>
      <c r="I3869" s="2" t="s">
        <v>77</v>
      </c>
      <c r="J3869" s="2" t="s">
        <v>53</v>
      </c>
      <c r="K3869" s="2" t="s">
        <v>6342</v>
      </c>
    </row>
    <row r="3870" ht="15.75" customHeight="1">
      <c r="A3870" s="2">
        <v>36026.0</v>
      </c>
      <c r="B3870" s="2" t="s">
        <v>703</v>
      </c>
      <c r="C3870" s="2" t="s">
        <v>8278</v>
      </c>
      <c r="D3870" s="2" t="s">
        <v>8279</v>
      </c>
      <c r="E3870" s="2" t="s">
        <v>1190</v>
      </c>
      <c r="F3870" s="2">
        <v>14.0</v>
      </c>
      <c r="G3870" s="2">
        <v>500.0</v>
      </c>
      <c r="H3870" s="3" t="str">
        <f>HYPERLINK("http://www.linkedin.com/in/ralphavila","http://www.linkedin.com/in/ralphavila")</f>
        <v>http://www.linkedin.com/in/ralphavila</v>
      </c>
      <c r="I3870" s="2" t="s">
        <v>599</v>
      </c>
      <c r="J3870" s="2" t="s">
        <v>102</v>
      </c>
      <c r="K3870" s="2" t="s">
        <v>5743</v>
      </c>
    </row>
    <row r="3871" ht="15.75" customHeight="1">
      <c r="A3871" s="2">
        <v>36373.0</v>
      </c>
      <c r="B3871" s="2" t="s">
        <v>8280</v>
      </c>
      <c r="C3871" s="2" t="s">
        <v>8281</v>
      </c>
      <c r="D3871" s="2" t="s">
        <v>8282</v>
      </c>
      <c r="E3871" s="2" t="s">
        <v>136</v>
      </c>
      <c r="F3871" s="2">
        <v>0.0</v>
      </c>
      <c r="G3871" s="2">
        <v>500.0</v>
      </c>
      <c r="H3871" s="3" t="str">
        <f>HYPERLINK("http://www.linkedin.com/pub/emmie-braun/14/752/558","http://www.linkedin.com/pub/emmie-braun/14/752/558")</f>
        <v>http://www.linkedin.com/pub/emmie-braun/14/752/558</v>
      </c>
      <c r="I3871" s="2" t="s">
        <v>69</v>
      </c>
      <c r="J3871" s="2" t="s">
        <v>102</v>
      </c>
      <c r="K3871" s="2" t="s">
        <v>6342</v>
      </c>
    </row>
    <row r="3872" ht="15.75" customHeight="1">
      <c r="A3872" s="2">
        <v>36529.0</v>
      </c>
      <c r="B3872" s="2" t="s">
        <v>845</v>
      </c>
      <c r="C3872" s="2" t="s">
        <v>8283</v>
      </c>
      <c r="D3872" s="2" t="s">
        <v>8284</v>
      </c>
      <c r="E3872" s="2" t="s">
        <v>122</v>
      </c>
      <c r="F3872" s="2">
        <v>20.0</v>
      </c>
      <c r="G3872" s="2">
        <v>500.0</v>
      </c>
      <c r="H3872" s="3" t="str">
        <f>HYPERLINK("http://www.linkedin.com/in/ryder01","http://www.linkedin.com/in/ryder01")</f>
        <v>http://www.linkedin.com/in/ryder01</v>
      </c>
      <c r="I3872" s="2" t="s">
        <v>77</v>
      </c>
      <c r="J3872" s="2" t="s">
        <v>53</v>
      </c>
      <c r="K3872" s="2" t="s">
        <v>8285</v>
      </c>
    </row>
    <row r="3873" ht="15.75" customHeight="1">
      <c r="A3873" s="2">
        <v>36537.0</v>
      </c>
      <c r="B3873" s="2" t="s">
        <v>1454</v>
      </c>
      <c r="C3873" s="2" t="s">
        <v>8286</v>
      </c>
      <c r="D3873" s="2" t="s">
        <v>4224</v>
      </c>
      <c r="E3873" s="2" t="s">
        <v>914</v>
      </c>
      <c r="F3873" s="2">
        <v>6.0</v>
      </c>
      <c r="G3873" s="2">
        <v>203.0</v>
      </c>
      <c r="H3873" s="3" t="str">
        <f>HYPERLINK("http://www.linkedin.com/in/alansavitt","http://www.linkedin.com/in/alansavitt")</f>
        <v>http://www.linkedin.com/in/alansavitt</v>
      </c>
      <c r="I3873" s="2" t="s">
        <v>470</v>
      </c>
      <c r="J3873" s="2" t="s">
        <v>102</v>
      </c>
      <c r="K3873" s="2" t="s">
        <v>5743</v>
      </c>
    </row>
    <row r="3874" ht="15.75" customHeight="1">
      <c r="A3874" s="2">
        <v>36539.0</v>
      </c>
      <c r="B3874" s="2" t="s">
        <v>1545</v>
      </c>
      <c r="C3874" s="2" t="s">
        <v>3139</v>
      </c>
      <c r="D3874" s="2" t="s">
        <v>289</v>
      </c>
      <c r="E3874" s="2" t="s">
        <v>122</v>
      </c>
      <c r="F3874" s="2">
        <v>3.0</v>
      </c>
      <c r="G3874" s="2">
        <v>331.0</v>
      </c>
      <c r="H3874" s="3" t="str">
        <f>HYPERLINK("http://uk.linkedin.com/pub/patrick-holliday/5/2B2/5B3","http://uk.linkedin.com/pub/patrick-holliday/5/2B2/5B3")</f>
        <v>http://uk.linkedin.com/pub/patrick-holliday/5/2B2/5B3</v>
      </c>
      <c r="I3874" s="2" t="s">
        <v>1740</v>
      </c>
      <c r="J3874" s="2" t="s">
        <v>53</v>
      </c>
      <c r="K3874" s="2" t="s">
        <v>5743</v>
      </c>
    </row>
    <row r="3875" ht="15.75" customHeight="1">
      <c r="A3875" s="2">
        <v>36545.0</v>
      </c>
      <c r="B3875" s="2" t="s">
        <v>1087</v>
      </c>
      <c r="C3875" s="2" t="s">
        <v>4054</v>
      </c>
      <c r="D3875" s="2" t="s">
        <v>8287</v>
      </c>
      <c r="E3875" s="2" t="s">
        <v>3429</v>
      </c>
      <c r="F3875" s="2">
        <v>8.0</v>
      </c>
      <c r="G3875" s="2">
        <v>500.0</v>
      </c>
      <c r="H3875" s="3" t="str">
        <f>HYPERLINK("http://uk.linkedin.com/in/jamesrobertson27","http://uk.linkedin.com/in/jamesrobertson27")</f>
        <v>http://uk.linkedin.com/in/jamesrobertson27</v>
      </c>
      <c r="I3875" s="2" t="s">
        <v>382</v>
      </c>
      <c r="J3875" s="2" t="s">
        <v>53</v>
      </c>
      <c r="K3875" s="2" t="s">
        <v>5913</v>
      </c>
    </row>
    <row r="3876" ht="15.75" customHeight="1">
      <c r="A3876" s="2">
        <v>36567.0</v>
      </c>
      <c r="B3876" s="2" t="s">
        <v>7210</v>
      </c>
      <c r="C3876" s="2" t="s">
        <v>8288</v>
      </c>
      <c r="D3876" s="2" t="s">
        <v>6069</v>
      </c>
      <c r="E3876" s="2" t="s">
        <v>20</v>
      </c>
      <c r="F3876" s="2" t="s">
        <v>13</v>
      </c>
      <c r="G3876" s="2">
        <v>500.0</v>
      </c>
      <c r="H3876" s="3" t="str">
        <f>HYPERLINK("http://ar.linkedin.com/in/paulaperezwillis","http://ar.linkedin.com/in/paulaperezwillis")</f>
        <v>http://ar.linkedin.com/in/paulaperezwillis</v>
      </c>
      <c r="I3876" s="2" t="s">
        <v>96</v>
      </c>
      <c r="J3876" s="2" t="s">
        <v>21</v>
      </c>
      <c r="K3876" s="2" t="s">
        <v>7357</v>
      </c>
    </row>
    <row r="3877" ht="15.75" customHeight="1">
      <c r="A3877" s="2">
        <v>36632.0</v>
      </c>
      <c r="B3877" s="2" t="s">
        <v>362</v>
      </c>
      <c r="C3877" s="2" t="s">
        <v>8289</v>
      </c>
      <c r="D3877" s="2" t="s">
        <v>8290</v>
      </c>
      <c r="E3877" s="2" t="s">
        <v>20</v>
      </c>
      <c r="F3877" s="2">
        <v>4.0</v>
      </c>
      <c r="G3877" s="2">
        <v>500.0</v>
      </c>
      <c r="H3877" s="3" t="str">
        <f>HYPERLINK("http://ar.linkedin.com/in/javiercanete","http://ar.linkedin.com/in/javiercanete")</f>
        <v>http://ar.linkedin.com/in/javiercanete</v>
      </c>
      <c r="I3877" s="2" t="s">
        <v>1679</v>
      </c>
      <c r="J3877" s="2" t="s">
        <v>21</v>
      </c>
      <c r="K3877" s="2" t="s">
        <v>5727</v>
      </c>
    </row>
    <row r="3878" ht="15.75" customHeight="1">
      <c r="A3878" s="2">
        <v>36646.0</v>
      </c>
      <c r="B3878" s="2" t="s">
        <v>8291</v>
      </c>
      <c r="C3878" s="2" t="s">
        <v>8292</v>
      </c>
      <c r="D3878" s="2" t="s">
        <v>8293</v>
      </c>
      <c r="E3878" s="2" t="s">
        <v>20</v>
      </c>
      <c r="F3878" s="2">
        <v>6.0</v>
      </c>
      <c r="G3878" s="2">
        <v>253.0</v>
      </c>
      <c r="H3878" s="3" t="str">
        <f>HYPERLINK("http://ar.linkedin.com/in/leonelsonzini","http://ar.linkedin.com/in/leonelsonzini")</f>
        <v>http://ar.linkedin.com/in/leonelsonzini</v>
      </c>
      <c r="I3878" s="2" t="s">
        <v>1679</v>
      </c>
      <c r="J3878" s="2" t="s">
        <v>21</v>
      </c>
      <c r="K3878" s="2" t="s">
        <v>5727</v>
      </c>
    </row>
    <row r="3879" ht="15.75" customHeight="1">
      <c r="A3879" s="2">
        <v>36698.0</v>
      </c>
      <c r="B3879" s="2" t="s">
        <v>6417</v>
      </c>
      <c r="C3879" s="2" t="s">
        <v>8294</v>
      </c>
      <c r="D3879" s="2" t="s">
        <v>8295</v>
      </c>
      <c r="E3879" s="2" t="s">
        <v>20</v>
      </c>
      <c r="F3879" s="2" t="s">
        <v>13</v>
      </c>
      <c r="G3879" s="2">
        <v>277.0</v>
      </c>
      <c r="H3879" s="3" t="str">
        <f>HYPERLINK("http://ar.linkedin.com/in/gislavieyra","http://ar.linkedin.com/in/gislavieyra")</f>
        <v>http://ar.linkedin.com/in/gislavieyra</v>
      </c>
      <c r="I3879" s="2" t="s">
        <v>696</v>
      </c>
      <c r="J3879" s="2" t="s">
        <v>21</v>
      </c>
      <c r="K3879" s="2" t="s">
        <v>5848</v>
      </c>
    </row>
    <row r="3880" ht="15.75" customHeight="1">
      <c r="A3880" s="2">
        <v>36702.0</v>
      </c>
      <c r="B3880" s="2" t="s">
        <v>8296</v>
      </c>
      <c r="C3880" s="2" t="s">
        <v>6057</v>
      </c>
      <c r="D3880" s="2" t="s">
        <v>13</v>
      </c>
      <c r="E3880" s="2" t="s">
        <v>20</v>
      </c>
      <c r="F3880" s="2">
        <v>0.0</v>
      </c>
      <c r="G3880" s="2">
        <v>31.0</v>
      </c>
      <c r="H3880" s="3" t="str">
        <f>HYPERLINK("http://www.linkedin.com/pub/pablo-mat%C3%ADas-aparicio/24/199/867","http://www.linkedin.com/pub/pablo-mat%C3%ADas-aparicio/24/199/867")</f>
        <v>http://www.linkedin.com/pub/pablo-mat%C3%ADas-aparicio/24/199/867</v>
      </c>
      <c r="I3880" s="2" t="s">
        <v>119</v>
      </c>
      <c r="J3880" s="2" t="s">
        <v>21</v>
      </c>
      <c r="K3880" s="2" t="s">
        <v>5725</v>
      </c>
    </row>
    <row r="3881" ht="15.75" customHeight="1">
      <c r="A3881" s="2">
        <v>36713.0</v>
      </c>
      <c r="B3881" s="2" t="s">
        <v>4304</v>
      </c>
      <c r="C3881" s="2" t="s">
        <v>8297</v>
      </c>
      <c r="D3881" s="2" t="s">
        <v>8298</v>
      </c>
      <c r="E3881" s="2" t="s">
        <v>20</v>
      </c>
      <c r="F3881" s="2" t="s">
        <v>13</v>
      </c>
      <c r="G3881" s="2">
        <v>464.0</v>
      </c>
      <c r="H3881" s="3" t="str">
        <f>HYPERLINK("http://ar.linkedin.com/pub/leandro-tocalini/17/48A/877","http://ar.linkedin.com/pub/leandro-tocalini/17/48A/877")</f>
        <v>http://ar.linkedin.com/pub/leandro-tocalini/17/48A/877</v>
      </c>
      <c r="I3881" s="2" t="s">
        <v>252</v>
      </c>
      <c r="J3881" s="2" t="s">
        <v>21</v>
      </c>
      <c r="K3881" s="2" t="s">
        <v>5734</v>
      </c>
    </row>
    <row r="3882" ht="15.75" customHeight="1">
      <c r="A3882" s="2">
        <v>36748.0</v>
      </c>
      <c r="B3882" s="2" t="s">
        <v>8299</v>
      </c>
      <c r="C3882" s="2" t="s">
        <v>8300</v>
      </c>
      <c r="D3882" s="2" t="s">
        <v>13</v>
      </c>
      <c r="E3882" s="2" t="s">
        <v>20</v>
      </c>
      <c r="F3882" s="2">
        <v>2.0</v>
      </c>
      <c r="G3882" s="2">
        <v>388.0</v>
      </c>
      <c r="H3882" s="3" t="str">
        <f>HYPERLINK("http://www.linkedin.com/pub/alenca-petrich/30/721/658","http://www.linkedin.com/pub/alenca-petrich/30/721/658")</f>
        <v>http://www.linkedin.com/pub/alenca-petrich/30/721/658</v>
      </c>
      <c r="I3882" s="2" t="s">
        <v>57</v>
      </c>
      <c r="J3882" s="2" t="s">
        <v>21</v>
      </c>
      <c r="K3882" s="2" t="s">
        <v>5727</v>
      </c>
    </row>
    <row r="3883" ht="15.75" customHeight="1">
      <c r="A3883" s="2">
        <v>36800.0</v>
      </c>
      <c r="B3883" s="2" t="s">
        <v>1296</v>
      </c>
      <c r="C3883" s="2" t="s">
        <v>8301</v>
      </c>
      <c r="D3883" s="2" t="s">
        <v>8302</v>
      </c>
      <c r="E3883" s="2" t="s">
        <v>20</v>
      </c>
      <c r="F3883" s="2">
        <v>1.0</v>
      </c>
      <c r="G3883" s="2">
        <v>11.0</v>
      </c>
      <c r="H3883" s="3" t="str">
        <f>HYPERLINK("http://ar.linkedin.com/in/andrearuscitto","http://ar.linkedin.com/in/andrearuscitto")</f>
        <v>http://ar.linkedin.com/in/andrearuscitto</v>
      </c>
      <c r="I3883" s="2" t="s">
        <v>15</v>
      </c>
      <c r="J3883" s="2" t="s">
        <v>21</v>
      </c>
      <c r="K3883" s="2" t="s">
        <v>5819</v>
      </c>
    </row>
    <row r="3884" ht="15.75" customHeight="1">
      <c r="A3884" s="2">
        <v>36801.0</v>
      </c>
      <c r="B3884" s="2" t="s">
        <v>677</v>
      </c>
      <c r="C3884" s="2" t="s">
        <v>8303</v>
      </c>
      <c r="D3884" s="2" t="s">
        <v>8304</v>
      </c>
      <c r="E3884" s="2" t="s">
        <v>20</v>
      </c>
      <c r="F3884" s="2">
        <v>1.0</v>
      </c>
      <c r="G3884" s="2">
        <v>106.0</v>
      </c>
      <c r="H3884" s="3" t="str">
        <f>HYPERLINK("http://ar.linkedin.com/pub/daniel-font/20/17A/661","http://ar.linkedin.com/pub/daniel-font/20/17A/661")</f>
        <v>http://ar.linkedin.com/pub/daniel-font/20/17A/661</v>
      </c>
      <c r="I3884" s="2" t="s">
        <v>15</v>
      </c>
      <c r="J3884" s="2" t="s">
        <v>21</v>
      </c>
      <c r="K3884" s="2" t="s">
        <v>5725</v>
      </c>
    </row>
    <row r="3885" ht="15.75" customHeight="1">
      <c r="A3885" s="2">
        <v>36841.0</v>
      </c>
      <c r="B3885" s="2" t="s">
        <v>812</v>
      </c>
      <c r="C3885" s="2" t="s">
        <v>8305</v>
      </c>
      <c r="D3885" s="2" t="s">
        <v>8306</v>
      </c>
      <c r="E3885" s="2" t="s">
        <v>20</v>
      </c>
      <c r="F3885" s="2" t="s">
        <v>13</v>
      </c>
      <c r="G3885" s="2">
        <v>389.0</v>
      </c>
      <c r="H3885" s="3" t="str">
        <f>HYPERLINK("http://ar.linkedin.com/pub/vanina-armesto/9/767/879","http://ar.linkedin.com/pub/vanina-armesto/9/767/879")</f>
        <v>http://ar.linkedin.com/pub/vanina-armesto/9/767/879</v>
      </c>
      <c r="I3885" s="2" t="s">
        <v>77</v>
      </c>
      <c r="J3885" s="2" t="s">
        <v>21</v>
      </c>
      <c r="K3885" s="2" t="s">
        <v>5848</v>
      </c>
    </row>
    <row r="3886" ht="15.75" customHeight="1">
      <c r="A3886" s="2">
        <v>36866.0</v>
      </c>
      <c r="B3886" s="2" t="s">
        <v>253</v>
      </c>
      <c r="C3886" s="2" t="s">
        <v>8307</v>
      </c>
      <c r="D3886" s="2" t="s">
        <v>13</v>
      </c>
      <c r="E3886" s="2" t="s">
        <v>20</v>
      </c>
      <c r="F3886" s="2">
        <v>0.0</v>
      </c>
      <c r="G3886" s="2">
        <v>137.0</v>
      </c>
      <c r="H3886" s="3" t="str">
        <f>HYPERLINK("http://www.linkedin.com/pub/fernando-lillia/12/78/748","http://www.linkedin.com/pub/fernando-lillia/12/78/748")</f>
        <v>http://www.linkedin.com/pub/fernando-lillia/12/78/748</v>
      </c>
      <c r="I3886" s="2" t="s">
        <v>48</v>
      </c>
      <c r="J3886" s="2" t="s">
        <v>21</v>
      </c>
      <c r="K3886" s="2" t="s">
        <v>5725</v>
      </c>
    </row>
    <row r="3887" ht="15.75" customHeight="1">
      <c r="A3887" s="2">
        <v>36867.0</v>
      </c>
      <c r="B3887" s="2" t="s">
        <v>1499</v>
      </c>
      <c r="C3887" s="2" t="s">
        <v>8308</v>
      </c>
      <c r="D3887" s="2" t="s">
        <v>6260</v>
      </c>
      <c r="E3887" s="2" t="s">
        <v>20</v>
      </c>
      <c r="F3887" s="2">
        <v>4.0</v>
      </c>
      <c r="G3887" s="2">
        <v>201.0</v>
      </c>
      <c r="H3887" s="3" t="str">
        <f>HYPERLINK("http://www.linkedin.com/pub/adrian-prizont/16/7b5/787","http://www.linkedin.com/pub/adrian-prizont/16/7b5/787")</f>
        <v>http://www.linkedin.com/pub/adrian-prizont/16/7b5/787</v>
      </c>
      <c r="I3887" s="2" t="s">
        <v>15</v>
      </c>
      <c r="J3887" s="2" t="s">
        <v>21</v>
      </c>
      <c r="K3887" s="2" t="s">
        <v>5734</v>
      </c>
    </row>
    <row r="3888" ht="15.75" customHeight="1">
      <c r="A3888" s="2">
        <v>36907.0</v>
      </c>
      <c r="B3888" s="2" t="s">
        <v>5681</v>
      </c>
      <c r="C3888" s="2" t="s">
        <v>4486</v>
      </c>
      <c r="D3888" s="2" t="s">
        <v>347</v>
      </c>
      <c r="E3888" s="2" t="s">
        <v>20</v>
      </c>
      <c r="F3888" s="2">
        <v>3.0</v>
      </c>
      <c r="G3888" s="2">
        <v>315.0</v>
      </c>
      <c r="H3888" s="3" t="str">
        <f>HYPERLINK("http://ar.linkedin.com/in/damfernandez","http://ar.linkedin.com/in/damfernandez")</f>
        <v>http://ar.linkedin.com/in/damfernandez</v>
      </c>
      <c r="I3888" s="2" t="s">
        <v>2268</v>
      </c>
      <c r="J3888" s="2" t="s">
        <v>21</v>
      </c>
      <c r="K3888" s="2" t="s">
        <v>5734</v>
      </c>
    </row>
    <row r="3889" ht="15.75" customHeight="1">
      <c r="A3889" s="2">
        <v>36911.0</v>
      </c>
      <c r="B3889" s="2" t="s">
        <v>6025</v>
      </c>
      <c r="C3889" s="2" t="s">
        <v>8309</v>
      </c>
      <c r="D3889" s="2" t="s">
        <v>347</v>
      </c>
      <c r="E3889" s="2" t="s">
        <v>20</v>
      </c>
      <c r="F3889" s="2">
        <v>1.0</v>
      </c>
      <c r="G3889" s="2">
        <v>296.0</v>
      </c>
      <c r="H3889" s="3" t="str">
        <f>HYPERLINK("http://ar.linkedin.com/pub/hernan-ricchio/9/527/482","http://ar.linkedin.com/pub/hernan-ricchio/9/527/482")</f>
        <v>http://ar.linkedin.com/pub/hernan-ricchio/9/527/482</v>
      </c>
      <c r="I3889" s="2" t="s">
        <v>279</v>
      </c>
      <c r="J3889" s="2" t="s">
        <v>21</v>
      </c>
      <c r="K3889" s="2" t="s">
        <v>5743</v>
      </c>
    </row>
    <row r="3890" ht="15.75" customHeight="1">
      <c r="A3890" s="2">
        <v>36920.0</v>
      </c>
      <c r="B3890" s="2" t="s">
        <v>197</v>
      </c>
      <c r="C3890" s="2" t="s">
        <v>8310</v>
      </c>
      <c r="D3890" s="2" t="s">
        <v>13</v>
      </c>
      <c r="E3890" s="2" t="s">
        <v>20</v>
      </c>
      <c r="F3890" s="2">
        <v>0.0</v>
      </c>
      <c r="G3890" s="2">
        <v>275.0</v>
      </c>
      <c r="H3890" s="3" t="str">
        <f>HYPERLINK("http://www.linkedin.com/pub/hector-badie/b/379/791","http://www.linkedin.com/pub/hector-badie/b/379/791")</f>
        <v>http://www.linkedin.com/pub/hector-badie/b/379/791</v>
      </c>
      <c r="I3890" s="2" t="s">
        <v>2000</v>
      </c>
      <c r="J3890" s="2" t="s">
        <v>21</v>
      </c>
      <c r="K3890" s="2" t="s">
        <v>5727</v>
      </c>
    </row>
    <row r="3891" ht="15.75" customHeight="1">
      <c r="A3891" s="2">
        <v>36921.0</v>
      </c>
      <c r="B3891" s="2" t="s">
        <v>362</v>
      </c>
      <c r="C3891" s="2" t="s">
        <v>2135</v>
      </c>
      <c r="D3891" s="2" t="s">
        <v>6098</v>
      </c>
      <c r="E3891" s="2" t="s">
        <v>20</v>
      </c>
      <c r="F3891" s="2" t="s">
        <v>13</v>
      </c>
      <c r="G3891" s="2">
        <v>112.0</v>
      </c>
      <c r="H3891" s="3" t="str">
        <f>HYPERLINK("http://ar.linkedin.com/pub/javier-gutierrez/19/976/805","http://ar.linkedin.com/pub/javier-gutierrez/19/976/805")</f>
        <v>http://ar.linkedin.com/pub/javier-gutierrez/19/976/805</v>
      </c>
      <c r="I3891" s="2" t="s">
        <v>15</v>
      </c>
      <c r="J3891" s="2" t="s">
        <v>21</v>
      </c>
      <c r="K3891" s="2" t="s">
        <v>5725</v>
      </c>
    </row>
    <row r="3892" ht="15.75" customHeight="1">
      <c r="A3892" s="2">
        <v>36939.0</v>
      </c>
      <c r="B3892" s="2" t="s">
        <v>264</v>
      </c>
      <c r="C3892" s="2" t="s">
        <v>8311</v>
      </c>
      <c r="D3892" s="2" t="s">
        <v>8312</v>
      </c>
      <c r="E3892" s="2" t="s">
        <v>20</v>
      </c>
      <c r="F3892" s="2" t="s">
        <v>13</v>
      </c>
      <c r="G3892" s="2">
        <v>113.0</v>
      </c>
      <c r="H3892" s="3" t="str">
        <f>HYPERLINK("http://ar.linkedin.com/in/andrescanale","http://ar.linkedin.com/in/andrescanale")</f>
        <v>http://ar.linkedin.com/in/andrescanale</v>
      </c>
      <c r="I3892" s="2" t="s">
        <v>15</v>
      </c>
      <c r="J3892" s="2" t="s">
        <v>21</v>
      </c>
      <c r="K3892" s="2" t="s">
        <v>5725</v>
      </c>
    </row>
    <row r="3893" ht="15.75" customHeight="1">
      <c r="A3893" s="2">
        <v>36970.0</v>
      </c>
      <c r="B3893" s="2" t="s">
        <v>523</v>
      </c>
      <c r="C3893" s="2" t="s">
        <v>8313</v>
      </c>
      <c r="D3893" s="2" t="s">
        <v>8314</v>
      </c>
      <c r="E3893" s="2" t="s">
        <v>20</v>
      </c>
      <c r="F3893" s="2">
        <v>7.0</v>
      </c>
      <c r="G3893" s="2">
        <v>217.0</v>
      </c>
      <c r="H3893" s="3" t="str">
        <f>HYPERLINK("http://ar.linkedin.com/pub/ignacio-julian/15/577/765","http://ar.linkedin.com/pub/ignacio-julian/15/577/765")</f>
        <v>http://ar.linkedin.com/pub/ignacio-julian/15/577/765</v>
      </c>
      <c r="I3893" s="2" t="s">
        <v>105</v>
      </c>
      <c r="J3893" s="2" t="s">
        <v>21</v>
      </c>
      <c r="K3893" s="2" t="s">
        <v>5727</v>
      </c>
    </row>
    <row r="3894" ht="15.75" customHeight="1">
      <c r="A3894" s="2">
        <v>36974.0</v>
      </c>
      <c r="B3894" s="2" t="s">
        <v>8315</v>
      </c>
      <c r="C3894" s="2" t="s">
        <v>8316</v>
      </c>
      <c r="D3894" s="2" t="s">
        <v>8317</v>
      </c>
      <c r="E3894" s="2" t="s">
        <v>20</v>
      </c>
      <c r="F3894" s="2">
        <v>1.0</v>
      </c>
      <c r="G3894" s="2">
        <v>500.0</v>
      </c>
      <c r="H3894" s="3" t="str">
        <f>HYPERLINK("http://ar.linkedin.com/in/josefinatarris","http://ar.linkedin.com/in/josefinatarris")</f>
        <v>http://ar.linkedin.com/in/josefinatarris</v>
      </c>
      <c r="I3894" s="2" t="s">
        <v>77</v>
      </c>
      <c r="J3894" s="2" t="s">
        <v>21</v>
      </c>
      <c r="K3894" s="2" t="s">
        <v>6342</v>
      </c>
    </row>
    <row r="3895" ht="15.75" customHeight="1">
      <c r="A3895" s="2">
        <v>36993.0</v>
      </c>
      <c r="B3895" s="2" t="s">
        <v>8318</v>
      </c>
      <c r="C3895" s="2" t="s">
        <v>8319</v>
      </c>
      <c r="D3895" s="2" t="s">
        <v>8320</v>
      </c>
      <c r="E3895" s="2" t="s">
        <v>20</v>
      </c>
      <c r="F3895" s="2">
        <v>14.0</v>
      </c>
      <c r="G3895" s="2">
        <v>500.0</v>
      </c>
      <c r="H3895" s="3" t="str">
        <f>HYPERLINK("http://ar.linkedin.com/in/guillermogesualdi","http://ar.linkedin.com/in/guillermogesualdi")</f>
        <v>http://ar.linkedin.com/in/guillermogesualdi</v>
      </c>
      <c r="I3895" s="2" t="s">
        <v>77</v>
      </c>
      <c r="J3895" s="2" t="s">
        <v>21</v>
      </c>
      <c r="K3895" s="2" t="s">
        <v>7406</v>
      </c>
    </row>
    <row r="3896" ht="15.75" customHeight="1">
      <c r="A3896" s="2">
        <v>36999.0</v>
      </c>
      <c r="B3896" s="2" t="s">
        <v>3165</v>
      </c>
      <c r="C3896" s="2" t="s">
        <v>8321</v>
      </c>
      <c r="D3896" s="2" t="s">
        <v>13</v>
      </c>
      <c r="E3896" s="2" t="s">
        <v>20</v>
      </c>
      <c r="F3896" s="2">
        <v>0.0</v>
      </c>
      <c r="G3896" s="2">
        <v>500.0</v>
      </c>
      <c r="H3896" s="3" t="str">
        <f>HYPERLINK("http://www.linkedin.com/pub/luciana-lovece/1/b63/166","http://www.linkedin.com/pub/luciana-lovece/1/b63/166")</f>
        <v>http://www.linkedin.com/pub/luciana-lovece/1/b63/166</v>
      </c>
      <c r="I3896" s="2" t="s">
        <v>458</v>
      </c>
      <c r="J3896" s="2" t="s">
        <v>21</v>
      </c>
      <c r="K3896" s="2" t="s">
        <v>5727</v>
      </c>
    </row>
    <row r="3897" ht="15.75" customHeight="1">
      <c r="A3897" s="2">
        <v>37006.0</v>
      </c>
      <c r="B3897" s="2" t="s">
        <v>8322</v>
      </c>
      <c r="C3897" s="2" t="s">
        <v>8323</v>
      </c>
      <c r="D3897" s="2" t="s">
        <v>13</v>
      </c>
      <c r="E3897" s="2" t="s">
        <v>20</v>
      </c>
      <c r="F3897" s="2">
        <v>0.0</v>
      </c>
      <c r="G3897" s="2">
        <v>500.0</v>
      </c>
      <c r="H3897" s="3" t="str">
        <f>HYPERLINK("http://www.linkedin.com/pub/martina-rua/b/615/609","http://www.linkedin.com/pub/martina-rua/b/615/609")</f>
        <v>http://www.linkedin.com/pub/martina-rua/b/615/609</v>
      </c>
      <c r="I3897" s="2" t="s">
        <v>2285</v>
      </c>
      <c r="J3897" s="2" t="s">
        <v>21</v>
      </c>
      <c r="K3897" s="2" t="s">
        <v>5727</v>
      </c>
    </row>
    <row r="3898" ht="15.75" customHeight="1">
      <c r="A3898" s="2">
        <v>37014.0</v>
      </c>
      <c r="B3898" s="2" t="s">
        <v>8324</v>
      </c>
      <c r="C3898" s="2" t="s">
        <v>8325</v>
      </c>
      <c r="D3898" s="2" t="s">
        <v>8326</v>
      </c>
      <c r="E3898" s="2" t="s">
        <v>20</v>
      </c>
      <c r="F3898" s="2">
        <v>7.0</v>
      </c>
      <c r="G3898" s="2">
        <v>500.0</v>
      </c>
      <c r="H3898" s="3" t="str">
        <f>HYPERLINK("http://ar.linkedin.com/in/irinasternik","http://ar.linkedin.com/in/irinasternik")</f>
        <v>http://ar.linkedin.com/in/irinasternik</v>
      </c>
      <c r="I3898" s="2" t="s">
        <v>1740</v>
      </c>
      <c r="J3898" s="2" t="s">
        <v>21</v>
      </c>
      <c r="K3898" s="2" t="s">
        <v>5727</v>
      </c>
    </row>
    <row r="3899" ht="15.75" customHeight="1">
      <c r="A3899" s="2">
        <v>37021.0</v>
      </c>
      <c r="B3899" s="2" t="s">
        <v>253</v>
      </c>
      <c r="C3899" s="2" t="s">
        <v>8327</v>
      </c>
      <c r="D3899" s="2" t="s">
        <v>289</v>
      </c>
      <c r="E3899" s="2" t="s">
        <v>20</v>
      </c>
      <c r="F3899" s="2">
        <v>2.0</v>
      </c>
      <c r="G3899" s="2">
        <v>500.0</v>
      </c>
      <c r="H3899" s="3" t="str">
        <f>HYPERLINK("http://ar.linkedin.com/in/famdan","http://ar.linkedin.com/in/famdan")</f>
        <v>http://ar.linkedin.com/in/famdan</v>
      </c>
      <c r="I3899" s="2" t="s">
        <v>1740</v>
      </c>
      <c r="J3899" s="2" t="s">
        <v>21</v>
      </c>
      <c r="K3899" s="2" t="s">
        <v>5727</v>
      </c>
    </row>
    <row r="3900" ht="15.75" customHeight="1">
      <c r="A3900" s="2">
        <v>37032.0</v>
      </c>
      <c r="B3900" s="2" t="s">
        <v>7739</v>
      </c>
      <c r="C3900" s="2" t="s">
        <v>8257</v>
      </c>
      <c r="D3900" s="2" t="s">
        <v>7901</v>
      </c>
      <c r="E3900" s="2" t="s">
        <v>20</v>
      </c>
      <c r="F3900" s="2">
        <v>3.0</v>
      </c>
      <c r="G3900" s="2">
        <v>451.0</v>
      </c>
      <c r="H3900" s="3" t="str">
        <f>HYPERLINK("http://ar.linkedin.com/pub/ramiro-mazzeo/0/5BA/312","http://ar.linkedin.com/pub/ramiro-mazzeo/0/5BA/312")</f>
        <v>http://ar.linkedin.com/pub/ramiro-mazzeo/0/5BA/312</v>
      </c>
      <c r="I3900" s="2" t="s">
        <v>105</v>
      </c>
      <c r="J3900" s="2" t="s">
        <v>21</v>
      </c>
      <c r="K3900" s="2" t="s">
        <v>5727</v>
      </c>
    </row>
    <row r="3901" ht="15.75" customHeight="1">
      <c r="A3901" s="2">
        <v>37041.0</v>
      </c>
      <c r="B3901" s="2" t="s">
        <v>8328</v>
      </c>
      <c r="C3901" s="2" t="s">
        <v>8329</v>
      </c>
      <c r="D3901" s="2" t="s">
        <v>1865</v>
      </c>
      <c r="E3901" s="2" t="s">
        <v>20</v>
      </c>
      <c r="F3901" s="2">
        <v>5.0</v>
      </c>
      <c r="G3901" s="2">
        <v>500.0</v>
      </c>
      <c r="H3901" s="3" t="str">
        <f>HYPERLINK("http://ar.linkedin.com/pub/leila-salinas/22/467/41A","http://ar.linkedin.com/pub/leila-salinas/22/467/41A")</f>
        <v>http://ar.linkedin.com/pub/leila-salinas/22/467/41A</v>
      </c>
      <c r="I3901" s="2" t="s">
        <v>1507</v>
      </c>
      <c r="J3901" s="2" t="s">
        <v>21</v>
      </c>
      <c r="K3901" s="2" t="s">
        <v>5727</v>
      </c>
    </row>
    <row r="3902" ht="15.75" customHeight="1">
      <c r="A3902" s="2">
        <v>37047.0</v>
      </c>
      <c r="B3902" s="2" t="s">
        <v>6783</v>
      </c>
      <c r="C3902" s="2" t="s">
        <v>8330</v>
      </c>
      <c r="D3902" s="2" t="s">
        <v>8331</v>
      </c>
      <c r="E3902" s="2" t="s">
        <v>20</v>
      </c>
      <c r="F3902" s="2" t="s">
        <v>13</v>
      </c>
      <c r="G3902" s="2">
        <v>500.0</v>
      </c>
      <c r="H3902" s="3" t="str">
        <f>HYPERLINK("http://ar.linkedin.com/pub/silvana-jachevasky/24/214/A1","http://ar.linkedin.com/pub/silvana-jachevasky/24/214/A1")</f>
        <v>http://ar.linkedin.com/pub/silvana-jachevasky/24/214/A1</v>
      </c>
      <c r="I3902" s="2" t="s">
        <v>279</v>
      </c>
      <c r="J3902" s="2" t="s">
        <v>21</v>
      </c>
      <c r="K3902" s="2" t="s">
        <v>5734</v>
      </c>
    </row>
    <row r="3903" ht="15.75" customHeight="1">
      <c r="A3903" s="2">
        <v>37048.0</v>
      </c>
      <c r="B3903" s="2" t="s">
        <v>2186</v>
      </c>
      <c r="C3903" s="2" t="s">
        <v>8332</v>
      </c>
      <c r="D3903" s="2" t="s">
        <v>8333</v>
      </c>
      <c r="E3903" s="2" t="s">
        <v>20</v>
      </c>
      <c r="F3903" s="2">
        <v>3.0</v>
      </c>
      <c r="G3903" s="2">
        <v>500.0</v>
      </c>
      <c r="H3903" s="3" t="str">
        <f>HYPERLINK("http://ar.linkedin.com/in/julianamoralesrins","http://ar.linkedin.com/in/julianamoralesrins")</f>
        <v>http://ar.linkedin.com/in/julianamoralesrins</v>
      </c>
      <c r="I3903" s="2" t="s">
        <v>1507</v>
      </c>
      <c r="J3903" s="2" t="s">
        <v>21</v>
      </c>
      <c r="K3903" s="2" t="s">
        <v>6388</v>
      </c>
    </row>
    <row r="3904" ht="15.75" customHeight="1">
      <c r="A3904" s="2">
        <v>37053.0</v>
      </c>
      <c r="B3904" s="2" t="s">
        <v>5939</v>
      </c>
      <c r="C3904" s="2" t="s">
        <v>8334</v>
      </c>
      <c r="D3904" s="2" t="s">
        <v>8335</v>
      </c>
      <c r="E3904" s="2" t="s">
        <v>20</v>
      </c>
      <c r="F3904" s="2">
        <v>11.0</v>
      </c>
      <c r="G3904" s="2">
        <v>311.0</v>
      </c>
      <c r="H3904" s="3" t="str">
        <f>HYPERLINK("http://ar.linkedin.com/in/constanzavilar","http://ar.linkedin.com/in/constanzavilar")</f>
        <v>http://ar.linkedin.com/in/constanzavilar</v>
      </c>
      <c r="I3904" s="2" t="s">
        <v>2081</v>
      </c>
      <c r="J3904" s="2" t="s">
        <v>21</v>
      </c>
      <c r="K3904" s="2" t="s">
        <v>5727</v>
      </c>
    </row>
    <row r="3905" ht="15.75" customHeight="1">
      <c r="A3905" s="2">
        <v>37064.0</v>
      </c>
      <c r="B3905" s="2" t="s">
        <v>3287</v>
      </c>
      <c r="C3905" s="2" t="s">
        <v>8336</v>
      </c>
      <c r="D3905" s="2" t="s">
        <v>13</v>
      </c>
      <c r="E3905" s="2" t="s">
        <v>1001</v>
      </c>
      <c r="F3905" s="2">
        <v>0.0</v>
      </c>
      <c r="G3905" s="2">
        <v>500.0</v>
      </c>
      <c r="H3905" s="3" t="str">
        <f>HYPERLINK("http://www.linkedin.com/in/nadiarivas","http://www.linkedin.com/in/nadiarivas")</f>
        <v>http://www.linkedin.com/in/nadiarivas</v>
      </c>
      <c r="I3905" s="2" t="s">
        <v>69</v>
      </c>
      <c r="J3905" s="2" t="s">
        <v>1898</v>
      </c>
      <c r="K3905" s="2" t="s">
        <v>5727</v>
      </c>
    </row>
    <row r="3906" ht="15.75" customHeight="1">
      <c r="A3906" s="2">
        <v>37085.0</v>
      </c>
      <c r="B3906" s="2" t="s">
        <v>8315</v>
      </c>
      <c r="C3906" s="2" t="s">
        <v>8337</v>
      </c>
      <c r="D3906" s="2" t="s">
        <v>8338</v>
      </c>
      <c r="E3906" s="2" t="s">
        <v>20</v>
      </c>
      <c r="F3906" s="2" t="s">
        <v>13</v>
      </c>
      <c r="G3906" s="2">
        <v>266.0</v>
      </c>
      <c r="H3906" s="3" t="str">
        <f>HYPERLINK("http://ar.linkedin.com/in/josefinatuzinkevicz","http://ar.linkedin.com/in/josefinatuzinkevicz")</f>
        <v>http://ar.linkedin.com/in/josefinatuzinkevicz</v>
      </c>
      <c r="I3906" s="2" t="s">
        <v>105</v>
      </c>
      <c r="J3906" s="2" t="s">
        <v>21</v>
      </c>
      <c r="K3906" s="2" t="s">
        <v>5725</v>
      </c>
    </row>
    <row r="3907" ht="15.75" customHeight="1">
      <c r="A3907" s="2">
        <v>37089.0</v>
      </c>
      <c r="B3907" s="2" t="s">
        <v>6061</v>
      </c>
      <c r="C3907" s="2" t="s">
        <v>5733</v>
      </c>
      <c r="D3907" s="2" t="s">
        <v>8339</v>
      </c>
      <c r="E3907" s="2" t="s">
        <v>20</v>
      </c>
      <c r="F3907" s="2">
        <v>14.0</v>
      </c>
      <c r="G3907" s="2">
        <v>301.0</v>
      </c>
      <c r="H3907" s="3" t="str">
        <f>HYPERLINK("http://ar.linkedin.com/pub/agustin-herrero/27/379/35B","http://ar.linkedin.com/pub/agustin-herrero/27/379/35B")</f>
        <v>http://ar.linkedin.com/pub/agustin-herrero/27/379/35B</v>
      </c>
      <c r="I3907" s="2" t="s">
        <v>105</v>
      </c>
      <c r="J3907" s="2" t="s">
        <v>21</v>
      </c>
      <c r="K3907" s="2" t="s">
        <v>5734</v>
      </c>
    </row>
    <row r="3908" ht="15.75" customHeight="1">
      <c r="A3908" s="2">
        <v>37091.0</v>
      </c>
      <c r="B3908" s="2" t="s">
        <v>6064</v>
      </c>
      <c r="C3908" s="2" t="s">
        <v>8340</v>
      </c>
      <c r="D3908" s="2" t="s">
        <v>8341</v>
      </c>
      <c r="E3908" s="2" t="s">
        <v>20</v>
      </c>
      <c r="F3908" s="2">
        <v>3.0</v>
      </c>
      <c r="G3908" s="2">
        <v>500.0</v>
      </c>
      <c r="H3908" s="3" t="str">
        <f>HYPERLINK("http://ar.linkedin.com/in/rominadeangelis","http://ar.linkedin.com/in/rominadeangelis")</f>
        <v>http://ar.linkedin.com/in/rominadeangelis</v>
      </c>
      <c r="I3908" s="2" t="s">
        <v>458</v>
      </c>
      <c r="J3908" s="2" t="s">
        <v>21</v>
      </c>
      <c r="K3908" s="2" t="s">
        <v>5727</v>
      </c>
    </row>
    <row r="3909" ht="15.75" customHeight="1">
      <c r="A3909" s="2">
        <v>37114.0</v>
      </c>
      <c r="B3909" s="2" t="s">
        <v>8342</v>
      </c>
      <c r="C3909" s="2" t="s">
        <v>8343</v>
      </c>
      <c r="D3909" s="2" t="s">
        <v>13</v>
      </c>
      <c r="E3909" s="2" t="s">
        <v>20</v>
      </c>
      <c r="F3909" s="2">
        <v>5.0</v>
      </c>
      <c r="G3909" s="2">
        <v>379.0</v>
      </c>
      <c r="H3909" s="3" t="str">
        <f>HYPERLINK("http://www.linkedin.com/pub/%C3%A1ngela-mandel/1b/728/671","http://www.linkedin.com/pub/%C3%A1ngela-mandel/1b/728/671")</f>
        <v>http://www.linkedin.com/pub/%C3%A1ngela-mandel/1b/728/671</v>
      </c>
      <c r="I3909" s="2" t="s">
        <v>910</v>
      </c>
      <c r="J3909" s="2" t="s">
        <v>21</v>
      </c>
      <c r="K3909" s="2" t="s">
        <v>5727</v>
      </c>
    </row>
    <row r="3910" ht="15.75" customHeight="1">
      <c r="A3910" s="2">
        <v>37130.0</v>
      </c>
      <c r="B3910" s="2" t="s">
        <v>7946</v>
      </c>
      <c r="C3910" s="2" t="s">
        <v>8344</v>
      </c>
      <c r="D3910" s="2" t="s">
        <v>8345</v>
      </c>
      <c r="E3910" s="2" t="s">
        <v>20</v>
      </c>
      <c r="F3910" s="2">
        <v>1.0</v>
      </c>
      <c r="G3910" s="2">
        <v>436.0</v>
      </c>
      <c r="H3910" s="3" t="str">
        <f>HYPERLINK("http://www.linkedin.com/in/deborabarlocco","http://www.linkedin.com/in/deborabarlocco")</f>
        <v>http://www.linkedin.com/in/deborabarlocco</v>
      </c>
      <c r="I3910" s="2" t="s">
        <v>160</v>
      </c>
      <c r="J3910" s="2" t="s">
        <v>21</v>
      </c>
      <c r="K3910" s="2" t="s">
        <v>5725</v>
      </c>
    </row>
    <row r="3911" ht="15.75" customHeight="1">
      <c r="A3911" s="2">
        <v>37146.0</v>
      </c>
      <c r="B3911" s="2" t="s">
        <v>647</v>
      </c>
      <c r="C3911" s="2" t="s">
        <v>8346</v>
      </c>
      <c r="D3911" s="2" t="s">
        <v>7244</v>
      </c>
      <c r="E3911" s="2" t="s">
        <v>20</v>
      </c>
      <c r="F3911" s="2" t="s">
        <v>13</v>
      </c>
      <c r="G3911" s="2">
        <v>499.0</v>
      </c>
      <c r="H3911" s="3" t="str">
        <f>HYPERLINK("http://ar.linkedin.com/pub/claudio-magi/B/282/43B","http://ar.linkedin.com/pub/claudio-magi/B/282/43B")</f>
        <v>http://ar.linkedin.com/pub/claudio-magi/B/282/43B</v>
      </c>
      <c r="I3911" s="2" t="s">
        <v>279</v>
      </c>
      <c r="J3911" s="2" t="s">
        <v>21</v>
      </c>
      <c r="K3911" s="2" t="s">
        <v>5734</v>
      </c>
    </row>
    <row r="3912" ht="15.75" customHeight="1">
      <c r="A3912" s="2">
        <v>37156.0</v>
      </c>
      <c r="B3912" s="2" t="s">
        <v>523</v>
      </c>
      <c r="C3912" s="2" t="s">
        <v>8347</v>
      </c>
      <c r="D3912" s="2" t="s">
        <v>8348</v>
      </c>
      <c r="E3912" s="2" t="s">
        <v>20</v>
      </c>
      <c r="F3912" s="2" t="s">
        <v>13</v>
      </c>
      <c r="G3912" s="2">
        <v>236.0</v>
      </c>
      <c r="H3912" s="3" t="str">
        <f>HYPERLINK("http://ar.linkedin.com/in/ignaciofernandezsantamaria","http://ar.linkedin.com/in/ignaciofernandezsantamaria")</f>
        <v>http://ar.linkedin.com/in/ignaciofernandezsantamaria</v>
      </c>
      <c r="I3912" s="2" t="s">
        <v>195</v>
      </c>
      <c r="J3912" s="2" t="s">
        <v>21</v>
      </c>
      <c r="K3912" s="2" t="s">
        <v>5865</v>
      </c>
    </row>
    <row r="3913" ht="15.75" customHeight="1">
      <c r="A3913" s="2">
        <v>37166.0</v>
      </c>
      <c r="B3913" s="2" t="s">
        <v>5791</v>
      </c>
      <c r="C3913" s="2" t="s">
        <v>4402</v>
      </c>
      <c r="D3913" s="2" t="s">
        <v>8349</v>
      </c>
      <c r="E3913" s="2" t="s">
        <v>20</v>
      </c>
      <c r="F3913" s="2">
        <v>1.0</v>
      </c>
      <c r="G3913" s="2">
        <v>187.0</v>
      </c>
      <c r="H3913" s="3" t="str">
        <f>HYPERLINK("http://ar.linkedin.com/in/matiasgiorgio","http://ar.linkedin.com/in/matiasgiorgio")</f>
        <v>http://ar.linkedin.com/in/matiasgiorgio</v>
      </c>
      <c r="I3913" s="2" t="s">
        <v>252</v>
      </c>
      <c r="J3913" s="2" t="s">
        <v>21</v>
      </c>
      <c r="K3913" s="2" t="s">
        <v>5734</v>
      </c>
    </row>
    <row r="3914" ht="15.75" customHeight="1">
      <c r="A3914" s="2">
        <v>37209.0</v>
      </c>
      <c r="B3914" s="2" t="s">
        <v>8350</v>
      </c>
      <c r="C3914" s="2" t="s">
        <v>8351</v>
      </c>
      <c r="D3914" s="2" t="s">
        <v>8352</v>
      </c>
      <c r="E3914" s="2" t="s">
        <v>20</v>
      </c>
      <c r="F3914" s="2">
        <v>6.0</v>
      </c>
      <c r="G3914" s="2">
        <v>500.0</v>
      </c>
      <c r="H3914" s="3" t="str">
        <f>HYPERLINK("http://ar.linkedin.com/pub/ernesto-krahmer/B/7B9/432","http://ar.linkedin.com/pub/ernesto-krahmer/B/7B9/432")</f>
        <v>http://ar.linkedin.com/pub/ernesto-krahmer/B/7B9/432</v>
      </c>
      <c r="I3914" s="2" t="s">
        <v>15</v>
      </c>
      <c r="J3914" s="2" t="s">
        <v>21</v>
      </c>
      <c r="K3914" s="2" t="s">
        <v>6588</v>
      </c>
    </row>
    <row r="3915" ht="15.75" customHeight="1">
      <c r="A3915" s="2">
        <v>37213.0</v>
      </c>
      <c r="B3915" s="2" t="s">
        <v>3563</v>
      </c>
      <c r="C3915" s="2" t="s">
        <v>8353</v>
      </c>
      <c r="D3915" s="2" t="s">
        <v>8354</v>
      </c>
      <c r="E3915" s="2" t="s">
        <v>20</v>
      </c>
      <c r="F3915" s="2">
        <v>4.0</v>
      </c>
      <c r="G3915" s="2">
        <v>378.0</v>
      </c>
      <c r="H3915" s="3" t="str">
        <f>HYPERLINK("http://ar.linkedin.com/in/manuelbarberis","http://ar.linkedin.com/in/manuelbarberis")</f>
        <v>http://ar.linkedin.com/in/manuelbarberis</v>
      </c>
      <c r="I3915" s="2" t="s">
        <v>119</v>
      </c>
      <c r="J3915" s="2" t="s">
        <v>21</v>
      </c>
      <c r="K3915" s="2" t="s">
        <v>5743</v>
      </c>
    </row>
    <row r="3916" ht="15.75" customHeight="1">
      <c r="A3916" s="2">
        <v>37222.0</v>
      </c>
      <c r="B3916" s="2" t="s">
        <v>201</v>
      </c>
      <c r="C3916" s="2" t="s">
        <v>8355</v>
      </c>
      <c r="D3916" s="2" t="s">
        <v>8356</v>
      </c>
      <c r="E3916" s="2" t="s">
        <v>20</v>
      </c>
      <c r="F3916" s="2" t="s">
        <v>13</v>
      </c>
      <c r="G3916" s="2">
        <v>249.0</v>
      </c>
      <c r="H3916" s="3" t="str">
        <f>HYPERLINK("http://ar.linkedin.com/pub/natalia-rossello/15/979/B4B","http://ar.linkedin.com/pub/natalia-rossello/15/979/B4B")</f>
        <v>http://ar.linkedin.com/pub/natalia-rossello/15/979/B4B</v>
      </c>
      <c r="I3916" s="2" t="s">
        <v>195</v>
      </c>
      <c r="J3916" s="2" t="s">
        <v>21</v>
      </c>
      <c r="K3916" s="2" t="s">
        <v>5727</v>
      </c>
    </row>
    <row r="3917" ht="15.75" customHeight="1">
      <c r="A3917" s="2">
        <v>37225.0</v>
      </c>
      <c r="B3917" s="2" t="s">
        <v>8357</v>
      </c>
      <c r="C3917" s="2" t="s">
        <v>8358</v>
      </c>
      <c r="D3917" s="2" t="s">
        <v>13</v>
      </c>
      <c r="E3917" s="2" t="s">
        <v>20</v>
      </c>
      <c r="F3917" s="2">
        <v>0.0</v>
      </c>
      <c r="G3917" s="2">
        <v>500.0</v>
      </c>
      <c r="H3917" s="3" t="str">
        <f>HYPERLINK("http://www.linkedin.com/pub/mar%C3%ADa-sof%C3%ADa-sarav%C3%AD-o-keefe/10/ba3/29","http://www.linkedin.com/pub/mar%C3%ADa-sof%C3%ADa-sarav%C3%AD-o-keefe/10/ba3/29")</f>
        <v>http://www.linkedin.com/pub/mar%C3%ADa-sof%C3%ADa-sarav%C3%AD-o-keefe/10/ba3/29</v>
      </c>
      <c r="I3917" s="2" t="s">
        <v>105</v>
      </c>
      <c r="J3917" s="2" t="s">
        <v>21</v>
      </c>
      <c r="K3917" s="2" t="s">
        <v>5727</v>
      </c>
    </row>
    <row r="3918" ht="15.75" customHeight="1">
      <c r="A3918" s="2">
        <v>37236.0</v>
      </c>
      <c r="B3918" s="2" t="s">
        <v>5078</v>
      </c>
      <c r="C3918" s="2" t="s">
        <v>8359</v>
      </c>
      <c r="D3918" s="2" t="s">
        <v>6129</v>
      </c>
      <c r="E3918" s="2" t="s">
        <v>20</v>
      </c>
      <c r="F3918" s="2">
        <v>1.0</v>
      </c>
      <c r="G3918" s="2">
        <v>390.0</v>
      </c>
      <c r="H3918" s="3" t="str">
        <f>HYPERLINK("http://ar.linkedin.com/in/diegodella","http://ar.linkedin.com/in/diegodella")</f>
        <v>http://ar.linkedin.com/in/diegodella</v>
      </c>
      <c r="I3918" s="2" t="s">
        <v>105</v>
      </c>
      <c r="J3918" s="2" t="s">
        <v>21</v>
      </c>
      <c r="K3918" s="2" t="s">
        <v>6124</v>
      </c>
    </row>
    <row r="3919" ht="15.75" customHeight="1">
      <c r="A3919" s="2">
        <v>37240.0</v>
      </c>
      <c r="B3919" s="2" t="s">
        <v>3692</v>
      </c>
      <c r="C3919" s="2" t="s">
        <v>8360</v>
      </c>
      <c r="D3919" s="2" t="s">
        <v>7871</v>
      </c>
      <c r="E3919" s="2" t="s">
        <v>20</v>
      </c>
      <c r="F3919" s="2">
        <v>5.0</v>
      </c>
      <c r="G3919" s="2">
        <v>133.0</v>
      </c>
      <c r="H3919" s="3" t="str">
        <f>HYPERLINK("http://ar.linkedin.com/in/federicomazzei","http://ar.linkedin.com/in/federicomazzei")</f>
        <v>http://ar.linkedin.com/in/federicomazzei</v>
      </c>
      <c r="I3919" s="2" t="s">
        <v>608</v>
      </c>
      <c r="J3919" s="2" t="s">
        <v>21</v>
      </c>
      <c r="K3919" s="2" t="s">
        <v>5727</v>
      </c>
    </row>
    <row r="3920" ht="15.75" customHeight="1">
      <c r="A3920" s="2">
        <v>37242.0</v>
      </c>
      <c r="B3920" s="2" t="s">
        <v>492</v>
      </c>
      <c r="C3920" s="2" t="s">
        <v>6896</v>
      </c>
      <c r="D3920" s="2" t="s">
        <v>8361</v>
      </c>
      <c r="E3920" s="2" t="s">
        <v>20</v>
      </c>
      <c r="F3920" s="2">
        <v>1.0</v>
      </c>
      <c r="G3920" s="2">
        <v>192.0</v>
      </c>
      <c r="H3920" s="3" t="str">
        <f>HYPERLINK("http://ar.linkedin.com/in/sergiogcastro","http://ar.linkedin.com/in/sergiogcastro")</f>
        <v>http://ar.linkedin.com/in/sergiogcastro</v>
      </c>
      <c r="I3920" s="2" t="s">
        <v>77</v>
      </c>
      <c r="J3920" s="2" t="s">
        <v>21</v>
      </c>
      <c r="K3920" s="2" t="s">
        <v>5848</v>
      </c>
    </row>
    <row r="3921" ht="15.75" customHeight="1">
      <c r="A3921" s="2">
        <v>37244.0</v>
      </c>
      <c r="B3921" s="2" t="s">
        <v>8362</v>
      </c>
      <c r="C3921" s="2" t="s">
        <v>8363</v>
      </c>
      <c r="D3921" s="2" t="s">
        <v>8042</v>
      </c>
      <c r="E3921" s="2" t="s">
        <v>20</v>
      </c>
      <c r="F3921" s="2">
        <v>6.0</v>
      </c>
      <c r="G3921" s="2">
        <v>500.0</v>
      </c>
      <c r="H3921" s="3" t="str">
        <f>HYPERLINK("http://ar.linkedin.com/in/danielpituello","http://ar.linkedin.com/in/danielpituello")</f>
        <v>http://ar.linkedin.com/in/danielpituello</v>
      </c>
      <c r="I3921" s="2" t="s">
        <v>77</v>
      </c>
      <c r="J3921" s="2" t="s">
        <v>21</v>
      </c>
      <c r="K3921" s="2" t="s">
        <v>5731</v>
      </c>
    </row>
    <row r="3922" ht="15.75" customHeight="1">
      <c r="A3922" s="2">
        <v>37252.0</v>
      </c>
      <c r="B3922" s="2" t="s">
        <v>7655</v>
      </c>
      <c r="C3922" s="2" t="s">
        <v>8364</v>
      </c>
      <c r="D3922" s="2" t="s">
        <v>8365</v>
      </c>
      <c r="E3922" s="2" t="s">
        <v>20</v>
      </c>
      <c r="F3922" s="2">
        <v>1.0</v>
      </c>
      <c r="G3922" s="2">
        <v>373.0</v>
      </c>
      <c r="H3922" s="3" t="str">
        <f>HYPERLINK("http://ar.linkedin.com/pub/edgardo-bianco/23/3B7/97B","http://ar.linkedin.com/pub/edgardo-bianco/23/3B7/97B")</f>
        <v>http://ar.linkedin.com/pub/edgardo-bianco/23/3B7/97B</v>
      </c>
      <c r="I3922" s="2" t="s">
        <v>440</v>
      </c>
      <c r="J3922" s="2" t="s">
        <v>21</v>
      </c>
      <c r="K3922" s="2" t="s">
        <v>5785</v>
      </c>
    </row>
    <row r="3923" ht="15.75" customHeight="1">
      <c r="A3923" s="2">
        <v>37266.0</v>
      </c>
      <c r="B3923" s="2" t="s">
        <v>6312</v>
      </c>
      <c r="C3923" s="2" t="s">
        <v>8366</v>
      </c>
      <c r="D3923" s="2" t="s">
        <v>8367</v>
      </c>
      <c r="E3923" s="2" t="s">
        <v>20</v>
      </c>
      <c r="F3923" s="2">
        <v>2.0</v>
      </c>
      <c r="G3923" s="2">
        <v>106.0</v>
      </c>
      <c r="H3923" s="3" t="str">
        <f>HYPERLINK("http://ar.linkedin.com/pub/milagros-festa/15/B04/A1","http://ar.linkedin.com/pub/milagros-festa/15/B04/A1")</f>
        <v>http://ar.linkedin.com/pub/milagros-festa/15/B04/A1</v>
      </c>
      <c r="I3923" s="2" t="s">
        <v>612</v>
      </c>
      <c r="J3923" s="2" t="s">
        <v>21</v>
      </c>
      <c r="K3923" s="2" t="s">
        <v>5727</v>
      </c>
    </row>
    <row r="3924" ht="15.75" customHeight="1">
      <c r="A3924" s="2">
        <v>37273.0</v>
      </c>
      <c r="B3924" s="2" t="s">
        <v>5849</v>
      </c>
      <c r="C3924" s="2" t="s">
        <v>8368</v>
      </c>
      <c r="D3924" s="2" t="s">
        <v>8369</v>
      </c>
      <c r="E3924" s="2" t="s">
        <v>20</v>
      </c>
      <c r="F3924" s="2">
        <v>2.0</v>
      </c>
      <c r="G3924" s="2">
        <v>323.0</v>
      </c>
      <c r="H3924" s="3" t="str">
        <f>HYPERLINK("http://ar.linkedin.com/in/facundoboggino","http://ar.linkedin.com/in/facundoboggino")</f>
        <v>http://ar.linkedin.com/in/facundoboggino</v>
      </c>
      <c r="I3924" s="2" t="s">
        <v>105</v>
      </c>
      <c r="J3924" s="2" t="s">
        <v>21</v>
      </c>
      <c r="K3924" s="2" t="s">
        <v>5727</v>
      </c>
    </row>
    <row r="3925" ht="15.75" customHeight="1">
      <c r="A3925" s="2">
        <v>37282.0</v>
      </c>
      <c r="B3925" s="2" t="s">
        <v>6012</v>
      </c>
      <c r="C3925" s="2" t="s">
        <v>8370</v>
      </c>
      <c r="D3925" s="2" t="s">
        <v>8371</v>
      </c>
      <c r="E3925" s="2" t="s">
        <v>20</v>
      </c>
      <c r="F3925" s="2" t="s">
        <v>13</v>
      </c>
      <c r="G3925" s="2">
        <v>32.0</v>
      </c>
      <c r="H3925" s="3" t="str">
        <f>HYPERLINK("http://ar.linkedin.com/in/hernangalvan","http://ar.linkedin.com/in/hernangalvan")</f>
        <v>http://ar.linkedin.com/in/hernangalvan</v>
      </c>
      <c r="I3925" s="2" t="s">
        <v>2268</v>
      </c>
      <c r="J3925" s="2" t="s">
        <v>21</v>
      </c>
      <c r="K3925" s="2" t="s">
        <v>5734</v>
      </c>
    </row>
    <row r="3926" ht="15.75" customHeight="1">
      <c r="A3926" s="2">
        <v>37286.0</v>
      </c>
      <c r="B3926" s="2" t="s">
        <v>677</v>
      </c>
      <c r="C3926" s="2" t="s">
        <v>8372</v>
      </c>
      <c r="D3926" s="2" t="s">
        <v>8373</v>
      </c>
      <c r="E3926" s="2" t="s">
        <v>20</v>
      </c>
      <c r="F3926" s="2">
        <v>3.0</v>
      </c>
      <c r="G3926" s="2">
        <v>203.0</v>
      </c>
      <c r="H3926" s="3" t="str">
        <f>HYPERLINK("http://ar.linkedin.com/in/danielhardenack","http://ar.linkedin.com/in/danielhardenack")</f>
        <v>http://ar.linkedin.com/in/danielhardenack</v>
      </c>
      <c r="I3926" s="2" t="s">
        <v>470</v>
      </c>
      <c r="J3926" s="2" t="s">
        <v>21</v>
      </c>
      <c r="K3926" s="2" t="s">
        <v>5727</v>
      </c>
    </row>
    <row r="3927" ht="15.75" customHeight="1">
      <c r="A3927" s="2">
        <v>37318.0</v>
      </c>
      <c r="B3927" s="2" t="s">
        <v>862</v>
      </c>
      <c r="C3927" s="2" t="s">
        <v>8374</v>
      </c>
      <c r="D3927" s="2" t="s">
        <v>8375</v>
      </c>
      <c r="E3927" s="2" t="s">
        <v>20</v>
      </c>
      <c r="F3927" s="2">
        <v>2.0</v>
      </c>
      <c r="G3927" s="2">
        <v>293.0</v>
      </c>
      <c r="H3927" s="3" t="str">
        <f>HYPERLINK("http://ar.linkedin.com/pub/gabriel-brenta/4/874/743","http://ar.linkedin.com/pub/gabriel-brenta/4/874/743")</f>
        <v>http://ar.linkedin.com/pub/gabriel-brenta/4/874/743</v>
      </c>
      <c r="I3927" s="2" t="s">
        <v>8376</v>
      </c>
      <c r="J3927" s="2" t="s">
        <v>21</v>
      </c>
      <c r="K3927" s="2" t="s">
        <v>5734</v>
      </c>
    </row>
    <row r="3928" ht="15.75" customHeight="1">
      <c r="A3928" s="2">
        <v>37320.0</v>
      </c>
      <c r="B3928" s="2" t="s">
        <v>637</v>
      </c>
      <c r="C3928" s="2" t="s">
        <v>8364</v>
      </c>
      <c r="D3928" s="2" t="s">
        <v>8377</v>
      </c>
      <c r="E3928" s="2" t="s">
        <v>20</v>
      </c>
      <c r="F3928" s="2">
        <v>1.0</v>
      </c>
      <c r="G3928" s="2">
        <v>178.0</v>
      </c>
      <c r="H3928" s="3" t="str">
        <f>HYPERLINK("http://ar.linkedin.com/pub/leonardo-bianco/8/913/1B6","http://ar.linkedin.com/pub/leonardo-bianco/8/913/1B6")</f>
        <v>http://ar.linkedin.com/pub/leonardo-bianco/8/913/1B6</v>
      </c>
      <c r="I3928" s="2" t="s">
        <v>77</v>
      </c>
      <c r="J3928" s="2" t="s">
        <v>21</v>
      </c>
      <c r="K3928" s="2" t="s">
        <v>5848</v>
      </c>
    </row>
    <row r="3929" ht="15.75" customHeight="1">
      <c r="A3929" s="2">
        <v>37321.0</v>
      </c>
      <c r="B3929" s="2" t="s">
        <v>8378</v>
      </c>
      <c r="C3929" s="2" t="s">
        <v>8379</v>
      </c>
      <c r="D3929" s="2" t="s">
        <v>13</v>
      </c>
      <c r="E3929" s="2" t="s">
        <v>20</v>
      </c>
      <c r="F3929" s="2">
        <v>0.0</v>
      </c>
      <c r="G3929" s="2">
        <v>202.0</v>
      </c>
      <c r="H3929" s="3" t="str">
        <f>HYPERLINK("http://www.linkedin.com/pub/perla-neiburg/0/a9b/631","http://www.linkedin.com/pub/perla-neiburg/0/a9b/631")</f>
        <v>http://www.linkedin.com/pub/perla-neiburg/0/a9b/631</v>
      </c>
      <c r="I3929" s="2" t="s">
        <v>69</v>
      </c>
      <c r="J3929" s="2" t="s">
        <v>21</v>
      </c>
      <c r="K3929" s="2" t="s">
        <v>5725</v>
      </c>
    </row>
    <row r="3930" ht="15.75" customHeight="1">
      <c r="A3930" s="2">
        <v>37359.0</v>
      </c>
      <c r="B3930" s="2" t="s">
        <v>8315</v>
      </c>
      <c r="C3930" s="2" t="s">
        <v>8380</v>
      </c>
      <c r="D3930" s="2" t="s">
        <v>8381</v>
      </c>
      <c r="E3930" s="2" t="s">
        <v>20</v>
      </c>
      <c r="F3930" s="2" t="s">
        <v>13</v>
      </c>
      <c r="G3930" s="2">
        <v>130.0</v>
      </c>
      <c r="H3930" s="3" t="str">
        <f>HYPERLINK("http://ar.linkedin.com/pub/josefina-aramburu/29/64A/568","http://ar.linkedin.com/pub/josefina-aramburu/29/64A/568")</f>
        <v>http://ar.linkedin.com/pub/josefina-aramburu/29/64A/568</v>
      </c>
      <c r="I3930" s="2" t="s">
        <v>458</v>
      </c>
      <c r="J3930" s="2" t="s">
        <v>21</v>
      </c>
      <c r="K3930" s="2" t="s">
        <v>5734</v>
      </c>
    </row>
    <row r="3931" ht="15.75" customHeight="1">
      <c r="A3931" s="2">
        <v>37360.0</v>
      </c>
      <c r="B3931" s="2" t="s">
        <v>8382</v>
      </c>
      <c r="C3931" s="2" t="s">
        <v>658</v>
      </c>
      <c r="D3931" s="2" t="s">
        <v>8383</v>
      </c>
      <c r="E3931" s="2" t="s">
        <v>20</v>
      </c>
      <c r="F3931" s="2" t="s">
        <v>13</v>
      </c>
      <c r="G3931" s="2">
        <v>137.0</v>
      </c>
      <c r="H3931" s="3" t="str">
        <f>HYPERLINK("http://ar.linkedin.com/in/alanlopez2011","http://ar.linkedin.com/in/alanlopez2011")</f>
        <v>http://ar.linkedin.com/in/alanlopez2011</v>
      </c>
      <c r="I3931" s="2" t="s">
        <v>15</v>
      </c>
      <c r="J3931" s="2" t="s">
        <v>21</v>
      </c>
      <c r="K3931" s="2" t="s">
        <v>5725</v>
      </c>
    </row>
    <row r="3932" ht="15.75" customHeight="1">
      <c r="A3932" s="2">
        <v>37364.0</v>
      </c>
      <c r="B3932" s="2" t="s">
        <v>6252</v>
      </c>
      <c r="C3932" s="2" t="s">
        <v>8384</v>
      </c>
      <c r="D3932" s="2" t="s">
        <v>13</v>
      </c>
      <c r="E3932" s="2" t="s">
        <v>20</v>
      </c>
      <c r="F3932" s="2">
        <v>0.0</v>
      </c>
      <c r="G3932" s="2">
        <v>160.0</v>
      </c>
      <c r="H3932" s="3" t="str">
        <f>HYPERLINK("http://www.linkedin.com/pub/santiago-benav%C3%ADdez/2a/66/379","http://www.linkedin.com/pub/santiago-benav%C3%ADdez/2a/66/379")</f>
        <v>http://www.linkedin.com/pub/santiago-benav%C3%ADdez/2a/66/379</v>
      </c>
      <c r="I3932" s="2" t="s">
        <v>15</v>
      </c>
      <c r="J3932" s="2" t="s">
        <v>21</v>
      </c>
      <c r="K3932" s="2" t="s">
        <v>6124</v>
      </c>
    </row>
    <row r="3933" ht="15.75" customHeight="1">
      <c r="A3933" s="2">
        <v>37389.0</v>
      </c>
      <c r="B3933" s="2" t="s">
        <v>8385</v>
      </c>
      <c r="C3933" s="2" t="s">
        <v>8386</v>
      </c>
      <c r="D3933" s="2" t="s">
        <v>835</v>
      </c>
      <c r="E3933" s="2" t="s">
        <v>20</v>
      </c>
      <c r="F3933" s="2">
        <v>19.0</v>
      </c>
      <c r="G3933" s="2">
        <v>371.0</v>
      </c>
      <c r="H3933" s="3" t="str">
        <f>HYPERLINK("http://ar.linkedin.com/in/galera","http://ar.linkedin.com/in/galera")</f>
        <v>http://ar.linkedin.com/in/galera</v>
      </c>
      <c r="I3933" s="2" t="s">
        <v>910</v>
      </c>
      <c r="J3933" s="2" t="s">
        <v>21</v>
      </c>
      <c r="K3933" s="2" t="s">
        <v>5982</v>
      </c>
    </row>
    <row r="3934" ht="15.75" customHeight="1">
      <c r="A3934" s="2">
        <v>37392.0</v>
      </c>
      <c r="B3934" s="2" t="s">
        <v>7668</v>
      </c>
      <c r="C3934" s="2" t="s">
        <v>8387</v>
      </c>
      <c r="D3934" s="2" t="s">
        <v>13</v>
      </c>
      <c r="E3934" s="2" t="s">
        <v>20</v>
      </c>
      <c r="F3934" s="2">
        <v>0.0</v>
      </c>
      <c r="G3934" s="2">
        <v>396.0</v>
      </c>
      <c r="H3934" s="3" t="str">
        <f>HYPERLINK("http://www.linkedin.com/pub/maria-paula-leuzzi/19/408/164","http://www.linkedin.com/pub/maria-paula-leuzzi/19/408/164")</f>
        <v>http://www.linkedin.com/pub/maria-paula-leuzzi/19/408/164</v>
      </c>
      <c r="I3934" s="2" t="s">
        <v>48</v>
      </c>
      <c r="J3934" s="2" t="s">
        <v>21</v>
      </c>
      <c r="K3934" s="2" t="s">
        <v>5725</v>
      </c>
    </row>
    <row r="3935" ht="15.75" customHeight="1">
      <c r="A3935" s="2">
        <v>37409.0</v>
      </c>
      <c r="B3935" s="2" t="s">
        <v>677</v>
      </c>
      <c r="C3935" s="2" t="s">
        <v>8388</v>
      </c>
      <c r="D3935" s="2" t="s">
        <v>8389</v>
      </c>
      <c r="E3935" s="2" t="s">
        <v>20</v>
      </c>
      <c r="F3935" s="2">
        <v>1.0</v>
      </c>
      <c r="G3935" s="2">
        <v>74.0</v>
      </c>
      <c r="H3935" s="3" t="str">
        <f>HYPERLINK("http://ar.linkedin.com/in/danieluggino","http://ar.linkedin.com/in/danieluggino")</f>
        <v>http://ar.linkedin.com/in/danieluggino</v>
      </c>
      <c r="I3935" s="2" t="s">
        <v>77</v>
      </c>
      <c r="J3935" s="2" t="s">
        <v>21</v>
      </c>
      <c r="K3935" s="2" t="s">
        <v>5848</v>
      </c>
    </row>
    <row r="3936" ht="15.75" customHeight="1">
      <c r="A3936" s="2">
        <v>37421.0</v>
      </c>
      <c r="B3936" s="2" t="s">
        <v>8390</v>
      </c>
      <c r="C3936" s="2" t="s">
        <v>8391</v>
      </c>
      <c r="D3936" s="2" t="s">
        <v>8392</v>
      </c>
      <c r="E3936" s="2" t="s">
        <v>20</v>
      </c>
      <c r="F3936" s="2" t="s">
        <v>13</v>
      </c>
      <c r="G3936" s="2">
        <v>333.0</v>
      </c>
      <c r="H3936" s="3" t="str">
        <f>HYPERLINK("http://ar.linkedin.com/pub/marisol-casta-eda/9/50B/B26","http://ar.linkedin.com/pub/marisol-casta-eda/9/50B/B26")</f>
        <v>http://ar.linkedin.com/pub/marisol-casta-eda/9/50B/B26</v>
      </c>
      <c r="I3936" s="2" t="s">
        <v>57</v>
      </c>
      <c r="J3936" s="2" t="s">
        <v>21</v>
      </c>
      <c r="K3936" s="2" t="s">
        <v>5725</v>
      </c>
    </row>
    <row r="3937" ht="15.75" customHeight="1">
      <c r="A3937" s="2">
        <v>37424.0</v>
      </c>
      <c r="B3937" s="2" t="s">
        <v>8393</v>
      </c>
      <c r="C3937" s="2" t="s">
        <v>658</v>
      </c>
      <c r="D3937" s="2" t="s">
        <v>8394</v>
      </c>
      <c r="E3937" s="2" t="s">
        <v>20</v>
      </c>
      <c r="F3937" s="2" t="s">
        <v>13</v>
      </c>
      <c r="G3937" s="2">
        <v>345.0</v>
      </c>
      <c r="H3937" s="3" t="str">
        <f>HYPERLINK("http://ar.linkedin.com/in/lucianalopez","http://ar.linkedin.com/in/lucianalopez")</f>
        <v>http://ar.linkedin.com/in/lucianalopez</v>
      </c>
      <c r="I3937" s="2" t="s">
        <v>15</v>
      </c>
      <c r="J3937" s="2" t="s">
        <v>21</v>
      </c>
      <c r="K3937" s="2" t="s">
        <v>6124</v>
      </c>
    </row>
    <row r="3938" ht="15.75" customHeight="1">
      <c r="A3938" s="2">
        <v>37445.0</v>
      </c>
      <c r="B3938" s="2" t="s">
        <v>609</v>
      </c>
      <c r="C3938" s="2" t="s">
        <v>8395</v>
      </c>
      <c r="D3938" s="2" t="s">
        <v>8396</v>
      </c>
      <c r="E3938" s="2" t="s">
        <v>20</v>
      </c>
      <c r="F3938" s="2">
        <v>1.0</v>
      </c>
      <c r="G3938" s="2">
        <v>93.0</v>
      </c>
      <c r="H3938" s="3" t="str">
        <f>HYPERLINK("http://ar.linkedin.com/pub/ricardo-lavaggi/5/385/19","http://ar.linkedin.com/pub/ricardo-lavaggi/5/385/19")</f>
        <v>http://ar.linkedin.com/pub/ricardo-lavaggi/5/385/19</v>
      </c>
      <c r="I3938" s="2" t="s">
        <v>69</v>
      </c>
      <c r="J3938" s="2" t="s">
        <v>21</v>
      </c>
      <c r="K3938" s="2" t="s">
        <v>5725</v>
      </c>
    </row>
    <row r="3939" ht="15.75" customHeight="1">
      <c r="A3939" s="2">
        <v>37468.0</v>
      </c>
      <c r="B3939" s="2" t="s">
        <v>671</v>
      </c>
      <c r="C3939" s="2" t="s">
        <v>8397</v>
      </c>
      <c r="D3939" s="2" t="s">
        <v>8398</v>
      </c>
      <c r="E3939" s="2" t="s">
        <v>20</v>
      </c>
      <c r="F3939" s="2">
        <v>1.0</v>
      </c>
      <c r="G3939" s="2">
        <v>287.0</v>
      </c>
      <c r="H3939" s="3" t="str">
        <f>HYPERLINK("http://ar.linkedin.com/in/marianaflinta","http://ar.linkedin.com/in/marianaflinta")</f>
        <v>http://ar.linkedin.com/in/marianaflinta</v>
      </c>
      <c r="I3939" s="2" t="s">
        <v>77</v>
      </c>
      <c r="J3939" s="2" t="s">
        <v>21</v>
      </c>
      <c r="K3939" s="2" t="s">
        <v>5848</v>
      </c>
    </row>
    <row r="3940" ht="15.75" customHeight="1">
      <c r="A3940" s="2">
        <v>37469.0</v>
      </c>
      <c r="B3940" s="2" t="s">
        <v>8399</v>
      </c>
      <c r="C3940" s="2" t="s">
        <v>6207</v>
      </c>
      <c r="D3940" s="2" t="s">
        <v>8400</v>
      </c>
      <c r="E3940" s="2" t="s">
        <v>20</v>
      </c>
      <c r="F3940" s="2">
        <v>9.0</v>
      </c>
      <c r="G3940" s="2">
        <v>186.0</v>
      </c>
      <c r="H3940" s="3" t="str">
        <f>HYPERLINK("http://ar.linkedin.com/in/gonzaloalvarez","http://ar.linkedin.com/in/gonzaloalvarez")</f>
        <v>http://ar.linkedin.com/in/gonzaloalvarez</v>
      </c>
      <c r="I3940" s="2" t="s">
        <v>77</v>
      </c>
      <c r="J3940" s="2" t="s">
        <v>21</v>
      </c>
      <c r="K3940" s="2" t="s">
        <v>5731</v>
      </c>
    </row>
    <row r="3941" ht="15.75" customHeight="1">
      <c r="A3941" s="2">
        <v>37573.0</v>
      </c>
      <c r="B3941" s="2" t="s">
        <v>5732</v>
      </c>
      <c r="C3941" s="2" t="s">
        <v>8401</v>
      </c>
      <c r="D3941" s="2" t="s">
        <v>13</v>
      </c>
      <c r="E3941" s="2" t="s">
        <v>20</v>
      </c>
      <c r="F3941" s="2">
        <v>9.0</v>
      </c>
      <c r="G3941" s="2">
        <v>313.0</v>
      </c>
      <c r="H3941" s="3" t="str">
        <f>HYPERLINK("http://www.linkedin.com/pub/mart%C3%ADn-pielvitori/10/b60/b71","http://www.linkedin.com/pub/mart%C3%ADn-pielvitori/10/b60/b71")</f>
        <v>http://www.linkedin.com/pub/mart%C3%ADn-pielvitori/10/b60/b71</v>
      </c>
      <c r="I3941" s="2" t="s">
        <v>48</v>
      </c>
      <c r="J3941" s="2" t="s">
        <v>21</v>
      </c>
      <c r="K3941" s="2" t="s">
        <v>5727</v>
      </c>
    </row>
    <row r="3942" ht="15.75" customHeight="1">
      <c r="A3942" s="2">
        <v>37582.0</v>
      </c>
      <c r="B3942" s="2" t="s">
        <v>211</v>
      </c>
      <c r="C3942" s="2" t="s">
        <v>8402</v>
      </c>
      <c r="D3942" s="2" t="s">
        <v>416</v>
      </c>
      <c r="E3942" s="2" t="s">
        <v>122</v>
      </c>
      <c r="F3942" s="2">
        <v>0.0</v>
      </c>
      <c r="G3942" s="2">
        <v>500.0</v>
      </c>
      <c r="H3942" s="3" t="str">
        <f>HYPERLINK("http://www.linkedin.com/pub/susan-standiford/0/A78/136","http://www.linkedin.com/pub/susan-standiford/0/A78/136")</f>
        <v>http://www.linkedin.com/pub/susan-standiford/0/A78/136</v>
      </c>
      <c r="I3942" s="2" t="s">
        <v>48</v>
      </c>
      <c r="J3942" s="2" t="s">
        <v>53</v>
      </c>
      <c r="K3942" s="2" t="s">
        <v>5725</v>
      </c>
    </row>
    <row r="3943" ht="15.75" customHeight="1">
      <c r="A3943" s="2">
        <v>37614.0</v>
      </c>
      <c r="B3943" s="2" t="s">
        <v>6870</v>
      </c>
      <c r="C3943" s="2" t="s">
        <v>8403</v>
      </c>
      <c r="D3943" s="2" t="s">
        <v>8404</v>
      </c>
      <c r="E3943" s="2" t="s">
        <v>301</v>
      </c>
      <c r="F3943" s="2">
        <v>0.0</v>
      </c>
      <c r="G3943" s="2">
        <v>1.0</v>
      </c>
      <c r="H3943" s="3" t="str">
        <f>HYPERLINK("http://www.linkedin.com/pub/melina-belicia/20/736/373","http://www.linkedin.com/pub/melina-belicia/20/736/373")</f>
        <v>http://www.linkedin.com/pub/melina-belicia/20/736/373</v>
      </c>
      <c r="I3943" s="2" t="s">
        <v>599</v>
      </c>
      <c r="J3943" s="2" t="s">
        <v>102</v>
      </c>
      <c r="K3943" s="2" t="s">
        <v>5743</v>
      </c>
    </row>
    <row r="3944" ht="15.75" customHeight="1">
      <c r="A3944" s="2">
        <v>37646.0</v>
      </c>
      <c r="B3944" s="2" t="s">
        <v>8405</v>
      </c>
      <c r="C3944" s="2" t="s">
        <v>2547</v>
      </c>
      <c r="D3944" s="2" t="s">
        <v>8406</v>
      </c>
      <c r="E3944" s="2" t="s">
        <v>20</v>
      </c>
      <c r="F3944" s="2">
        <v>1.0</v>
      </c>
      <c r="G3944" s="2">
        <v>108.0</v>
      </c>
      <c r="H3944" s="3" t="str">
        <f>HYPERLINK("http://ar.linkedin.com/pub/natalia-paola-franco/20/187/813","http://ar.linkedin.com/pub/natalia-paola-franco/20/187/813")</f>
        <v>http://ar.linkedin.com/pub/natalia-paola-franco/20/187/813</v>
      </c>
      <c r="I3944" s="2" t="s">
        <v>57</v>
      </c>
      <c r="J3944" s="2" t="s">
        <v>21</v>
      </c>
      <c r="K3944" s="2" t="s">
        <v>5725</v>
      </c>
    </row>
    <row r="3945" ht="15.75" customHeight="1">
      <c r="A3945" s="2">
        <v>37654.0</v>
      </c>
      <c r="B3945" s="2" t="s">
        <v>8407</v>
      </c>
      <c r="C3945" s="2" t="s">
        <v>8408</v>
      </c>
      <c r="D3945" s="2" t="s">
        <v>13</v>
      </c>
      <c r="E3945" s="2" t="s">
        <v>20</v>
      </c>
      <c r="F3945" s="2">
        <v>0.0</v>
      </c>
      <c r="G3945" s="2">
        <v>500.0</v>
      </c>
      <c r="H3945" s="3" t="str">
        <f>HYPERLINK("http://www.linkedin.com/pub/damian-h-besio/23/b/678","http://www.linkedin.com/pub/damian-h-besio/23/b/678")</f>
        <v>http://www.linkedin.com/pub/damian-h-besio/23/b/678</v>
      </c>
      <c r="I3945" s="2" t="s">
        <v>458</v>
      </c>
      <c r="J3945" s="2" t="s">
        <v>21</v>
      </c>
      <c r="K3945" s="2" t="s">
        <v>5727</v>
      </c>
    </row>
    <row r="3946" ht="15.75" customHeight="1">
      <c r="A3946" s="2">
        <v>37682.0</v>
      </c>
      <c r="B3946" s="2" t="s">
        <v>492</v>
      </c>
      <c r="C3946" s="2" t="s">
        <v>8409</v>
      </c>
      <c r="D3946" s="2" t="s">
        <v>8410</v>
      </c>
      <c r="E3946" s="2" t="s">
        <v>20</v>
      </c>
      <c r="F3946" s="2">
        <v>3.0</v>
      </c>
      <c r="G3946" s="2">
        <v>86.0</v>
      </c>
      <c r="H3946" s="3" t="str">
        <f>HYPERLINK("http://ar.linkedin.com/in/sergioarancibia","http://ar.linkedin.com/in/sergioarancibia")</f>
        <v>http://ar.linkedin.com/in/sergioarancibia</v>
      </c>
      <c r="I3946" s="2" t="s">
        <v>2000</v>
      </c>
      <c r="J3946" s="2" t="s">
        <v>21</v>
      </c>
      <c r="K3946" s="2" t="s">
        <v>5727</v>
      </c>
    </row>
    <row r="3947" ht="15.75" customHeight="1">
      <c r="A3947" s="2">
        <v>37684.0</v>
      </c>
      <c r="B3947" s="2" t="s">
        <v>23</v>
      </c>
      <c r="C3947" s="2" t="s">
        <v>59</v>
      </c>
      <c r="D3947" s="2" t="s">
        <v>8411</v>
      </c>
      <c r="E3947" s="2" t="s">
        <v>20</v>
      </c>
      <c r="F3947" s="2" t="s">
        <v>13</v>
      </c>
      <c r="G3947" s="2">
        <v>486.0</v>
      </c>
      <c r="H3947" s="3" t="str">
        <f>HYPERLINK("http://ar.linkedin.com/pub/julio-martin/22/918/922","http://ar.linkedin.com/pub/julio-martin/22/918/922")</f>
        <v>http://ar.linkedin.com/pub/julio-martin/22/918/922</v>
      </c>
      <c r="I3947" s="2" t="s">
        <v>57</v>
      </c>
      <c r="J3947" s="2" t="s">
        <v>21</v>
      </c>
      <c r="K3947" s="2" t="s">
        <v>5725</v>
      </c>
    </row>
    <row r="3948" ht="15.75" customHeight="1">
      <c r="A3948" s="2">
        <v>37729.0</v>
      </c>
      <c r="B3948" s="2" t="s">
        <v>812</v>
      </c>
      <c r="C3948" s="2" t="s">
        <v>8412</v>
      </c>
      <c r="D3948" s="2" t="s">
        <v>7602</v>
      </c>
      <c r="E3948" s="2" t="s">
        <v>20</v>
      </c>
      <c r="F3948" s="2" t="s">
        <v>13</v>
      </c>
      <c r="G3948" s="2">
        <v>159.0</v>
      </c>
      <c r="H3948" s="3" t="str">
        <f>HYPERLINK("http://ar.linkedin.com/in/vaninacardoso","http://ar.linkedin.com/in/vaninacardoso")</f>
        <v>http://ar.linkedin.com/in/vaninacardoso</v>
      </c>
      <c r="I3948" s="2" t="s">
        <v>15</v>
      </c>
      <c r="J3948" s="2" t="s">
        <v>21</v>
      </c>
      <c r="K3948" s="2" t="s">
        <v>5725</v>
      </c>
    </row>
    <row r="3949" ht="15.75" customHeight="1">
      <c r="A3949" s="2">
        <v>37758.0</v>
      </c>
      <c r="B3949" s="2" t="s">
        <v>8413</v>
      </c>
      <c r="C3949" s="2" t="s">
        <v>8414</v>
      </c>
      <c r="D3949" s="2" t="s">
        <v>8415</v>
      </c>
      <c r="E3949" s="2" t="s">
        <v>20</v>
      </c>
      <c r="F3949" s="2">
        <v>0.0</v>
      </c>
      <c r="G3949" s="2">
        <v>121.0</v>
      </c>
      <c r="H3949" s="3" t="str">
        <f>HYPERLINK("http://www.linkedin.com/in/enzorucci","http://www.linkedin.com/in/enzorucci")</f>
        <v>http://www.linkedin.com/in/enzorucci</v>
      </c>
      <c r="I3949" s="2" t="s">
        <v>48</v>
      </c>
      <c r="J3949" s="2" t="s">
        <v>21</v>
      </c>
      <c r="K3949" s="2" t="s">
        <v>5734</v>
      </c>
    </row>
    <row r="3950" ht="15.75" customHeight="1">
      <c r="A3950" s="2">
        <v>37761.0</v>
      </c>
      <c r="B3950" s="2" t="s">
        <v>6666</v>
      </c>
      <c r="C3950" s="2" t="s">
        <v>740</v>
      </c>
      <c r="D3950" s="2" t="s">
        <v>8416</v>
      </c>
      <c r="E3950" s="2" t="s">
        <v>20</v>
      </c>
      <c r="F3950" s="2" t="s">
        <v>13</v>
      </c>
      <c r="G3950" s="2">
        <v>104.0</v>
      </c>
      <c r="H3950" s="3" t="str">
        <f>HYPERLINK("http://ar.linkedin.com/in/ingssilva","http://ar.linkedin.com/in/ingssilva")</f>
        <v>http://ar.linkedin.com/in/ingssilva</v>
      </c>
      <c r="I3950" s="2" t="s">
        <v>4727</v>
      </c>
      <c r="J3950" s="2" t="s">
        <v>21</v>
      </c>
      <c r="K3950" s="2" t="s">
        <v>5848</v>
      </c>
    </row>
    <row r="3951" ht="15.75" customHeight="1">
      <c r="A3951" s="2">
        <v>37780.0</v>
      </c>
      <c r="B3951" s="2" t="s">
        <v>5681</v>
      </c>
      <c r="C3951" s="2" t="s">
        <v>8417</v>
      </c>
      <c r="D3951" s="2" t="s">
        <v>8418</v>
      </c>
      <c r="E3951" s="2" t="s">
        <v>20</v>
      </c>
      <c r="F3951" s="2">
        <v>1.0</v>
      </c>
      <c r="G3951" s="2">
        <v>126.0</v>
      </c>
      <c r="H3951" s="3" t="str">
        <f>HYPERLINK("http://ar.linkedin.com/in/damiandicostanzo","http://ar.linkedin.com/in/damiandicostanzo")</f>
        <v>http://ar.linkedin.com/in/damiandicostanzo</v>
      </c>
      <c r="I3951" s="2" t="s">
        <v>195</v>
      </c>
      <c r="J3951" s="2" t="s">
        <v>21</v>
      </c>
      <c r="K3951" s="2" t="s">
        <v>5865</v>
      </c>
    </row>
    <row r="3952" ht="15.75" customHeight="1">
      <c r="A3952" s="2">
        <v>37816.0</v>
      </c>
      <c r="B3952" s="2" t="s">
        <v>5883</v>
      </c>
      <c r="C3952" s="2" t="s">
        <v>8419</v>
      </c>
      <c r="D3952" s="2" t="s">
        <v>8420</v>
      </c>
      <c r="E3952" s="2" t="s">
        <v>20</v>
      </c>
      <c r="F3952" s="2">
        <v>2.0</v>
      </c>
      <c r="G3952" s="2">
        <v>500.0</v>
      </c>
      <c r="H3952" s="3" t="str">
        <f>HYPERLINK("http://www.linkedin.com/pub/ariel-leonel-tolcachier/5/503/402","http://www.linkedin.com/pub/ariel-leonel-tolcachier/5/503/402")</f>
        <v>http://www.linkedin.com/pub/ariel-leonel-tolcachier/5/503/402</v>
      </c>
      <c r="I3952" s="2" t="s">
        <v>15</v>
      </c>
      <c r="J3952" s="2" t="s">
        <v>21</v>
      </c>
      <c r="K3952" s="2" t="s">
        <v>5777</v>
      </c>
    </row>
    <row r="3953" ht="15.75" customHeight="1">
      <c r="A3953" s="2">
        <v>37824.0</v>
      </c>
      <c r="B3953" s="2" t="s">
        <v>1042</v>
      </c>
      <c r="C3953" s="2" t="s">
        <v>8421</v>
      </c>
      <c r="D3953" s="2" t="s">
        <v>13</v>
      </c>
      <c r="E3953" s="2" t="s">
        <v>20</v>
      </c>
      <c r="F3953" s="2">
        <v>1.0</v>
      </c>
      <c r="G3953" s="2">
        <v>500.0</v>
      </c>
      <c r="H3953" s="3" t="str">
        <f>HYPERLINK("http://www.linkedin.com/pub/marina-zattera/4/99a/311","http://www.linkedin.com/pub/marina-zattera/4/99a/311")</f>
        <v>http://www.linkedin.com/pub/marina-zattera/4/99a/311</v>
      </c>
      <c r="I3953" s="2" t="s">
        <v>1237</v>
      </c>
      <c r="J3953" s="2" t="s">
        <v>21</v>
      </c>
      <c r="K3953" s="2" t="s">
        <v>6124</v>
      </c>
    </row>
    <row r="3954" ht="15.75" customHeight="1">
      <c r="A3954" s="2">
        <v>37851.0</v>
      </c>
      <c r="B3954" s="2" t="s">
        <v>3692</v>
      </c>
      <c r="C3954" s="2" t="s">
        <v>8422</v>
      </c>
      <c r="D3954" s="2" t="s">
        <v>8423</v>
      </c>
      <c r="E3954" s="2" t="s">
        <v>20</v>
      </c>
      <c r="F3954" s="2">
        <v>9.0</v>
      </c>
      <c r="G3954" s="2">
        <v>500.0</v>
      </c>
      <c r="H3954" s="3" t="str">
        <f>HYPERLINK("http://ar.linkedin.com/in/federicofinos","http://ar.linkedin.com/in/federicofinos")</f>
        <v>http://ar.linkedin.com/in/federicofinos</v>
      </c>
      <c r="I3954" s="2" t="s">
        <v>910</v>
      </c>
      <c r="J3954" s="2" t="s">
        <v>21</v>
      </c>
      <c r="K3954" s="2" t="s">
        <v>5727</v>
      </c>
    </row>
    <row r="3955" ht="15.75" customHeight="1">
      <c r="A3955" s="2">
        <v>37879.0</v>
      </c>
      <c r="B3955" s="2" t="s">
        <v>5883</v>
      </c>
      <c r="C3955" s="2" t="s">
        <v>8424</v>
      </c>
      <c r="D3955" s="2" t="s">
        <v>6129</v>
      </c>
      <c r="E3955" s="2" t="s">
        <v>20</v>
      </c>
      <c r="F3955" s="2">
        <v>1.0</v>
      </c>
      <c r="G3955" s="2">
        <v>392.0</v>
      </c>
      <c r="H3955" s="3" t="str">
        <f>HYPERLINK("http://ar.linkedin.com/in/ameter","http://ar.linkedin.com/in/ameter")</f>
        <v>http://ar.linkedin.com/in/ameter</v>
      </c>
      <c r="I3955" s="2" t="s">
        <v>15</v>
      </c>
      <c r="J3955" s="2" t="s">
        <v>21</v>
      </c>
      <c r="K3955" s="2" t="s">
        <v>5725</v>
      </c>
    </row>
    <row r="3956" ht="15.75" customHeight="1">
      <c r="A3956" s="2">
        <v>38090.0</v>
      </c>
      <c r="B3956" s="2" t="s">
        <v>8425</v>
      </c>
      <c r="C3956" s="2" t="s">
        <v>8426</v>
      </c>
      <c r="D3956" s="2" t="s">
        <v>8427</v>
      </c>
      <c r="E3956" s="2" t="s">
        <v>836</v>
      </c>
      <c r="F3956" s="2">
        <v>16.0</v>
      </c>
      <c r="G3956" s="2">
        <v>500.0</v>
      </c>
      <c r="H3956" s="3" t="str">
        <f>HYPERLINK("http://www.linkedin.com/pub/faustin-mukena/1B/75B/183","http://www.linkedin.com/pub/faustin-mukena/1B/75B/183")</f>
        <v>http://www.linkedin.com/pub/faustin-mukena/1B/75B/183</v>
      </c>
      <c r="I3956" s="2" t="s">
        <v>470</v>
      </c>
      <c r="J3956" s="2" t="s">
        <v>837</v>
      </c>
      <c r="K3956" s="2" t="s">
        <v>5727</v>
      </c>
    </row>
    <row r="3957" ht="15.75" customHeight="1">
      <c r="A3957" s="2">
        <v>38177.0</v>
      </c>
      <c r="B3957" s="2" t="s">
        <v>8428</v>
      </c>
      <c r="C3957" s="2" t="s">
        <v>8429</v>
      </c>
      <c r="D3957" s="2" t="s">
        <v>8430</v>
      </c>
      <c r="E3957" s="2" t="s">
        <v>1918</v>
      </c>
      <c r="F3957" s="2">
        <v>7.0</v>
      </c>
      <c r="G3957" s="2">
        <v>500.0</v>
      </c>
      <c r="H3957" s="3" t="str">
        <f>HYPERLINK("http://www.linkedin.com/pub/malachi-bierstein/0/408/A09","http://www.linkedin.com/pub/malachi-bierstein/0/408/A09")</f>
        <v>http://www.linkedin.com/pub/malachi-bierstein/0/408/A09</v>
      </c>
      <c r="I3957" s="2" t="s">
        <v>326</v>
      </c>
      <c r="J3957" s="2" t="s">
        <v>102</v>
      </c>
      <c r="K3957" s="2" t="s">
        <v>5743</v>
      </c>
    </row>
    <row r="3958" ht="15.75" customHeight="1">
      <c r="A3958" s="2">
        <v>38221.0</v>
      </c>
      <c r="B3958" s="2" t="s">
        <v>8431</v>
      </c>
      <c r="C3958" s="2" t="s">
        <v>4019</v>
      </c>
      <c r="D3958" s="2" t="s">
        <v>8432</v>
      </c>
      <c r="E3958" s="2" t="s">
        <v>2058</v>
      </c>
      <c r="F3958" s="2">
        <v>16.0</v>
      </c>
      <c r="G3958" s="2">
        <v>500.0</v>
      </c>
      <c r="H3958" s="3" t="str">
        <f>HYPERLINK("http://www.linkedin.com/in/garetthunter","http://www.linkedin.com/in/garetthunter")</f>
        <v>http://www.linkedin.com/in/garetthunter</v>
      </c>
      <c r="I3958" s="2" t="s">
        <v>326</v>
      </c>
      <c r="J3958" s="2" t="s">
        <v>102</v>
      </c>
      <c r="K3958" s="2" t="s">
        <v>5743</v>
      </c>
    </row>
    <row r="3959" ht="15.75" customHeight="1">
      <c r="A3959" s="2">
        <v>38230.0</v>
      </c>
      <c r="B3959" s="2" t="s">
        <v>8433</v>
      </c>
      <c r="C3959" s="2" t="s">
        <v>7527</v>
      </c>
      <c r="D3959" s="2" t="s">
        <v>304</v>
      </c>
      <c r="E3959" s="2" t="s">
        <v>765</v>
      </c>
      <c r="F3959" s="2">
        <v>17.0</v>
      </c>
      <c r="G3959" s="2">
        <v>500.0</v>
      </c>
      <c r="H3959" s="3" t="str">
        <f>HYPERLINK("http://www.linkedin.com/in/ninagracecabrera","http://www.linkedin.com/in/ninagracecabrera")</f>
        <v>http://www.linkedin.com/in/ninagracecabrera</v>
      </c>
      <c r="I3959" s="2" t="s">
        <v>69</v>
      </c>
      <c r="J3959" s="2" t="s">
        <v>144</v>
      </c>
      <c r="K3959" s="2" t="s">
        <v>5812</v>
      </c>
    </row>
    <row r="3960" ht="15.75" customHeight="1">
      <c r="A3960" s="2">
        <v>38255.0</v>
      </c>
      <c r="B3960" s="2" t="s">
        <v>8434</v>
      </c>
      <c r="C3960" s="2" t="s">
        <v>8435</v>
      </c>
      <c r="D3960" s="2" t="s">
        <v>5249</v>
      </c>
      <c r="E3960" s="2" t="s">
        <v>166</v>
      </c>
      <c r="F3960" s="2">
        <v>3.0</v>
      </c>
      <c r="G3960" s="2">
        <v>109.0</v>
      </c>
      <c r="H3960" s="3" t="str">
        <f>HYPERLINK("http://www.linkedin.com/pub/lorrie-lambert/A/A79/74A","http://www.linkedin.com/pub/lorrie-lambert/A/A79/74A")</f>
        <v>http://www.linkedin.com/pub/lorrie-lambert/A/A79/74A</v>
      </c>
      <c r="I3960" s="2" t="s">
        <v>475</v>
      </c>
      <c r="J3960" s="2" t="s">
        <v>102</v>
      </c>
      <c r="K3960" s="2" t="s">
        <v>6118</v>
      </c>
    </row>
    <row r="3961" ht="15.75" customHeight="1">
      <c r="A3961" s="2">
        <v>38258.0</v>
      </c>
      <c r="B3961" s="2" t="s">
        <v>8436</v>
      </c>
      <c r="C3961" s="2" t="s">
        <v>8437</v>
      </c>
      <c r="D3961" s="2" t="s">
        <v>13</v>
      </c>
      <c r="E3961" s="2" t="s">
        <v>20</v>
      </c>
      <c r="F3961" s="2">
        <v>0.0</v>
      </c>
      <c r="G3961" s="2">
        <v>500.0</v>
      </c>
      <c r="H3961" s="3" t="str">
        <f>HYPERLINK("http://www.linkedin.com/pub/willy-unger/0/666/a27","http://www.linkedin.com/pub/willy-unger/0/666/a27")</f>
        <v>http://www.linkedin.com/pub/willy-unger/0/666/a27</v>
      </c>
      <c r="I3961" s="2" t="s">
        <v>15</v>
      </c>
      <c r="J3961" s="2" t="s">
        <v>21</v>
      </c>
      <c r="K3961" s="2" t="s">
        <v>5731</v>
      </c>
    </row>
    <row r="3962" ht="15.75" customHeight="1">
      <c r="A3962" s="2">
        <v>38259.0</v>
      </c>
      <c r="B3962" s="2" t="s">
        <v>152</v>
      </c>
      <c r="C3962" s="2" t="s">
        <v>8438</v>
      </c>
      <c r="D3962" s="2" t="s">
        <v>13</v>
      </c>
      <c r="E3962" s="2" t="s">
        <v>20</v>
      </c>
      <c r="F3962" s="2">
        <v>0.0</v>
      </c>
      <c r="G3962" s="2">
        <v>500.0</v>
      </c>
      <c r="H3962" s="3" t="str">
        <f>HYPERLINK("http://www.linkedin.com/pub/eduardo-su%C3%A1rez-batt%C3%A1n/0/7a5/a9b","http://www.linkedin.com/pub/eduardo-su%C3%A1rez-batt%C3%A1n/0/7a5/a9b")</f>
        <v>http://www.linkedin.com/pub/eduardo-su%C3%A1rez-batt%C3%A1n/0/7a5/a9b</v>
      </c>
      <c r="I3962" s="2" t="s">
        <v>458</v>
      </c>
      <c r="J3962" s="2" t="s">
        <v>21</v>
      </c>
      <c r="K3962" s="2" t="s">
        <v>5734</v>
      </c>
    </row>
    <row r="3963" ht="15.75" customHeight="1">
      <c r="A3963" s="2">
        <v>38314.0</v>
      </c>
      <c r="B3963" s="2" t="s">
        <v>253</v>
      </c>
      <c r="C3963" s="2" t="s">
        <v>8439</v>
      </c>
      <c r="D3963" s="2" t="s">
        <v>8440</v>
      </c>
      <c r="E3963" s="2" t="s">
        <v>20</v>
      </c>
      <c r="F3963" s="2">
        <v>10.0</v>
      </c>
      <c r="G3963" s="2">
        <v>427.0</v>
      </c>
      <c r="H3963" s="3" t="str">
        <f>HYPERLINK("http://ar.linkedin.com/pub/fernando-dodino/7/348/BA6","http://ar.linkedin.com/pub/fernando-dodino/7/348/BA6")</f>
        <v>http://ar.linkedin.com/pub/fernando-dodino/7/348/BA6</v>
      </c>
      <c r="I3963" s="2" t="s">
        <v>77</v>
      </c>
      <c r="J3963" s="2" t="s">
        <v>21</v>
      </c>
      <c r="K3963" s="2" t="s">
        <v>5731</v>
      </c>
    </row>
    <row r="3964" ht="15.75" customHeight="1">
      <c r="A3964" s="2">
        <v>38317.0</v>
      </c>
      <c r="B3964" s="2" t="s">
        <v>3015</v>
      </c>
      <c r="C3964" s="2" t="s">
        <v>8441</v>
      </c>
      <c r="D3964" s="2" t="s">
        <v>7152</v>
      </c>
      <c r="E3964" s="2" t="s">
        <v>20</v>
      </c>
      <c r="F3964" s="2" t="s">
        <v>13</v>
      </c>
      <c r="G3964" s="2">
        <v>355.0</v>
      </c>
      <c r="H3964" s="3" t="str">
        <f>HYPERLINK("http://ar.linkedin.com/pub/luciano-caudevilla/3/22A/668","http://ar.linkedin.com/pub/luciano-caudevilla/3/22A/668")</f>
        <v>http://ar.linkedin.com/pub/luciano-caudevilla/3/22A/668</v>
      </c>
      <c r="I3964" s="2" t="s">
        <v>105</v>
      </c>
      <c r="J3964" s="2" t="s">
        <v>21</v>
      </c>
      <c r="K3964" s="2" t="s">
        <v>5785</v>
      </c>
    </row>
    <row r="3965" ht="15.75" customHeight="1">
      <c r="A3965" s="2">
        <v>38359.0</v>
      </c>
      <c r="B3965" s="2" t="s">
        <v>5078</v>
      </c>
      <c r="C3965" s="2" t="s">
        <v>8442</v>
      </c>
      <c r="D3965" s="2" t="s">
        <v>13</v>
      </c>
      <c r="E3965" s="2" t="s">
        <v>20</v>
      </c>
      <c r="F3965" s="2">
        <v>0.0</v>
      </c>
      <c r="G3965" s="2">
        <v>250.0</v>
      </c>
      <c r="H3965" s="3" t="str">
        <f>HYPERLINK("http://www.linkedin.com/pub/diego-vigliarolo/0/341/307","http://www.linkedin.com/pub/diego-vigliarolo/0/341/307")</f>
        <v>http://www.linkedin.com/pub/diego-vigliarolo/0/341/307</v>
      </c>
      <c r="I3965" s="2" t="s">
        <v>48</v>
      </c>
      <c r="J3965" s="2" t="s">
        <v>21</v>
      </c>
      <c r="K3965" s="2" t="s">
        <v>5725</v>
      </c>
    </row>
    <row r="3966" ht="15.75" customHeight="1">
      <c r="A3966" s="2">
        <v>38369.0</v>
      </c>
      <c r="B3966" s="2" t="s">
        <v>264</v>
      </c>
      <c r="C3966" s="2" t="s">
        <v>8443</v>
      </c>
      <c r="D3966" s="2" t="s">
        <v>8444</v>
      </c>
      <c r="E3966" s="2" t="s">
        <v>20</v>
      </c>
      <c r="F3966" s="2">
        <v>5.0</v>
      </c>
      <c r="G3966" s="2">
        <v>500.0</v>
      </c>
      <c r="H3966" s="3" t="str">
        <f>HYPERLINK("http://ar.linkedin.com/in/andresfermepinabapconsultant","http://ar.linkedin.com/in/andresfermepinabapconsultant")</f>
        <v>http://ar.linkedin.com/in/andresfermepinabapconsultant</v>
      </c>
      <c r="I3966" s="2" t="s">
        <v>77</v>
      </c>
      <c r="J3966" s="2" t="s">
        <v>21</v>
      </c>
      <c r="K3966" s="2" t="s">
        <v>5731</v>
      </c>
    </row>
    <row r="3967" ht="15.75" customHeight="1">
      <c r="A3967" s="2">
        <v>38374.0</v>
      </c>
      <c r="B3967" s="2" t="s">
        <v>3178</v>
      </c>
      <c r="C3967" s="2" t="s">
        <v>8445</v>
      </c>
      <c r="D3967" s="2" t="s">
        <v>8446</v>
      </c>
      <c r="E3967" s="2" t="s">
        <v>20</v>
      </c>
      <c r="F3967" s="2">
        <v>1.0</v>
      </c>
      <c r="G3967" s="2">
        <v>213.0</v>
      </c>
      <c r="H3967" s="3" t="str">
        <f>HYPERLINK("http://ar.linkedin.com/pub/lucas-zanello/19/A70/57","http://ar.linkedin.com/pub/lucas-zanello/19/A70/57")</f>
        <v>http://ar.linkedin.com/pub/lucas-zanello/19/A70/57</v>
      </c>
      <c r="I3967" s="2" t="s">
        <v>279</v>
      </c>
      <c r="J3967" s="2" t="s">
        <v>21</v>
      </c>
      <c r="K3967" s="2" t="s">
        <v>5734</v>
      </c>
    </row>
    <row r="3968" ht="15.75" customHeight="1">
      <c r="A3968" s="2">
        <v>38406.0</v>
      </c>
      <c r="B3968" s="2" t="s">
        <v>6061</v>
      </c>
      <c r="C3968" s="2" t="s">
        <v>8447</v>
      </c>
      <c r="D3968" s="2" t="s">
        <v>8448</v>
      </c>
      <c r="E3968" s="2" t="s">
        <v>20</v>
      </c>
      <c r="F3968" s="2" t="s">
        <v>13</v>
      </c>
      <c r="G3968" s="2">
        <v>293.0</v>
      </c>
      <c r="H3968" s="3" t="str">
        <f>HYPERLINK("http://ar.linkedin.com/in/agustinvinao","http://ar.linkedin.com/in/agustinvinao")</f>
        <v>http://ar.linkedin.com/in/agustinvinao</v>
      </c>
      <c r="I3968" s="2" t="s">
        <v>279</v>
      </c>
      <c r="J3968" s="2" t="s">
        <v>21</v>
      </c>
      <c r="K3968" s="2" t="s">
        <v>5734</v>
      </c>
    </row>
    <row r="3969" ht="15.75" customHeight="1">
      <c r="A3969" s="2">
        <v>38410.0</v>
      </c>
      <c r="B3969" s="2" t="s">
        <v>2335</v>
      </c>
      <c r="C3969" s="2" t="s">
        <v>8449</v>
      </c>
      <c r="D3969" s="2" t="s">
        <v>8450</v>
      </c>
      <c r="E3969" s="2" t="s">
        <v>20</v>
      </c>
      <c r="F3969" s="2">
        <v>4.0</v>
      </c>
      <c r="G3969" s="2">
        <v>500.0</v>
      </c>
      <c r="H3969" s="3" t="str">
        <f>HYPERLINK("http://ar.linkedin.com/in/brunosimionati","http://ar.linkedin.com/in/brunosimionati")</f>
        <v>http://ar.linkedin.com/in/brunosimionati</v>
      </c>
      <c r="I3969" s="2" t="s">
        <v>2000</v>
      </c>
      <c r="J3969" s="2" t="s">
        <v>21</v>
      </c>
      <c r="K3969" s="2" t="s">
        <v>5727</v>
      </c>
    </row>
    <row r="3970" ht="15.75" customHeight="1">
      <c r="A3970" s="2">
        <v>38427.0</v>
      </c>
      <c r="B3970" s="2" t="s">
        <v>6417</v>
      </c>
      <c r="C3970" s="2" t="s">
        <v>8451</v>
      </c>
      <c r="D3970" s="2" t="s">
        <v>8452</v>
      </c>
      <c r="E3970" s="2" t="s">
        <v>20</v>
      </c>
      <c r="F3970" s="2" t="s">
        <v>13</v>
      </c>
      <c r="G3970" s="2">
        <v>126.0</v>
      </c>
      <c r="H3970" s="3" t="str">
        <f>HYPERLINK("http://ar.linkedin.com/pub/gonzalo-roque/13/328/3A0","http://ar.linkedin.com/pub/gonzalo-roque/13/328/3A0")</f>
        <v>http://ar.linkedin.com/pub/gonzalo-roque/13/328/3A0</v>
      </c>
      <c r="I3970" s="2" t="s">
        <v>77</v>
      </c>
      <c r="J3970" s="2" t="s">
        <v>21</v>
      </c>
      <c r="K3970" s="2" t="s">
        <v>5848</v>
      </c>
    </row>
    <row r="3971" ht="15.75" customHeight="1">
      <c r="A3971" s="2">
        <v>38441.0</v>
      </c>
      <c r="B3971" s="2" t="s">
        <v>8453</v>
      </c>
      <c r="C3971" s="2" t="s">
        <v>8454</v>
      </c>
      <c r="D3971" s="2" t="s">
        <v>8455</v>
      </c>
      <c r="E3971" s="2" t="s">
        <v>20</v>
      </c>
      <c r="F3971" s="2">
        <v>1.0</v>
      </c>
      <c r="G3971" s="2">
        <v>500.0</v>
      </c>
      <c r="H3971" s="3" t="str">
        <f>HYPERLINK("http://www.linkedin.com/in/rlombardi","http://www.linkedin.com/in/rlombardi")</f>
        <v>http://www.linkedin.com/in/rlombardi</v>
      </c>
      <c r="I3971" s="2" t="s">
        <v>15</v>
      </c>
      <c r="J3971" s="2" t="s">
        <v>21</v>
      </c>
      <c r="K3971" s="2" t="s">
        <v>5725</v>
      </c>
    </row>
    <row r="3972" ht="15.75" customHeight="1">
      <c r="A3972" s="2">
        <v>38442.0</v>
      </c>
      <c r="B3972" s="2" t="s">
        <v>677</v>
      </c>
      <c r="C3972" s="2" t="s">
        <v>8456</v>
      </c>
      <c r="D3972" s="2" t="s">
        <v>13</v>
      </c>
      <c r="E3972" s="2" t="s">
        <v>20</v>
      </c>
      <c r="F3972" s="2">
        <v>0.0</v>
      </c>
      <c r="G3972" s="2">
        <v>500.0</v>
      </c>
      <c r="H3972" s="3" t="str">
        <f>HYPERLINK("http://www.linkedin.com/pub/daniel-texido/0/692/8b3","http://www.linkedin.com/pub/daniel-texido/0/692/8b3")</f>
        <v>http://www.linkedin.com/pub/daniel-texido/0/692/8b3</v>
      </c>
      <c r="I3972" s="2" t="s">
        <v>1948</v>
      </c>
      <c r="J3972" s="2" t="s">
        <v>21</v>
      </c>
      <c r="K3972" s="2" t="s">
        <v>5727</v>
      </c>
    </row>
    <row r="3973" ht="15.75" customHeight="1">
      <c r="A3973" s="2">
        <v>38443.0</v>
      </c>
      <c r="B3973" s="2" t="s">
        <v>227</v>
      </c>
      <c r="C3973" s="2" t="s">
        <v>8457</v>
      </c>
      <c r="D3973" s="2" t="s">
        <v>8458</v>
      </c>
      <c r="E3973" s="2" t="s">
        <v>20</v>
      </c>
      <c r="F3973" s="2">
        <v>2.0</v>
      </c>
      <c r="G3973" s="2">
        <v>500.0</v>
      </c>
      <c r="H3973" s="3" t="str">
        <f>HYPERLINK("http://ar.linkedin.com/in/jorgegrandoso","http://ar.linkedin.com/in/jorgegrandoso")</f>
        <v>http://ar.linkedin.com/in/jorgegrandoso</v>
      </c>
      <c r="I3973" s="2" t="s">
        <v>374</v>
      </c>
      <c r="J3973" s="2" t="s">
        <v>21</v>
      </c>
      <c r="K3973" s="2" t="s">
        <v>5727</v>
      </c>
    </row>
    <row r="3974" ht="15.75" customHeight="1">
      <c r="A3974" s="2">
        <v>38467.0</v>
      </c>
      <c r="B3974" s="2" t="s">
        <v>6930</v>
      </c>
      <c r="C3974" s="2" t="s">
        <v>8459</v>
      </c>
      <c r="D3974" s="2" t="s">
        <v>8460</v>
      </c>
      <c r="E3974" s="2" t="s">
        <v>20</v>
      </c>
      <c r="F3974" s="2">
        <v>0.0</v>
      </c>
      <c r="G3974" s="2">
        <v>214.0</v>
      </c>
      <c r="H3974" s="3" t="str">
        <f>HYPERLINK("http://www.linkedin.com/in/dariorapetti","http://www.linkedin.com/in/dariorapetti")</f>
        <v>http://www.linkedin.com/in/dariorapetti</v>
      </c>
      <c r="I3974" s="2" t="s">
        <v>2000</v>
      </c>
      <c r="J3974" s="2" t="s">
        <v>21</v>
      </c>
      <c r="K3974" s="2" t="s">
        <v>8461</v>
      </c>
    </row>
    <row r="3975" ht="15.75" customHeight="1">
      <c r="A3975" s="2">
        <v>38492.0</v>
      </c>
      <c r="B3975" s="2" t="s">
        <v>5808</v>
      </c>
      <c r="C3975" s="2" t="s">
        <v>8462</v>
      </c>
      <c r="D3975" s="2" t="s">
        <v>289</v>
      </c>
      <c r="E3975" s="2" t="s">
        <v>20</v>
      </c>
      <c r="F3975" s="2">
        <v>31.0</v>
      </c>
      <c r="G3975" s="2">
        <v>500.0</v>
      </c>
      <c r="H3975" s="3" t="str">
        <f>HYPERLINK("http://ar.linkedin.com/in/mdellanno","http://ar.linkedin.com/in/mdellanno")</f>
        <v>http://ar.linkedin.com/in/mdellanno</v>
      </c>
      <c r="I3975" s="2" t="s">
        <v>105</v>
      </c>
      <c r="J3975" s="2" t="s">
        <v>21</v>
      </c>
      <c r="K3975" s="2" t="s">
        <v>5727</v>
      </c>
    </row>
    <row r="3976" ht="15.75" customHeight="1">
      <c r="A3976" s="2">
        <v>38508.0</v>
      </c>
      <c r="B3976" s="2" t="s">
        <v>6038</v>
      </c>
      <c r="C3976" s="2" t="s">
        <v>8463</v>
      </c>
      <c r="D3976" s="2" t="s">
        <v>8464</v>
      </c>
      <c r="E3976" s="2" t="s">
        <v>20</v>
      </c>
      <c r="F3976" s="2">
        <v>3.0</v>
      </c>
      <c r="G3976" s="2">
        <v>296.0</v>
      </c>
      <c r="H3976" s="3" t="str">
        <f>HYPERLINK("http://ar.linkedin.com/in/joaquinrodriguezvarela","http://ar.linkedin.com/in/joaquinrodriguezvarela")</f>
        <v>http://ar.linkedin.com/in/joaquinrodriguezvarela</v>
      </c>
      <c r="I3976" s="2" t="s">
        <v>160</v>
      </c>
      <c r="J3976" s="2" t="s">
        <v>21</v>
      </c>
      <c r="K3976" s="2" t="s">
        <v>5731</v>
      </c>
    </row>
    <row r="3977" ht="15.75" customHeight="1">
      <c r="A3977" s="2">
        <v>38516.0</v>
      </c>
      <c r="B3977" s="2" t="s">
        <v>3891</v>
      </c>
      <c r="C3977" s="2" t="s">
        <v>8465</v>
      </c>
      <c r="D3977" s="2" t="s">
        <v>8466</v>
      </c>
      <c r="E3977" s="2" t="s">
        <v>20</v>
      </c>
      <c r="F3977" s="2">
        <v>7.0</v>
      </c>
      <c r="G3977" s="2">
        <v>500.0</v>
      </c>
      <c r="H3977" s="3" t="str">
        <f>HYPERLINK("http://ar.linkedin.com/in/vbottazzi","http://ar.linkedin.com/in/vbottazzi")</f>
        <v>http://ar.linkedin.com/in/vbottazzi</v>
      </c>
      <c r="I3977" s="2" t="s">
        <v>1398</v>
      </c>
      <c r="J3977" s="2" t="s">
        <v>21</v>
      </c>
      <c r="K3977" s="2" t="s">
        <v>5727</v>
      </c>
    </row>
    <row r="3978" ht="15.75" customHeight="1">
      <c r="A3978" s="2">
        <v>38529.0</v>
      </c>
      <c r="B3978" s="2" t="s">
        <v>8467</v>
      </c>
      <c r="C3978" s="2" t="s">
        <v>8468</v>
      </c>
      <c r="D3978" s="2" t="s">
        <v>8469</v>
      </c>
      <c r="E3978" s="2" t="s">
        <v>20</v>
      </c>
      <c r="F3978" s="2">
        <v>7.0</v>
      </c>
      <c r="G3978" s="2">
        <v>274.0</v>
      </c>
      <c r="H3978" s="3" t="str">
        <f>HYPERLINK("http://ar.linkedin.com/in/matt3d","http://ar.linkedin.com/in/matt3d")</f>
        <v>http://ar.linkedin.com/in/matt3d</v>
      </c>
      <c r="I3978" s="2" t="s">
        <v>1421</v>
      </c>
      <c r="J3978" s="2" t="s">
        <v>21</v>
      </c>
      <c r="K3978" s="2" t="s">
        <v>5727</v>
      </c>
    </row>
    <row r="3979" ht="15.75" customHeight="1">
      <c r="A3979" s="2">
        <v>38555.0</v>
      </c>
      <c r="B3979" s="2" t="s">
        <v>8470</v>
      </c>
      <c r="C3979" s="2" t="s">
        <v>6794</v>
      </c>
      <c r="D3979" s="2" t="s">
        <v>13</v>
      </c>
      <c r="E3979" s="2" t="s">
        <v>20</v>
      </c>
      <c r="F3979" s="2">
        <v>0.0</v>
      </c>
      <c r="G3979" s="2">
        <v>392.0</v>
      </c>
      <c r="H3979" s="3" t="str">
        <f>HYPERLINK("http://www.linkedin.com/pub/maira-daniela-ferrari/7/a8b/57b","http://www.linkedin.com/pub/maira-daniela-ferrari/7/a8b/57b")</f>
        <v>http://www.linkedin.com/pub/maira-daniela-ferrari/7/a8b/57b</v>
      </c>
      <c r="I3979" s="2" t="s">
        <v>15</v>
      </c>
      <c r="J3979" s="2" t="s">
        <v>21</v>
      </c>
      <c r="K3979" s="2" t="s">
        <v>5848</v>
      </c>
    </row>
    <row r="3980" ht="15.75" customHeight="1">
      <c r="A3980" s="2">
        <v>38569.0</v>
      </c>
      <c r="B3980" s="2" t="s">
        <v>8471</v>
      </c>
      <c r="C3980" s="2" t="s">
        <v>6073</v>
      </c>
      <c r="D3980" s="2" t="s">
        <v>8472</v>
      </c>
      <c r="E3980" s="2" t="s">
        <v>20</v>
      </c>
      <c r="F3980" s="2">
        <v>1.0</v>
      </c>
      <c r="G3980" s="2">
        <v>377.0</v>
      </c>
      <c r="H3980" s="3" t="str">
        <f>HYPERLINK("http://ar.linkedin.com/pub/yamila-florencia-fortunato/20/89A/3A0","http://ar.linkedin.com/pub/yamila-florencia-fortunato/20/89A/3A0")</f>
        <v>http://ar.linkedin.com/pub/yamila-florencia-fortunato/20/89A/3A0</v>
      </c>
      <c r="I3980" s="2" t="s">
        <v>160</v>
      </c>
      <c r="J3980" s="2" t="s">
        <v>21</v>
      </c>
      <c r="K3980" s="2" t="s">
        <v>5848</v>
      </c>
    </row>
    <row r="3981" ht="15.75" customHeight="1">
      <c r="A3981" s="2">
        <v>38573.0</v>
      </c>
      <c r="B3981" s="2" t="s">
        <v>4304</v>
      </c>
      <c r="C3981" s="2" t="s">
        <v>7527</v>
      </c>
      <c r="D3981" s="2" t="s">
        <v>8473</v>
      </c>
      <c r="E3981" s="2" t="s">
        <v>20</v>
      </c>
      <c r="F3981" s="2">
        <v>6.0</v>
      </c>
      <c r="G3981" s="2">
        <v>275.0</v>
      </c>
      <c r="H3981" s="3" t="str">
        <f>HYPERLINK("http://ar.linkedin.com/in/leandrocabrera","http://ar.linkedin.com/in/leandrocabrera")</f>
        <v>http://ar.linkedin.com/in/leandrocabrera</v>
      </c>
      <c r="I3981" s="2" t="s">
        <v>240</v>
      </c>
      <c r="J3981" s="2" t="s">
        <v>21</v>
      </c>
      <c r="K3981" s="2" t="s">
        <v>6388</v>
      </c>
    </row>
    <row r="3982" ht="15.75" customHeight="1">
      <c r="A3982" s="2">
        <v>38581.0</v>
      </c>
      <c r="B3982" s="2" t="s">
        <v>253</v>
      </c>
      <c r="C3982" s="2" t="s">
        <v>8474</v>
      </c>
      <c r="D3982" s="2" t="s">
        <v>8475</v>
      </c>
      <c r="E3982" s="2" t="s">
        <v>20</v>
      </c>
      <c r="F3982" s="2">
        <v>6.0</v>
      </c>
      <c r="G3982" s="2">
        <v>500.0</v>
      </c>
      <c r="H3982" s="3" t="str">
        <f>HYPERLINK("http://ar.linkedin.com/in/fernandoarocena","http://ar.linkedin.com/in/fernandoarocena")</f>
        <v>http://ar.linkedin.com/in/fernandoarocena</v>
      </c>
      <c r="I3982" s="2" t="s">
        <v>225</v>
      </c>
      <c r="J3982" s="2" t="s">
        <v>21</v>
      </c>
      <c r="K3982" s="2" t="s">
        <v>5743</v>
      </c>
    </row>
    <row r="3983" ht="15.75" customHeight="1">
      <c r="A3983" s="2">
        <v>38590.0</v>
      </c>
      <c r="B3983" s="2" t="s">
        <v>5824</v>
      </c>
      <c r="C3983" s="2" t="s">
        <v>8476</v>
      </c>
      <c r="D3983" s="2" t="s">
        <v>8477</v>
      </c>
      <c r="E3983" s="2" t="s">
        <v>20</v>
      </c>
      <c r="F3983" s="2" t="s">
        <v>13</v>
      </c>
      <c r="G3983" s="2">
        <v>84.0</v>
      </c>
      <c r="H3983" s="3" t="str">
        <f>HYPERLINK("http://ar.linkedin.com/in/alejandragarrido","http://ar.linkedin.com/in/alejandragarrido")</f>
        <v>http://ar.linkedin.com/in/alejandragarrido</v>
      </c>
      <c r="I3983" s="2" t="s">
        <v>225</v>
      </c>
      <c r="J3983" s="2" t="s">
        <v>21</v>
      </c>
      <c r="K3983" s="2" t="s">
        <v>6178</v>
      </c>
    </row>
    <row r="3984" ht="15.75" customHeight="1">
      <c r="A3984" s="2">
        <v>38642.0</v>
      </c>
      <c r="B3984" s="2" t="s">
        <v>5389</v>
      </c>
      <c r="C3984" s="2" t="s">
        <v>8478</v>
      </c>
      <c r="D3984" s="2" t="s">
        <v>7401</v>
      </c>
      <c r="E3984" s="2" t="s">
        <v>20</v>
      </c>
      <c r="F3984" s="2">
        <v>4.0</v>
      </c>
      <c r="G3984" s="2">
        <v>500.0</v>
      </c>
      <c r="H3984" s="3" t="str">
        <f>HYPERLINK("http://ar.linkedin.com/pub/paula-canil/5/750/36B","http://ar.linkedin.com/pub/paula-canil/5/750/36B")</f>
        <v>http://ar.linkedin.com/pub/paula-canil/5/750/36B</v>
      </c>
      <c r="I3984" s="2" t="s">
        <v>279</v>
      </c>
      <c r="J3984" s="2" t="s">
        <v>21</v>
      </c>
      <c r="K3984" s="2" t="s">
        <v>5743</v>
      </c>
    </row>
    <row r="3985" ht="15.75" customHeight="1">
      <c r="A3985" s="2">
        <v>38646.0</v>
      </c>
      <c r="B3985" s="2" t="s">
        <v>6545</v>
      </c>
      <c r="C3985" s="2" t="s">
        <v>8479</v>
      </c>
      <c r="D3985" s="2" t="s">
        <v>2302</v>
      </c>
      <c r="E3985" s="2" t="s">
        <v>20</v>
      </c>
      <c r="F3985" s="2" t="s">
        <v>13</v>
      </c>
      <c r="G3985" s="2">
        <v>251.0</v>
      </c>
      <c r="H3985" s="3" t="str">
        <f>HYPERLINK("http://ar.linkedin.com/pub/adri%C3%A1n-solter-soroa/0/196/402","http://ar.linkedin.com/pub/adri%C3%A1n-solter-soroa/0/196/402")</f>
        <v>http://ar.linkedin.com/pub/adri%C3%A1n-solter-soroa/0/196/402</v>
      </c>
      <c r="I3985" s="2" t="s">
        <v>15</v>
      </c>
      <c r="J3985" s="2" t="s">
        <v>21</v>
      </c>
      <c r="K3985" s="2" t="s">
        <v>5725</v>
      </c>
    </row>
    <row r="3986" ht="15.75" customHeight="1">
      <c r="A3986" s="2">
        <v>38660.0</v>
      </c>
      <c r="B3986" s="2" t="s">
        <v>8480</v>
      </c>
      <c r="C3986" s="2" t="s">
        <v>8481</v>
      </c>
      <c r="D3986" s="2" t="s">
        <v>950</v>
      </c>
      <c r="E3986" s="2" t="s">
        <v>20</v>
      </c>
      <c r="F3986" s="2">
        <v>1.0</v>
      </c>
      <c r="G3986" s="2">
        <v>444.0</v>
      </c>
      <c r="H3986" s="3" t="str">
        <f>HYPERLINK("http://ar.linkedin.com/pub/rafaela-ren%C3%B3/0/431/B0B","http://ar.linkedin.com/pub/rafaela-ren%C3%B3/0/431/B0B")</f>
        <v>http://ar.linkedin.com/pub/rafaela-ren%C3%B3/0/431/B0B</v>
      </c>
      <c r="I3986" s="2" t="s">
        <v>15</v>
      </c>
      <c r="J3986" s="2" t="s">
        <v>21</v>
      </c>
      <c r="K3986" s="2" t="s">
        <v>5725</v>
      </c>
    </row>
    <row r="3987" ht="15.75" customHeight="1">
      <c r="A3987" s="2">
        <v>38668.0</v>
      </c>
      <c r="B3987" s="2" t="s">
        <v>431</v>
      </c>
      <c r="C3987" s="2" t="s">
        <v>8482</v>
      </c>
      <c r="D3987" s="2" t="s">
        <v>8483</v>
      </c>
      <c r="E3987" s="2" t="s">
        <v>20</v>
      </c>
      <c r="F3987" s="2">
        <v>5.0</v>
      </c>
      <c r="G3987" s="2">
        <v>118.0</v>
      </c>
      <c r="H3987" s="3" t="str">
        <f>HYPERLINK("http://ar.linkedin.com/pub/rodrigo-tabernero/12/335/221","http://ar.linkedin.com/pub/rodrigo-tabernero/12/335/221")</f>
        <v>http://ar.linkedin.com/pub/rodrigo-tabernero/12/335/221</v>
      </c>
      <c r="I3987" s="2" t="s">
        <v>696</v>
      </c>
      <c r="J3987" s="2" t="s">
        <v>21</v>
      </c>
      <c r="K3987" s="2" t="s">
        <v>5731</v>
      </c>
    </row>
    <row r="3988" ht="15.75" customHeight="1">
      <c r="A3988" s="2">
        <v>38674.0</v>
      </c>
      <c r="B3988" s="2" t="s">
        <v>5389</v>
      </c>
      <c r="C3988" s="2" t="s">
        <v>8484</v>
      </c>
      <c r="D3988" s="2" t="s">
        <v>8485</v>
      </c>
      <c r="E3988" s="2" t="s">
        <v>20</v>
      </c>
      <c r="F3988" s="2">
        <v>22.0</v>
      </c>
      <c r="G3988" s="2">
        <v>500.0</v>
      </c>
      <c r="H3988" s="3" t="str">
        <f>HYPERLINK("http://ar.linkedin.com/in/paulaportal","http://ar.linkedin.com/in/paulaportal")</f>
        <v>http://ar.linkedin.com/in/paulaportal</v>
      </c>
      <c r="I3988" s="2" t="s">
        <v>57</v>
      </c>
      <c r="J3988" s="2" t="s">
        <v>21</v>
      </c>
      <c r="K3988" s="2" t="s">
        <v>5727</v>
      </c>
    </row>
    <row r="3989" ht="15.75" customHeight="1">
      <c r="A3989" s="2">
        <v>38676.0</v>
      </c>
      <c r="B3989" s="2" t="s">
        <v>7744</v>
      </c>
      <c r="C3989" s="2" t="s">
        <v>8486</v>
      </c>
      <c r="D3989" s="2" t="s">
        <v>8487</v>
      </c>
      <c r="E3989" s="2" t="s">
        <v>20</v>
      </c>
      <c r="F3989" s="2">
        <v>4.0</v>
      </c>
      <c r="G3989" s="2">
        <v>353.0</v>
      </c>
      <c r="H3989" s="3" t="str">
        <f>HYPERLINK("http://ar.linkedin.com/in/oscarromanelli","http://ar.linkedin.com/in/oscarromanelli")</f>
        <v>http://ar.linkedin.com/in/oscarromanelli</v>
      </c>
      <c r="I3989" s="2" t="s">
        <v>1679</v>
      </c>
      <c r="J3989" s="2" t="s">
        <v>21</v>
      </c>
      <c r="K3989" s="2" t="s">
        <v>5727</v>
      </c>
    </row>
    <row r="3990" ht="15.75" customHeight="1">
      <c r="A3990" s="2">
        <v>38694.0</v>
      </c>
      <c r="B3990" s="2" t="s">
        <v>879</v>
      </c>
      <c r="C3990" s="2" t="s">
        <v>8488</v>
      </c>
      <c r="D3990" s="2" t="s">
        <v>8489</v>
      </c>
      <c r="E3990" s="2" t="s">
        <v>713</v>
      </c>
      <c r="F3990" s="2">
        <v>10.0</v>
      </c>
      <c r="G3990" s="2">
        <v>500.0</v>
      </c>
      <c r="H3990" s="3" t="str">
        <f>HYPERLINK("http://www.linkedin.com/in/richardatkind","http://www.linkedin.com/in/richardatkind")</f>
        <v>http://www.linkedin.com/in/richardatkind</v>
      </c>
      <c r="I3990" s="2" t="s">
        <v>2275</v>
      </c>
      <c r="J3990" s="2" t="s">
        <v>102</v>
      </c>
      <c r="K3990" s="2" t="s">
        <v>7341</v>
      </c>
    </row>
    <row r="3991" ht="15.75" customHeight="1">
      <c r="A3991" s="2">
        <v>38698.0</v>
      </c>
      <c r="B3991" s="2" t="s">
        <v>8490</v>
      </c>
      <c r="C3991" s="2" t="s">
        <v>8491</v>
      </c>
      <c r="D3991" s="2" t="s">
        <v>8492</v>
      </c>
      <c r="E3991" s="2" t="s">
        <v>20</v>
      </c>
      <c r="F3991" s="2">
        <v>1.0</v>
      </c>
      <c r="G3991" s="2">
        <v>500.0</v>
      </c>
      <c r="H3991" s="3" t="str">
        <f>HYPERLINK("http://www.linkedin.com/pub/gabriela-alejandra-ciccone/13/385/460","http://www.linkedin.com/pub/gabriela-alejandra-ciccone/13/385/460")</f>
        <v>http://www.linkedin.com/pub/gabriela-alejandra-ciccone/13/385/460</v>
      </c>
      <c r="I3991" s="2" t="s">
        <v>77</v>
      </c>
      <c r="J3991" s="2" t="s">
        <v>21</v>
      </c>
      <c r="K3991" s="2" t="s">
        <v>5848</v>
      </c>
    </row>
    <row r="3992" ht="15.75" customHeight="1">
      <c r="A3992" s="2">
        <v>38722.0</v>
      </c>
      <c r="B3992" s="2" t="s">
        <v>6856</v>
      </c>
      <c r="C3992" s="2" t="s">
        <v>6168</v>
      </c>
      <c r="D3992" s="2" t="s">
        <v>8493</v>
      </c>
      <c r="E3992" s="2" t="s">
        <v>20</v>
      </c>
      <c r="F3992" s="2">
        <v>1.0</v>
      </c>
      <c r="G3992" s="2">
        <v>500.0</v>
      </c>
      <c r="H3992" s="3" t="str">
        <f>HYPERLINK("http://ar.linkedin.com/pub/german-vidal/1/981/B44","http://ar.linkedin.com/pub/german-vidal/1/981/B44")</f>
        <v>http://ar.linkedin.com/pub/german-vidal/1/981/B44</v>
      </c>
      <c r="I3992" s="2" t="s">
        <v>248</v>
      </c>
      <c r="J3992" s="2" t="s">
        <v>21</v>
      </c>
      <c r="K3992" s="2" t="s">
        <v>5727</v>
      </c>
    </row>
    <row r="3993" ht="15.75" customHeight="1">
      <c r="A3993" s="2">
        <v>38742.0</v>
      </c>
      <c r="B3993" s="2" t="s">
        <v>698</v>
      </c>
      <c r="C3993" s="2" t="s">
        <v>8494</v>
      </c>
      <c r="D3993" s="2" t="s">
        <v>4688</v>
      </c>
      <c r="E3993" s="2" t="s">
        <v>101</v>
      </c>
      <c r="F3993" s="2">
        <v>14.0</v>
      </c>
      <c r="G3993" s="2">
        <v>500.0</v>
      </c>
      <c r="H3993" s="3" t="str">
        <f>HYPERLINK("http://www.linkedin.com/pub/armando-del-bosque-alan-s/3/208/281","http://www.linkedin.com/pub/armando-del-bosque-alan-s/3/208/281")</f>
        <v>http://www.linkedin.com/pub/armando-del-bosque-alan-s/3/208/281</v>
      </c>
      <c r="I3993" s="2" t="s">
        <v>4394</v>
      </c>
      <c r="J3993" s="2" t="s">
        <v>102</v>
      </c>
      <c r="K3993" s="2" t="s">
        <v>5725</v>
      </c>
    </row>
    <row r="3994" ht="15.75" customHeight="1">
      <c r="A3994" s="2">
        <v>38772.0</v>
      </c>
      <c r="B3994" s="2" t="s">
        <v>4304</v>
      </c>
      <c r="C3994" s="2" t="s">
        <v>8495</v>
      </c>
      <c r="D3994" s="2" t="s">
        <v>7149</v>
      </c>
      <c r="E3994" s="2" t="s">
        <v>20</v>
      </c>
      <c r="F3994" s="2">
        <v>3.0</v>
      </c>
      <c r="G3994" s="2">
        <v>153.0</v>
      </c>
      <c r="H3994" s="3" t="str">
        <f>HYPERLINK("http://ar.linkedin.com/in/leandrosmal","http://ar.linkedin.com/in/leandrosmal")</f>
        <v>http://ar.linkedin.com/in/leandrosmal</v>
      </c>
      <c r="I3994" s="2" t="s">
        <v>1679</v>
      </c>
      <c r="J3994" s="2" t="s">
        <v>21</v>
      </c>
      <c r="K3994" s="2" t="s">
        <v>5727</v>
      </c>
    </row>
    <row r="3995" ht="15.75" customHeight="1">
      <c r="A3995" s="2">
        <v>38798.0</v>
      </c>
      <c r="B3995" s="2" t="s">
        <v>5732</v>
      </c>
      <c r="C3995" s="2" t="s">
        <v>7018</v>
      </c>
      <c r="D3995" s="2" t="s">
        <v>6941</v>
      </c>
      <c r="E3995" s="2" t="s">
        <v>20</v>
      </c>
      <c r="F3995" s="2" t="s">
        <v>13</v>
      </c>
      <c r="G3995" s="2">
        <v>288.0</v>
      </c>
      <c r="H3995" s="3" t="str">
        <f>HYPERLINK("http://ar.linkedin.com/in/martinmorales","http://ar.linkedin.com/in/martinmorales")</f>
        <v>http://ar.linkedin.com/in/martinmorales</v>
      </c>
      <c r="I3995" s="2" t="s">
        <v>15</v>
      </c>
      <c r="J3995" s="2" t="s">
        <v>21</v>
      </c>
      <c r="K3995" s="2" t="s">
        <v>5725</v>
      </c>
    </row>
    <row r="3996" ht="15.75" customHeight="1">
      <c r="A3996" s="2">
        <v>38834.0</v>
      </c>
      <c r="B3996" s="2" t="s">
        <v>8496</v>
      </c>
      <c r="C3996" s="2" t="s">
        <v>8497</v>
      </c>
      <c r="D3996" s="2" t="s">
        <v>108</v>
      </c>
      <c r="E3996" s="2" t="s">
        <v>8498</v>
      </c>
      <c r="F3996" s="2">
        <v>4.0</v>
      </c>
      <c r="G3996" s="2">
        <v>222.0</v>
      </c>
      <c r="H3996" s="3" t="str">
        <f>HYPERLINK("http://www.linkedin.com/in/jcroot","http://www.linkedin.com/in/jcroot")</f>
        <v>http://www.linkedin.com/in/jcroot</v>
      </c>
      <c r="I3996" s="2" t="s">
        <v>15</v>
      </c>
      <c r="J3996" s="2" t="s">
        <v>8499</v>
      </c>
      <c r="K3996" s="2" t="s">
        <v>5727</v>
      </c>
    </row>
    <row r="3997" ht="15.75" customHeight="1">
      <c r="A3997" s="2">
        <v>38836.0</v>
      </c>
      <c r="B3997" s="2" t="s">
        <v>3754</v>
      </c>
      <c r="C3997" s="2" t="s">
        <v>8500</v>
      </c>
      <c r="D3997" s="2" t="s">
        <v>8501</v>
      </c>
      <c r="E3997" s="2" t="s">
        <v>235</v>
      </c>
      <c r="F3997" s="2">
        <v>0.0</v>
      </c>
      <c r="G3997" s="2">
        <v>199.0</v>
      </c>
      <c r="H3997" s="3" t="str">
        <f>HYPERLINK("http://www.linkedin.com/pub/liz-friscino/6/62/B05","http://www.linkedin.com/pub/liz-friscino/6/62/B05")</f>
        <v>http://www.linkedin.com/pub/liz-friscino/6/62/B05</v>
      </c>
      <c r="I3997" s="2" t="s">
        <v>105</v>
      </c>
      <c r="J3997" s="2" t="s">
        <v>102</v>
      </c>
      <c r="K3997" s="2" t="s">
        <v>6588</v>
      </c>
    </row>
    <row r="3998" ht="15.75" customHeight="1">
      <c r="A3998" s="2">
        <v>38843.0</v>
      </c>
      <c r="B3998" s="2" t="s">
        <v>2601</v>
      </c>
      <c r="C3998" s="2" t="s">
        <v>8502</v>
      </c>
      <c r="D3998" s="2" t="s">
        <v>8503</v>
      </c>
      <c r="E3998" s="2" t="s">
        <v>301</v>
      </c>
      <c r="F3998" s="2">
        <v>1.0</v>
      </c>
      <c r="G3998" s="2">
        <v>432.0</v>
      </c>
      <c r="H3998" s="3" t="str">
        <f>HYPERLINK("http://www.linkedin.com/pub/rebecca-dooley/7/163/3B2","http://www.linkedin.com/pub/rebecca-dooley/7/163/3B2")</f>
        <v>http://www.linkedin.com/pub/rebecca-dooley/7/163/3B2</v>
      </c>
      <c r="I3998" s="2" t="s">
        <v>1507</v>
      </c>
      <c r="J3998" s="2" t="s">
        <v>102</v>
      </c>
      <c r="K3998" s="2" t="s">
        <v>5734</v>
      </c>
    </row>
    <row r="3999" ht="15.75" customHeight="1">
      <c r="A3999" s="2">
        <v>38852.0</v>
      </c>
      <c r="B3999" s="2" t="s">
        <v>8504</v>
      </c>
      <c r="C3999" s="2" t="s">
        <v>1869</v>
      </c>
      <c r="D3999" s="2" t="s">
        <v>8505</v>
      </c>
      <c r="E3999" s="2" t="s">
        <v>1407</v>
      </c>
      <c r="F3999" s="2">
        <v>22.0</v>
      </c>
      <c r="G3999" s="2">
        <v>466.0</v>
      </c>
      <c r="H3999" s="3" t="str">
        <f>HYPERLINK("http://www.linkedin.com/in/suzimyers7","http://www.linkedin.com/in/suzimyers7")</f>
        <v>http://www.linkedin.com/in/suzimyers7</v>
      </c>
      <c r="I3999" s="2" t="s">
        <v>1728</v>
      </c>
      <c r="J3999" s="2" t="s">
        <v>102</v>
      </c>
      <c r="K3999" s="2" t="s">
        <v>5725</v>
      </c>
    </row>
    <row r="4000" ht="15.75" customHeight="1">
      <c r="A4000" s="2">
        <v>38868.0</v>
      </c>
      <c r="B4000" s="2" t="s">
        <v>8506</v>
      </c>
      <c r="C4000" s="2" t="s">
        <v>8507</v>
      </c>
      <c r="D4000" s="2" t="s">
        <v>8508</v>
      </c>
      <c r="E4000" s="2" t="s">
        <v>1351</v>
      </c>
      <c r="F4000" s="2">
        <v>8.0</v>
      </c>
      <c r="G4000" s="2">
        <v>500.0</v>
      </c>
      <c r="H4000" s="3" t="str">
        <f>HYPERLINK("http://www.linkedin.com/pub/nejib-ben-khedher/4/349/824","http://www.linkedin.com/pub/nejib-ben-khedher/4/349/824")</f>
        <v>http://www.linkedin.com/pub/nejib-ben-khedher/4/349/824</v>
      </c>
      <c r="I4000" s="2" t="s">
        <v>1728</v>
      </c>
      <c r="J4000" s="2" t="s">
        <v>1353</v>
      </c>
      <c r="K4000" s="2" t="s">
        <v>5725</v>
      </c>
    </row>
    <row r="4001" ht="15.75" customHeight="1">
      <c r="A4001" s="2">
        <v>38880.0</v>
      </c>
      <c r="B4001" s="2" t="s">
        <v>8509</v>
      </c>
      <c r="C4001" s="2" t="s">
        <v>6543</v>
      </c>
      <c r="D4001" s="2" t="s">
        <v>950</v>
      </c>
      <c r="E4001" s="2" t="s">
        <v>20</v>
      </c>
      <c r="F4001" s="2">
        <v>13.0</v>
      </c>
      <c r="G4001" s="2">
        <v>500.0</v>
      </c>
      <c r="H4001" s="3" t="str">
        <f>HYPERLINK("http://ar.linkedin.com/pub/mario-manuel-blanco/12/171/5A1","http://ar.linkedin.com/pub/mario-manuel-blanco/12/171/5A1")</f>
        <v>http://ar.linkedin.com/pub/mario-manuel-blanco/12/171/5A1</v>
      </c>
      <c r="I4001" s="2" t="s">
        <v>2023</v>
      </c>
      <c r="J4001" s="2" t="s">
        <v>21</v>
      </c>
      <c r="K4001" s="2" t="s">
        <v>5785</v>
      </c>
    </row>
    <row r="4002" ht="15.75" customHeight="1">
      <c r="A4002" s="2">
        <v>38929.0</v>
      </c>
      <c r="B4002" s="2" t="s">
        <v>8510</v>
      </c>
      <c r="C4002" s="2" t="s">
        <v>8511</v>
      </c>
      <c r="D4002" s="2" t="s">
        <v>3820</v>
      </c>
      <c r="E4002" s="2" t="s">
        <v>1190</v>
      </c>
      <c r="F4002" s="2">
        <v>2.0</v>
      </c>
      <c r="G4002" s="2">
        <v>500.0</v>
      </c>
      <c r="H4002" s="3" t="str">
        <f>HYPERLINK("http://www.linkedin.com/in/msaintive","http://www.linkedin.com/in/msaintive")</f>
        <v>http://www.linkedin.com/in/msaintive</v>
      </c>
      <c r="I4002" s="2" t="s">
        <v>458</v>
      </c>
      <c r="J4002" s="2" t="s">
        <v>102</v>
      </c>
      <c r="K4002" s="2" t="s">
        <v>5823</v>
      </c>
    </row>
    <row r="4003" ht="15.75" customHeight="1">
      <c r="A4003" s="2">
        <v>39004.0</v>
      </c>
      <c r="B4003" s="2" t="s">
        <v>492</v>
      </c>
      <c r="C4003" s="2" t="s">
        <v>8512</v>
      </c>
      <c r="D4003" s="2" t="s">
        <v>13</v>
      </c>
      <c r="E4003" s="2" t="s">
        <v>20</v>
      </c>
      <c r="F4003" s="2">
        <v>10.0</v>
      </c>
      <c r="G4003" s="2">
        <v>500.0</v>
      </c>
      <c r="H4003" s="3" t="str">
        <f>HYPERLINK("http://www.linkedin.com/pub/sergio-arosemena-siburu/1/766/953","http://www.linkedin.com/pub/sergio-arosemena-siburu/1/766/953")</f>
        <v>http://www.linkedin.com/pub/sergio-arosemena-siburu/1/766/953</v>
      </c>
      <c r="I4003" s="2" t="s">
        <v>844</v>
      </c>
      <c r="J4003" s="2" t="s">
        <v>21</v>
      </c>
      <c r="K4003" s="2" t="s">
        <v>5727</v>
      </c>
    </row>
    <row r="4004" ht="15.75" customHeight="1">
      <c r="A4004" s="2">
        <v>39048.0</v>
      </c>
      <c r="B4004" s="2" t="s">
        <v>8513</v>
      </c>
      <c r="C4004" s="2" t="s">
        <v>8514</v>
      </c>
      <c r="D4004" s="2" t="s">
        <v>8515</v>
      </c>
      <c r="E4004" s="2" t="s">
        <v>20</v>
      </c>
      <c r="F4004" s="2" t="s">
        <v>13</v>
      </c>
      <c r="G4004" s="2">
        <v>39.0</v>
      </c>
      <c r="H4004" s="3" t="str">
        <f>HYPERLINK("http://ar.linkedin.com/pub/jorge-daniel-modugno/29/B66/679","http://ar.linkedin.com/pub/jorge-daniel-modugno/29/B66/679")</f>
        <v>http://ar.linkedin.com/pub/jorge-daniel-modugno/29/B66/679</v>
      </c>
      <c r="I4004" s="2" t="s">
        <v>458</v>
      </c>
      <c r="J4004" s="2" t="s">
        <v>21</v>
      </c>
      <c r="K4004" s="2" t="s">
        <v>5734</v>
      </c>
    </row>
    <row r="4005" ht="15.75" customHeight="1">
      <c r="A4005" s="2">
        <v>39065.0</v>
      </c>
      <c r="B4005" s="2" t="s">
        <v>6467</v>
      </c>
      <c r="C4005" s="2" t="s">
        <v>8516</v>
      </c>
      <c r="D4005" s="2" t="s">
        <v>8517</v>
      </c>
      <c r="E4005" s="2" t="s">
        <v>20</v>
      </c>
      <c r="F4005" s="2" t="s">
        <v>13</v>
      </c>
      <c r="G4005" s="2">
        <v>500.0</v>
      </c>
      <c r="H4005" s="3" t="str">
        <f>HYPERLINK("http://ar.linkedin.com/in/florenciapoggio","http://ar.linkedin.com/in/florenciapoggio")</f>
        <v>http://ar.linkedin.com/in/florenciapoggio</v>
      </c>
      <c r="I4005" s="2" t="s">
        <v>579</v>
      </c>
      <c r="J4005" s="2" t="s">
        <v>21</v>
      </c>
      <c r="K4005" s="2" t="s">
        <v>5848</v>
      </c>
    </row>
    <row r="4006" ht="15.75" customHeight="1">
      <c r="A4006" s="2">
        <v>39072.0</v>
      </c>
      <c r="B4006" s="2" t="s">
        <v>6004</v>
      </c>
      <c r="C4006" s="2" t="s">
        <v>4233</v>
      </c>
      <c r="D4006" s="2" t="s">
        <v>8518</v>
      </c>
      <c r="E4006" s="2" t="s">
        <v>20</v>
      </c>
      <c r="F4006" s="2">
        <v>2.0</v>
      </c>
      <c r="G4006" s="2">
        <v>500.0</v>
      </c>
      <c r="H4006" s="3" t="str">
        <f>HYPERLINK("http://ar.linkedin.com/pub/juan-manuel-gonzalez/9/57A/27B","http://ar.linkedin.com/pub/juan-manuel-gonzalez/9/57A/27B")</f>
        <v>http://ar.linkedin.com/pub/juan-manuel-gonzalez/9/57A/27B</v>
      </c>
      <c r="I4006" s="2" t="s">
        <v>2443</v>
      </c>
      <c r="J4006" s="2" t="s">
        <v>21</v>
      </c>
      <c r="K4006" s="2" t="s">
        <v>5727</v>
      </c>
    </row>
    <row r="4007" ht="15.75" customHeight="1">
      <c r="A4007" s="2">
        <v>39121.0</v>
      </c>
      <c r="B4007" s="2" t="s">
        <v>8519</v>
      </c>
      <c r="C4007" s="2" t="s">
        <v>8520</v>
      </c>
      <c r="D4007" s="2" t="s">
        <v>8521</v>
      </c>
      <c r="E4007" s="2" t="s">
        <v>20</v>
      </c>
      <c r="F4007" s="2">
        <v>13.0</v>
      </c>
      <c r="G4007" s="2">
        <v>500.0</v>
      </c>
      <c r="H4007" s="3" t="str">
        <f>HYPERLINK("http://ar.linkedin.com/in/joseluisfarias","http://ar.linkedin.com/in/joseluisfarias")</f>
        <v>http://ar.linkedin.com/in/joseluisfarias</v>
      </c>
      <c r="I4007" s="2" t="s">
        <v>1390</v>
      </c>
      <c r="J4007" s="2" t="s">
        <v>21</v>
      </c>
      <c r="K4007" s="2" t="s">
        <v>5727</v>
      </c>
    </row>
    <row r="4008" ht="15.75" customHeight="1">
      <c r="A4008" s="2">
        <v>39144.0</v>
      </c>
      <c r="B4008" s="2" t="s">
        <v>492</v>
      </c>
      <c r="C4008" s="2" t="s">
        <v>8522</v>
      </c>
      <c r="D4008" s="2" t="s">
        <v>13</v>
      </c>
      <c r="E4008" s="2" t="s">
        <v>20</v>
      </c>
      <c r="F4008" s="2">
        <v>0.0</v>
      </c>
      <c r="G4008" s="2">
        <v>500.0</v>
      </c>
      <c r="H4008" s="3" t="str">
        <f>HYPERLINK("http://www.linkedin.com/pub/sergio-szklanny/4/a9b/8a2","http://www.linkedin.com/pub/sergio-szklanny/4/a9b/8a2")</f>
        <v>http://www.linkedin.com/pub/sergio-szklanny/4/a9b/8a2</v>
      </c>
      <c r="I4008" s="2" t="s">
        <v>2023</v>
      </c>
      <c r="J4008" s="2" t="s">
        <v>21</v>
      </c>
      <c r="K4008" s="2" t="s">
        <v>5734</v>
      </c>
    </row>
    <row r="4009" ht="15.75" customHeight="1">
      <c r="A4009" s="2">
        <v>39177.0</v>
      </c>
      <c r="B4009" s="2" t="s">
        <v>227</v>
      </c>
      <c r="C4009" s="2" t="s">
        <v>8523</v>
      </c>
      <c r="D4009" s="2" t="s">
        <v>8524</v>
      </c>
      <c r="E4009" s="2" t="s">
        <v>20</v>
      </c>
      <c r="F4009" s="2">
        <v>0.0</v>
      </c>
      <c r="G4009" s="2">
        <v>500.0</v>
      </c>
      <c r="H4009" s="3" t="str">
        <f>HYPERLINK("http://www.linkedin.com/pub/jorge-cavedo/0/39a/538","http://www.linkedin.com/pub/jorge-cavedo/0/39a/538")</f>
        <v>http://www.linkedin.com/pub/jorge-cavedo/0/39a/538</v>
      </c>
      <c r="I4009" s="2" t="s">
        <v>15</v>
      </c>
      <c r="J4009" s="2" t="s">
        <v>21</v>
      </c>
      <c r="K4009" s="2" t="s">
        <v>5725</v>
      </c>
    </row>
    <row r="4010" ht="15.75" customHeight="1">
      <c r="A4010" s="2">
        <v>39190.0</v>
      </c>
      <c r="B4010" s="2" t="s">
        <v>8525</v>
      </c>
      <c r="C4010" s="2" t="s">
        <v>8526</v>
      </c>
      <c r="D4010" s="2" t="s">
        <v>8527</v>
      </c>
      <c r="E4010" s="2" t="s">
        <v>20</v>
      </c>
      <c r="F4010" s="2">
        <v>5.0</v>
      </c>
      <c r="G4010" s="2">
        <v>500.0</v>
      </c>
      <c r="H4010" s="3" t="str">
        <f>HYPERLINK("http://ar.linkedin.com/in/mariajosecoppari","http://ar.linkedin.com/in/mariajosecoppari")</f>
        <v>http://ar.linkedin.com/in/mariajosecoppari</v>
      </c>
      <c r="I4010" s="2" t="s">
        <v>579</v>
      </c>
      <c r="J4010" s="2" t="s">
        <v>21</v>
      </c>
      <c r="K4010" s="2" t="s">
        <v>6973</v>
      </c>
    </row>
    <row r="4011" ht="15.75" customHeight="1">
      <c r="A4011" s="2">
        <v>39205.0</v>
      </c>
      <c r="B4011" s="2" t="s">
        <v>8528</v>
      </c>
      <c r="C4011" s="2" t="s">
        <v>3943</v>
      </c>
      <c r="D4011" s="2" t="s">
        <v>8529</v>
      </c>
      <c r="E4011" s="2" t="s">
        <v>20</v>
      </c>
      <c r="F4011" s="2" t="s">
        <v>13</v>
      </c>
      <c r="G4011" s="2">
        <v>214.0</v>
      </c>
      <c r="H4011" s="3" t="str">
        <f>HYPERLINK("http://ar.linkedin.com/in/yugueli","http://ar.linkedin.com/in/yugueli")</f>
        <v>http://ar.linkedin.com/in/yugueli</v>
      </c>
      <c r="I4011" s="2" t="s">
        <v>279</v>
      </c>
      <c r="J4011" s="2" t="s">
        <v>21</v>
      </c>
      <c r="K4011" s="2" t="s">
        <v>5734</v>
      </c>
    </row>
    <row r="4012" ht="15.75" customHeight="1">
      <c r="A4012" s="2">
        <v>39212.0</v>
      </c>
      <c r="B4012" s="2" t="s">
        <v>501</v>
      </c>
      <c r="C4012" s="2" t="s">
        <v>8530</v>
      </c>
      <c r="D4012" s="2" t="s">
        <v>936</v>
      </c>
      <c r="E4012" s="2" t="s">
        <v>20</v>
      </c>
      <c r="F4012" s="2">
        <v>10.0</v>
      </c>
      <c r="G4012" s="2">
        <v>500.0</v>
      </c>
      <c r="H4012" s="3" t="str">
        <f>HYPERLINK("http://ar.linkedin.com/pub/francisco-scroffa/0/32B/A27","http://ar.linkedin.com/pub/francisco-scroffa/0/32B/A27")</f>
        <v>http://ar.linkedin.com/pub/francisco-scroffa/0/32B/A27</v>
      </c>
      <c r="I4012" s="2" t="s">
        <v>77</v>
      </c>
      <c r="J4012" s="2" t="s">
        <v>21</v>
      </c>
      <c r="K4012" s="2" t="s">
        <v>5731</v>
      </c>
    </row>
    <row r="4013" ht="15.75" customHeight="1">
      <c r="A4013" s="2">
        <v>39222.0</v>
      </c>
      <c r="B4013" s="2" t="s">
        <v>8531</v>
      </c>
      <c r="C4013" s="2" t="s">
        <v>8532</v>
      </c>
      <c r="D4013" s="2" t="s">
        <v>42</v>
      </c>
      <c r="E4013" s="2" t="s">
        <v>20</v>
      </c>
      <c r="F4013" s="2">
        <v>24.0</v>
      </c>
      <c r="G4013" s="2">
        <v>500.0</v>
      </c>
      <c r="H4013" s="3" t="str">
        <f>HYPERLINK("http://ar.linkedin.com/in/aptitudsf","http://ar.linkedin.com/in/aptitudsf")</f>
        <v>http://ar.linkedin.com/in/aptitudsf</v>
      </c>
      <c r="I4013" s="2" t="s">
        <v>579</v>
      </c>
      <c r="J4013" s="2" t="s">
        <v>21</v>
      </c>
      <c r="K4013" s="2" t="s">
        <v>5731</v>
      </c>
    </row>
    <row r="4014" ht="15.75" customHeight="1">
      <c r="A4014" s="2">
        <v>39251.0</v>
      </c>
      <c r="B4014" s="2" t="s">
        <v>3201</v>
      </c>
      <c r="C4014" s="2" t="s">
        <v>8533</v>
      </c>
      <c r="D4014" s="2"/>
      <c r="E4014" s="2" t="s">
        <v>491</v>
      </c>
      <c r="F4014" s="2">
        <v>1.0</v>
      </c>
      <c r="G4014" s="2">
        <v>353.0</v>
      </c>
      <c r="H4014" s="3" t="str">
        <f>HYPERLINK("http://www.linkedin.com/pub/sebastian-leoni/1/407/5B1","http://www.linkedin.com/pub/sebastian-leoni/1/407/5B1")</f>
        <v>http://www.linkedin.com/pub/sebastian-leoni/1/407/5B1</v>
      </c>
      <c r="I4014" s="2" t="s">
        <v>579</v>
      </c>
      <c r="J4014" s="2" t="s">
        <v>220</v>
      </c>
      <c r="K4014" s="2" t="s">
        <v>5734</v>
      </c>
    </row>
    <row r="4015" ht="15.75" customHeight="1">
      <c r="A4015" s="2">
        <v>39277.0</v>
      </c>
      <c r="B4015" s="2" t="s">
        <v>540</v>
      </c>
      <c r="C4015" s="2" t="s">
        <v>8534</v>
      </c>
      <c r="D4015" s="2" t="s">
        <v>8535</v>
      </c>
      <c r="E4015" s="2" t="s">
        <v>20</v>
      </c>
      <c r="F4015" s="2">
        <v>18.0</v>
      </c>
      <c r="G4015" s="2">
        <v>415.0</v>
      </c>
      <c r="H4015" s="3" t="str">
        <f>HYPERLINK("http://ar.linkedin.com/in/christianseijo","http://ar.linkedin.com/in/christianseijo")</f>
        <v>http://ar.linkedin.com/in/christianseijo</v>
      </c>
      <c r="I4015" s="2" t="s">
        <v>105</v>
      </c>
      <c r="J4015" s="2" t="s">
        <v>21</v>
      </c>
      <c r="K4015" s="2" t="s">
        <v>8536</v>
      </c>
    </row>
    <row r="4016" ht="15.75" customHeight="1">
      <c r="A4016" s="2">
        <v>39281.0</v>
      </c>
      <c r="B4016" s="2" t="s">
        <v>8537</v>
      </c>
      <c r="C4016" s="2" t="s">
        <v>1729</v>
      </c>
      <c r="D4016" s="2" t="s">
        <v>6098</v>
      </c>
      <c r="E4016" s="2" t="s">
        <v>20</v>
      </c>
      <c r="F4016" s="2">
        <v>6.0</v>
      </c>
      <c r="G4016" s="2">
        <v>194.0</v>
      </c>
      <c r="H4016" s="3" t="str">
        <f>HYPERLINK("http://ar.linkedin.com/pub/neri-martinez/19/29B/18","http://ar.linkedin.com/pub/neri-martinez/19/29B/18")</f>
        <v>http://ar.linkedin.com/pub/neri-martinez/19/29B/18</v>
      </c>
      <c r="I4016" s="2" t="s">
        <v>2000</v>
      </c>
      <c r="J4016" s="2" t="s">
        <v>21</v>
      </c>
      <c r="K4016" s="2" t="s">
        <v>6075</v>
      </c>
    </row>
    <row r="4017" ht="15.75" customHeight="1">
      <c r="A4017" s="2">
        <v>39292.0</v>
      </c>
      <c r="B4017" s="2" t="s">
        <v>358</v>
      </c>
      <c r="C4017" s="2" t="s">
        <v>8538</v>
      </c>
      <c r="D4017" s="2" t="s">
        <v>8539</v>
      </c>
      <c r="E4017" s="2" t="s">
        <v>20</v>
      </c>
      <c r="F4017" s="2" t="s">
        <v>13</v>
      </c>
      <c r="G4017" s="2">
        <v>500.0</v>
      </c>
      <c r="H4017" s="3" t="str">
        <f>HYPERLINK("http://ar.linkedin.com/pub/marcelo-meneses/0/238/5A9","http://ar.linkedin.com/pub/marcelo-meneses/0/238/5A9")</f>
        <v>http://ar.linkedin.com/pub/marcelo-meneses/0/238/5A9</v>
      </c>
      <c r="I4017" s="2" t="s">
        <v>119</v>
      </c>
      <c r="J4017" s="2" t="s">
        <v>21</v>
      </c>
      <c r="K4017" s="2" t="s">
        <v>5785</v>
      </c>
    </row>
    <row r="4018" ht="15.75" customHeight="1">
      <c r="A4018" s="2">
        <v>39298.0</v>
      </c>
      <c r="B4018" s="2" t="s">
        <v>227</v>
      </c>
      <c r="C4018" s="2" t="s">
        <v>8540</v>
      </c>
      <c r="D4018" s="2" t="s">
        <v>8541</v>
      </c>
      <c r="E4018" s="2" t="s">
        <v>20</v>
      </c>
      <c r="F4018" s="2">
        <v>8.0</v>
      </c>
      <c r="G4018" s="2">
        <v>474.0</v>
      </c>
      <c r="H4018" s="3" t="str">
        <f>HYPERLINK("http://ar.linkedin.com/in/jorgegazzo","http://ar.linkedin.com/in/jorgegazzo")</f>
        <v>http://ar.linkedin.com/in/jorgegazzo</v>
      </c>
      <c r="I4018" s="2" t="s">
        <v>77</v>
      </c>
      <c r="J4018" s="2" t="s">
        <v>21</v>
      </c>
      <c r="K4018" s="2" t="s">
        <v>5743</v>
      </c>
    </row>
    <row r="4019" ht="15.75" customHeight="1">
      <c r="A4019" s="2">
        <v>39318.0</v>
      </c>
      <c r="B4019" s="2" t="s">
        <v>3692</v>
      </c>
      <c r="C4019" s="2" t="s">
        <v>8542</v>
      </c>
      <c r="D4019" s="2" t="s">
        <v>8543</v>
      </c>
      <c r="E4019" s="2" t="s">
        <v>20</v>
      </c>
      <c r="F4019" s="2">
        <v>42.0</v>
      </c>
      <c r="G4019" s="2">
        <v>500.0</v>
      </c>
      <c r="H4019" s="3" t="str">
        <f>HYPERLINK("http://ar.linkedin.com/in/federicoast","http://ar.linkedin.com/in/federicoast")</f>
        <v>http://ar.linkedin.com/in/federicoast</v>
      </c>
      <c r="I4019" s="2" t="s">
        <v>240</v>
      </c>
      <c r="J4019" s="2" t="s">
        <v>21</v>
      </c>
      <c r="K4019" s="2" t="s">
        <v>5734</v>
      </c>
    </row>
    <row r="4020" ht="15.75" customHeight="1">
      <c r="A4020" s="2">
        <v>39331.0</v>
      </c>
      <c r="B4020" s="2" t="s">
        <v>2333</v>
      </c>
      <c r="C4020" s="2" t="s">
        <v>8544</v>
      </c>
      <c r="D4020" s="2"/>
      <c r="E4020" s="2" t="s">
        <v>20</v>
      </c>
      <c r="F4020" s="2">
        <v>18.0</v>
      </c>
      <c r="G4020" s="2">
        <v>500.0</v>
      </c>
      <c r="H4020" s="3" t="str">
        <f>HYPERLINK("http://ar.linkedin.com/pub/gloria-cassano/0/695/282","http://ar.linkedin.com/pub/gloria-cassano/0/695/282")</f>
        <v>http://ar.linkedin.com/pub/gloria-cassano/0/695/282</v>
      </c>
      <c r="I4020" s="2" t="s">
        <v>458</v>
      </c>
      <c r="J4020" s="2" t="s">
        <v>21</v>
      </c>
      <c r="K4020" s="2" t="s">
        <v>5727</v>
      </c>
    </row>
    <row r="4021" ht="15.75" customHeight="1">
      <c r="A4021" s="2">
        <v>39349.0</v>
      </c>
      <c r="B4021" s="2" t="s">
        <v>3201</v>
      </c>
      <c r="C4021" s="2" t="s">
        <v>8545</v>
      </c>
      <c r="D4021" s="2" t="s">
        <v>289</v>
      </c>
      <c r="E4021" s="2" t="s">
        <v>20</v>
      </c>
      <c r="F4021" s="2">
        <v>13.0</v>
      </c>
      <c r="G4021" s="2">
        <v>500.0</v>
      </c>
      <c r="H4021" s="3" t="str">
        <f>HYPERLINK("http://ar.linkedin.com/in/sebasp","http://ar.linkedin.com/in/sebasp")</f>
        <v>http://ar.linkedin.com/in/sebasp</v>
      </c>
      <c r="I4021" s="2" t="s">
        <v>105</v>
      </c>
      <c r="J4021" s="2" t="s">
        <v>21</v>
      </c>
      <c r="K4021" s="2" t="s">
        <v>5727</v>
      </c>
    </row>
    <row r="4022" ht="15.75" customHeight="1">
      <c r="A4022" s="2">
        <v>39361.0</v>
      </c>
      <c r="B4022" s="2" t="s">
        <v>677</v>
      </c>
      <c r="C4022" s="2" t="s">
        <v>8546</v>
      </c>
      <c r="D4022" s="2" t="s">
        <v>42</v>
      </c>
      <c r="E4022" s="2" t="s">
        <v>20</v>
      </c>
      <c r="F4022" s="2">
        <v>9.0</v>
      </c>
      <c r="G4022" s="2">
        <v>500.0</v>
      </c>
      <c r="H4022" s="3" t="str">
        <f>HYPERLINK("http://ar.linkedin.com/in/lewdaniel","http://ar.linkedin.com/in/lewdaniel")</f>
        <v>http://ar.linkedin.com/in/lewdaniel</v>
      </c>
      <c r="I4022" s="2" t="s">
        <v>279</v>
      </c>
      <c r="J4022" s="2" t="s">
        <v>21</v>
      </c>
      <c r="K4022" s="2" t="s">
        <v>5727</v>
      </c>
    </row>
    <row r="4023" ht="15.75" customHeight="1">
      <c r="A4023" s="2">
        <v>39398.0</v>
      </c>
      <c r="B4023" s="2" t="s">
        <v>6083</v>
      </c>
      <c r="C4023" s="2" t="s">
        <v>8547</v>
      </c>
      <c r="D4023" s="2" t="s">
        <v>8548</v>
      </c>
      <c r="E4023" s="2" t="s">
        <v>20</v>
      </c>
      <c r="F4023" s="2">
        <v>4.0</v>
      </c>
      <c r="G4023" s="2">
        <v>369.0</v>
      </c>
      <c r="H4023" s="3" t="str">
        <f>HYPERLINK("http://www.linkedin.com/in/paglim","http://www.linkedin.com/in/paglim")</f>
        <v>http://www.linkedin.com/in/paglim</v>
      </c>
      <c r="I4023" s="2" t="s">
        <v>2443</v>
      </c>
      <c r="J4023" s="2" t="s">
        <v>21</v>
      </c>
      <c r="K4023" s="2" t="s">
        <v>5727</v>
      </c>
    </row>
    <row r="4024" ht="15.75" customHeight="1">
      <c r="A4024" s="2">
        <v>39406.0</v>
      </c>
      <c r="B4024" s="2" t="s">
        <v>5922</v>
      </c>
      <c r="C4024" s="2" t="s">
        <v>8549</v>
      </c>
      <c r="D4024" s="2" t="s">
        <v>380</v>
      </c>
      <c r="E4024" s="2" t="s">
        <v>20</v>
      </c>
      <c r="F4024" s="2" t="s">
        <v>13</v>
      </c>
      <c r="G4024" s="2">
        <v>500.0</v>
      </c>
      <c r="H4024" s="3" t="str">
        <f>HYPERLINK("http://ar.linkedin.com/pub/gabriela-sacco/14/692/513","http://ar.linkedin.com/pub/gabriela-sacco/14/692/513")</f>
        <v>http://ar.linkedin.com/pub/gabriela-sacco/14/692/513</v>
      </c>
      <c r="I4024" s="2" t="s">
        <v>440</v>
      </c>
      <c r="J4024" s="2" t="s">
        <v>21</v>
      </c>
      <c r="K4024" s="2" t="s">
        <v>5819</v>
      </c>
    </row>
    <row r="4025" ht="15.75" customHeight="1">
      <c r="A4025" s="2">
        <v>39407.0</v>
      </c>
      <c r="B4025" s="2" t="s">
        <v>8550</v>
      </c>
      <c r="C4025" s="2" t="s">
        <v>8551</v>
      </c>
      <c r="D4025" s="2" t="s">
        <v>8552</v>
      </c>
      <c r="E4025" s="2" t="s">
        <v>20</v>
      </c>
      <c r="F4025" s="2">
        <v>11.0</v>
      </c>
      <c r="G4025" s="2">
        <v>500.0</v>
      </c>
      <c r="H4025" s="3" t="str">
        <f>HYPERLINK("http://ar.linkedin.com/in/juanbodenheimer","http://ar.linkedin.com/in/juanbodenheimer")</f>
        <v>http://ar.linkedin.com/in/juanbodenheimer</v>
      </c>
      <c r="I4025" s="2" t="s">
        <v>458</v>
      </c>
      <c r="J4025" s="2" t="s">
        <v>21</v>
      </c>
      <c r="K4025" s="2" t="s">
        <v>5727</v>
      </c>
    </row>
    <row r="4026" ht="15.75" customHeight="1">
      <c r="A4026" s="2">
        <v>39419.0</v>
      </c>
      <c r="B4026" s="2" t="s">
        <v>1230</v>
      </c>
      <c r="C4026" s="2" t="s">
        <v>8553</v>
      </c>
      <c r="D4026" s="2" t="s">
        <v>3791</v>
      </c>
      <c r="E4026" s="2" t="s">
        <v>20</v>
      </c>
      <c r="F4026" s="2">
        <v>6.0</v>
      </c>
      <c r="G4026" s="2">
        <v>500.0</v>
      </c>
      <c r="H4026" s="3" t="str">
        <f>HYPERLINK("http://ar.linkedin.com/pub/alberto-carmona/5/370/206","http://ar.linkedin.com/pub/alberto-carmona/5/370/206")</f>
        <v>http://ar.linkedin.com/pub/alberto-carmona/5/370/206</v>
      </c>
      <c r="I4026" s="2" t="s">
        <v>458</v>
      </c>
      <c r="J4026" s="2" t="s">
        <v>21</v>
      </c>
      <c r="K4026" s="2" t="s">
        <v>5727</v>
      </c>
    </row>
    <row r="4027" ht="15.75" customHeight="1">
      <c r="A4027" s="2">
        <v>39432.0</v>
      </c>
      <c r="B4027" s="2" t="s">
        <v>6025</v>
      </c>
      <c r="C4027" s="2" t="s">
        <v>8554</v>
      </c>
      <c r="D4027" s="2" t="s">
        <v>8555</v>
      </c>
      <c r="E4027" s="2" t="s">
        <v>20</v>
      </c>
      <c r="F4027" s="2" t="s">
        <v>13</v>
      </c>
      <c r="G4027" s="2">
        <v>175.0</v>
      </c>
      <c r="H4027" s="3" t="str">
        <f>HYPERLINK("http://ar.linkedin.com/pub/hernan-briuoli/5/8A9/750","http://ar.linkedin.com/pub/hernan-briuoli/5/8A9/750")</f>
        <v>http://ar.linkedin.com/pub/hernan-briuoli/5/8A9/750</v>
      </c>
      <c r="I4027" s="2" t="s">
        <v>579</v>
      </c>
      <c r="J4027" s="2" t="s">
        <v>21</v>
      </c>
      <c r="K4027" s="2" t="s">
        <v>5848</v>
      </c>
    </row>
    <row r="4028" ht="15.75" customHeight="1">
      <c r="A4028" s="2">
        <v>39437.0</v>
      </c>
      <c r="B4028" s="2" t="s">
        <v>3223</v>
      </c>
      <c r="C4028" s="2" t="s">
        <v>8556</v>
      </c>
      <c r="D4028" s="2" t="s">
        <v>13</v>
      </c>
      <c r="E4028" s="2" t="s">
        <v>20</v>
      </c>
      <c r="F4028" s="2">
        <v>2.0</v>
      </c>
      <c r="G4028" s="2">
        <v>500.0</v>
      </c>
      <c r="H4028" s="3" t="str">
        <f>HYPERLINK("http://www.linkedin.com/pub/laura-serebrinsky/16/443/394","http://www.linkedin.com/pub/laura-serebrinsky/16/443/394")</f>
        <v>http://www.linkedin.com/pub/laura-serebrinsky/16/443/394</v>
      </c>
      <c r="I4028" s="2" t="s">
        <v>458</v>
      </c>
      <c r="J4028" s="2" t="s">
        <v>21</v>
      </c>
      <c r="K4028" s="2" t="s">
        <v>5865</v>
      </c>
    </row>
    <row r="4029" ht="15.75" customHeight="1">
      <c r="A4029" s="2">
        <v>39440.0</v>
      </c>
      <c r="B4029" s="2" t="s">
        <v>8557</v>
      </c>
      <c r="C4029" s="2" t="s">
        <v>8558</v>
      </c>
      <c r="D4029" s="2" t="s">
        <v>13</v>
      </c>
      <c r="E4029" s="2" t="s">
        <v>20</v>
      </c>
      <c r="F4029" s="2">
        <v>2.0</v>
      </c>
      <c r="G4029" s="2">
        <v>104.0</v>
      </c>
      <c r="H4029" s="3" t="str">
        <f>HYPERLINK("http://www.linkedin.com/pub/romina-e-suarez-pontillo/17/2b/9b","http://www.linkedin.com/pub/romina-e-suarez-pontillo/17/2b/9b")</f>
        <v>http://www.linkedin.com/pub/romina-e-suarez-pontillo/17/2b/9b</v>
      </c>
      <c r="I4029" s="2" t="s">
        <v>470</v>
      </c>
      <c r="J4029" s="2" t="s">
        <v>21</v>
      </c>
      <c r="K4029" s="2" t="s">
        <v>5727</v>
      </c>
    </row>
    <row r="4030" ht="15.75" customHeight="1">
      <c r="A4030" s="2">
        <v>39449.0</v>
      </c>
      <c r="B4030" s="2" t="s">
        <v>8559</v>
      </c>
      <c r="C4030" s="2" t="s">
        <v>8560</v>
      </c>
      <c r="D4030" s="2" t="s">
        <v>8561</v>
      </c>
      <c r="E4030" s="2" t="s">
        <v>914</v>
      </c>
      <c r="F4030" s="2">
        <v>31.0</v>
      </c>
      <c r="G4030" s="2">
        <v>500.0</v>
      </c>
      <c r="H4030" s="3" t="str">
        <f>HYPERLINK("http://www.linkedin.com/in/gayetuzemenberk","http://www.linkedin.com/in/gayetuzemenberk")</f>
        <v>http://www.linkedin.com/in/gayetuzemenberk</v>
      </c>
      <c r="I4030" s="2" t="s">
        <v>48</v>
      </c>
      <c r="J4030" s="2" t="s">
        <v>102</v>
      </c>
      <c r="K4030" s="2" t="s">
        <v>5977</v>
      </c>
    </row>
    <row r="4031" ht="15.75" customHeight="1">
      <c r="A4031" s="2">
        <v>39616.0</v>
      </c>
      <c r="B4031" s="2" t="s">
        <v>2752</v>
      </c>
      <c r="C4031" s="2" t="s">
        <v>1233</v>
      </c>
      <c r="D4031" s="2" t="s">
        <v>8562</v>
      </c>
      <c r="E4031" s="2" t="s">
        <v>301</v>
      </c>
      <c r="F4031" s="2">
        <v>7.0</v>
      </c>
      <c r="G4031" s="2">
        <v>500.0</v>
      </c>
      <c r="H4031" s="3" t="str">
        <f>HYPERLINK("http://www.linkedin.com/in/craigscollins","http://www.linkedin.com/in/craigscollins")</f>
        <v>http://www.linkedin.com/in/craigscollins</v>
      </c>
      <c r="I4031" s="2" t="s">
        <v>910</v>
      </c>
      <c r="J4031" s="2" t="s">
        <v>102</v>
      </c>
      <c r="K4031" s="2" t="s">
        <v>6118</v>
      </c>
    </row>
    <row r="4032" ht="15.75" customHeight="1">
      <c r="A4032" s="2">
        <v>39656.0</v>
      </c>
      <c r="B4032" s="2" t="s">
        <v>6093</v>
      </c>
      <c r="C4032" s="2" t="s">
        <v>8563</v>
      </c>
      <c r="D4032" s="2" t="s">
        <v>8564</v>
      </c>
      <c r="E4032" s="2" t="s">
        <v>20</v>
      </c>
      <c r="F4032" s="2" t="s">
        <v>13</v>
      </c>
      <c r="G4032" s="2">
        <v>461.0</v>
      </c>
      <c r="H4032" s="3" t="str">
        <f>HYPERLINK("http://ar.linkedin.com/in/marxnicolas","http://ar.linkedin.com/in/marxnicolas")</f>
        <v>http://ar.linkedin.com/in/marxnicolas</v>
      </c>
      <c r="I4032" s="2" t="s">
        <v>663</v>
      </c>
      <c r="J4032" s="2" t="s">
        <v>21</v>
      </c>
      <c r="K4032" s="2" t="s">
        <v>5734</v>
      </c>
    </row>
    <row r="4033" ht="15.75" customHeight="1">
      <c r="A4033" s="2">
        <v>39673.0</v>
      </c>
      <c r="B4033" s="2" t="s">
        <v>8565</v>
      </c>
      <c r="C4033" s="2" t="s">
        <v>8566</v>
      </c>
      <c r="D4033" s="2" t="s">
        <v>2331</v>
      </c>
      <c r="E4033" s="2" t="s">
        <v>20</v>
      </c>
      <c r="F4033" s="2">
        <v>6.0</v>
      </c>
      <c r="G4033" s="2">
        <v>500.0</v>
      </c>
      <c r="H4033" s="3" t="str">
        <f>HYPERLINK("http://ar.linkedin.com/in/renatap","http://ar.linkedin.com/in/renatap")</f>
        <v>http://ar.linkedin.com/in/renatap</v>
      </c>
      <c r="I4033" s="2" t="s">
        <v>48</v>
      </c>
      <c r="J4033" s="2" t="s">
        <v>21</v>
      </c>
      <c r="K4033" s="2" t="s">
        <v>5777</v>
      </c>
    </row>
    <row r="4034" ht="15.75" customHeight="1">
      <c r="A4034" s="2">
        <v>39697.0</v>
      </c>
      <c r="B4034" s="2" t="s">
        <v>7158</v>
      </c>
      <c r="C4034" s="2" t="s">
        <v>8567</v>
      </c>
      <c r="D4034" s="2" t="s">
        <v>8568</v>
      </c>
      <c r="E4034" s="2" t="s">
        <v>20</v>
      </c>
      <c r="F4034" s="2">
        <v>4.0</v>
      </c>
      <c r="G4034" s="2">
        <v>500.0</v>
      </c>
      <c r="H4034" s="3" t="str">
        <f>HYPERLINK("http://ar.linkedin.com/in/nahuellapenna","http://ar.linkedin.com/in/nahuellapenna")</f>
        <v>http://ar.linkedin.com/in/nahuellapenna</v>
      </c>
      <c r="I4034" s="2" t="s">
        <v>844</v>
      </c>
      <c r="J4034" s="2" t="s">
        <v>21</v>
      </c>
      <c r="K4034" s="2" t="s">
        <v>5743</v>
      </c>
    </row>
    <row r="4035" ht="15.75" customHeight="1">
      <c r="A4035" s="2">
        <v>39723.0</v>
      </c>
      <c r="B4035" s="2" t="s">
        <v>8569</v>
      </c>
      <c r="C4035" s="2" t="s">
        <v>4697</v>
      </c>
      <c r="D4035" s="2" t="s">
        <v>8570</v>
      </c>
      <c r="E4035" s="2" t="s">
        <v>2058</v>
      </c>
      <c r="F4035" s="2">
        <v>1.0</v>
      </c>
      <c r="G4035" s="2">
        <v>471.0</v>
      </c>
      <c r="H4035" s="3" t="str">
        <f>HYPERLINK("http://www.linkedin.com/in/mriley","http://www.linkedin.com/in/mriley")</f>
        <v>http://www.linkedin.com/in/mriley</v>
      </c>
      <c r="I4035" s="2" t="s">
        <v>2603</v>
      </c>
      <c r="J4035" s="2" t="s">
        <v>102</v>
      </c>
      <c r="K4035" s="2" t="s">
        <v>5734</v>
      </c>
    </row>
    <row r="4036" ht="15.75" customHeight="1">
      <c r="A4036" s="2">
        <v>39724.0</v>
      </c>
      <c r="B4036" s="2" t="s">
        <v>6025</v>
      </c>
      <c r="C4036" s="2" t="s">
        <v>8571</v>
      </c>
      <c r="D4036" s="2" t="s">
        <v>1647</v>
      </c>
      <c r="E4036" s="2" t="s">
        <v>20</v>
      </c>
      <c r="F4036" s="2">
        <v>2.0</v>
      </c>
      <c r="G4036" s="2">
        <v>217.0</v>
      </c>
      <c r="H4036" s="3" t="str">
        <f>HYPERLINK("http://ar.linkedin.com/pub/hernan-matallana/8/233/257","http://ar.linkedin.com/pub/hernan-matallana/8/233/257")</f>
        <v>http://ar.linkedin.com/pub/hernan-matallana/8/233/257</v>
      </c>
      <c r="I4036" s="2" t="s">
        <v>15</v>
      </c>
      <c r="J4036" s="2" t="s">
        <v>21</v>
      </c>
      <c r="K4036" s="2" t="s">
        <v>5777</v>
      </c>
    </row>
    <row r="4037" ht="15.75" customHeight="1">
      <c r="A4037" s="2">
        <v>39732.0</v>
      </c>
      <c r="B4037" s="2" t="s">
        <v>211</v>
      </c>
      <c r="C4037" s="2" t="s">
        <v>8572</v>
      </c>
      <c r="D4037" s="2" t="s">
        <v>8573</v>
      </c>
      <c r="E4037" s="2" t="s">
        <v>136</v>
      </c>
      <c r="F4037" s="2">
        <v>14.0</v>
      </c>
      <c r="G4037" s="2">
        <v>500.0</v>
      </c>
      <c r="H4037" s="3" t="str">
        <f>HYPERLINK("http://www.linkedin.com/in/sanguiano007","http://www.linkedin.com/in/sanguiano007")</f>
        <v>http://www.linkedin.com/in/sanguiano007</v>
      </c>
      <c r="I4037" s="2" t="s">
        <v>458</v>
      </c>
      <c r="J4037" s="2" t="s">
        <v>102</v>
      </c>
      <c r="K4037" s="2" t="s">
        <v>6118</v>
      </c>
    </row>
    <row r="4038" ht="15.75" customHeight="1">
      <c r="A4038" s="2">
        <v>39733.0</v>
      </c>
      <c r="B4038" s="2" t="s">
        <v>8574</v>
      </c>
      <c r="C4038" s="2" t="s">
        <v>5728</v>
      </c>
      <c r="D4038" s="2" t="s">
        <v>8575</v>
      </c>
      <c r="E4038" s="2" t="s">
        <v>20</v>
      </c>
      <c r="F4038" s="2">
        <v>1.0</v>
      </c>
      <c r="G4038" s="2">
        <v>302.0</v>
      </c>
      <c r="H4038" s="3" t="str">
        <f>HYPERLINK("http://ar.linkedin.com/in/maximarolda","http://ar.linkedin.com/in/maximarolda")</f>
        <v>http://ar.linkedin.com/in/maximarolda</v>
      </c>
      <c r="I4038" s="2" t="s">
        <v>2443</v>
      </c>
      <c r="J4038" s="2" t="s">
        <v>21</v>
      </c>
      <c r="K4038" s="2" t="s">
        <v>5785</v>
      </c>
    </row>
    <row r="4039" ht="15.75" customHeight="1">
      <c r="A4039" s="2">
        <v>39737.0</v>
      </c>
      <c r="B4039" s="2" t="s">
        <v>8576</v>
      </c>
      <c r="C4039" s="2" t="s">
        <v>8577</v>
      </c>
      <c r="D4039" s="2"/>
      <c r="E4039" s="2" t="s">
        <v>1288</v>
      </c>
      <c r="F4039" s="2">
        <v>3.0</v>
      </c>
      <c r="G4039" s="2">
        <v>403.0</v>
      </c>
      <c r="H4039" s="3" t="str">
        <f>HYPERLINK("http://uk.linkedin.com/pub/biju-mukund/0/441/A6","http://uk.linkedin.com/pub/biju-mukund/0/441/A6")</f>
        <v>http://uk.linkedin.com/pub/biju-mukund/0/441/A6</v>
      </c>
      <c r="I4039" s="2" t="s">
        <v>57</v>
      </c>
      <c r="J4039" s="2" t="s">
        <v>53</v>
      </c>
      <c r="K4039" s="2" t="s">
        <v>5743</v>
      </c>
    </row>
    <row r="4040" ht="15.75" customHeight="1">
      <c r="A4040" s="2">
        <v>39755.0</v>
      </c>
      <c r="B4040" s="2" t="s">
        <v>6895</v>
      </c>
      <c r="C4040" s="2" t="s">
        <v>8578</v>
      </c>
      <c r="D4040" s="2" t="s">
        <v>8579</v>
      </c>
      <c r="E4040" s="2" t="s">
        <v>20</v>
      </c>
      <c r="F4040" s="2" t="s">
        <v>13</v>
      </c>
      <c r="G4040" s="2">
        <v>500.0</v>
      </c>
      <c r="H4040" s="3" t="str">
        <f>HYPERLINK("http://ar.linkedin.com/pub/ana-bel-n-romani-monti/13/478/90","http://ar.linkedin.com/pub/ana-bel-n-romani-monti/13/478/90")</f>
        <v>http://ar.linkedin.com/pub/ana-bel-n-romani-monti/13/478/90</v>
      </c>
      <c r="I4040" s="2" t="s">
        <v>579</v>
      </c>
      <c r="J4040" s="2" t="s">
        <v>21</v>
      </c>
      <c r="K4040" s="2" t="s">
        <v>5848</v>
      </c>
    </row>
    <row r="4041" ht="15.75" customHeight="1">
      <c r="A4041" s="2">
        <v>39772.0</v>
      </c>
      <c r="B4041" s="2" t="s">
        <v>3692</v>
      </c>
      <c r="C4041" s="2" t="s">
        <v>238</v>
      </c>
      <c r="D4041" s="2" t="s">
        <v>835</v>
      </c>
      <c r="E4041" s="2" t="s">
        <v>20</v>
      </c>
      <c r="F4041" s="2" t="s">
        <v>13</v>
      </c>
      <c r="G4041" s="2">
        <v>118.0</v>
      </c>
      <c r="H4041" s="3" t="str">
        <f>HYPERLINK("http://ar.linkedin.com/pub/federico-juan/4/757/650","http://ar.linkedin.com/pub/federico-juan/4/757/650")</f>
        <v>http://ar.linkedin.com/pub/federico-juan/4/757/650</v>
      </c>
      <c r="I4041" s="2" t="s">
        <v>2046</v>
      </c>
      <c r="J4041" s="2" t="s">
        <v>21</v>
      </c>
      <c r="K4041" s="2" t="s">
        <v>5734</v>
      </c>
    </row>
    <row r="4042" ht="15.75" customHeight="1">
      <c r="A4042" s="2">
        <v>39777.0</v>
      </c>
      <c r="B4042" s="2" t="s">
        <v>5803</v>
      </c>
      <c r="C4042" s="2" t="s">
        <v>8580</v>
      </c>
      <c r="D4042" s="2" t="s">
        <v>8581</v>
      </c>
      <c r="E4042" s="2" t="s">
        <v>20</v>
      </c>
      <c r="F4042" s="2" t="s">
        <v>13</v>
      </c>
      <c r="G4042" s="2">
        <v>500.0</v>
      </c>
      <c r="H4042" s="3" t="str">
        <f>HYPERLINK("http://ar.linkedin.com/pub/mariano-tolosa/0/118/A2","http://ar.linkedin.com/pub/mariano-tolosa/0/118/A2")</f>
        <v>http://ar.linkedin.com/pub/mariano-tolosa/0/118/A2</v>
      </c>
      <c r="I4042" s="2" t="s">
        <v>599</v>
      </c>
      <c r="J4042" s="2" t="s">
        <v>21</v>
      </c>
      <c r="K4042" s="2" t="s">
        <v>5734</v>
      </c>
    </row>
    <row r="4043" ht="15.75" customHeight="1">
      <c r="A4043" s="2">
        <v>39877.0</v>
      </c>
      <c r="B4043" s="2" t="s">
        <v>7260</v>
      </c>
      <c r="C4043" s="2" t="s">
        <v>740</v>
      </c>
      <c r="D4043" s="2" t="s">
        <v>8582</v>
      </c>
      <c r="E4043" s="2" t="s">
        <v>136</v>
      </c>
      <c r="F4043" s="2">
        <v>3.0</v>
      </c>
      <c r="G4043" s="2">
        <v>500.0</v>
      </c>
      <c r="H4043" s="3" t="str">
        <f>HYPERLINK("http://www.linkedin.com/in/silvavanessa","http://www.linkedin.com/in/silvavanessa")</f>
        <v>http://www.linkedin.com/in/silvavanessa</v>
      </c>
      <c r="I4043" s="2" t="s">
        <v>240</v>
      </c>
      <c r="J4043" s="2" t="s">
        <v>102</v>
      </c>
      <c r="K4043" s="2" t="s">
        <v>8583</v>
      </c>
    </row>
    <row r="4044" ht="15.75" customHeight="1">
      <c r="A4044" s="2">
        <v>39888.0</v>
      </c>
      <c r="B4044" s="2" t="s">
        <v>6590</v>
      </c>
      <c r="C4044" s="2" t="s">
        <v>8584</v>
      </c>
      <c r="D4044" s="2" t="s">
        <v>304</v>
      </c>
      <c r="E4044" s="2" t="s">
        <v>20</v>
      </c>
      <c r="F4044" s="2">
        <v>17.0</v>
      </c>
      <c r="G4044" s="2">
        <v>500.0</v>
      </c>
      <c r="H4044" s="3" t="str">
        <f>HYPERLINK("http://ar.linkedin.com/pub/aldo-leporati/0/7B0/59A","http://ar.linkedin.com/pub/aldo-leporati/0/7B0/59A")</f>
        <v>http://ar.linkedin.com/pub/aldo-leporati/0/7B0/59A</v>
      </c>
      <c r="I4044" s="2" t="s">
        <v>844</v>
      </c>
      <c r="J4044" s="2" t="s">
        <v>21</v>
      </c>
      <c r="K4044" s="2" t="s">
        <v>5727</v>
      </c>
    </row>
    <row r="4045" ht="15.75" customHeight="1">
      <c r="A4045" s="2">
        <v>39948.0</v>
      </c>
      <c r="B4045" s="2" t="s">
        <v>637</v>
      </c>
      <c r="C4045" s="2" t="s">
        <v>8585</v>
      </c>
      <c r="D4045" s="2" t="s">
        <v>8586</v>
      </c>
      <c r="E4045" s="2" t="s">
        <v>20</v>
      </c>
      <c r="F4045" s="2">
        <v>5.0</v>
      </c>
      <c r="G4045" s="2">
        <v>177.0</v>
      </c>
      <c r="H4045" s="3" t="str">
        <f>HYPERLINK("http://ar.linkedin.com/pub/leonardo-pulice/4/7B5/82B","http://ar.linkedin.com/pub/leonardo-pulice/4/7B5/82B")</f>
        <v>http://ar.linkedin.com/pub/leonardo-pulice/4/7B5/82B</v>
      </c>
      <c r="I4045" s="2" t="s">
        <v>77</v>
      </c>
      <c r="J4045" s="2" t="s">
        <v>21</v>
      </c>
      <c r="K4045" s="2" t="s">
        <v>5743</v>
      </c>
    </row>
    <row r="4046" ht="15.75" customHeight="1">
      <c r="A4046" s="2">
        <v>40035.0</v>
      </c>
      <c r="B4046" s="2" t="s">
        <v>3048</v>
      </c>
      <c r="C4046" s="2" t="s">
        <v>1843</v>
      </c>
      <c r="D4046" s="2" t="s">
        <v>8587</v>
      </c>
      <c r="E4046" s="2" t="s">
        <v>136</v>
      </c>
      <c r="F4046" s="2">
        <v>1.0</v>
      </c>
      <c r="G4046" s="2">
        <v>500.0</v>
      </c>
      <c r="H4046" s="3" t="str">
        <f>HYPERLINK("http://www.linkedin.com/in/shahp","http://www.linkedin.com/in/shahp")</f>
        <v>http://www.linkedin.com/in/shahp</v>
      </c>
      <c r="I4046" s="2" t="s">
        <v>422</v>
      </c>
      <c r="J4046" s="2" t="s">
        <v>102</v>
      </c>
      <c r="K4046" s="2" t="s">
        <v>5982</v>
      </c>
    </row>
    <row r="4047" ht="15.75" customHeight="1">
      <c r="A4047" s="2">
        <v>40036.0</v>
      </c>
      <c r="B4047" s="2" t="s">
        <v>3847</v>
      </c>
      <c r="C4047" s="2" t="s">
        <v>8588</v>
      </c>
      <c r="D4047" s="2" t="s">
        <v>8589</v>
      </c>
      <c r="E4047" s="2" t="s">
        <v>20</v>
      </c>
      <c r="F4047" s="2">
        <v>9.0</v>
      </c>
      <c r="G4047" s="2">
        <v>500.0</v>
      </c>
      <c r="H4047" s="3" t="str">
        <f>HYPERLINK("http://ar.linkedin.com/in/vdirienzo","http://ar.linkedin.com/in/vdirienzo")</f>
        <v>http://ar.linkedin.com/in/vdirienzo</v>
      </c>
      <c r="I4047" s="2" t="s">
        <v>15</v>
      </c>
      <c r="J4047" s="2" t="s">
        <v>21</v>
      </c>
      <c r="K4047" s="2" t="s">
        <v>5777</v>
      </c>
    </row>
    <row r="4048" ht="15.75" customHeight="1">
      <c r="A4048" s="2">
        <v>40050.0</v>
      </c>
      <c r="B4048" s="2" t="s">
        <v>8590</v>
      </c>
      <c r="C4048" s="2" t="s">
        <v>8591</v>
      </c>
      <c r="D4048" s="2" t="s">
        <v>8592</v>
      </c>
      <c r="E4048" s="2" t="s">
        <v>136</v>
      </c>
      <c r="F4048" s="2">
        <v>38.0</v>
      </c>
      <c r="G4048" s="2">
        <v>500.0</v>
      </c>
      <c r="H4048" s="3" t="str">
        <f>HYPERLINK("http://www.linkedin.com/in/angelapcronin","http://www.linkedin.com/in/angelapcronin")</f>
        <v>http://www.linkedin.com/in/angelapcronin</v>
      </c>
      <c r="I4048" s="2" t="s">
        <v>248</v>
      </c>
      <c r="J4048" s="2" t="s">
        <v>102</v>
      </c>
      <c r="K4048" s="2" t="s">
        <v>8593</v>
      </c>
    </row>
    <row r="4049" ht="15.75" customHeight="1">
      <c r="A4049" s="2">
        <v>40087.0</v>
      </c>
      <c r="B4049" s="2" t="s">
        <v>2457</v>
      </c>
      <c r="C4049" s="2" t="s">
        <v>189</v>
      </c>
      <c r="D4049" s="2" t="s">
        <v>8594</v>
      </c>
      <c r="E4049" s="2" t="s">
        <v>136</v>
      </c>
      <c r="F4049" s="2">
        <v>2.0</v>
      </c>
      <c r="G4049" s="2">
        <v>164.0</v>
      </c>
      <c r="H4049" s="3" t="str">
        <f>HYPERLINK("http://www.linkedin.com/in/stephenrdean","http://www.linkedin.com/in/stephenrdean")</f>
        <v>http://www.linkedin.com/in/stephenrdean</v>
      </c>
      <c r="I4049" s="2" t="s">
        <v>1094</v>
      </c>
      <c r="J4049" s="2" t="s">
        <v>102</v>
      </c>
      <c r="K4049" s="2" t="s">
        <v>6489</v>
      </c>
    </row>
    <row r="4050" ht="15.75" customHeight="1">
      <c r="A4050" s="2">
        <v>40110.0</v>
      </c>
      <c r="B4050" s="2" t="s">
        <v>8595</v>
      </c>
      <c r="C4050" s="2" t="s">
        <v>8596</v>
      </c>
      <c r="D4050" s="2" t="s">
        <v>13</v>
      </c>
      <c r="E4050" s="2" t="s">
        <v>20</v>
      </c>
      <c r="F4050" s="2">
        <v>0.0</v>
      </c>
      <c r="G4050" s="2">
        <v>500.0</v>
      </c>
      <c r="H4050" s="3" t="str">
        <f>HYPERLINK("http://www.linkedin.com/pub/judith-meles/4/91b/b0a","http://www.linkedin.com/pub/judith-meles/4/91b/b0a")</f>
        <v>http://www.linkedin.com/pub/judith-meles/4/91b/b0a</v>
      </c>
      <c r="I4050" s="2" t="s">
        <v>15</v>
      </c>
      <c r="J4050" s="2" t="s">
        <v>21</v>
      </c>
      <c r="K4050" s="2" t="s">
        <v>6325</v>
      </c>
    </row>
    <row r="4051" ht="15.75" customHeight="1">
      <c r="A4051" s="2">
        <v>40112.0</v>
      </c>
      <c r="B4051" s="2" t="s">
        <v>8597</v>
      </c>
      <c r="C4051" s="2" t="s">
        <v>8598</v>
      </c>
      <c r="D4051" s="2" t="s">
        <v>13</v>
      </c>
      <c r="E4051" s="2" t="s">
        <v>20</v>
      </c>
      <c r="F4051" s="2">
        <v>0.0</v>
      </c>
      <c r="G4051" s="2">
        <v>500.0</v>
      </c>
      <c r="H4051" s="3" t="str">
        <f>HYPERLINK("http://www.linkedin.com/pub/felipe-steffolani/6/17b/711","http://www.linkedin.com/pub/felipe-steffolani/6/17b/711")</f>
        <v>http://www.linkedin.com/pub/felipe-steffolani/6/17b/711</v>
      </c>
      <c r="I4051" s="2" t="s">
        <v>15</v>
      </c>
      <c r="J4051" s="2" t="s">
        <v>21</v>
      </c>
      <c r="K4051" s="2" t="s">
        <v>5725</v>
      </c>
    </row>
    <row r="4052" ht="15.75" customHeight="1">
      <c r="A4052" s="2">
        <v>40114.0</v>
      </c>
      <c r="B4052" s="2" t="s">
        <v>7916</v>
      </c>
      <c r="C4052" s="2" t="s">
        <v>8599</v>
      </c>
      <c r="D4052" s="2" t="s">
        <v>8600</v>
      </c>
      <c r="E4052" s="2" t="s">
        <v>20</v>
      </c>
      <c r="F4052" s="2" t="s">
        <v>13</v>
      </c>
      <c r="G4052" s="2">
        <v>99.0</v>
      </c>
      <c r="H4052" s="3" t="str">
        <f>HYPERLINK("http://ar.linkedin.com/pub/analia-senn/19/B88/7A9","http://ar.linkedin.com/pub/analia-senn/19/B88/7A9")</f>
        <v>http://ar.linkedin.com/pub/analia-senn/19/B88/7A9</v>
      </c>
      <c r="I4052" s="2" t="s">
        <v>1237</v>
      </c>
      <c r="J4052" s="2" t="s">
        <v>21</v>
      </c>
      <c r="K4052" s="2" t="s">
        <v>5977</v>
      </c>
    </row>
    <row r="4053" ht="15.75" customHeight="1">
      <c r="A4053" s="2">
        <v>40152.0</v>
      </c>
      <c r="B4053" s="2" t="s">
        <v>8601</v>
      </c>
      <c r="C4053" s="2" t="s">
        <v>8602</v>
      </c>
      <c r="D4053" s="2"/>
      <c r="E4053" s="2" t="s">
        <v>713</v>
      </c>
      <c r="F4053" s="2">
        <v>6.0</v>
      </c>
      <c r="G4053" s="2">
        <v>500.0</v>
      </c>
      <c r="H4053" s="3" t="str">
        <f>HYPERLINK("http://www.linkedin.com/in/dsaulnier","http://www.linkedin.com/in/dsaulnier")</f>
        <v>http://www.linkedin.com/in/dsaulnier</v>
      </c>
      <c r="I4053" s="2" t="s">
        <v>240</v>
      </c>
      <c r="J4053" s="2" t="s">
        <v>102</v>
      </c>
      <c r="K4053" s="2" t="s">
        <v>5727</v>
      </c>
    </row>
    <row r="4054" ht="15.75" customHeight="1">
      <c r="A4054" s="2">
        <v>40182.0</v>
      </c>
      <c r="B4054" s="2" t="s">
        <v>8603</v>
      </c>
      <c r="C4054" s="2" t="s">
        <v>399</v>
      </c>
      <c r="D4054" s="2" t="s">
        <v>8604</v>
      </c>
      <c r="E4054" s="2" t="s">
        <v>762</v>
      </c>
      <c r="F4054" s="2" t="s">
        <v>13</v>
      </c>
      <c r="G4054" s="2">
        <v>24.0</v>
      </c>
      <c r="H4054" s="3" t="str">
        <f>HYPERLINK("http://www.linkedin.com/pub/kerry-johnson/0/443/137","http://www.linkedin.com/pub/kerry-johnson/0/443/137")</f>
        <v>http://www.linkedin.com/pub/kerry-johnson/0/443/137</v>
      </c>
      <c r="I4054" s="2" t="s">
        <v>365</v>
      </c>
      <c r="J4054" s="2" t="s">
        <v>102</v>
      </c>
      <c r="K4054" s="2" t="s">
        <v>5743</v>
      </c>
    </row>
    <row r="4055" ht="15.75" customHeight="1">
      <c r="A4055" s="2">
        <v>40189.0</v>
      </c>
      <c r="B4055" s="2" t="s">
        <v>6467</v>
      </c>
      <c r="C4055" s="2" t="s">
        <v>8605</v>
      </c>
      <c r="D4055" s="2" t="s">
        <v>13</v>
      </c>
      <c r="E4055" s="2" t="s">
        <v>20</v>
      </c>
      <c r="F4055" s="2">
        <v>0.0</v>
      </c>
      <c r="G4055" s="2">
        <v>500.0</v>
      </c>
      <c r="H4055" s="3" t="str">
        <f>HYPERLINK("http://www.linkedin.com/in/frabinovich","http://www.linkedin.com/in/frabinovich")</f>
        <v>http://www.linkedin.com/in/frabinovich</v>
      </c>
      <c r="I4055" s="2" t="s">
        <v>69</v>
      </c>
      <c r="J4055" s="2" t="s">
        <v>21</v>
      </c>
      <c r="K4055" s="2" t="s">
        <v>5734</v>
      </c>
    </row>
    <row r="4056" ht="15.75" customHeight="1">
      <c r="A4056" s="2">
        <v>40195.0</v>
      </c>
      <c r="B4056" s="2" t="s">
        <v>193</v>
      </c>
      <c r="C4056" s="2" t="s">
        <v>8606</v>
      </c>
      <c r="D4056" s="2" t="s">
        <v>13</v>
      </c>
      <c r="E4056" s="2" t="s">
        <v>20</v>
      </c>
      <c r="F4056" s="2">
        <v>0.0</v>
      </c>
      <c r="G4056" s="2">
        <v>500.0</v>
      </c>
      <c r="H4056" s="3" t="str">
        <f>HYPERLINK("http://www.linkedin.com/pub/guillermo-winnicki/0/4bb/432","http://www.linkedin.com/pub/guillermo-winnicki/0/4bb/432")</f>
        <v>http://www.linkedin.com/pub/guillermo-winnicki/0/4bb/432</v>
      </c>
      <c r="I4056" s="2" t="s">
        <v>1094</v>
      </c>
      <c r="J4056" s="2" t="s">
        <v>21</v>
      </c>
      <c r="K4056" s="2" t="s">
        <v>5727</v>
      </c>
    </row>
    <row r="4057" ht="15.75" customHeight="1">
      <c r="A4057" s="2">
        <v>40209.0</v>
      </c>
      <c r="B4057" s="2" t="s">
        <v>8607</v>
      </c>
      <c r="C4057" s="2" t="s">
        <v>8608</v>
      </c>
      <c r="D4057" s="2" t="s">
        <v>2274</v>
      </c>
      <c r="E4057" s="2" t="s">
        <v>713</v>
      </c>
      <c r="F4057" s="2">
        <v>0.0</v>
      </c>
      <c r="G4057" s="2">
        <v>326.0</v>
      </c>
      <c r="H4057" s="3" t="str">
        <f>HYPERLINK("http://www.linkedin.com/in/daleshad","http://www.linkedin.com/in/daleshad")</f>
        <v>http://www.linkedin.com/in/daleshad</v>
      </c>
      <c r="I4057" s="2" t="s">
        <v>475</v>
      </c>
      <c r="J4057" s="2" t="s">
        <v>102</v>
      </c>
      <c r="K4057" s="2" t="s">
        <v>5727</v>
      </c>
    </row>
    <row r="4058" ht="15.75" customHeight="1">
      <c r="A4058" s="2">
        <v>40245.0</v>
      </c>
      <c r="B4058" s="2" t="s">
        <v>862</v>
      </c>
      <c r="C4058" s="2" t="s">
        <v>8609</v>
      </c>
      <c r="D4058" s="2" t="s">
        <v>13</v>
      </c>
      <c r="E4058" s="2" t="s">
        <v>20</v>
      </c>
      <c r="F4058" s="2">
        <v>0.0</v>
      </c>
      <c r="G4058" s="2">
        <v>500.0</v>
      </c>
      <c r="H4058" s="3" t="str">
        <f>HYPERLINK("https://www.linkedin.com/pub/gabriel-sanchez-catena/2/b99/716","https://www.linkedin.com/pub/gabriel-sanchez-catena/2/b99/716")</f>
        <v>https://www.linkedin.com/pub/gabriel-sanchez-catena/2/b99/716</v>
      </c>
      <c r="I4058" s="2" t="s">
        <v>69</v>
      </c>
      <c r="J4058" s="2" t="s">
        <v>21</v>
      </c>
      <c r="K4058" s="2" t="s">
        <v>5725</v>
      </c>
    </row>
    <row r="4059" ht="15.75" customHeight="1">
      <c r="A4059" s="2">
        <v>40246.0</v>
      </c>
      <c r="B4059" s="2" t="s">
        <v>5723</v>
      </c>
      <c r="C4059" s="2" t="s">
        <v>8610</v>
      </c>
      <c r="D4059" s="2" t="s">
        <v>8611</v>
      </c>
      <c r="E4059" s="2" t="s">
        <v>20</v>
      </c>
      <c r="F4059" s="2" t="s">
        <v>13</v>
      </c>
      <c r="G4059" s="2">
        <v>307.0</v>
      </c>
      <c r="H4059" s="3" t="str">
        <f>HYPERLINK("http://ar.linkedin.com/in/pablolorenzi","http://ar.linkedin.com/in/pablolorenzi")</f>
        <v>http://ar.linkedin.com/in/pablolorenzi</v>
      </c>
      <c r="I4059" s="2" t="s">
        <v>105</v>
      </c>
      <c r="J4059" s="2" t="s">
        <v>21</v>
      </c>
      <c r="K4059" s="2" t="s">
        <v>5785</v>
      </c>
    </row>
    <row r="4060" ht="15.75" customHeight="1">
      <c r="A4060" s="2">
        <v>40253.0</v>
      </c>
      <c r="B4060" s="2" t="s">
        <v>6377</v>
      </c>
      <c r="C4060" s="2" t="s">
        <v>8612</v>
      </c>
      <c r="D4060" s="2" t="s">
        <v>13</v>
      </c>
      <c r="E4060" s="2" t="s">
        <v>20</v>
      </c>
      <c r="F4060" s="2">
        <v>0.0</v>
      </c>
      <c r="G4060" s="2">
        <v>500.0</v>
      </c>
      <c r="H4060" s="3" t="str">
        <f>HYPERLINK("http://www.linkedin.com/in/gborau","http://www.linkedin.com/in/gborau")</f>
        <v>http://www.linkedin.com/in/gborau</v>
      </c>
      <c r="I4060" s="2" t="s">
        <v>105</v>
      </c>
      <c r="J4060" s="2" t="s">
        <v>21</v>
      </c>
      <c r="K4060" s="2" t="s">
        <v>5743</v>
      </c>
    </row>
    <row r="4061" ht="15.75" customHeight="1">
      <c r="A4061" s="2">
        <v>40271.0</v>
      </c>
      <c r="B4061" s="2" t="s">
        <v>6870</v>
      </c>
      <c r="C4061" s="2" t="s">
        <v>8613</v>
      </c>
      <c r="D4061" s="2" t="s">
        <v>8614</v>
      </c>
      <c r="E4061" s="2" t="s">
        <v>20</v>
      </c>
      <c r="F4061" s="2">
        <v>14.0</v>
      </c>
      <c r="G4061" s="2">
        <v>306.0</v>
      </c>
      <c r="H4061" s="3" t="str">
        <f>HYPERLINK("http://ar.linkedin.com/in/melinaperlongher","http://ar.linkedin.com/in/melinaperlongher")</f>
        <v>http://ar.linkedin.com/in/melinaperlongher</v>
      </c>
      <c r="I4061" s="2" t="s">
        <v>105</v>
      </c>
      <c r="J4061" s="2" t="s">
        <v>21</v>
      </c>
      <c r="K4061" s="2" t="s">
        <v>5727</v>
      </c>
    </row>
    <row r="4062" ht="15.75" customHeight="1">
      <c r="A4062" s="2">
        <v>40283.0</v>
      </c>
      <c r="B4062" s="2" t="s">
        <v>677</v>
      </c>
      <c r="C4062" s="2" t="s">
        <v>8615</v>
      </c>
      <c r="D4062" s="2" t="s">
        <v>8616</v>
      </c>
      <c r="E4062" s="2" t="s">
        <v>20</v>
      </c>
      <c r="F4062" s="2">
        <v>17.0</v>
      </c>
      <c r="G4062" s="2">
        <v>500.0</v>
      </c>
      <c r="H4062" s="3" t="str">
        <f>HYPERLINK("http://ar.linkedin.com/in/carlosdanielcabral","http://ar.linkedin.com/in/carlosdanielcabral")</f>
        <v>http://ar.linkedin.com/in/carlosdanielcabral</v>
      </c>
      <c r="I4062" s="2" t="s">
        <v>105</v>
      </c>
      <c r="J4062" s="2" t="s">
        <v>21</v>
      </c>
      <c r="K4062" s="2" t="s">
        <v>5725</v>
      </c>
    </row>
    <row r="4063" ht="15.75" customHeight="1">
      <c r="A4063" s="2">
        <v>40297.0</v>
      </c>
      <c r="B4063" s="2" t="s">
        <v>5039</v>
      </c>
      <c r="C4063" s="2" t="s">
        <v>8617</v>
      </c>
      <c r="D4063" s="2" t="s">
        <v>8618</v>
      </c>
      <c r="E4063" s="2" t="s">
        <v>20</v>
      </c>
      <c r="F4063" s="2" t="s">
        <v>13</v>
      </c>
      <c r="G4063" s="2">
        <v>281.0</v>
      </c>
      <c r="H4063" s="3" t="str">
        <f>HYPERLINK("http://ar.linkedin.com/in/rodolfoguardia","http://ar.linkedin.com/in/rodolfoguardia")</f>
        <v>http://ar.linkedin.com/in/rodolfoguardia</v>
      </c>
      <c r="I4063" s="2" t="s">
        <v>69</v>
      </c>
      <c r="J4063" s="2" t="s">
        <v>21</v>
      </c>
      <c r="K4063" s="2" t="s">
        <v>5725</v>
      </c>
    </row>
    <row r="4064" ht="15.75" customHeight="1">
      <c r="A4064" s="2">
        <v>40303.0</v>
      </c>
      <c r="B4064" s="2" t="s">
        <v>3692</v>
      </c>
      <c r="C4064" s="2" t="s">
        <v>8619</v>
      </c>
      <c r="D4064" s="2" t="s">
        <v>8620</v>
      </c>
      <c r="E4064" s="2" t="s">
        <v>20</v>
      </c>
      <c r="F4064" s="2">
        <v>3.0</v>
      </c>
      <c r="G4064" s="2">
        <v>500.0</v>
      </c>
      <c r="H4064" s="3" t="str">
        <f>HYPERLINK("http://ar.linkedin.com/in/federicobeluardo","http://ar.linkedin.com/in/federicobeluardo")</f>
        <v>http://ar.linkedin.com/in/federicobeluardo</v>
      </c>
      <c r="I4064" s="2" t="s">
        <v>105</v>
      </c>
      <c r="J4064" s="2" t="s">
        <v>21</v>
      </c>
      <c r="K4064" s="2" t="s">
        <v>5727</v>
      </c>
    </row>
    <row r="4065" ht="15.75" customHeight="1">
      <c r="A4065" s="2">
        <v>40317.0</v>
      </c>
      <c r="B4065" s="2" t="s">
        <v>8621</v>
      </c>
      <c r="C4065" s="2" t="s">
        <v>8622</v>
      </c>
      <c r="D4065" s="2" t="s">
        <v>8623</v>
      </c>
      <c r="E4065" s="2" t="s">
        <v>122</v>
      </c>
      <c r="F4065" s="2">
        <v>9.0</v>
      </c>
      <c r="G4065" s="2">
        <v>423.0</v>
      </c>
      <c r="H4065" s="3" t="str">
        <f>HYPERLINK("http://uk.linkedin.com/pub/natalio-cosoy/0/468/703","http://uk.linkedin.com/pub/natalio-cosoy/0/468/703")</f>
        <v>http://uk.linkedin.com/pub/natalio-cosoy/0/468/703</v>
      </c>
      <c r="I4065" s="2" t="s">
        <v>195</v>
      </c>
      <c r="J4065" s="2" t="s">
        <v>53</v>
      </c>
      <c r="K4065" s="2" t="s">
        <v>5734</v>
      </c>
    </row>
    <row r="4066" ht="15.75" customHeight="1">
      <c r="A4066" s="2">
        <v>40334.0</v>
      </c>
      <c r="B4066" s="2" t="s">
        <v>5078</v>
      </c>
      <c r="C4066" s="2" t="s">
        <v>8171</v>
      </c>
      <c r="D4066" s="2" t="s">
        <v>8624</v>
      </c>
      <c r="E4066" s="2" t="s">
        <v>20</v>
      </c>
      <c r="F4066" s="2">
        <v>8.0</v>
      </c>
      <c r="G4066" s="2">
        <v>500.0</v>
      </c>
      <c r="H4066" s="3" t="str">
        <f>HYPERLINK("http://ar.linkedin.com/in/diegueta","http://ar.linkedin.com/in/diegueta")</f>
        <v>http://ar.linkedin.com/in/diegueta</v>
      </c>
      <c r="I4066" s="2" t="s">
        <v>105</v>
      </c>
      <c r="J4066" s="2" t="s">
        <v>21</v>
      </c>
      <c r="K4066" s="2" t="s">
        <v>5727</v>
      </c>
    </row>
    <row r="4067" ht="15.75" customHeight="1">
      <c r="A4067" s="2">
        <v>40360.0</v>
      </c>
      <c r="B4067" s="2" t="s">
        <v>8625</v>
      </c>
      <c r="C4067" s="2" t="s">
        <v>8626</v>
      </c>
      <c r="D4067" s="2" t="s">
        <v>13</v>
      </c>
      <c r="E4067" s="2" t="s">
        <v>1130</v>
      </c>
      <c r="F4067" s="2">
        <v>6.0</v>
      </c>
      <c r="G4067" s="2">
        <v>394.0</v>
      </c>
      <c r="H4067" s="3" t="str">
        <f>HYPERLINK("http://www.linkedin.com/pub/fernando-miguel-giovanini/b/533/821","http://www.linkedin.com/pub/fernando-miguel-giovanini/b/533/821")</f>
        <v>http://www.linkedin.com/pub/fernando-miguel-giovanini/b/533/821</v>
      </c>
      <c r="I4067" s="2" t="s">
        <v>2000</v>
      </c>
      <c r="J4067" s="2" t="s">
        <v>926</v>
      </c>
      <c r="K4067" s="2" t="s">
        <v>5727</v>
      </c>
    </row>
    <row r="4068" ht="15.75" customHeight="1">
      <c r="A4068" s="2">
        <v>40385.0</v>
      </c>
      <c r="B4068" s="2" t="s">
        <v>5723</v>
      </c>
      <c r="C4068" s="2" t="s">
        <v>8476</v>
      </c>
      <c r="D4068" s="2" t="s">
        <v>8627</v>
      </c>
      <c r="E4068" s="2" t="s">
        <v>20</v>
      </c>
      <c r="F4068" s="2">
        <v>1.0</v>
      </c>
      <c r="G4068" s="2">
        <v>205.0</v>
      </c>
      <c r="H4068" s="3" t="str">
        <f>HYPERLINK("http://ar.linkedin.com/pub/pablo-garrido/3/629/7A3","http://ar.linkedin.com/pub/pablo-garrido/3/629/7A3")</f>
        <v>http://ar.linkedin.com/pub/pablo-garrido/3/629/7A3</v>
      </c>
      <c r="I4068" s="2" t="s">
        <v>69</v>
      </c>
      <c r="J4068" s="2" t="s">
        <v>21</v>
      </c>
      <c r="K4068" s="2" t="s">
        <v>5725</v>
      </c>
    </row>
    <row r="4069" ht="15.75" customHeight="1">
      <c r="A4069" s="2">
        <v>40394.0</v>
      </c>
      <c r="B4069" s="2" t="s">
        <v>8628</v>
      </c>
      <c r="C4069" s="2" t="s">
        <v>3714</v>
      </c>
      <c r="D4069" s="2" t="s">
        <v>8629</v>
      </c>
      <c r="E4069" s="2" t="s">
        <v>20</v>
      </c>
      <c r="F4069" s="2">
        <v>6.0</v>
      </c>
      <c r="G4069" s="2">
        <v>344.0</v>
      </c>
      <c r="H4069" s="3" t="str">
        <f>HYPERLINK("http://ar.linkedin.com/pub/mar-a-laura-diaz/A/9B0/3A3","http://ar.linkedin.com/pub/mar-a-laura-diaz/A/9B0/3A3")</f>
        <v>http://ar.linkedin.com/pub/mar-a-laura-diaz/A/9B0/3A3</v>
      </c>
      <c r="I4069" s="2" t="s">
        <v>2561</v>
      </c>
      <c r="J4069" s="2" t="s">
        <v>21</v>
      </c>
      <c r="K4069" s="2" t="s">
        <v>5734</v>
      </c>
    </row>
    <row r="4070" ht="15.75" customHeight="1">
      <c r="A4070" s="2">
        <v>40395.0</v>
      </c>
      <c r="B4070" s="2" t="s">
        <v>5723</v>
      </c>
      <c r="C4070" s="2" t="s">
        <v>8630</v>
      </c>
      <c r="D4070" s="2" t="s">
        <v>8631</v>
      </c>
      <c r="E4070" s="2" t="s">
        <v>20</v>
      </c>
      <c r="F4070" s="2" t="s">
        <v>13</v>
      </c>
      <c r="G4070" s="2">
        <v>218.0</v>
      </c>
      <c r="H4070" s="3" t="str">
        <f>HYPERLINK("http://ar.linkedin.com/in/pgrippo","http://ar.linkedin.com/in/pgrippo")</f>
        <v>http://ar.linkedin.com/in/pgrippo</v>
      </c>
      <c r="I4070" s="2" t="s">
        <v>2268</v>
      </c>
      <c r="J4070" s="2" t="s">
        <v>21</v>
      </c>
      <c r="K4070" s="2" t="s">
        <v>5734</v>
      </c>
    </row>
    <row r="4071" ht="15.75" customHeight="1">
      <c r="A4071" s="2">
        <v>40405.0</v>
      </c>
      <c r="B4071" s="2" t="s">
        <v>5915</v>
      </c>
      <c r="C4071" s="2" t="s">
        <v>8632</v>
      </c>
      <c r="D4071" s="2" t="s">
        <v>8633</v>
      </c>
      <c r="E4071" s="2" t="s">
        <v>20</v>
      </c>
      <c r="F4071" s="2">
        <v>5.0</v>
      </c>
      <c r="G4071" s="2">
        <v>500.0</v>
      </c>
      <c r="H4071" s="3" t="str">
        <f>HYPERLINK("http://ar.linkedin.com/pub/cecilia-esteves/3/678/AB","http://ar.linkedin.com/pub/cecilia-esteves/3/678/AB")</f>
        <v>http://ar.linkedin.com/pub/cecilia-esteves/3/678/AB</v>
      </c>
      <c r="I4071" s="2" t="s">
        <v>374</v>
      </c>
      <c r="J4071" s="2" t="s">
        <v>21</v>
      </c>
      <c r="K4071" s="2" t="s">
        <v>5727</v>
      </c>
    </row>
    <row r="4072" ht="15.75" customHeight="1">
      <c r="A4072" s="2">
        <v>40411.0</v>
      </c>
      <c r="B4072" s="2" t="s">
        <v>2508</v>
      </c>
      <c r="C4072" s="2" t="s">
        <v>8634</v>
      </c>
      <c r="D4072" s="2" t="s">
        <v>5127</v>
      </c>
      <c r="E4072" s="2" t="s">
        <v>20</v>
      </c>
      <c r="F4072" s="2">
        <v>2.0</v>
      </c>
      <c r="G4072" s="2">
        <v>500.0</v>
      </c>
      <c r="H4072" s="3" t="str">
        <f>HYPERLINK("http://ar.linkedin.com/pub/leo-scarone/9/50B/858","http://ar.linkedin.com/pub/leo-scarone/9/50B/858")</f>
        <v>http://ar.linkedin.com/pub/leo-scarone/9/50B/858</v>
      </c>
      <c r="I4072" s="2" t="s">
        <v>612</v>
      </c>
      <c r="J4072" s="2" t="s">
        <v>21</v>
      </c>
      <c r="K4072" s="2" t="s">
        <v>5727</v>
      </c>
    </row>
    <row r="4073" ht="15.75" customHeight="1">
      <c r="A4073" s="2">
        <v>40442.0</v>
      </c>
      <c r="B4073" s="2" t="s">
        <v>5849</v>
      </c>
      <c r="C4073" s="2" t="s">
        <v>8635</v>
      </c>
      <c r="D4073" s="2" t="s">
        <v>8636</v>
      </c>
      <c r="E4073" s="2" t="s">
        <v>20</v>
      </c>
      <c r="F4073" s="2">
        <v>2.0</v>
      </c>
      <c r="G4073" s="2">
        <v>211.0</v>
      </c>
      <c r="H4073" s="3" t="str">
        <f>HYPERLINK("http://ar.linkedin.com/pub/facundo-linares/24/725/945","http://ar.linkedin.com/pub/facundo-linares/24/725/945")</f>
        <v>http://ar.linkedin.com/pub/facundo-linares/24/725/945</v>
      </c>
      <c r="I4073" s="2" t="s">
        <v>105</v>
      </c>
      <c r="J4073" s="2" t="s">
        <v>21</v>
      </c>
      <c r="K4073" s="2" t="s">
        <v>5727</v>
      </c>
    </row>
    <row r="4074" ht="15.75" customHeight="1">
      <c r="A4074" s="2">
        <v>40462.0</v>
      </c>
      <c r="B4074" s="2" t="s">
        <v>8637</v>
      </c>
      <c r="C4074" s="2" t="s">
        <v>8638</v>
      </c>
      <c r="D4074" s="2" t="s">
        <v>8639</v>
      </c>
      <c r="E4074" s="2" t="s">
        <v>20</v>
      </c>
      <c r="F4074" s="2">
        <v>17.0</v>
      </c>
      <c r="G4074" s="2">
        <v>499.0</v>
      </c>
      <c r="H4074" s="3" t="str">
        <f>HYPERLINK("http://ar.linkedin.com/in/belengaleppi","http://ar.linkedin.com/in/belengaleppi")</f>
        <v>http://ar.linkedin.com/in/belengaleppi</v>
      </c>
      <c r="I4074" s="2" t="s">
        <v>844</v>
      </c>
      <c r="J4074" s="2" t="s">
        <v>21</v>
      </c>
      <c r="K4074" s="2" t="s">
        <v>5727</v>
      </c>
    </row>
    <row r="4075" ht="15.75" customHeight="1">
      <c r="A4075" s="2">
        <v>40524.0</v>
      </c>
      <c r="B4075" s="2" t="s">
        <v>1676</v>
      </c>
      <c r="C4075" s="2" t="s">
        <v>5997</v>
      </c>
      <c r="D4075" s="2" t="s">
        <v>8640</v>
      </c>
      <c r="E4075" s="2" t="s">
        <v>20</v>
      </c>
      <c r="F4075" s="2">
        <v>3.0</v>
      </c>
      <c r="G4075" s="2">
        <v>500.0</v>
      </c>
      <c r="H4075" s="3" t="str">
        <f>HYPERLINK("http://ar.linkedin.com/in/raularias","http://ar.linkedin.com/in/raularias")</f>
        <v>http://ar.linkedin.com/in/raularias</v>
      </c>
      <c r="I4075" s="2" t="s">
        <v>1237</v>
      </c>
      <c r="J4075" s="2" t="s">
        <v>21</v>
      </c>
      <c r="K4075" s="2" t="s">
        <v>7341</v>
      </c>
    </row>
    <row r="4076" ht="15.75" customHeight="1">
      <c r="A4076" s="2">
        <v>40527.0</v>
      </c>
      <c r="B4076" s="2" t="s">
        <v>106</v>
      </c>
      <c r="C4076" s="2" t="s">
        <v>8641</v>
      </c>
      <c r="D4076" s="2" t="s">
        <v>8642</v>
      </c>
      <c r="E4076" s="2" t="s">
        <v>403</v>
      </c>
      <c r="F4076" s="2" t="s">
        <v>13</v>
      </c>
      <c r="G4076" s="2">
        <v>183.0</v>
      </c>
      <c r="H4076" s="3" t="str">
        <f>HYPERLINK("http://www.linkedin.com/pub/eyal-marantenboim/3/1BA/8","http://www.linkedin.com/pub/eyal-marantenboim/3/1BA/8")</f>
        <v>http://www.linkedin.com/pub/eyal-marantenboim/3/1BA/8</v>
      </c>
      <c r="I4076" s="2" t="s">
        <v>15</v>
      </c>
      <c r="J4076" s="2" t="s">
        <v>44</v>
      </c>
      <c r="K4076" s="2" t="s">
        <v>5725</v>
      </c>
    </row>
    <row r="4077" ht="15.75" customHeight="1">
      <c r="A4077" s="2">
        <v>40528.0</v>
      </c>
      <c r="B4077" s="2" t="s">
        <v>329</v>
      </c>
      <c r="C4077" s="2" t="s">
        <v>8643</v>
      </c>
      <c r="D4077" s="2" t="s">
        <v>8644</v>
      </c>
      <c r="E4077" s="2" t="s">
        <v>20</v>
      </c>
      <c r="F4077" s="2">
        <v>8.0</v>
      </c>
      <c r="G4077" s="2">
        <v>500.0</v>
      </c>
      <c r="H4077" s="3" t="str">
        <f>HYPERLINK("http://ar.linkedin.com/pub/juan-pablo-brina/0/168/A19","http://ar.linkedin.com/pub/juan-pablo-brina/0/168/A19")</f>
        <v>http://ar.linkedin.com/pub/juan-pablo-brina/0/168/A19</v>
      </c>
      <c r="I4077" s="2" t="s">
        <v>77</v>
      </c>
      <c r="J4077" s="2" t="s">
        <v>21</v>
      </c>
      <c r="K4077" s="2" t="s">
        <v>5731</v>
      </c>
    </row>
    <row r="4078" ht="15.75" customHeight="1">
      <c r="A4078" s="2">
        <v>40533.0</v>
      </c>
      <c r="B4078" s="2" t="s">
        <v>5389</v>
      </c>
      <c r="C4078" s="2" t="s">
        <v>8645</v>
      </c>
      <c r="D4078" s="2" t="s">
        <v>8646</v>
      </c>
      <c r="E4078" s="2" t="s">
        <v>20</v>
      </c>
      <c r="F4078" s="2">
        <v>2.0</v>
      </c>
      <c r="G4078" s="2">
        <v>389.0</v>
      </c>
      <c r="H4078" s="3" t="str">
        <f>HYPERLINK("http://ar.linkedin.com/in/paulaalmecija","http://ar.linkedin.com/in/paulaalmecija")</f>
        <v>http://ar.linkedin.com/in/paulaalmecija</v>
      </c>
      <c r="I4078" s="2" t="s">
        <v>599</v>
      </c>
      <c r="J4078" s="2" t="s">
        <v>21</v>
      </c>
      <c r="K4078" s="2" t="s">
        <v>5727</v>
      </c>
    </row>
    <row r="4079" ht="15.75" customHeight="1">
      <c r="A4079" s="2">
        <v>40575.0</v>
      </c>
      <c r="B4079" s="2" t="s">
        <v>3299</v>
      </c>
      <c r="C4079" s="2" t="s">
        <v>8647</v>
      </c>
      <c r="D4079" s="2" t="s">
        <v>8648</v>
      </c>
      <c r="E4079" s="2" t="s">
        <v>20</v>
      </c>
      <c r="F4079" s="2">
        <v>4.0</v>
      </c>
      <c r="G4079" s="2">
        <v>303.0</v>
      </c>
      <c r="H4079" s="3" t="str">
        <f>HYPERLINK("http://ar.linkedin.com/in/fabianwojtowicz","http://ar.linkedin.com/in/fabianwojtowicz")</f>
        <v>http://ar.linkedin.com/in/fabianwojtowicz</v>
      </c>
      <c r="I4079" s="2" t="s">
        <v>105</v>
      </c>
      <c r="J4079" s="2" t="s">
        <v>21</v>
      </c>
      <c r="K4079" s="2" t="s">
        <v>5727</v>
      </c>
    </row>
    <row r="4080" ht="15.75" customHeight="1">
      <c r="A4080" s="2">
        <v>40601.0</v>
      </c>
      <c r="B4080" s="2" t="s">
        <v>6198</v>
      </c>
      <c r="C4080" s="2" t="s">
        <v>6812</v>
      </c>
      <c r="D4080" s="2" t="s">
        <v>8649</v>
      </c>
      <c r="E4080" s="2" t="s">
        <v>20</v>
      </c>
      <c r="F4080" s="2">
        <v>18.0</v>
      </c>
      <c r="G4080" s="2">
        <v>500.0</v>
      </c>
      <c r="H4080" s="3" t="str">
        <f>HYPERLINK("http://ar.linkedin.com/in/andrespeluffo","http://ar.linkedin.com/in/andrespeluffo")</f>
        <v>http://ar.linkedin.com/in/andrespeluffo</v>
      </c>
      <c r="I4080" s="2" t="s">
        <v>105</v>
      </c>
      <c r="J4080" s="2" t="s">
        <v>21</v>
      </c>
      <c r="K4080" s="2" t="s">
        <v>5743</v>
      </c>
    </row>
    <row r="4081" ht="15.75" customHeight="1">
      <c r="A4081" s="2">
        <v>40610.0</v>
      </c>
      <c r="B4081" s="2" t="s">
        <v>5813</v>
      </c>
      <c r="C4081" s="2" t="s">
        <v>8650</v>
      </c>
      <c r="D4081" s="2" t="s">
        <v>8651</v>
      </c>
      <c r="E4081" s="2" t="s">
        <v>20</v>
      </c>
      <c r="F4081" s="2">
        <v>5.0</v>
      </c>
      <c r="G4081" s="2">
        <v>160.0</v>
      </c>
      <c r="H4081" s="3" t="str">
        <f>HYPERLINK("http://ar.linkedin.com/in/emanuelgimenez","http://ar.linkedin.com/in/emanuelgimenez")</f>
        <v>http://ar.linkedin.com/in/emanuelgimenez</v>
      </c>
      <c r="I4081" s="2" t="s">
        <v>2000</v>
      </c>
      <c r="J4081" s="2" t="s">
        <v>21</v>
      </c>
      <c r="K4081" s="2" t="s">
        <v>5727</v>
      </c>
    </row>
    <row r="4082" ht="15.75" customHeight="1">
      <c r="A4082" s="2">
        <v>40620.0</v>
      </c>
      <c r="B4082" s="2" t="s">
        <v>5883</v>
      </c>
      <c r="C4082" s="2" t="s">
        <v>8652</v>
      </c>
      <c r="D4082" s="2" t="s">
        <v>6293</v>
      </c>
      <c r="E4082" s="2" t="s">
        <v>20</v>
      </c>
      <c r="F4082" s="2" t="s">
        <v>13</v>
      </c>
      <c r="G4082" s="2">
        <v>500.0</v>
      </c>
      <c r="H4082" s="3" t="str">
        <f>HYPERLINK("http://ar.linkedin.com/in/arielcanossa","http://ar.linkedin.com/in/arielcanossa")</f>
        <v>http://ar.linkedin.com/in/arielcanossa</v>
      </c>
      <c r="I4082" s="2" t="s">
        <v>48</v>
      </c>
      <c r="J4082" s="2" t="s">
        <v>21</v>
      </c>
      <c r="K4082" s="2" t="s">
        <v>5725</v>
      </c>
    </row>
    <row r="4083" ht="15.75" customHeight="1">
      <c r="A4083" s="2">
        <v>40668.0</v>
      </c>
      <c r="B4083" s="2" t="s">
        <v>253</v>
      </c>
      <c r="C4083" s="2" t="s">
        <v>8653</v>
      </c>
      <c r="D4083" s="2" t="s">
        <v>950</v>
      </c>
      <c r="E4083" s="2" t="s">
        <v>20</v>
      </c>
      <c r="F4083" s="2">
        <v>36.0</v>
      </c>
      <c r="G4083" s="2">
        <v>500.0</v>
      </c>
      <c r="H4083" s="3" t="str">
        <f>HYPERLINK("http://ar.linkedin.com/in/fernandoamuro","http://ar.linkedin.com/in/fernandoamuro")</f>
        <v>http://ar.linkedin.com/in/fernandoamuro</v>
      </c>
      <c r="I4083" s="2" t="s">
        <v>518</v>
      </c>
      <c r="J4083" s="2" t="s">
        <v>21</v>
      </c>
      <c r="K4083" s="2" t="s">
        <v>5743</v>
      </c>
    </row>
    <row r="4084" ht="15.75" customHeight="1">
      <c r="A4084" s="2">
        <v>40696.0</v>
      </c>
      <c r="B4084" s="2" t="s">
        <v>862</v>
      </c>
      <c r="C4084" s="2" t="s">
        <v>8654</v>
      </c>
      <c r="D4084" s="2" t="s">
        <v>6042</v>
      </c>
      <c r="E4084" s="2" t="s">
        <v>20</v>
      </c>
      <c r="F4084" s="2">
        <v>1.0</v>
      </c>
      <c r="G4084" s="2">
        <v>500.0</v>
      </c>
      <c r="H4084" s="3" t="str">
        <f>HYPERLINK("http://www.linkedin.com/pub/gabriel-wloch/8/5a3/466","http://www.linkedin.com/pub/gabriel-wloch/8/5a3/466")</f>
        <v>http://www.linkedin.com/pub/gabriel-wloch/8/5a3/466</v>
      </c>
      <c r="I4084" s="2" t="s">
        <v>15</v>
      </c>
      <c r="J4084" s="2" t="s">
        <v>21</v>
      </c>
      <c r="K4084" s="2" t="s">
        <v>5725</v>
      </c>
    </row>
    <row r="4085" ht="15.75" customHeight="1">
      <c r="A4085" s="2">
        <v>40697.0</v>
      </c>
      <c r="B4085" s="2" t="s">
        <v>6093</v>
      </c>
      <c r="C4085" s="2" t="s">
        <v>8655</v>
      </c>
      <c r="D4085" s="2" t="s">
        <v>8656</v>
      </c>
      <c r="E4085" s="2" t="s">
        <v>20</v>
      </c>
      <c r="F4085" s="2">
        <v>11.0</v>
      </c>
      <c r="G4085" s="2">
        <v>500.0</v>
      </c>
      <c r="H4085" s="3" t="str">
        <f>HYPERLINK("http://ar.linkedin.com/in/nicolascegna","http://ar.linkedin.com/in/nicolascegna")</f>
        <v>http://ar.linkedin.com/in/nicolascegna</v>
      </c>
      <c r="I4085" s="2" t="s">
        <v>77</v>
      </c>
      <c r="J4085" s="2" t="s">
        <v>21</v>
      </c>
      <c r="K4085" s="2" t="s">
        <v>5731</v>
      </c>
    </row>
    <row r="4086" ht="15.75" customHeight="1">
      <c r="A4086" s="2">
        <v>40711.0</v>
      </c>
      <c r="B4086" s="2" t="s">
        <v>605</v>
      </c>
      <c r="C4086" s="2" t="s">
        <v>8657</v>
      </c>
      <c r="D4086" s="2" t="s">
        <v>13</v>
      </c>
      <c r="E4086" s="2" t="s">
        <v>791</v>
      </c>
      <c r="F4086" s="2">
        <v>0.0</v>
      </c>
      <c r="G4086" s="2">
        <v>500.0</v>
      </c>
      <c r="H4086" s="3" t="str">
        <f>HYPERLINK("http://www.linkedin.com/pub/roberto-cherashny/3/661/386","http://www.linkedin.com/pub/roberto-cherashny/3/661/386")</f>
        <v>http://www.linkedin.com/pub/roberto-cherashny/3/661/386</v>
      </c>
      <c r="I4086" s="2" t="s">
        <v>105</v>
      </c>
      <c r="J4086" s="2" t="s">
        <v>575</v>
      </c>
      <c r="K4086" s="2" t="s">
        <v>5727</v>
      </c>
    </row>
    <row r="4087" ht="15.75" customHeight="1">
      <c r="A4087" s="2">
        <v>40712.0</v>
      </c>
      <c r="B4087" s="2" t="s">
        <v>677</v>
      </c>
      <c r="C4087" s="2" t="s">
        <v>8658</v>
      </c>
      <c r="D4087" s="2" t="s">
        <v>13</v>
      </c>
      <c r="E4087" s="2" t="s">
        <v>20</v>
      </c>
      <c r="F4087" s="2">
        <v>0.0</v>
      </c>
      <c r="G4087" s="2">
        <v>500.0</v>
      </c>
      <c r="H4087" s="3" t="str">
        <f>HYPERLINK("http://ar.linkedin.com/pub/daniel-iriarte/8/315/BB5","http://ar.linkedin.com/pub/daniel-iriarte/8/315/BB5")</f>
        <v>http://ar.linkedin.com/pub/daniel-iriarte/8/315/BB5</v>
      </c>
      <c r="I4087" s="2" t="s">
        <v>458</v>
      </c>
      <c r="J4087" s="2" t="s">
        <v>21</v>
      </c>
      <c r="K4087" s="2" t="s">
        <v>8659</v>
      </c>
    </row>
    <row r="4088" ht="15.75" customHeight="1">
      <c r="A4088" s="2">
        <v>40714.0</v>
      </c>
      <c r="B4088" s="2" t="s">
        <v>238</v>
      </c>
      <c r="C4088" s="2" t="s">
        <v>8660</v>
      </c>
      <c r="D4088" s="2" t="s">
        <v>289</v>
      </c>
      <c r="E4088" s="2" t="s">
        <v>20</v>
      </c>
      <c r="F4088" s="2">
        <v>9.0</v>
      </c>
      <c r="G4088" s="2">
        <v>500.0</v>
      </c>
      <c r="H4088" s="3" t="str">
        <f>HYPERLINK("http://ar.linkedin.com/in/juandellatorre","http://ar.linkedin.com/in/juandellatorre")</f>
        <v>http://ar.linkedin.com/in/juandellatorre</v>
      </c>
      <c r="I4088" s="2" t="s">
        <v>77</v>
      </c>
      <c r="J4088" s="2" t="s">
        <v>21</v>
      </c>
      <c r="K4088" s="2" t="s">
        <v>5743</v>
      </c>
    </row>
    <row r="4089" ht="15.75" customHeight="1">
      <c r="A4089" s="2">
        <v>40718.0</v>
      </c>
      <c r="B4089" s="2" t="s">
        <v>1296</v>
      </c>
      <c r="C4089" s="2" t="s">
        <v>8661</v>
      </c>
      <c r="D4089" s="2" t="s">
        <v>13</v>
      </c>
      <c r="E4089" s="2" t="s">
        <v>20</v>
      </c>
      <c r="F4089" s="2">
        <v>0.0</v>
      </c>
      <c r="G4089" s="2">
        <v>460.0</v>
      </c>
      <c r="H4089" s="3" t="str">
        <f>HYPERLINK("http://www.linkedin.com/pub/andrea-casey-torres/8/113/ba7","http://www.linkedin.com/pub/andrea-casey-torres/8/113/ba7")</f>
        <v>http://www.linkedin.com/pub/andrea-casey-torres/8/113/ba7</v>
      </c>
      <c r="I4089" s="2" t="s">
        <v>77</v>
      </c>
      <c r="J4089" s="2" t="s">
        <v>21</v>
      </c>
      <c r="K4089" s="2" t="s">
        <v>6342</v>
      </c>
    </row>
    <row r="4090" ht="15.75" customHeight="1">
      <c r="A4090" s="2">
        <v>40724.0</v>
      </c>
      <c r="B4090" s="2" t="s">
        <v>8662</v>
      </c>
      <c r="C4090" s="2" t="s">
        <v>206</v>
      </c>
      <c r="D4090" s="2" t="s">
        <v>8663</v>
      </c>
      <c r="E4090" s="2" t="s">
        <v>20</v>
      </c>
      <c r="F4090" s="2">
        <v>4.0</v>
      </c>
      <c r="G4090" s="2">
        <v>148.0</v>
      </c>
      <c r="H4090" s="3" t="str">
        <f>HYPERLINK("http://ar.linkedin.com/pub/jorge-joaquin-garcia/12/80/217","http://ar.linkedin.com/pub/jorge-joaquin-garcia/12/80/217")</f>
        <v>http://ar.linkedin.com/pub/jorge-joaquin-garcia/12/80/217</v>
      </c>
      <c r="I4090" s="2" t="s">
        <v>279</v>
      </c>
      <c r="J4090" s="2" t="s">
        <v>21</v>
      </c>
      <c r="K4090" s="2" t="s">
        <v>5727</v>
      </c>
    </row>
    <row r="4091" ht="15.75" customHeight="1">
      <c r="A4091" s="2">
        <v>40725.0</v>
      </c>
      <c r="B4091" s="2" t="s">
        <v>3776</v>
      </c>
      <c r="C4091" s="2" t="s">
        <v>8664</v>
      </c>
      <c r="D4091" s="2" t="s">
        <v>13</v>
      </c>
      <c r="E4091" s="2" t="s">
        <v>20</v>
      </c>
      <c r="F4091" s="2">
        <v>0.0</v>
      </c>
      <c r="G4091" s="2">
        <v>500.0</v>
      </c>
      <c r="H4091" s="3" t="str">
        <f>HYPERLINK("http://www.linkedin.com/pub/pedro-crisafulli/27/6b0/26b","http://www.linkedin.com/pub/pedro-crisafulli/27/6b0/26b")</f>
        <v>http://www.linkedin.com/pub/pedro-crisafulli/27/6b0/26b</v>
      </c>
      <c r="I4091" s="2" t="s">
        <v>458</v>
      </c>
      <c r="J4091" s="2" t="s">
        <v>21</v>
      </c>
      <c r="K4091" s="2" t="s">
        <v>5734</v>
      </c>
    </row>
    <row r="4092" ht="15.75" customHeight="1">
      <c r="A4092" s="2">
        <v>40740.0</v>
      </c>
      <c r="B4092" s="2" t="s">
        <v>8665</v>
      </c>
      <c r="C4092" s="2" t="s">
        <v>8666</v>
      </c>
      <c r="D4092" s="2" t="s">
        <v>8667</v>
      </c>
      <c r="E4092" s="2" t="s">
        <v>20</v>
      </c>
      <c r="F4092" s="2">
        <v>1.0</v>
      </c>
      <c r="G4092" s="2">
        <v>422.0</v>
      </c>
      <c r="H4092" s="3" t="str">
        <f>HYPERLINK("http://ar.linkedin.com/pub/in-s-puente/6/319/772","http://ar.linkedin.com/pub/in-s-puente/6/319/772")</f>
        <v>http://ar.linkedin.com/pub/in-s-puente/6/319/772</v>
      </c>
      <c r="I4092" s="2" t="s">
        <v>279</v>
      </c>
      <c r="J4092" s="2" t="s">
        <v>21</v>
      </c>
      <c r="K4092" s="2" t="s">
        <v>5734</v>
      </c>
    </row>
    <row r="4093" ht="15.75" customHeight="1">
      <c r="A4093" s="2">
        <v>40744.0</v>
      </c>
      <c r="B4093" s="2" t="s">
        <v>8668</v>
      </c>
      <c r="C4093" s="2" t="s">
        <v>8669</v>
      </c>
      <c r="D4093" s="2" t="s">
        <v>13</v>
      </c>
      <c r="E4093" s="2" t="s">
        <v>20</v>
      </c>
      <c r="F4093" s="2">
        <v>0.0</v>
      </c>
      <c r="G4093" s="2">
        <v>500.0</v>
      </c>
      <c r="H4093" s="3" t="str">
        <f>HYPERLINK("http://www.linkedin.com/pub/mar%C3%ADa-eugenia-buj%C3%A1n/a/373/926","http://www.linkedin.com/pub/mar%C3%ADa-eugenia-buj%C3%A1n/a/373/926")</f>
        <v>http://www.linkedin.com/pub/mar%C3%ADa-eugenia-buj%C3%A1n/a/373/926</v>
      </c>
      <c r="I4093" s="2" t="s">
        <v>458</v>
      </c>
      <c r="J4093" s="2" t="s">
        <v>21</v>
      </c>
      <c r="K4093" s="2" t="s">
        <v>5734</v>
      </c>
    </row>
    <row r="4094" ht="15.75" customHeight="1">
      <c r="A4094" s="2">
        <v>40761.0</v>
      </c>
      <c r="B4094" s="2" t="s">
        <v>3550</v>
      </c>
      <c r="C4094" s="2" t="s">
        <v>8670</v>
      </c>
      <c r="D4094" s="2" t="s">
        <v>32</v>
      </c>
      <c r="E4094" s="2" t="s">
        <v>20</v>
      </c>
      <c r="F4094" s="2">
        <v>9.0</v>
      </c>
      <c r="G4094" s="2">
        <v>292.0</v>
      </c>
      <c r="H4094" s="3" t="str">
        <f>HYPERLINK("http://ar.linkedin.com/pub/nicolas-agnese/0/4B5/82A","http://ar.linkedin.com/pub/nicolas-agnese/0/4B5/82A")</f>
        <v>http://ar.linkedin.com/pub/nicolas-agnese/0/4B5/82A</v>
      </c>
      <c r="I4094" s="2" t="s">
        <v>105</v>
      </c>
      <c r="J4094" s="2" t="s">
        <v>21</v>
      </c>
      <c r="K4094" s="2" t="s">
        <v>5727</v>
      </c>
    </row>
    <row r="4095" ht="15.75" customHeight="1">
      <c r="A4095" s="2">
        <v>40764.0</v>
      </c>
      <c r="B4095" s="2" t="s">
        <v>5332</v>
      </c>
      <c r="C4095" s="2" t="s">
        <v>7780</v>
      </c>
      <c r="D4095" s="2" t="s">
        <v>8671</v>
      </c>
      <c r="E4095" s="2" t="s">
        <v>20</v>
      </c>
      <c r="F4095" s="2" t="s">
        <v>13</v>
      </c>
      <c r="G4095" s="2">
        <v>294.0</v>
      </c>
      <c r="H4095" s="3" t="str">
        <f>HYPERLINK("http://ar.linkedin.com/in/mercedesdoval","http://ar.linkedin.com/in/mercedesdoval")</f>
        <v>http://ar.linkedin.com/in/mercedesdoval</v>
      </c>
      <c r="I4095" s="2" t="s">
        <v>77</v>
      </c>
      <c r="J4095" s="2" t="s">
        <v>21</v>
      </c>
      <c r="K4095" s="2" t="s">
        <v>5848</v>
      </c>
    </row>
    <row r="4096" ht="15.75" customHeight="1">
      <c r="A4096" s="2">
        <v>40771.0</v>
      </c>
      <c r="B4096" s="2" t="s">
        <v>523</v>
      </c>
      <c r="C4096" s="2" t="s">
        <v>8672</v>
      </c>
      <c r="D4096" s="2" t="s">
        <v>2960</v>
      </c>
      <c r="E4096" s="2" t="s">
        <v>20</v>
      </c>
      <c r="F4096" s="2">
        <v>51.0</v>
      </c>
      <c r="G4096" s="2">
        <v>500.0</v>
      </c>
      <c r="H4096" s="3" t="str">
        <f>HYPERLINK("http://ar.linkedin.com/in/ignacioareal","http://ar.linkedin.com/in/ignacioareal")</f>
        <v>http://ar.linkedin.com/in/ignacioareal</v>
      </c>
      <c r="I4096" s="2" t="s">
        <v>77</v>
      </c>
      <c r="J4096" s="2" t="s">
        <v>21</v>
      </c>
      <c r="K4096" s="2" t="s">
        <v>5743</v>
      </c>
    </row>
    <row r="4097" ht="15.75" customHeight="1">
      <c r="A4097" s="2">
        <v>40800.0</v>
      </c>
      <c r="B4097" s="2" t="s">
        <v>3015</v>
      </c>
      <c r="C4097" s="2" t="s">
        <v>8673</v>
      </c>
      <c r="D4097" s="2" t="s">
        <v>8674</v>
      </c>
      <c r="E4097" s="2" t="s">
        <v>20</v>
      </c>
      <c r="F4097" s="2">
        <v>4.0</v>
      </c>
      <c r="G4097" s="2">
        <v>500.0</v>
      </c>
      <c r="H4097" s="3" t="str">
        <f>HYPERLINK("http://ar.linkedin.com/in/lucianoamoroso","http://ar.linkedin.com/in/lucianoamoroso")</f>
        <v>http://ar.linkedin.com/in/lucianoamoroso</v>
      </c>
      <c r="I4097" s="2" t="s">
        <v>1841</v>
      </c>
      <c r="J4097" s="2" t="s">
        <v>21</v>
      </c>
      <c r="K4097" s="2" t="s">
        <v>5727</v>
      </c>
    </row>
    <row r="4098" ht="15.75" customHeight="1">
      <c r="A4098" s="2">
        <v>40812.0</v>
      </c>
      <c r="B4098" s="2" t="s">
        <v>3692</v>
      </c>
      <c r="C4098" s="2" t="s">
        <v>8675</v>
      </c>
      <c r="D4098" s="2" t="s">
        <v>13</v>
      </c>
      <c r="E4098" s="2" t="s">
        <v>20</v>
      </c>
      <c r="F4098" s="2">
        <v>0.0</v>
      </c>
      <c r="G4098" s="2">
        <v>456.0</v>
      </c>
      <c r="H4098" s="3" t="str">
        <f>HYPERLINK("http://www.linkedin.com/pub/federico-mux%C3%AD/0/236/155","http://www.linkedin.com/pub/federico-mux%C3%AD/0/236/155")</f>
        <v>http://www.linkedin.com/pub/federico-mux%C3%AD/0/236/155</v>
      </c>
      <c r="I4098" s="2" t="s">
        <v>57</v>
      </c>
      <c r="J4098" s="2" t="s">
        <v>21</v>
      </c>
      <c r="K4098" s="2" t="s">
        <v>5725</v>
      </c>
    </row>
    <row r="4099" ht="15.75" customHeight="1">
      <c r="A4099" s="2">
        <v>40822.0</v>
      </c>
      <c r="B4099" s="2" t="s">
        <v>362</v>
      </c>
      <c r="C4099" s="2" t="s">
        <v>6207</v>
      </c>
      <c r="D4099" s="2" t="s">
        <v>8676</v>
      </c>
      <c r="E4099" s="2" t="s">
        <v>20</v>
      </c>
      <c r="F4099" s="2">
        <v>1.0</v>
      </c>
      <c r="G4099" s="2">
        <v>500.0</v>
      </c>
      <c r="H4099" s="3" t="str">
        <f>HYPERLINK("http://ar.linkedin.com/pub/javier-alvarez/14/261/382","http://ar.linkedin.com/pub/javier-alvarez/14/261/382")</f>
        <v>http://ar.linkedin.com/pub/javier-alvarez/14/261/382</v>
      </c>
      <c r="I4099" s="2" t="s">
        <v>458</v>
      </c>
      <c r="J4099" s="2" t="s">
        <v>21</v>
      </c>
      <c r="K4099" s="2" t="s">
        <v>5734</v>
      </c>
    </row>
    <row r="4100" ht="15.75" customHeight="1">
      <c r="A4100" s="2">
        <v>40832.0</v>
      </c>
      <c r="B4100" s="2" t="s">
        <v>6990</v>
      </c>
      <c r="C4100" s="2" t="s">
        <v>8677</v>
      </c>
      <c r="D4100" s="2" t="s">
        <v>8678</v>
      </c>
      <c r="E4100" s="2" t="s">
        <v>20</v>
      </c>
      <c r="F4100" s="2">
        <v>6.0</v>
      </c>
      <c r="G4100" s="2">
        <v>364.0</v>
      </c>
      <c r="H4100" s="3" t="str">
        <f>HYPERLINK("http://ar.linkedin.com/in/carolakhek","http://ar.linkedin.com/in/carolakhek")</f>
        <v>http://ar.linkedin.com/in/carolakhek</v>
      </c>
      <c r="I4100" s="2" t="s">
        <v>105</v>
      </c>
      <c r="J4100" s="2" t="s">
        <v>21</v>
      </c>
      <c r="K4100" s="2" t="s">
        <v>5727</v>
      </c>
    </row>
    <row r="4101" ht="15.75" customHeight="1">
      <c r="A4101" s="2">
        <v>40833.0</v>
      </c>
      <c r="B4101" s="2" t="s">
        <v>5915</v>
      </c>
      <c r="C4101" s="2" t="s">
        <v>8679</v>
      </c>
      <c r="D4101" s="2" t="s">
        <v>8680</v>
      </c>
      <c r="E4101" s="2" t="s">
        <v>20</v>
      </c>
      <c r="F4101" s="2">
        <v>1.0</v>
      </c>
      <c r="G4101" s="2">
        <v>378.0</v>
      </c>
      <c r="H4101" s="3" t="str">
        <f>HYPERLINK("http://ar.linkedin.com/pub/cecilia-jauregui/26/203/516","http://ar.linkedin.com/pub/cecilia-jauregui/26/203/516")</f>
        <v>http://ar.linkedin.com/pub/cecilia-jauregui/26/203/516</v>
      </c>
      <c r="I4101" s="2" t="s">
        <v>48</v>
      </c>
      <c r="J4101" s="2" t="s">
        <v>21</v>
      </c>
      <c r="K4101" s="2" t="s">
        <v>5725</v>
      </c>
    </row>
    <row r="4102" ht="15.75" customHeight="1">
      <c r="A4102" s="2">
        <v>40838.0</v>
      </c>
      <c r="B4102" s="2" t="s">
        <v>3268</v>
      </c>
      <c r="C4102" s="2" t="s">
        <v>8681</v>
      </c>
      <c r="D4102" s="2" t="s">
        <v>8682</v>
      </c>
      <c r="E4102" s="2" t="s">
        <v>20</v>
      </c>
      <c r="F4102" s="2" t="s">
        <v>13</v>
      </c>
      <c r="G4102" s="2">
        <v>452.0</v>
      </c>
      <c r="H4102" s="3" t="str">
        <f>HYPERLINK("http://ar.linkedin.com/pub/patricia-volpe/2/A25/600","http://ar.linkedin.com/pub/patricia-volpe/2/A25/600")</f>
        <v>http://ar.linkedin.com/pub/patricia-volpe/2/A25/600</v>
      </c>
      <c r="I4102" s="2" t="s">
        <v>15</v>
      </c>
      <c r="J4102" s="2" t="s">
        <v>21</v>
      </c>
      <c r="K4102" s="2" t="s">
        <v>5725</v>
      </c>
    </row>
    <row r="4103" ht="15.75" customHeight="1">
      <c r="A4103" s="2">
        <v>40842.0</v>
      </c>
      <c r="B4103" s="2" t="s">
        <v>6252</v>
      </c>
      <c r="C4103" s="2" t="s">
        <v>8683</v>
      </c>
      <c r="D4103" s="2" t="s">
        <v>8684</v>
      </c>
      <c r="E4103" s="2" t="s">
        <v>20</v>
      </c>
      <c r="F4103" s="2">
        <v>3.0</v>
      </c>
      <c r="G4103" s="2">
        <v>316.0</v>
      </c>
      <c r="H4103" s="3" t="str">
        <f>HYPERLINK("http://ar.linkedin.com/pub/santiago-marc-/0/181/B42","http://ar.linkedin.com/pub/santiago-marc-/0/181/B42")</f>
        <v>http://ar.linkedin.com/pub/santiago-marc-/0/181/B42</v>
      </c>
      <c r="I4103" s="2" t="s">
        <v>458</v>
      </c>
      <c r="J4103" s="2" t="s">
        <v>21</v>
      </c>
      <c r="K4103" s="2" t="s">
        <v>5727</v>
      </c>
    </row>
    <row r="4104" ht="15.75" customHeight="1">
      <c r="A4104" s="2">
        <v>40843.0</v>
      </c>
      <c r="B4104" s="2" t="s">
        <v>59</v>
      </c>
      <c r="C4104" s="2" t="s">
        <v>8685</v>
      </c>
      <c r="D4104" s="2" t="s">
        <v>8686</v>
      </c>
      <c r="E4104" s="2" t="s">
        <v>20</v>
      </c>
      <c r="F4104" s="2">
        <v>11.0</v>
      </c>
      <c r="G4104" s="2">
        <v>188.0</v>
      </c>
      <c r="H4104" s="3" t="str">
        <f>HYPERLINK("http://ar.linkedin.com/in/mberra","http://ar.linkedin.com/in/mberra")</f>
        <v>http://ar.linkedin.com/in/mberra</v>
      </c>
      <c r="I4104" s="2" t="s">
        <v>873</v>
      </c>
      <c r="J4104" s="2" t="s">
        <v>21</v>
      </c>
      <c r="K4104" s="2" t="s">
        <v>5727</v>
      </c>
    </row>
    <row r="4105" ht="15.75" customHeight="1">
      <c r="A4105" s="2">
        <v>40847.0</v>
      </c>
      <c r="B4105" s="2" t="s">
        <v>8687</v>
      </c>
      <c r="C4105" s="2" t="s">
        <v>8688</v>
      </c>
      <c r="D4105" s="2" t="s">
        <v>615</v>
      </c>
      <c r="E4105" s="2" t="s">
        <v>20</v>
      </c>
      <c r="F4105" s="2" t="s">
        <v>13</v>
      </c>
      <c r="G4105" s="2">
        <v>210.0</v>
      </c>
      <c r="H4105" s="3" t="str">
        <f>HYPERLINK("http://ar.linkedin.com/pub/softline-international-argentina/23/537/920","http://ar.linkedin.com/pub/softline-international-argentina/23/537/920")</f>
        <v>http://ar.linkedin.com/pub/softline-international-argentina/23/537/920</v>
      </c>
      <c r="I4105" s="2" t="s">
        <v>15</v>
      </c>
      <c r="J4105" s="2" t="s">
        <v>21</v>
      </c>
      <c r="K4105" s="2" t="s">
        <v>5725</v>
      </c>
    </row>
    <row r="4106" ht="15.75" customHeight="1">
      <c r="A4106" s="2">
        <v>40852.0</v>
      </c>
      <c r="B4106" s="2" t="s">
        <v>3201</v>
      </c>
      <c r="C4106" s="2" t="s">
        <v>8689</v>
      </c>
      <c r="D4106" s="2" t="s">
        <v>8690</v>
      </c>
      <c r="E4106" s="2" t="s">
        <v>20</v>
      </c>
      <c r="F4106" s="2">
        <v>7.0</v>
      </c>
      <c r="G4106" s="2">
        <v>500.0</v>
      </c>
      <c r="H4106" s="3" t="str">
        <f>HYPERLINK("http://ar.linkedin.com/in/agenciacreativaatinua","http://ar.linkedin.com/in/agenciacreativaatinua")</f>
        <v>http://ar.linkedin.com/in/agenciacreativaatinua</v>
      </c>
      <c r="I4106" s="2" t="s">
        <v>105</v>
      </c>
      <c r="J4106" s="2" t="s">
        <v>21</v>
      </c>
      <c r="K4106" s="2" t="s">
        <v>5727</v>
      </c>
    </row>
    <row r="4107" ht="15.75" customHeight="1">
      <c r="A4107" s="2">
        <v>40854.0</v>
      </c>
      <c r="B4107" s="2" t="s">
        <v>431</v>
      </c>
      <c r="C4107" s="2" t="s">
        <v>8691</v>
      </c>
      <c r="D4107" s="2" t="s">
        <v>8692</v>
      </c>
      <c r="E4107" s="2" t="s">
        <v>20</v>
      </c>
      <c r="F4107" s="2">
        <v>4.0</v>
      </c>
      <c r="G4107" s="2">
        <v>46.0</v>
      </c>
      <c r="H4107" s="3" t="str">
        <f>HYPERLINK("http://ar.linkedin.com/in/olmedomartinez","http://ar.linkedin.com/in/olmedomartinez")</f>
        <v>http://ar.linkedin.com/in/olmedomartinez</v>
      </c>
      <c r="I4107" s="2" t="s">
        <v>105</v>
      </c>
      <c r="J4107" s="2" t="s">
        <v>21</v>
      </c>
      <c r="K4107" s="2" t="s">
        <v>5727</v>
      </c>
    </row>
    <row r="4108" ht="15.75" customHeight="1">
      <c r="A4108" s="2">
        <v>40862.0</v>
      </c>
      <c r="B4108" s="2" t="s">
        <v>6666</v>
      </c>
      <c r="C4108" s="2" t="s">
        <v>8693</v>
      </c>
      <c r="D4108" s="2" t="s">
        <v>6129</v>
      </c>
      <c r="E4108" s="2" t="s">
        <v>20</v>
      </c>
      <c r="F4108" s="2">
        <v>9.0</v>
      </c>
      <c r="G4108" s="2">
        <v>386.0</v>
      </c>
      <c r="H4108" s="3" t="str">
        <f>HYPERLINK("http://ar.linkedin.com/in/sebastiangiasone","http://ar.linkedin.com/in/sebastiangiasone")</f>
        <v>http://ar.linkedin.com/in/sebastiangiasone</v>
      </c>
      <c r="I4108" s="2" t="s">
        <v>2081</v>
      </c>
      <c r="J4108" s="2" t="s">
        <v>21</v>
      </c>
      <c r="K4108" s="2" t="s">
        <v>5727</v>
      </c>
    </row>
    <row r="4109" ht="15.75" customHeight="1">
      <c r="A4109" s="2">
        <v>40864.0</v>
      </c>
      <c r="B4109" s="2" t="s">
        <v>253</v>
      </c>
      <c r="C4109" s="2" t="s">
        <v>7294</v>
      </c>
      <c r="D4109" s="2" t="s">
        <v>6877</v>
      </c>
      <c r="E4109" s="2" t="s">
        <v>20</v>
      </c>
      <c r="F4109" s="2" t="s">
        <v>13</v>
      </c>
      <c r="G4109" s="2">
        <v>67.0</v>
      </c>
      <c r="H4109" s="3" t="str">
        <f>HYPERLINK("http://ar.linkedin.com/pub/fernando-simonazzi/0/A83/274","http://ar.linkedin.com/pub/fernando-simonazzi/0/A83/274")</f>
        <v>http://ar.linkedin.com/pub/fernando-simonazzi/0/A83/274</v>
      </c>
      <c r="I4109" s="2" t="s">
        <v>48</v>
      </c>
      <c r="J4109" s="2" t="s">
        <v>21</v>
      </c>
      <c r="K4109" s="2" t="s">
        <v>5725</v>
      </c>
    </row>
    <row r="4110" ht="15.75" customHeight="1">
      <c r="A4110" s="2">
        <v>40873.0</v>
      </c>
      <c r="B4110" s="2" t="s">
        <v>8694</v>
      </c>
      <c r="C4110" s="2" t="s">
        <v>8695</v>
      </c>
      <c r="D4110" s="2" t="s">
        <v>8696</v>
      </c>
      <c r="E4110" s="2" t="s">
        <v>20</v>
      </c>
      <c r="F4110" s="2" t="s">
        <v>13</v>
      </c>
      <c r="G4110" s="2">
        <v>136.0</v>
      </c>
      <c r="H4110" s="3" t="str">
        <f>HYPERLINK("http://ar.linkedin.com/in/vanesachacon","http://ar.linkedin.com/in/vanesachacon")</f>
        <v>http://ar.linkedin.com/in/vanesachacon</v>
      </c>
      <c r="I4110" s="2" t="s">
        <v>77</v>
      </c>
      <c r="J4110" s="2" t="s">
        <v>21</v>
      </c>
      <c r="K4110" s="2" t="s">
        <v>5848</v>
      </c>
    </row>
    <row r="4111" ht="15.75" customHeight="1">
      <c r="A4111" s="2">
        <v>40896.0</v>
      </c>
      <c r="B4111" s="2" t="s">
        <v>8694</v>
      </c>
      <c r="C4111" s="2" t="s">
        <v>879</v>
      </c>
      <c r="D4111" s="2" t="s">
        <v>8697</v>
      </c>
      <c r="E4111" s="2" t="s">
        <v>20</v>
      </c>
      <c r="F4111" s="2">
        <v>3.0</v>
      </c>
      <c r="G4111" s="2">
        <v>205.0</v>
      </c>
      <c r="H4111" s="3" t="str">
        <f>HYPERLINK("http://ar.linkedin.com/in/vanesarichard","http://ar.linkedin.com/in/vanesarichard")</f>
        <v>http://ar.linkedin.com/in/vanesarichard</v>
      </c>
      <c r="I4111" s="2" t="s">
        <v>2000</v>
      </c>
      <c r="J4111" s="2" t="s">
        <v>21</v>
      </c>
      <c r="K4111" s="2" t="s">
        <v>5727</v>
      </c>
    </row>
    <row r="4112" ht="15.75" customHeight="1">
      <c r="A4112" s="2">
        <v>40912.0</v>
      </c>
      <c r="B4112" s="2" t="s">
        <v>8698</v>
      </c>
      <c r="C4112" s="2" t="s">
        <v>7699</v>
      </c>
      <c r="D4112" s="2" t="s">
        <v>8699</v>
      </c>
      <c r="E4112" s="2" t="s">
        <v>20</v>
      </c>
      <c r="F4112" s="2" t="s">
        <v>13</v>
      </c>
      <c r="G4112" s="2">
        <v>500.0</v>
      </c>
      <c r="H4112" s="3" t="str">
        <f>HYPERLINK("http://ar.linkedin.com/pub/henoch-aguiar/0/285/6BA","http://ar.linkedin.com/pub/henoch-aguiar/0/285/6BA")</f>
        <v>http://ar.linkedin.com/pub/henoch-aguiar/0/285/6BA</v>
      </c>
      <c r="I4112" s="2" t="s">
        <v>15</v>
      </c>
      <c r="J4112" s="2" t="s">
        <v>21</v>
      </c>
      <c r="K4112" s="2" t="s">
        <v>5725</v>
      </c>
    </row>
    <row r="4113" ht="15.75" customHeight="1">
      <c r="A4113" s="2">
        <v>40918.0</v>
      </c>
      <c r="B4113" s="2" t="s">
        <v>253</v>
      </c>
      <c r="C4113" s="2" t="s">
        <v>5924</v>
      </c>
      <c r="D4113" s="2" t="s">
        <v>2331</v>
      </c>
      <c r="E4113" s="2" t="s">
        <v>20</v>
      </c>
      <c r="F4113" s="2">
        <v>10.0</v>
      </c>
      <c r="G4113" s="2">
        <v>500.0</v>
      </c>
      <c r="H4113" s="3" t="str">
        <f>HYPERLINK("http://ar.linkedin.com/pub/fernando-alonso/1/73A/623","http://ar.linkedin.com/pub/fernando-alonso/1/73A/623")</f>
        <v>http://ar.linkedin.com/pub/fernando-alonso/1/73A/623</v>
      </c>
      <c r="I4113" s="2" t="s">
        <v>15</v>
      </c>
      <c r="J4113" s="2" t="s">
        <v>21</v>
      </c>
      <c r="K4113" s="2" t="s">
        <v>5777</v>
      </c>
    </row>
    <row r="4114" ht="15.75" customHeight="1">
      <c r="A4114" s="2">
        <v>40929.0</v>
      </c>
      <c r="B4114" s="2" t="s">
        <v>7859</v>
      </c>
      <c r="C4114" s="2" t="s">
        <v>8700</v>
      </c>
      <c r="D4114" s="2" t="s">
        <v>8701</v>
      </c>
      <c r="E4114" s="2" t="s">
        <v>20</v>
      </c>
      <c r="F4114" s="2">
        <v>6.0</v>
      </c>
      <c r="G4114" s="2">
        <v>500.0</v>
      </c>
      <c r="H4114" s="3" t="str">
        <f>HYPERLINK("http://ar.linkedin.com/in/callerojuanjose","http://ar.linkedin.com/in/callerojuanjose")</f>
        <v>http://ar.linkedin.com/in/callerojuanjose</v>
      </c>
      <c r="I4114" s="2" t="s">
        <v>48</v>
      </c>
      <c r="J4114" s="2" t="s">
        <v>21</v>
      </c>
      <c r="K4114" s="2" t="s">
        <v>5777</v>
      </c>
    </row>
    <row r="4115" ht="15.75" customHeight="1">
      <c r="A4115" s="2">
        <v>40940.0</v>
      </c>
      <c r="B4115" s="2" t="s">
        <v>8702</v>
      </c>
      <c r="C4115" s="2" t="s">
        <v>8703</v>
      </c>
      <c r="D4115" s="2" t="s">
        <v>8704</v>
      </c>
      <c r="E4115" s="2" t="s">
        <v>20</v>
      </c>
      <c r="F4115" s="2">
        <v>1.0</v>
      </c>
      <c r="G4115" s="2">
        <v>109.0</v>
      </c>
      <c r="H4115" s="3" t="str">
        <f>HYPERLINK("http://ar.linkedin.com/pub/ivana-ximena-prisco/22/319/91B","http://ar.linkedin.com/pub/ivana-ximena-prisco/22/319/91B")</f>
        <v>http://ar.linkedin.com/pub/ivana-ximena-prisco/22/319/91B</v>
      </c>
      <c r="I4115" s="2" t="s">
        <v>105</v>
      </c>
      <c r="J4115" s="2" t="s">
        <v>21</v>
      </c>
      <c r="K4115" s="2" t="s">
        <v>5725</v>
      </c>
    </row>
    <row r="4116" ht="15.75" customHeight="1">
      <c r="A4116" s="2">
        <v>40975.0</v>
      </c>
      <c r="B4116" s="2" t="s">
        <v>5922</v>
      </c>
      <c r="C4116" s="2" t="s">
        <v>8705</v>
      </c>
      <c r="D4116" s="2" t="s">
        <v>6281</v>
      </c>
      <c r="E4116" s="2" t="s">
        <v>20</v>
      </c>
      <c r="F4116" s="2" t="s">
        <v>13</v>
      </c>
      <c r="G4116" s="2">
        <v>500.0</v>
      </c>
      <c r="H4116" s="3" t="str">
        <f>HYPERLINK("http://ar.linkedin.com/in/gabrielavera","http://ar.linkedin.com/in/gabrielavera")</f>
        <v>http://ar.linkedin.com/in/gabrielavera</v>
      </c>
      <c r="I4116" s="2" t="s">
        <v>458</v>
      </c>
      <c r="J4116" s="2" t="s">
        <v>21</v>
      </c>
      <c r="K4116" s="2" t="s">
        <v>5734</v>
      </c>
    </row>
    <row r="4117" ht="15.75" customHeight="1">
      <c r="A4117" s="2">
        <v>40976.0</v>
      </c>
      <c r="B4117" s="2" t="s">
        <v>5846</v>
      </c>
      <c r="C4117" s="2" t="s">
        <v>8706</v>
      </c>
      <c r="D4117" s="2" t="s">
        <v>8707</v>
      </c>
      <c r="E4117" s="2" t="s">
        <v>20</v>
      </c>
      <c r="F4117" s="2">
        <v>3.0</v>
      </c>
      <c r="G4117" s="2">
        <v>500.0</v>
      </c>
      <c r="H4117" s="3" t="str">
        <f>HYPERLINK("http://ar.linkedin.com/pub/horacio-rieznik/A/1B5/184","http://ar.linkedin.com/pub/horacio-rieznik/A/1B5/184")</f>
        <v>http://ar.linkedin.com/pub/horacio-rieznik/A/1B5/184</v>
      </c>
      <c r="I4117" s="2" t="s">
        <v>458</v>
      </c>
      <c r="J4117" s="2" t="s">
        <v>21</v>
      </c>
      <c r="K4117" s="2" t="s">
        <v>5727</v>
      </c>
    </row>
    <row r="4118" ht="15.75" customHeight="1">
      <c r="A4118" s="2">
        <v>40977.0</v>
      </c>
      <c r="B4118" s="2" t="s">
        <v>6025</v>
      </c>
      <c r="C4118" s="2" t="s">
        <v>8708</v>
      </c>
      <c r="D4118" s="2" t="s">
        <v>13</v>
      </c>
      <c r="E4118" s="2" t="s">
        <v>1288</v>
      </c>
      <c r="F4118" s="2">
        <v>0.0</v>
      </c>
      <c r="G4118" s="2">
        <v>500.0</v>
      </c>
      <c r="H4118" s="3" t="str">
        <f>HYPERLINK("http://www.linkedin.com/pub/hernan-gonzalez-merlani/5/5b0/89b","http://www.linkedin.com/pub/hernan-gonzalez-merlani/5/5b0/89b")</f>
        <v>http://www.linkedin.com/pub/hernan-gonzalez-merlani/5/5b0/89b</v>
      </c>
      <c r="I4118" s="2" t="s">
        <v>279</v>
      </c>
      <c r="J4118" s="2" t="s">
        <v>53</v>
      </c>
      <c r="K4118" s="2" t="s">
        <v>5727</v>
      </c>
    </row>
    <row r="4119" ht="15.75" customHeight="1">
      <c r="A4119" s="2">
        <v>40990.0</v>
      </c>
      <c r="B4119" s="2" t="s">
        <v>5389</v>
      </c>
      <c r="C4119" s="2" t="s">
        <v>8709</v>
      </c>
      <c r="D4119" s="2" t="s">
        <v>8710</v>
      </c>
      <c r="E4119" s="2" t="s">
        <v>20</v>
      </c>
      <c r="F4119" s="2">
        <v>2.0</v>
      </c>
      <c r="G4119" s="2">
        <v>500.0</v>
      </c>
      <c r="H4119" s="3" t="str">
        <f>HYPERLINK("http://ar.linkedin.com/in/paulaponticorvo","http://ar.linkedin.com/in/paulaponticorvo")</f>
        <v>http://ar.linkedin.com/in/paulaponticorvo</v>
      </c>
      <c r="I4119" s="2" t="s">
        <v>15</v>
      </c>
      <c r="J4119" s="2" t="s">
        <v>21</v>
      </c>
      <c r="K4119" s="2" t="s">
        <v>5777</v>
      </c>
    </row>
    <row r="4120" ht="15.75" customHeight="1">
      <c r="A4120" s="2">
        <v>40996.0</v>
      </c>
      <c r="B4120" s="2" t="s">
        <v>492</v>
      </c>
      <c r="C4120" s="2" t="s">
        <v>1325</v>
      </c>
      <c r="D4120" s="2" t="s">
        <v>8711</v>
      </c>
      <c r="E4120" s="2" t="s">
        <v>20</v>
      </c>
      <c r="F4120" s="2">
        <v>15.0</v>
      </c>
      <c r="G4120" s="2">
        <v>500.0</v>
      </c>
      <c r="H4120" s="3" t="str">
        <f>HYPERLINK("http://ar.linkedin.com/in/sergiomiller","http://ar.linkedin.com/in/sergiomiller")</f>
        <v>http://ar.linkedin.com/in/sergiomiller</v>
      </c>
      <c r="I4120" s="2" t="s">
        <v>910</v>
      </c>
      <c r="J4120" s="2" t="s">
        <v>21</v>
      </c>
      <c r="K4120" s="2" t="s">
        <v>5727</v>
      </c>
    </row>
    <row r="4121" ht="15.75" customHeight="1">
      <c r="A4121" s="2">
        <v>41016.0</v>
      </c>
      <c r="B4121" s="2" t="s">
        <v>6064</v>
      </c>
      <c r="C4121" s="2" t="s">
        <v>8712</v>
      </c>
      <c r="D4121" s="2" t="s">
        <v>8713</v>
      </c>
      <c r="E4121" s="2" t="s">
        <v>20</v>
      </c>
      <c r="F4121" s="2" t="s">
        <v>13</v>
      </c>
      <c r="G4121" s="2">
        <v>500.0</v>
      </c>
      <c r="H4121" s="3" t="str">
        <f>HYPERLINK("http://ar.linkedin.com/in/rocivile","http://ar.linkedin.com/in/rocivile")</f>
        <v>http://ar.linkedin.com/in/rocivile</v>
      </c>
      <c r="I4121" s="2" t="s">
        <v>458</v>
      </c>
      <c r="J4121" s="2" t="s">
        <v>21</v>
      </c>
      <c r="K4121" s="2" t="s">
        <v>5734</v>
      </c>
    </row>
    <row r="4122" ht="15.75" customHeight="1">
      <c r="A4122" s="2">
        <v>41035.0</v>
      </c>
      <c r="B4122" s="2" t="s">
        <v>4503</v>
      </c>
      <c r="C4122" s="2" t="s">
        <v>8714</v>
      </c>
      <c r="D4122" s="2" t="s">
        <v>8715</v>
      </c>
      <c r="E4122" s="2" t="s">
        <v>20</v>
      </c>
      <c r="F4122" s="2">
        <v>7.0</v>
      </c>
      <c r="G4122" s="2">
        <v>500.0</v>
      </c>
      <c r="H4122" s="3" t="str">
        <f>HYPERLINK("http://ar.linkedin.com/in/fga82","http://ar.linkedin.com/in/fga82")</f>
        <v>http://ar.linkedin.com/in/fga82</v>
      </c>
      <c r="I4122" s="2" t="s">
        <v>231</v>
      </c>
      <c r="J4122" s="2" t="s">
        <v>21</v>
      </c>
      <c r="K4122" s="2" t="s">
        <v>5727</v>
      </c>
    </row>
    <row r="4123" ht="15.75" customHeight="1">
      <c r="A4123" s="2">
        <v>41070.0</v>
      </c>
      <c r="B4123" s="2" t="s">
        <v>59</v>
      </c>
      <c r="C4123" s="2" t="s">
        <v>6403</v>
      </c>
      <c r="D4123" s="2" t="s">
        <v>8716</v>
      </c>
      <c r="E4123" s="2" t="s">
        <v>20</v>
      </c>
      <c r="F4123" s="2">
        <v>7.0</v>
      </c>
      <c r="G4123" s="2">
        <v>500.0</v>
      </c>
      <c r="H4123" s="3" t="str">
        <f>HYPERLINK("https://www.linkedin.com/pub/martin-cespedes/6/119/47","https://www.linkedin.com/pub/martin-cespedes/6/119/47")</f>
        <v>https://www.linkedin.com/pub/martin-cespedes/6/119/47</v>
      </c>
      <c r="I4123" s="2" t="s">
        <v>15</v>
      </c>
      <c r="J4123" s="2" t="s">
        <v>21</v>
      </c>
      <c r="K4123" s="2" t="s">
        <v>5848</v>
      </c>
    </row>
    <row r="4124" ht="15.75" customHeight="1">
      <c r="A4124" s="2">
        <v>41089.0</v>
      </c>
      <c r="B4124" s="2" t="s">
        <v>8717</v>
      </c>
      <c r="C4124" s="2" t="s">
        <v>6523</v>
      </c>
      <c r="D4124" s="2" t="s">
        <v>8718</v>
      </c>
      <c r="E4124" s="2" t="s">
        <v>20</v>
      </c>
      <c r="F4124" s="2">
        <v>5.0</v>
      </c>
      <c r="G4124" s="2">
        <v>230.0</v>
      </c>
      <c r="H4124" s="3" t="str">
        <f>HYPERLINK("http://ar.linkedin.com/pub/pablo-santiago-bernini/15/937/7A4","http://ar.linkedin.com/pub/pablo-santiago-bernini/15/937/7A4")</f>
        <v>http://ar.linkedin.com/pub/pablo-santiago-bernini/15/937/7A4</v>
      </c>
      <c r="I4124" s="2" t="s">
        <v>579</v>
      </c>
      <c r="J4124" s="2" t="s">
        <v>21</v>
      </c>
      <c r="K4124" s="2" t="s">
        <v>5731</v>
      </c>
    </row>
    <row r="4125" ht="15.75" customHeight="1">
      <c r="A4125" s="2">
        <v>41095.0</v>
      </c>
      <c r="B4125" s="2" t="s">
        <v>1163</v>
      </c>
      <c r="C4125" s="2" t="s">
        <v>8719</v>
      </c>
      <c r="D4125" s="2" t="s">
        <v>8720</v>
      </c>
      <c r="E4125" s="2" t="s">
        <v>20</v>
      </c>
      <c r="F4125" s="2" t="s">
        <v>13</v>
      </c>
      <c r="G4125" s="2">
        <v>500.0</v>
      </c>
      <c r="H4125" s="3" t="str">
        <f>HYPERLINK("http://ar.linkedin.com/pub/maria-albin/7/A79/602","http://ar.linkedin.com/pub/maria-albin/7/A79/602")</f>
        <v>http://ar.linkedin.com/pub/maria-albin/7/A79/602</v>
      </c>
      <c r="I4125" s="2" t="s">
        <v>458</v>
      </c>
      <c r="J4125" s="2" t="s">
        <v>21</v>
      </c>
      <c r="K4125" s="2" t="s">
        <v>5734</v>
      </c>
    </row>
    <row r="4126" ht="15.75" customHeight="1">
      <c r="A4126" s="2">
        <v>41096.0</v>
      </c>
      <c r="B4126" s="2" t="s">
        <v>1296</v>
      </c>
      <c r="C4126" s="2" t="s">
        <v>8721</v>
      </c>
      <c r="D4126" s="2" t="s">
        <v>8722</v>
      </c>
      <c r="E4126" s="2" t="s">
        <v>20</v>
      </c>
      <c r="F4126" s="2" t="s">
        <v>13</v>
      </c>
      <c r="G4126" s="2">
        <v>500.0</v>
      </c>
      <c r="H4126" s="3" t="str">
        <f>HYPERLINK("http://ar.linkedin.com/pub/andrea-sacerdote/1/182/544","http://ar.linkedin.com/pub/andrea-sacerdote/1/182/544")</f>
        <v>http://ar.linkedin.com/pub/andrea-sacerdote/1/182/544</v>
      </c>
      <c r="I4126" s="2" t="s">
        <v>248</v>
      </c>
      <c r="J4126" s="2" t="s">
        <v>21</v>
      </c>
      <c r="K4126" s="2" t="s">
        <v>5727</v>
      </c>
    </row>
    <row r="4127" ht="15.75" customHeight="1">
      <c r="A4127" s="2">
        <v>41100.0</v>
      </c>
      <c r="B4127" s="2" t="s">
        <v>6992</v>
      </c>
      <c r="C4127" s="2" t="s">
        <v>8723</v>
      </c>
      <c r="D4127" s="2" t="s">
        <v>6877</v>
      </c>
      <c r="E4127" s="2" t="s">
        <v>20</v>
      </c>
      <c r="F4127" s="2" t="s">
        <v>13</v>
      </c>
      <c r="G4127" s="2">
        <v>500.0</v>
      </c>
      <c r="H4127" s="3" t="str">
        <f>HYPERLINK("http://ar.linkedin.com/pub/sol-ramos-mejia/24/208/BB9","http://ar.linkedin.com/pub/sol-ramos-mejia/24/208/BB9")</f>
        <v>http://ar.linkedin.com/pub/sol-ramos-mejia/24/208/BB9</v>
      </c>
      <c r="I4127" s="2" t="s">
        <v>57</v>
      </c>
      <c r="J4127" s="2" t="s">
        <v>21</v>
      </c>
      <c r="K4127" s="2" t="s">
        <v>5725</v>
      </c>
    </row>
    <row r="4128" ht="15.75" customHeight="1">
      <c r="A4128" s="2">
        <v>41103.0</v>
      </c>
      <c r="B4128" s="2" t="s">
        <v>6004</v>
      </c>
      <c r="C4128" s="2" t="s">
        <v>8724</v>
      </c>
      <c r="D4128" s="2" t="s">
        <v>13</v>
      </c>
      <c r="E4128" s="2" t="s">
        <v>20</v>
      </c>
      <c r="F4128" s="2">
        <v>0.0</v>
      </c>
      <c r="G4128" s="2">
        <v>479.0</v>
      </c>
      <c r="H4128" s="3" t="str">
        <f>HYPERLINK("http://www.linkedin.com/pub/juan-manuel-gomez-meza/16/84a/592","http://www.linkedin.com/pub/juan-manuel-gomez-meza/16/84a/592")</f>
        <v>http://www.linkedin.com/pub/juan-manuel-gomez-meza/16/84a/592</v>
      </c>
      <c r="I4128" s="2" t="s">
        <v>48</v>
      </c>
      <c r="J4128" s="2" t="s">
        <v>21</v>
      </c>
      <c r="K4128" s="2" t="s">
        <v>5929</v>
      </c>
    </row>
    <row r="4129" ht="15.75" customHeight="1">
      <c r="A4129" s="2">
        <v>41114.0</v>
      </c>
      <c r="B4129" s="2" t="s">
        <v>6419</v>
      </c>
      <c r="C4129" s="2" t="s">
        <v>8725</v>
      </c>
      <c r="D4129" s="2" t="s">
        <v>13</v>
      </c>
      <c r="E4129" s="2" t="s">
        <v>20</v>
      </c>
      <c r="F4129" s="2">
        <v>0.0</v>
      </c>
      <c r="G4129" s="2">
        <v>500.0</v>
      </c>
      <c r="H4129" s="3" t="str">
        <f>HYPERLINK("http://www.linkedin.com/pub/ximena-iba%C3%B1ez/3/58b/a89","http://www.linkedin.com/pub/ximena-iba%C3%B1ez/3/58b/a89")</f>
        <v>http://www.linkedin.com/pub/ximena-iba%C3%B1ez/3/58b/a89</v>
      </c>
      <c r="I4129" s="2" t="s">
        <v>15</v>
      </c>
      <c r="J4129" s="2" t="s">
        <v>21</v>
      </c>
      <c r="K4129" s="2" t="s">
        <v>5725</v>
      </c>
    </row>
    <row r="4130" ht="15.75" customHeight="1">
      <c r="A4130" s="2">
        <v>41118.0</v>
      </c>
      <c r="B4130" s="2" t="s">
        <v>8726</v>
      </c>
      <c r="C4130" s="2" t="s">
        <v>5992</v>
      </c>
      <c r="D4130" s="2" t="s">
        <v>8727</v>
      </c>
      <c r="E4130" s="2" t="s">
        <v>20</v>
      </c>
      <c r="F4130" s="2" t="s">
        <v>13</v>
      </c>
      <c r="G4130" s="2">
        <v>243.0</v>
      </c>
      <c r="H4130" s="3" t="str">
        <f>HYPERLINK("http://ar.linkedin.com/pub/graciela-bravo/0/A2B/63B","http://ar.linkedin.com/pub/graciela-bravo/0/A2B/63B")</f>
        <v>http://ar.linkedin.com/pub/graciela-bravo/0/A2B/63B</v>
      </c>
      <c r="I4130" s="2" t="s">
        <v>119</v>
      </c>
      <c r="J4130" s="2" t="s">
        <v>21</v>
      </c>
      <c r="K4130" s="2" t="s">
        <v>5785</v>
      </c>
    </row>
    <row r="4131" ht="15.75" customHeight="1">
      <c r="A4131" s="2">
        <v>41181.0</v>
      </c>
      <c r="B4131" s="2" t="s">
        <v>6666</v>
      </c>
      <c r="C4131" s="2" t="s">
        <v>8728</v>
      </c>
      <c r="D4131" s="2" t="s">
        <v>6081</v>
      </c>
      <c r="E4131" s="2" t="s">
        <v>20</v>
      </c>
      <c r="F4131" s="2" t="s">
        <v>13</v>
      </c>
      <c r="G4131" s="2">
        <v>449.0</v>
      </c>
      <c r="H4131" s="3" t="str">
        <f>HYPERLINK("http://ar.linkedin.com/in/sebastiantamanaha","http://ar.linkedin.com/in/sebastiantamanaha")</f>
        <v>http://ar.linkedin.com/in/sebastiantamanaha</v>
      </c>
      <c r="I4131" s="2" t="s">
        <v>709</v>
      </c>
      <c r="J4131" s="2" t="s">
        <v>21</v>
      </c>
      <c r="K4131" s="2" t="s">
        <v>5734</v>
      </c>
    </row>
    <row r="4132" ht="15.75" customHeight="1">
      <c r="A4132" s="2">
        <v>41203.0</v>
      </c>
      <c r="B4132" s="2" t="s">
        <v>253</v>
      </c>
      <c r="C4132" s="2" t="s">
        <v>8729</v>
      </c>
      <c r="D4132" s="2" t="s">
        <v>8730</v>
      </c>
      <c r="E4132" s="2" t="s">
        <v>20</v>
      </c>
      <c r="F4132" s="2" t="s">
        <v>13</v>
      </c>
      <c r="G4132" s="2">
        <v>187.0</v>
      </c>
      <c r="H4132" s="3" t="str">
        <f>HYPERLINK("http://ar.linkedin.com/pub/fernando-volpi/9/636/B24","http://ar.linkedin.com/pub/fernando-volpi/9/636/B24")</f>
        <v>http://ar.linkedin.com/pub/fernando-volpi/9/636/B24</v>
      </c>
      <c r="I4132" s="2" t="s">
        <v>15</v>
      </c>
      <c r="J4132" s="2" t="s">
        <v>21</v>
      </c>
      <c r="K4132" s="2" t="s">
        <v>6124</v>
      </c>
    </row>
    <row r="4133" ht="15.75" customHeight="1">
      <c r="A4133" s="2">
        <v>41238.0</v>
      </c>
      <c r="B4133" s="2" t="s">
        <v>5794</v>
      </c>
      <c r="C4133" s="2" t="s">
        <v>8731</v>
      </c>
      <c r="D4133" s="2" t="s">
        <v>8732</v>
      </c>
      <c r="E4133" s="2" t="s">
        <v>20</v>
      </c>
      <c r="F4133" s="2">
        <v>1.0</v>
      </c>
      <c r="G4133" s="2">
        <v>500.0</v>
      </c>
      <c r="H4133" s="3" t="str">
        <f>HYPERLINK("http://ar.linkedin.com/pub/silvina-seiguer/11/B24/782","http://ar.linkedin.com/pub/silvina-seiguer/11/B24/782")</f>
        <v>http://ar.linkedin.com/pub/silvina-seiguer/11/B24/782</v>
      </c>
      <c r="I4133" s="2" t="s">
        <v>844</v>
      </c>
      <c r="J4133" s="2" t="s">
        <v>21</v>
      </c>
      <c r="K4133" s="2" t="s">
        <v>8461</v>
      </c>
    </row>
    <row r="4134" ht="15.75" customHeight="1">
      <c r="A4134" s="2">
        <v>41267.0</v>
      </c>
      <c r="B4134" s="2" t="s">
        <v>8733</v>
      </c>
      <c r="C4134" s="2" t="s">
        <v>8734</v>
      </c>
      <c r="D4134" s="2" t="s">
        <v>8735</v>
      </c>
      <c r="E4134" s="2" t="s">
        <v>20</v>
      </c>
      <c r="F4134" s="2">
        <v>3.0</v>
      </c>
      <c r="G4134" s="2">
        <v>249.0</v>
      </c>
      <c r="H4134" s="3" t="str">
        <f>HYPERLINK("http://ar.linkedin.com/in/programadorweb","http://ar.linkedin.com/in/programadorweb")</f>
        <v>http://ar.linkedin.com/in/programadorweb</v>
      </c>
      <c r="I4134" s="2" t="s">
        <v>57</v>
      </c>
      <c r="J4134" s="2" t="s">
        <v>21</v>
      </c>
      <c r="K4134" s="2" t="s">
        <v>5727</v>
      </c>
    </row>
    <row r="4135" ht="15.75" customHeight="1">
      <c r="A4135" s="2">
        <v>41269.0</v>
      </c>
      <c r="B4135" s="2" t="s">
        <v>362</v>
      </c>
      <c r="C4135" s="2" t="s">
        <v>8736</v>
      </c>
      <c r="D4135" s="2" t="s">
        <v>8737</v>
      </c>
      <c r="E4135" s="2" t="s">
        <v>20</v>
      </c>
      <c r="F4135" s="2">
        <v>4.0</v>
      </c>
      <c r="G4135" s="2">
        <v>424.0</v>
      </c>
      <c r="H4135" s="3" t="str">
        <f>HYPERLINK("http://ar.linkedin.com/in/javierdomine","http://ar.linkedin.com/in/javierdomine")</f>
        <v>http://ar.linkedin.com/in/javierdomine</v>
      </c>
      <c r="I4135" s="2" t="s">
        <v>77</v>
      </c>
      <c r="J4135" s="2" t="s">
        <v>21</v>
      </c>
      <c r="K4135" s="2" t="s">
        <v>5731</v>
      </c>
    </row>
    <row r="4136" ht="15.75" customHeight="1">
      <c r="A4136" s="2">
        <v>41298.0</v>
      </c>
      <c r="B4136" s="2" t="s">
        <v>609</v>
      </c>
      <c r="C4136" s="2" t="s">
        <v>8738</v>
      </c>
      <c r="D4136" s="2" t="s">
        <v>8739</v>
      </c>
      <c r="E4136" s="2" t="s">
        <v>1190</v>
      </c>
      <c r="F4136" s="2">
        <v>25.0</v>
      </c>
      <c r="G4136" s="2">
        <v>500.0</v>
      </c>
      <c r="H4136" s="3" t="str">
        <f>HYPERLINK("http://www.linkedin.com/in/rtriana","http://www.linkedin.com/in/rtriana")</f>
        <v>http://www.linkedin.com/in/rtriana</v>
      </c>
      <c r="I4136" s="2" t="s">
        <v>422</v>
      </c>
      <c r="J4136" s="2" t="s">
        <v>102</v>
      </c>
      <c r="K4136" s="2" t="s">
        <v>5734</v>
      </c>
    </row>
    <row r="4137" ht="15.75" customHeight="1">
      <c r="A4137" s="2">
        <v>41300.0</v>
      </c>
      <c r="B4137" s="2" t="s">
        <v>8740</v>
      </c>
      <c r="C4137" s="2" t="s">
        <v>8741</v>
      </c>
      <c r="D4137" s="2" t="s">
        <v>8742</v>
      </c>
      <c r="E4137" s="2" t="s">
        <v>20</v>
      </c>
      <c r="F4137" s="2">
        <v>2.0</v>
      </c>
      <c r="G4137" s="2">
        <v>300.0</v>
      </c>
      <c r="H4137" s="3" t="str">
        <f>HYPERLINK("http://ar.linkedin.com/pub/jos-manuel-robledo/0/121/62A","http://ar.linkedin.com/pub/jos-manuel-robledo/0/121/62A")</f>
        <v>http://ar.linkedin.com/pub/jos-manuel-robledo/0/121/62A</v>
      </c>
      <c r="I4137" s="2" t="s">
        <v>470</v>
      </c>
      <c r="J4137" s="2" t="s">
        <v>21</v>
      </c>
      <c r="K4137" s="2" t="s">
        <v>5727</v>
      </c>
    </row>
    <row r="4138" ht="15.75" customHeight="1">
      <c r="A4138" s="2">
        <v>41308.0</v>
      </c>
      <c r="B4138" s="2" t="s">
        <v>2606</v>
      </c>
      <c r="C4138" s="2" t="s">
        <v>8743</v>
      </c>
      <c r="D4138" s="2" t="s">
        <v>8744</v>
      </c>
      <c r="E4138" s="2" t="s">
        <v>836</v>
      </c>
      <c r="F4138" s="2">
        <v>3.0</v>
      </c>
      <c r="G4138" s="2">
        <v>500.0</v>
      </c>
      <c r="H4138" s="3" t="str">
        <f>HYPERLINK("http://www.linkedin.com/in/denisekuschewski","http://www.linkedin.com/in/denisekuschewski")</f>
        <v>http://www.linkedin.com/in/denisekuschewski</v>
      </c>
      <c r="I4138" s="2" t="s">
        <v>326</v>
      </c>
      <c r="J4138" s="2" t="s">
        <v>837</v>
      </c>
      <c r="K4138" s="2" t="s">
        <v>5727</v>
      </c>
    </row>
    <row r="4139" ht="15.75" customHeight="1">
      <c r="A4139" s="2">
        <v>41331.0</v>
      </c>
      <c r="B4139" s="2" t="s">
        <v>6870</v>
      </c>
      <c r="C4139" s="2" t="s">
        <v>8745</v>
      </c>
      <c r="D4139" s="2" t="s">
        <v>8746</v>
      </c>
      <c r="E4139" s="2" t="s">
        <v>20</v>
      </c>
      <c r="F4139" s="2" t="s">
        <v>13</v>
      </c>
      <c r="G4139" s="2">
        <v>500.0</v>
      </c>
      <c r="H4139" s="3" t="str">
        <f>HYPERLINK("http://ar.linkedin.com/pub/melina-ceballos/23/11A/938","http://ar.linkedin.com/pub/melina-ceballos/23/11A/938")</f>
        <v>http://ar.linkedin.com/pub/melina-ceballos/23/11A/938</v>
      </c>
      <c r="I4139" s="2" t="s">
        <v>15</v>
      </c>
      <c r="J4139" s="2" t="s">
        <v>21</v>
      </c>
      <c r="K4139" s="2" t="s">
        <v>5725</v>
      </c>
    </row>
    <row r="4140" ht="15.75" customHeight="1">
      <c r="A4140" s="2">
        <v>41370.0</v>
      </c>
      <c r="B4140" s="2" t="s">
        <v>8117</v>
      </c>
      <c r="C4140" s="2" t="s">
        <v>8747</v>
      </c>
      <c r="D4140" s="2" t="s">
        <v>3691</v>
      </c>
      <c r="E4140" s="2" t="s">
        <v>20</v>
      </c>
      <c r="F4140" s="2" t="s">
        <v>13</v>
      </c>
      <c r="G4140" s="2">
        <v>488.0</v>
      </c>
      <c r="H4140" s="3" t="str">
        <f>HYPERLINK("http://ar.linkedin.com/pub/leticia-nieto/16/B32/AB5","http://ar.linkedin.com/pub/leticia-nieto/16/B32/AB5")</f>
        <v>http://ar.linkedin.com/pub/leticia-nieto/16/B32/AB5</v>
      </c>
      <c r="I4140" s="2" t="s">
        <v>57</v>
      </c>
      <c r="J4140" s="2" t="s">
        <v>21</v>
      </c>
      <c r="K4140" s="2" t="s">
        <v>5725</v>
      </c>
    </row>
    <row r="4141" ht="15.75" customHeight="1">
      <c r="A4141" s="2">
        <v>41385.0</v>
      </c>
      <c r="B4141" s="2" t="s">
        <v>1163</v>
      </c>
      <c r="C4141" s="2" t="s">
        <v>8748</v>
      </c>
      <c r="D4141" s="2" t="s">
        <v>8749</v>
      </c>
      <c r="E4141" s="2" t="s">
        <v>20</v>
      </c>
      <c r="F4141" s="2">
        <v>1.0</v>
      </c>
      <c r="G4141" s="2">
        <v>500.0</v>
      </c>
      <c r="H4141" s="3" t="str">
        <f>HYPERLINK("http://ar.linkedin.com/pub/maria-remondino/13/986/776","http://ar.linkedin.com/pub/maria-remondino/13/986/776")</f>
        <v>http://ar.linkedin.com/pub/maria-remondino/13/986/776</v>
      </c>
      <c r="I4141" s="2" t="s">
        <v>458</v>
      </c>
      <c r="J4141" s="2" t="s">
        <v>21</v>
      </c>
      <c r="K4141" s="2" t="s">
        <v>5734</v>
      </c>
    </row>
    <row r="4142" ht="15.75" customHeight="1">
      <c r="A4142" s="2">
        <v>41415.0</v>
      </c>
      <c r="B4142" s="2" t="s">
        <v>6061</v>
      </c>
      <c r="C4142" s="2" t="s">
        <v>8750</v>
      </c>
      <c r="D4142" s="2" t="s">
        <v>8751</v>
      </c>
      <c r="E4142" s="2" t="s">
        <v>20</v>
      </c>
      <c r="F4142" s="2">
        <v>6.0</v>
      </c>
      <c r="G4142" s="2">
        <v>382.0</v>
      </c>
      <c r="H4142" s="3" t="str">
        <f>HYPERLINK("http://ar.linkedin.com/in/abonadeo","http://ar.linkedin.com/in/abonadeo")</f>
        <v>http://ar.linkedin.com/in/abonadeo</v>
      </c>
      <c r="I4142" s="2" t="s">
        <v>57</v>
      </c>
      <c r="J4142" s="2" t="s">
        <v>21</v>
      </c>
      <c r="K4142" s="2" t="s">
        <v>5727</v>
      </c>
    </row>
    <row r="4143" ht="15.75" customHeight="1">
      <c r="A4143" s="2">
        <v>41416.0</v>
      </c>
      <c r="B4143" s="2" t="s">
        <v>8752</v>
      </c>
      <c r="C4143" s="2" t="s">
        <v>8753</v>
      </c>
      <c r="D4143" s="2" t="s">
        <v>13</v>
      </c>
      <c r="E4143" s="2" t="s">
        <v>20</v>
      </c>
      <c r="F4143" s="2">
        <v>0.0</v>
      </c>
      <c r="G4143" s="2">
        <v>500.0</v>
      </c>
      <c r="H4143" s="3" t="str">
        <f>HYPERLINK("http://www.linkedin.com/pub/ana-in%C3%A9s-martins/1/51b/b88","http://www.linkedin.com/pub/ana-in%C3%A9s-martins/1/51b/b88")</f>
        <v>http://www.linkedin.com/pub/ana-in%C3%A9s-martins/1/51b/b88</v>
      </c>
      <c r="I4143" s="2" t="s">
        <v>69</v>
      </c>
      <c r="J4143" s="2" t="s">
        <v>21</v>
      </c>
      <c r="K4143" s="2" t="s">
        <v>5725</v>
      </c>
    </row>
    <row r="4144" ht="15.75" customHeight="1">
      <c r="A4144" s="2">
        <v>41422.0</v>
      </c>
      <c r="B4144" s="2" t="s">
        <v>8754</v>
      </c>
      <c r="C4144" s="2" t="s">
        <v>2721</v>
      </c>
      <c r="D4144" s="2" t="s">
        <v>8755</v>
      </c>
      <c r="E4144" s="2" t="s">
        <v>20</v>
      </c>
      <c r="F4144" s="2">
        <v>5.0</v>
      </c>
      <c r="G4144" s="2">
        <v>500.0</v>
      </c>
      <c r="H4144" s="3" t="str">
        <f>HYPERLINK("http://ar.linkedin.com/in/jesicalevi","http://ar.linkedin.com/in/jesicalevi")</f>
        <v>http://ar.linkedin.com/in/jesicalevi</v>
      </c>
      <c r="I4144" s="2" t="s">
        <v>910</v>
      </c>
      <c r="J4144" s="2" t="s">
        <v>21</v>
      </c>
      <c r="K4144" s="2" t="s">
        <v>5734</v>
      </c>
    </row>
    <row r="4145" ht="15.75" customHeight="1">
      <c r="A4145" s="2">
        <v>41464.0</v>
      </c>
      <c r="B4145" s="2" t="s">
        <v>8756</v>
      </c>
      <c r="C4145" s="2" t="s">
        <v>7146</v>
      </c>
      <c r="D4145" s="2" t="s">
        <v>8757</v>
      </c>
      <c r="E4145" s="2" t="s">
        <v>20</v>
      </c>
      <c r="F4145" s="2">
        <v>3.0</v>
      </c>
      <c r="G4145" s="2">
        <v>357.0</v>
      </c>
      <c r="H4145" s="3" t="str">
        <f>HYPERLINK("http://ar.linkedin.com/pub/maria-luz-ramos/12/272/59","http://ar.linkedin.com/pub/maria-luz-ramos/12/272/59")</f>
        <v>http://ar.linkedin.com/pub/maria-luz-ramos/12/272/59</v>
      </c>
      <c r="I4145" s="2" t="s">
        <v>470</v>
      </c>
      <c r="J4145" s="2" t="s">
        <v>21</v>
      </c>
      <c r="K4145" s="2" t="s">
        <v>5727</v>
      </c>
    </row>
    <row r="4146" ht="15.75" customHeight="1">
      <c r="A4146" s="2">
        <v>41483.0</v>
      </c>
      <c r="B4146" s="2" t="s">
        <v>677</v>
      </c>
      <c r="C4146" s="2" t="s">
        <v>8758</v>
      </c>
      <c r="D4146" s="2" t="s">
        <v>8759</v>
      </c>
      <c r="E4146" s="2" t="s">
        <v>20</v>
      </c>
      <c r="F4146" s="2">
        <v>6.0</v>
      </c>
      <c r="G4146" s="2">
        <v>403.0</v>
      </c>
      <c r="H4146" s="3" t="str">
        <f>HYPERLINK("http://ar.linkedin.com/pub/daniel-ratcliffe/20/8AB/65B","http://ar.linkedin.com/pub/daniel-ratcliffe/20/8AB/65B")</f>
        <v>http://ar.linkedin.com/pub/daniel-ratcliffe/20/8AB/65B</v>
      </c>
      <c r="I4146" s="2" t="s">
        <v>1452</v>
      </c>
      <c r="J4146" s="2" t="s">
        <v>21</v>
      </c>
      <c r="K4146" s="2" t="s">
        <v>8760</v>
      </c>
    </row>
    <row r="4147" ht="15.75" customHeight="1">
      <c r="A4147" s="2">
        <v>41512.0</v>
      </c>
      <c r="B4147" s="2" t="s">
        <v>6496</v>
      </c>
      <c r="C4147" s="2" t="s">
        <v>8761</v>
      </c>
      <c r="D4147" s="2" t="s">
        <v>8762</v>
      </c>
      <c r="E4147" s="2" t="s">
        <v>20</v>
      </c>
      <c r="F4147" s="2" t="s">
        <v>13</v>
      </c>
      <c r="G4147" s="2">
        <v>467.0</v>
      </c>
      <c r="H4147" s="3" t="str">
        <f>HYPERLINK("http://ar.linkedin.com/pub/karina-badaracco/21/5B7/963","http://ar.linkedin.com/pub/karina-badaracco/21/5B7/963")</f>
        <v>http://ar.linkedin.com/pub/karina-badaracco/21/5B7/963</v>
      </c>
      <c r="I4147" s="2" t="s">
        <v>195</v>
      </c>
      <c r="J4147" s="2" t="s">
        <v>21</v>
      </c>
      <c r="K4147" s="2" t="s">
        <v>5865</v>
      </c>
    </row>
    <row r="4148" ht="15.75" customHeight="1">
      <c r="A4148" s="2">
        <v>41528.0</v>
      </c>
      <c r="B4148" s="2" t="s">
        <v>5834</v>
      </c>
      <c r="C4148" s="2" t="s">
        <v>8763</v>
      </c>
      <c r="D4148" s="2" t="s">
        <v>8764</v>
      </c>
      <c r="E4148" s="2" t="s">
        <v>20</v>
      </c>
      <c r="F4148" s="2">
        <v>2.0</v>
      </c>
      <c r="G4148" s="2">
        <v>500.0</v>
      </c>
      <c r="H4148" s="3" t="str">
        <f>HYPERLINK("http://ar.linkedin.com/pub/flavia-vel%C3%A1zquez/B/1BA/6A7","http://ar.linkedin.com/pub/flavia-vel%C3%A1zquez/B/1BA/6A7")</f>
        <v>http://ar.linkedin.com/pub/flavia-vel%C3%A1zquez/B/1BA/6A7</v>
      </c>
      <c r="I4148" s="2" t="s">
        <v>105</v>
      </c>
      <c r="J4148" s="2" t="s">
        <v>21</v>
      </c>
      <c r="K4148" s="2" t="s">
        <v>5727</v>
      </c>
    </row>
    <row r="4149" ht="15.75" customHeight="1">
      <c r="A4149" s="2">
        <v>41558.0</v>
      </c>
      <c r="B4149" s="2" t="s">
        <v>8765</v>
      </c>
      <c r="C4149" s="2" t="s">
        <v>8766</v>
      </c>
      <c r="D4149" s="2" t="s">
        <v>3820</v>
      </c>
      <c r="E4149" s="2" t="s">
        <v>20</v>
      </c>
      <c r="F4149" s="2" t="s">
        <v>13</v>
      </c>
      <c r="G4149" s="2">
        <v>170.0</v>
      </c>
      <c r="H4149" s="3" t="str">
        <f>HYPERLINK("http://ar.linkedin.com/pub/vicente-venosa/9/658/4B1","http://ar.linkedin.com/pub/vicente-venosa/9/658/4B1")</f>
        <v>http://ar.linkedin.com/pub/vicente-venosa/9/658/4B1</v>
      </c>
      <c r="I4149" s="2" t="s">
        <v>48</v>
      </c>
      <c r="J4149" s="2" t="s">
        <v>21</v>
      </c>
      <c r="K4149" s="2" t="s">
        <v>6124</v>
      </c>
    </row>
    <row r="4150" ht="15.75" customHeight="1">
      <c r="A4150" s="2">
        <v>41584.0</v>
      </c>
      <c r="B4150" s="2" t="s">
        <v>8767</v>
      </c>
      <c r="C4150" s="2" t="s">
        <v>3653</v>
      </c>
      <c r="D4150" s="2" t="s">
        <v>13</v>
      </c>
      <c r="E4150" s="2" t="s">
        <v>20</v>
      </c>
      <c r="F4150" s="2">
        <v>0.0</v>
      </c>
      <c r="G4150" s="2">
        <v>500.0</v>
      </c>
      <c r="H4150" s="3" t="str">
        <f>HYPERLINK("http://www.linkedin.com/pub/juan-mariano-ulrich/2/4a6/a95","http://www.linkedin.com/pub/juan-mariano-ulrich/2/4a6/a95")</f>
        <v>http://www.linkedin.com/pub/juan-mariano-ulrich/2/4a6/a95</v>
      </c>
      <c r="I4150" s="2" t="s">
        <v>48</v>
      </c>
      <c r="J4150" s="2" t="s">
        <v>21</v>
      </c>
      <c r="K4150" s="2" t="s">
        <v>5725</v>
      </c>
    </row>
    <row r="4151" ht="15.75" customHeight="1">
      <c r="A4151" s="2">
        <v>41616.0</v>
      </c>
      <c r="B4151" s="2" t="s">
        <v>3223</v>
      </c>
      <c r="C4151" s="2" t="s">
        <v>8768</v>
      </c>
      <c r="D4151" s="2" t="s">
        <v>8769</v>
      </c>
      <c r="E4151" s="2" t="s">
        <v>20</v>
      </c>
      <c r="F4151" s="2" t="s">
        <v>13</v>
      </c>
      <c r="G4151" s="2">
        <v>163.0</v>
      </c>
      <c r="H4151" s="3" t="str">
        <f>HYPERLINK("http://ar.linkedin.com/in/lauraschenone","http://ar.linkedin.com/in/lauraschenone")</f>
        <v>http://ar.linkedin.com/in/lauraschenone</v>
      </c>
      <c r="I4151" s="2" t="s">
        <v>279</v>
      </c>
      <c r="J4151" s="2" t="s">
        <v>21</v>
      </c>
      <c r="K4151" s="2" t="s">
        <v>6178</v>
      </c>
    </row>
    <row r="4152" ht="15.75" customHeight="1">
      <c r="A4152" s="2">
        <v>41622.0</v>
      </c>
      <c r="B4152" s="2" t="s">
        <v>4304</v>
      </c>
      <c r="C4152" s="2" t="s">
        <v>5997</v>
      </c>
      <c r="D4152" s="2" t="s">
        <v>6042</v>
      </c>
      <c r="E4152" s="2" t="s">
        <v>20</v>
      </c>
      <c r="F4152" s="2" t="s">
        <v>13</v>
      </c>
      <c r="G4152" s="2">
        <v>164.0</v>
      </c>
      <c r="H4152" s="3" t="str">
        <f>HYPERLINK("http://ar.linkedin.com/in/leandroarias1982","http://ar.linkedin.com/in/leandroarias1982")</f>
        <v>http://ar.linkedin.com/in/leandroarias1982</v>
      </c>
      <c r="I4152" s="2" t="s">
        <v>15</v>
      </c>
      <c r="J4152" s="2" t="s">
        <v>21</v>
      </c>
      <c r="K4152" s="2" t="s">
        <v>5725</v>
      </c>
    </row>
    <row r="4153" ht="15.75" customHeight="1">
      <c r="A4153" s="2">
        <v>41639.0</v>
      </c>
      <c r="B4153" s="2" t="s">
        <v>5803</v>
      </c>
      <c r="C4153" s="2" t="s">
        <v>8770</v>
      </c>
      <c r="D4153" s="2" t="s">
        <v>8771</v>
      </c>
      <c r="E4153" s="2" t="s">
        <v>20</v>
      </c>
      <c r="F4153" s="2">
        <v>5.0</v>
      </c>
      <c r="G4153" s="2">
        <v>500.0</v>
      </c>
      <c r="H4153" s="3" t="str">
        <f>HYPERLINK("http://ar.linkedin.com/in/marianomorresi","http://ar.linkedin.com/in/marianomorresi")</f>
        <v>http://ar.linkedin.com/in/marianomorresi</v>
      </c>
      <c r="I4153" s="2" t="s">
        <v>57</v>
      </c>
      <c r="J4153" s="2" t="s">
        <v>21</v>
      </c>
      <c r="K4153" s="2" t="s">
        <v>5727</v>
      </c>
    </row>
    <row r="4154" ht="15.75" customHeight="1">
      <c r="A4154" s="2">
        <v>41674.0</v>
      </c>
      <c r="B4154" s="2" t="s">
        <v>8772</v>
      </c>
      <c r="C4154" s="2" t="s">
        <v>3120</v>
      </c>
      <c r="D4154" s="2" t="s">
        <v>8773</v>
      </c>
      <c r="E4154" s="2" t="s">
        <v>2058</v>
      </c>
      <c r="F4154" s="2">
        <v>12.0</v>
      </c>
      <c r="G4154" s="2">
        <v>285.0</v>
      </c>
      <c r="H4154" s="3" t="str">
        <f>HYPERLINK("http://www.linkedin.com/in/erickyoung","http://www.linkedin.com/in/erickyoung")</f>
        <v>http://www.linkedin.com/in/erickyoung</v>
      </c>
      <c r="I4154" s="2" t="s">
        <v>1361</v>
      </c>
      <c r="J4154" s="2" t="s">
        <v>102</v>
      </c>
      <c r="K4154" s="2" t="s">
        <v>5785</v>
      </c>
    </row>
    <row r="4155" ht="15.75" customHeight="1">
      <c r="A4155" s="2">
        <v>41690.0</v>
      </c>
      <c r="B4155" s="2" t="s">
        <v>358</v>
      </c>
      <c r="C4155" s="2" t="s">
        <v>6207</v>
      </c>
      <c r="D4155" s="2" t="s">
        <v>1171</v>
      </c>
      <c r="E4155" s="2" t="s">
        <v>20</v>
      </c>
      <c r="F4155" s="2">
        <v>5.0</v>
      </c>
      <c r="G4155" s="2">
        <v>500.0</v>
      </c>
      <c r="H4155" s="3" t="str">
        <f>HYPERLINK("http://ar.linkedin.com/pub/marcelo-alvarez/24/254/274","http://ar.linkedin.com/pub/marcelo-alvarez/24/254/274")</f>
        <v>http://ar.linkedin.com/pub/marcelo-alvarez/24/254/274</v>
      </c>
      <c r="I4155" s="2" t="s">
        <v>458</v>
      </c>
      <c r="J4155" s="2" t="s">
        <v>21</v>
      </c>
      <c r="K4155" s="2" t="s">
        <v>5743</v>
      </c>
    </row>
    <row r="4156" ht="15.75" customHeight="1">
      <c r="A4156" s="2">
        <v>41707.0</v>
      </c>
      <c r="B4156" s="2" t="s">
        <v>862</v>
      </c>
      <c r="C4156" s="2" t="s">
        <v>8774</v>
      </c>
      <c r="D4156" s="2" t="s">
        <v>8775</v>
      </c>
      <c r="E4156" s="2" t="s">
        <v>20</v>
      </c>
      <c r="F4156" s="2" t="s">
        <v>13</v>
      </c>
      <c r="G4156" s="2">
        <v>500.0</v>
      </c>
      <c r="H4156" s="3" t="str">
        <f>HYPERLINK("http://ar.linkedin.com/pub/gabriel-fuoco/A/171/873","http://ar.linkedin.com/pub/gabriel-fuoco/A/171/873")</f>
        <v>http://ar.linkedin.com/pub/gabriel-fuoco/A/171/873</v>
      </c>
      <c r="I4156" s="2" t="s">
        <v>681</v>
      </c>
      <c r="J4156" s="2" t="s">
        <v>21</v>
      </c>
      <c r="K4156" s="2" t="s">
        <v>5785</v>
      </c>
    </row>
    <row r="4157" ht="15.75" customHeight="1">
      <c r="A4157" s="2">
        <v>41740.0</v>
      </c>
      <c r="B4157" s="2" t="s">
        <v>6930</v>
      </c>
      <c r="C4157" s="2" t="s">
        <v>6244</v>
      </c>
      <c r="D4157" s="2" t="s">
        <v>8776</v>
      </c>
      <c r="E4157" s="2" t="s">
        <v>20</v>
      </c>
      <c r="F4157" s="2">
        <v>5.0</v>
      </c>
      <c r="G4157" s="2">
        <v>376.0</v>
      </c>
      <c r="H4157" s="3" t="str">
        <f>HYPERLINK("http://ar.linkedin.com/pub/dario-suarez/9/527/838","http://ar.linkedin.com/pub/dario-suarez/9/527/838")</f>
        <v>http://ar.linkedin.com/pub/dario-suarez/9/527/838</v>
      </c>
      <c r="I4157" s="2" t="s">
        <v>77</v>
      </c>
      <c r="J4157" s="2" t="s">
        <v>21</v>
      </c>
      <c r="K4157" s="2" t="s">
        <v>5731</v>
      </c>
    </row>
    <row r="4158" ht="15.75" customHeight="1">
      <c r="A4158" s="2">
        <v>41767.0</v>
      </c>
      <c r="B4158" s="2" t="s">
        <v>6666</v>
      </c>
      <c r="C4158" s="2" t="s">
        <v>8777</v>
      </c>
      <c r="D4158" s="2" t="s">
        <v>8778</v>
      </c>
      <c r="E4158" s="2" t="s">
        <v>20</v>
      </c>
      <c r="F4158" s="2">
        <v>9.0</v>
      </c>
      <c r="G4158" s="2">
        <v>452.0</v>
      </c>
      <c r="H4158" s="3" t="str">
        <f>HYPERLINK("http://ar.linkedin.com/in/slamorgia","http://ar.linkedin.com/in/slamorgia")</f>
        <v>http://ar.linkedin.com/in/slamorgia</v>
      </c>
      <c r="I4158" s="2" t="s">
        <v>252</v>
      </c>
      <c r="J4158" s="2" t="s">
        <v>21</v>
      </c>
      <c r="K4158" s="2" t="s">
        <v>5734</v>
      </c>
    </row>
    <row r="4159" ht="15.75" customHeight="1">
      <c r="A4159" s="2">
        <v>41776.0</v>
      </c>
      <c r="B4159" s="2" t="s">
        <v>329</v>
      </c>
      <c r="C4159" s="2" t="s">
        <v>8779</v>
      </c>
      <c r="D4159" s="2" t="s">
        <v>8780</v>
      </c>
      <c r="E4159" s="2" t="s">
        <v>20</v>
      </c>
      <c r="F4159" s="2">
        <v>3.0</v>
      </c>
      <c r="G4159" s="2">
        <v>500.0</v>
      </c>
      <c r="H4159" s="3" t="str">
        <f>HYPERLINK("http://ar.linkedin.com/in/jdisanzo","http://ar.linkedin.com/in/jdisanzo")</f>
        <v>http://ar.linkedin.com/in/jdisanzo</v>
      </c>
      <c r="I4159" s="2" t="s">
        <v>252</v>
      </c>
      <c r="J4159" s="2" t="s">
        <v>21</v>
      </c>
      <c r="K4159" s="2" t="s">
        <v>5734</v>
      </c>
    </row>
    <row r="4160" ht="15.75" customHeight="1">
      <c r="A4160" s="2">
        <v>41786.0</v>
      </c>
      <c r="B4160" s="2" t="s">
        <v>5883</v>
      </c>
      <c r="C4160" s="2" t="s">
        <v>8781</v>
      </c>
      <c r="D4160" s="2" t="s">
        <v>42</v>
      </c>
      <c r="E4160" s="2" t="s">
        <v>20</v>
      </c>
      <c r="F4160" s="2">
        <v>5.0</v>
      </c>
      <c r="G4160" s="2">
        <v>112.0</v>
      </c>
      <c r="H4160" s="3" t="str">
        <f>HYPERLINK("http://ar.linkedin.com/in/arielruscitti","http://ar.linkedin.com/in/arielruscitti")</f>
        <v>http://ar.linkedin.com/in/arielruscitti</v>
      </c>
      <c r="I4160" s="2" t="s">
        <v>8782</v>
      </c>
      <c r="J4160" s="2" t="s">
        <v>21</v>
      </c>
      <c r="K4160" s="2" t="s">
        <v>5727</v>
      </c>
    </row>
    <row r="4161" ht="15.75" customHeight="1">
      <c r="A4161" s="2">
        <v>41875.0</v>
      </c>
      <c r="B4161" s="2" t="s">
        <v>5939</v>
      </c>
      <c r="C4161" s="2" t="s">
        <v>8783</v>
      </c>
      <c r="D4161" s="2" t="s">
        <v>8784</v>
      </c>
      <c r="E4161" s="2" t="s">
        <v>20</v>
      </c>
      <c r="F4161" s="2" t="s">
        <v>13</v>
      </c>
      <c r="G4161" s="2">
        <v>209.0</v>
      </c>
      <c r="H4161" s="3" t="str">
        <f>HYPERLINK("http://ar.linkedin.com/pub/constanza-guillen/23/33A/173","http://ar.linkedin.com/pub/constanza-guillen/23/33A/173")</f>
        <v>http://ar.linkedin.com/pub/constanza-guillen/23/33A/173</v>
      </c>
      <c r="I4161" s="2" t="s">
        <v>873</v>
      </c>
      <c r="J4161" s="2" t="s">
        <v>21</v>
      </c>
      <c r="K4161" s="2" t="s">
        <v>5743</v>
      </c>
    </row>
    <row r="4162" ht="15.75" customHeight="1">
      <c r="A4162" s="2">
        <v>41886.0</v>
      </c>
      <c r="B4162" s="2" t="s">
        <v>1042</v>
      </c>
      <c r="C4162" s="2" t="s">
        <v>8785</v>
      </c>
      <c r="D4162" s="2" t="s">
        <v>13</v>
      </c>
      <c r="E4162" s="2" t="s">
        <v>20</v>
      </c>
      <c r="F4162" s="2">
        <v>0.0</v>
      </c>
      <c r="G4162" s="2">
        <v>500.0</v>
      </c>
      <c r="H4162" s="3" t="str">
        <f>HYPERLINK("http://www.linkedin.com/pub/marina-delorenzini/8/134/188","http://www.linkedin.com/pub/marina-delorenzini/8/134/188")</f>
        <v>http://www.linkedin.com/pub/marina-delorenzini/8/134/188</v>
      </c>
      <c r="I4162" s="2" t="s">
        <v>669</v>
      </c>
      <c r="J4162" s="2" t="s">
        <v>21</v>
      </c>
      <c r="K4162" s="2" t="s">
        <v>5727</v>
      </c>
    </row>
    <row r="4163" ht="15.75" customHeight="1">
      <c r="A4163" s="2">
        <v>41889.0</v>
      </c>
      <c r="B4163" s="2" t="s">
        <v>8786</v>
      </c>
      <c r="C4163" s="2" t="s">
        <v>8787</v>
      </c>
      <c r="D4163" s="2" t="s">
        <v>8788</v>
      </c>
      <c r="E4163" s="2" t="s">
        <v>20</v>
      </c>
      <c r="F4163" s="2">
        <v>17.0</v>
      </c>
      <c r="G4163" s="2">
        <v>500.0</v>
      </c>
      <c r="H4163" s="3" t="str">
        <f>HYPERLINK("http://ar.linkedin.com/in/joseluispose","http://ar.linkedin.com/in/joseluispose")</f>
        <v>http://ar.linkedin.com/in/joseluispose</v>
      </c>
      <c r="I4163" s="2" t="s">
        <v>7670</v>
      </c>
      <c r="J4163" s="2" t="s">
        <v>21</v>
      </c>
      <c r="K4163" s="2" t="s">
        <v>5727</v>
      </c>
    </row>
    <row r="4164" ht="15.75" customHeight="1">
      <c r="A4164" s="2">
        <v>41912.0</v>
      </c>
      <c r="B4164" s="2" t="s">
        <v>6339</v>
      </c>
      <c r="C4164" s="2" t="s">
        <v>8789</v>
      </c>
      <c r="D4164" s="2" t="s">
        <v>1453</v>
      </c>
      <c r="E4164" s="2" t="s">
        <v>20</v>
      </c>
      <c r="F4164" s="2" t="s">
        <v>13</v>
      </c>
      <c r="G4164" s="2">
        <v>119.0</v>
      </c>
      <c r="H4164" s="3" t="str">
        <f>HYPERLINK("http://ar.linkedin.com/pub/esteban-marchese/5/A75/60B","http://ar.linkedin.com/pub/esteban-marchese/5/A75/60B")</f>
        <v>http://ar.linkedin.com/pub/esteban-marchese/5/A75/60B</v>
      </c>
      <c r="I4164" s="2" t="s">
        <v>77</v>
      </c>
      <c r="J4164" s="2" t="s">
        <v>21</v>
      </c>
      <c r="K4164" s="2" t="s">
        <v>5848</v>
      </c>
    </row>
    <row r="4165" ht="15.75" customHeight="1">
      <c r="A4165" s="2">
        <v>41919.0</v>
      </c>
      <c r="B4165" s="2" t="s">
        <v>6025</v>
      </c>
      <c r="C4165" s="2" t="s">
        <v>8790</v>
      </c>
      <c r="D4165" s="2" t="s">
        <v>8791</v>
      </c>
      <c r="E4165" s="2" t="s">
        <v>20</v>
      </c>
      <c r="F4165" s="2">
        <v>2.0</v>
      </c>
      <c r="G4165" s="2">
        <v>109.0</v>
      </c>
      <c r="H4165" s="3" t="str">
        <f>HYPERLINK("http://ar.linkedin.com/in/hefernandez","http://ar.linkedin.com/in/hefernandez")</f>
        <v>http://ar.linkedin.com/in/hefernandez</v>
      </c>
      <c r="I4165" s="2" t="s">
        <v>4327</v>
      </c>
      <c r="J4165" s="2" t="s">
        <v>21</v>
      </c>
      <c r="K4165" s="2" t="s">
        <v>6075</v>
      </c>
    </row>
    <row r="4166" ht="15.75" customHeight="1">
      <c r="A4166" s="2">
        <v>41953.0</v>
      </c>
      <c r="B4166" s="2" t="s">
        <v>8792</v>
      </c>
      <c r="C4166" s="2" t="s">
        <v>8793</v>
      </c>
      <c r="D4166" s="2" t="s">
        <v>13</v>
      </c>
      <c r="E4166" s="2" t="s">
        <v>20</v>
      </c>
      <c r="F4166" s="2">
        <v>15.0</v>
      </c>
      <c r="G4166" s="2">
        <v>332.0</v>
      </c>
      <c r="H4166" s="3" t="str">
        <f>HYPERLINK("http://www.linkedin.com/pub/juan-daniel-abad/1b/31/102","http://www.linkedin.com/pub/juan-daniel-abad/1b/31/102")</f>
        <v>http://www.linkedin.com/pub/juan-daniel-abad/1b/31/102</v>
      </c>
      <c r="I4166" s="2" t="s">
        <v>15</v>
      </c>
      <c r="J4166" s="2" t="s">
        <v>21</v>
      </c>
      <c r="K4166" s="2" t="s">
        <v>5727</v>
      </c>
    </row>
    <row r="4167" ht="15.75" customHeight="1">
      <c r="A4167" s="2">
        <v>41955.0</v>
      </c>
      <c r="B4167" s="2" t="s">
        <v>6417</v>
      </c>
      <c r="C4167" s="2" t="s">
        <v>8794</v>
      </c>
      <c r="D4167" s="2" t="s">
        <v>8795</v>
      </c>
      <c r="E4167" s="2" t="s">
        <v>20</v>
      </c>
      <c r="F4167" s="2">
        <v>1.0</v>
      </c>
      <c r="G4167" s="2">
        <v>500.0</v>
      </c>
      <c r="H4167" s="3" t="str">
        <f>HYPERLINK("http://ar.linkedin.com/in/gonzaloperezcometto","http://ar.linkedin.com/in/gonzaloperezcometto")</f>
        <v>http://ar.linkedin.com/in/gonzaloperezcometto</v>
      </c>
      <c r="I4167" s="2" t="s">
        <v>579</v>
      </c>
      <c r="J4167" s="2" t="s">
        <v>21</v>
      </c>
      <c r="K4167" s="2" t="s">
        <v>5848</v>
      </c>
    </row>
    <row r="4168" ht="15.75" customHeight="1">
      <c r="A4168" s="2">
        <v>41987.0</v>
      </c>
      <c r="B4168" s="2" t="s">
        <v>8796</v>
      </c>
      <c r="C4168" s="2" t="s">
        <v>8797</v>
      </c>
      <c r="D4168" s="2" t="s">
        <v>8798</v>
      </c>
      <c r="E4168" s="2" t="s">
        <v>20</v>
      </c>
      <c r="F4168" s="2" t="s">
        <v>13</v>
      </c>
      <c r="G4168" s="2">
        <v>151.0</v>
      </c>
      <c r="H4168" s="3" t="str">
        <f>HYPERLINK("http://ar.linkedin.com/pub/mirna-curti/A/69B/624","http://ar.linkedin.com/pub/mirna-curti/A/69B/624")</f>
        <v>http://ar.linkedin.com/pub/mirna-curti/A/69B/624</v>
      </c>
      <c r="I4168" s="2" t="s">
        <v>669</v>
      </c>
      <c r="J4168" s="2" t="s">
        <v>21</v>
      </c>
      <c r="K4168" s="2" t="s">
        <v>5725</v>
      </c>
    </row>
    <row r="4169" ht="15.75" customHeight="1">
      <c r="A4169" s="2">
        <v>41998.0</v>
      </c>
      <c r="B4169" s="2" t="s">
        <v>605</v>
      </c>
      <c r="C4169" s="2" t="s">
        <v>3259</v>
      </c>
      <c r="D4169" s="2" t="s">
        <v>8799</v>
      </c>
      <c r="E4169" s="2" t="s">
        <v>20</v>
      </c>
      <c r="F4169" s="2">
        <v>1.0</v>
      </c>
      <c r="G4169" s="2">
        <v>500.0</v>
      </c>
      <c r="H4169" s="3" t="str">
        <f>HYPERLINK("http://ar.linkedin.com/pub/roberto-rossi/8/B73/329","http://ar.linkedin.com/pub/roberto-rossi/8/B73/329")</f>
        <v>http://ar.linkedin.com/pub/roberto-rossi/8/B73/329</v>
      </c>
      <c r="I4169" s="2" t="s">
        <v>669</v>
      </c>
      <c r="J4169" s="2" t="s">
        <v>21</v>
      </c>
      <c r="K4169" s="2" t="s">
        <v>5785</v>
      </c>
    </row>
    <row r="4170" ht="15.75" customHeight="1">
      <c r="A4170" s="2">
        <v>42007.0</v>
      </c>
      <c r="B4170" s="2" t="s">
        <v>540</v>
      </c>
      <c r="C4170" s="2" t="s">
        <v>8800</v>
      </c>
      <c r="D4170" s="2"/>
      <c r="E4170" s="2" t="s">
        <v>20</v>
      </c>
      <c r="F4170" s="2" t="s">
        <v>13</v>
      </c>
      <c r="G4170" s="2">
        <v>319.0</v>
      </c>
      <c r="H4170" s="3" t="str">
        <f>HYPERLINK("http://ar.linkedin.com/in/christiancerrella","http://ar.linkedin.com/in/christiancerrella")</f>
        <v>http://ar.linkedin.com/in/christiancerrella</v>
      </c>
      <c r="I4170" s="2" t="s">
        <v>48</v>
      </c>
      <c r="J4170" s="2" t="s">
        <v>21</v>
      </c>
      <c r="K4170" s="2" t="s">
        <v>5725</v>
      </c>
    </row>
    <row r="4171" ht="15.75" customHeight="1">
      <c r="A4171" s="2">
        <v>42014.0</v>
      </c>
      <c r="B4171" s="2" t="s">
        <v>5874</v>
      </c>
      <c r="C4171" s="2" t="s">
        <v>8801</v>
      </c>
      <c r="D4171" s="2" t="s">
        <v>13</v>
      </c>
      <c r="E4171" s="2" t="s">
        <v>20</v>
      </c>
      <c r="F4171" s="2">
        <v>0.0</v>
      </c>
      <c r="G4171" s="2">
        <v>500.0</v>
      </c>
      <c r="H4171" s="3" t="str">
        <f>HYPERLINK("http://www.linkedin.com/pub/juan-carlos-spano/14/6b8/ba6","http://www.linkedin.com/pub/juan-carlos-spano/14/6b8/ba6")</f>
        <v>http://www.linkedin.com/pub/juan-carlos-spano/14/6b8/ba6</v>
      </c>
      <c r="I4171" s="2" t="s">
        <v>105</v>
      </c>
      <c r="J4171" s="2" t="s">
        <v>21</v>
      </c>
      <c r="K4171" s="2" t="s">
        <v>5725</v>
      </c>
    </row>
    <row r="4172" ht="15.75" customHeight="1">
      <c r="A4172" s="2">
        <v>42100.0</v>
      </c>
      <c r="B4172" s="2" t="s">
        <v>8802</v>
      </c>
      <c r="C4172" s="2" t="s">
        <v>8803</v>
      </c>
      <c r="D4172" s="2" t="s">
        <v>13</v>
      </c>
      <c r="E4172" s="2" t="s">
        <v>20</v>
      </c>
      <c r="F4172" s="2">
        <v>0.0</v>
      </c>
      <c r="G4172" s="2">
        <v>500.0</v>
      </c>
      <c r="H4172" s="3" t="str">
        <f>HYPERLINK("http://www.linkedin.com/pub/carlota-d-adamo/14/755/156","http://www.linkedin.com/pub/carlota-d-adamo/14/755/156")</f>
        <v>http://www.linkedin.com/pub/carlota-d-adamo/14/755/156</v>
      </c>
      <c r="I4172" s="2" t="s">
        <v>1728</v>
      </c>
      <c r="J4172" s="2" t="s">
        <v>21</v>
      </c>
      <c r="K4172" s="2" t="s">
        <v>5743</v>
      </c>
    </row>
    <row r="4173" ht="15.75" customHeight="1">
      <c r="A4173" s="2">
        <v>42122.0</v>
      </c>
      <c r="B4173" s="2" t="s">
        <v>862</v>
      </c>
      <c r="C4173" s="2" t="s">
        <v>8804</v>
      </c>
      <c r="D4173" s="2" t="s">
        <v>13</v>
      </c>
      <c r="E4173" s="2" t="s">
        <v>20</v>
      </c>
      <c r="F4173" s="2">
        <v>0.0</v>
      </c>
      <c r="G4173" s="2">
        <v>500.0</v>
      </c>
      <c r="H4173" s="3" t="str">
        <f>HYPERLINK("http://www.linkedin.com/pub/gabriel-seracchioli/5/425/249","http://www.linkedin.com/pub/gabriel-seracchioli/5/425/249")</f>
        <v>http://www.linkedin.com/pub/gabriel-seracchioli/5/425/249</v>
      </c>
      <c r="I4173" s="2" t="s">
        <v>96</v>
      </c>
      <c r="J4173" s="2" t="s">
        <v>21</v>
      </c>
      <c r="K4173" s="2" t="s">
        <v>5727</v>
      </c>
    </row>
    <row r="4174" ht="15.75" customHeight="1">
      <c r="A4174" s="2">
        <v>42148.0</v>
      </c>
      <c r="B4174" s="2" t="s">
        <v>5723</v>
      </c>
      <c r="C4174" s="2" t="s">
        <v>8805</v>
      </c>
      <c r="D4174" s="2" t="s">
        <v>8806</v>
      </c>
      <c r="E4174" s="2" t="s">
        <v>20</v>
      </c>
      <c r="F4174" s="2">
        <v>2.0</v>
      </c>
      <c r="G4174" s="2">
        <v>500.0</v>
      </c>
      <c r="H4174" s="3" t="str">
        <f>HYPERLINK("http://ar.linkedin.com/in/pabloylarri","http://ar.linkedin.com/in/pabloylarri")</f>
        <v>http://ar.linkedin.com/in/pabloylarri</v>
      </c>
      <c r="I4174" s="2" t="s">
        <v>1679</v>
      </c>
      <c r="J4174" s="2" t="s">
        <v>21</v>
      </c>
      <c r="K4174" s="2" t="s">
        <v>5727</v>
      </c>
    </row>
    <row r="4175" ht="15.75" customHeight="1">
      <c r="A4175" s="2">
        <v>42163.0</v>
      </c>
      <c r="B4175" s="2" t="s">
        <v>8807</v>
      </c>
      <c r="C4175" s="2" t="s">
        <v>8808</v>
      </c>
      <c r="D4175" s="2" t="s">
        <v>8809</v>
      </c>
      <c r="E4175" s="2" t="s">
        <v>20</v>
      </c>
      <c r="F4175" s="2">
        <v>2.0</v>
      </c>
      <c r="G4175" s="2">
        <v>391.0</v>
      </c>
      <c r="H4175" s="3" t="str">
        <f>HYPERLINK("http://ar.linkedin.com/in/msolpignani","http://ar.linkedin.com/in/msolpignani")</f>
        <v>http://ar.linkedin.com/in/msolpignani</v>
      </c>
      <c r="I4175" s="2" t="s">
        <v>195</v>
      </c>
      <c r="J4175" s="2" t="s">
        <v>21</v>
      </c>
      <c r="K4175" s="2" t="s">
        <v>6046</v>
      </c>
    </row>
    <row r="4176" ht="15.75" customHeight="1">
      <c r="A4176" s="2">
        <v>42165.0</v>
      </c>
      <c r="B4176" s="2" t="s">
        <v>5803</v>
      </c>
      <c r="C4176" s="2" t="s">
        <v>8810</v>
      </c>
      <c r="D4176" s="2" t="s">
        <v>8811</v>
      </c>
      <c r="E4176" s="2" t="s">
        <v>8812</v>
      </c>
      <c r="F4176" s="2">
        <v>4.0</v>
      </c>
      <c r="G4176" s="2">
        <v>500.0</v>
      </c>
      <c r="H4176" s="3" t="str">
        <f>HYPERLINK("http://www.linkedin.com/in/marianogandulfo","http://www.linkedin.com/in/marianogandulfo")</f>
        <v>http://www.linkedin.com/in/marianogandulfo</v>
      </c>
      <c r="I4176" s="2" t="s">
        <v>579</v>
      </c>
      <c r="J4176" s="2" t="s">
        <v>337</v>
      </c>
      <c r="K4176" s="2" t="s">
        <v>5743</v>
      </c>
    </row>
    <row r="4177" ht="15.75" customHeight="1">
      <c r="A4177" s="2">
        <v>42169.0</v>
      </c>
      <c r="B4177" s="2" t="s">
        <v>7739</v>
      </c>
      <c r="C4177" s="2" t="s">
        <v>8813</v>
      </c>
      <c r="D4177" s="2" t="s">
        <v>13</v>
      </c>
      <c r="E4177" s="2" t="s">
        <v>20</v>
      </c>
      <c r="F4177" s="2">
        <v>0.0</v>
      </c>
      <c r="G4177" s="2">
        <v>500.0</v>
      </c>
      <c r="H4177" s="3" t="str">
        <f>HYPERLINK("http://www.linkedin.com/in/ramirofernandez","http://www.linkedin.com/in/ramirofernandez")</f>
        <v>http://www.linkedin.com/in/ramirofernandez</v>
      </c>
      <c r="I4177" s="2" t="s">
        <v>69</v>
      </c>
      <c r="J4177" s="2" t="s">
        <v>21</v>
      </c>
      <c r="K4177" s="2" t="s">
        <v>5727</v>
      </c>
    </row>
    <row r="4178" ht="15.75" customHeight="1">
      <c r="A4178" s="2">
        <v>42178.0</v>
      </c>
      <c r="B4178" s="2" t="s">
        <v>8814</v>
      </c>
      <c r="C4178" s="2" t="s">
        <v>8815</v>
      </c>
      <c r="D4178" s="2" t="s">
        <v>8816</v>
      </c>
      <c r="E4178" s="2" t="s">
        <v>20</v>
      </c>
      <c r="F4178" s="2" t="s">
        <v>13</v>
      </c>
      <c r="G4178" s="2">
        <v>225.0</v>
      </c>
      <c r="H4178" s="3" t="str">
        <f>HYPERLINK("http://ar.linkedin.com/pub/mar-a-soledad-varela/21/175/1B3","http://ar.linkedin.com/pub/mar-a-soledad-varela/21/175/1B3")</f>
        <v>http://ar.linkedin.com/pub/mar-a-soledad-varela/21/175/1B3</v>
      </c>
      <c r="I4178" s="2" t="s">
        <v>77</v>
      </c>
      <c r="J4178" s="2" t="s">
        <v>21</v>
      </c>
      <c r="K4178" s="2" t="s">
        <v>5785</v>
      </c>
    </row>
    <row r="4179" ht="15.75" customHeight="1">
      <c r="A4179" s="2">
        <v>43043.0</v>
      </c>
      <c r="B4179" s="2" t="s">
        <v>1076</v>
      </c>
      <c r="C4179" s="2" t="s">
        <v>8817</v>
      </c>
      <c r="D4179" s="2" t="s">
        <v>6324</v>
      </c>
      <c r="E4179" s="2" t="s">
        <v>2426</v>
      </c>
      <c r="F4179" s="2">
        <v>4.0</v>
      </c>
      <c r="G4179" s="2">
        <v>500.0</v>
      </c>
      <c r="H4179" s="3" t="str">
        <f>HYPERLINK("http://www.linkedin.com/in/jenniferbaures","http://www.linkedin.com/in/jenniferbaures")</f>
        <v>http://www.linkedin.com/in/jenniferbaures</v>
      </c>
      <c r="I4179" s="2" t="s">
        <v>248</v>
      </c>
      <c r="J4179" s="2" t="s">
        <v>102</v>
      </c>
      <c r="K4179" s="2" t="s">
        <v>5743</v>
      </c>
    </row>
    <row r="4180" ht="15.75" customHeight="1">
      <c r="A4180" s="2">
        <v>43050.0</v>
      </c>
      <c r="B4180" s="2" t="s">
        <v>7168</v>
      </c>
      <c r="C4180" s="2" t="s">
        <v>8818</v>
      </c>
      <c r="D4180" s="2" t="s">
        <v>13</v>
      </c>
      <c r="E4180" s="2" t="s">
        <v>20</v>
      </c>
      <c r="F4180" s="2">
        <v>0.0</v>
      </c>
      <c r="G4180" s="2">
        <v>409.0</v>
      </c>
      <c r="H4180" s="3" t="str">
        <f>HYPERLINK("http://www.linkedin.com/pub/lisandro-fernandez-tasende/0/341/5b7","http://www.linkedin.com/pub/lisandro-fernandez-tasende/0/341/5b7")</f>
        <v>http://www.linkedin.com/pub/lisandro-fernandez-tasende/0/341/5b7</v>
      </c>
      <c r="I4180" s="2" t="s">
        <v>77</v>
      </c>
      <c r="J4180" s="2" t="s">
        <v>21</v>
      </c>
      <c r="K4180" s="2" t="s">
        <v>5785</v>
      </c>
    </row>
    <row r="4181" ht="15.75" customHeight="1">
      <c r="A4181" s="2">
        <v>43053.0</v>
      </c>
      <c r="B4181" s="2" t="s">
        <v>671</v>
      </c>
      <c r="C4181" s="2" t="s">
        <v>8819</v>
      </c>
      <c r="D4181" s="2" t="s">
        <v>8820</v>
      </c>
      <c r="E4181" s="2" t="s">
        <v>20</v>
      </c>
      <c r="F4181" s="2">
        <v>5.0</v>
      </c>
      <c r="G4181" s="2">
        <v>500.0</v>
      </c>
      <c r="H4181" s="3" t="str">
        <f>HYPERLINK("http://ar.linkedin.com/in/marianaaro07","http://ar.linkedin.com/in/marianaaro07")</f>
        <v>http://ar.linkedin.com/in/marianaaro07</v>
      </c>
      <c r="I4181" s="2" t="s">
        <v>458</v>
      </c>
      <c r="J4181" s="2" t="s">
        <v>21</v>
      </c>
      <c r="K4181" s="2" t="s">
        <v>5727</v>
      </c>
    </row>
    <row r="4182" ht="15.75" customHeight="1">
      <c r="A4182" s="2">
        <v>43100.0</v>
      </c>
      <c r="B4182" s="2" t="s">
        <v>5681</v>
      </c>
      <c r="C4182" s="2" t="s">
        <v>8821</v>
      </c>
      <c r="D4182" s="2" t="s">
        <v>8822</v>
      </c>
      <c r="E4182" s="2" t="s">
        <v>20</v>
      </c>
      <c r="F4182" s="2">
        <v>13.0</v>
      </c>
      <c r="G4182" s="2">
        <v>291.0</v>
      </c>
      <c r="H4182" s="3" t="str">
        <f>HYPERLINK("http://ar.linkedin.com/in/dmst22","http://ar.linkedin.com/in/dmst22")</f>
        <v>http://ar.linkedin.com/in/dmst22</v>
      </c>
      <c r="I4182" s="2" t="s">
        <v>57</v>
      </c>
      <c r="J4182" s="2" t="s">
        <v>21</v>
      </c>
      <c r="K4182" s="2" t="s">
        <v>6973</v>
      </c>
    </row>
    <row r="4183" ht="15.75" customHeight="1">
      <c r="A4183" s="2">
        <v>43134.0</v>
      </c>
      <c r="B4183" s="2" t="s">
        <v>7744</v>
      </c>
      <c r="C4183" s="2" t="s">
        <v>8823</v>
      </c>
      <c r="D4183" s="2" t="s">
        <v>8824</v>
      </c>
      <c r="E4183" s="2" t="s">
        <v>20</v>
      </c>
      <c r="F4183" s="2">
        <v>21.0</v>
      </c>
      <c r="G4183" s="2">
        <v>387.0</v>
      </c>
      <c r="H4183" s="3" t="str">
        <f>HYPERLINK("http://ar.linkedin.com/in/oalarcon","http://ar.linkedin.com/in/oalarcon")</f>
        <v>http://ar.linkedin.com/in/oalarcon</v>
      </c>
      <c r="I4183" s="2" t="s">
        <v>579</v>
      </c>
      <c r="J4183" s="2" t="s">
        <v>21</v>
      </c>
      <c r="K4183" s="2" t="s">
        <v>5731</v>
      </c>
    </row>
    <row r="4184" ht="15.75" customHeight="1">
      <c r="A4184" s="2">
        <v>43161.0</v>
      </c>
      <c r="B4184" s="2" t="s">
        <v>5728</v>
      </c>
      <c r="C4184" s="2" t="s">
        <v>8825</v>
      </c>
      <c r="D4184" s="2" t="s">
        <v>8826</v>
      </c>
      <c r="E4184" s="2" t="s">
        <v>20</v>
      </c>
      <c r="F4184" s="2">
        <v>8.0</v>
      </c>
      <c r="G4184" s="2">
        <v>500.0</v>
      </c>
      <c r="H4184" s="3" t="str">
        <f>HYPERLINK("http://ar.linkedin.com/in/maximilianogalante","http://ar.linkedin.com/in/maximilianogalante")</f>
        <v>http://ar.linkedin.com/in/maximilianogalante</v>
      </c>
      <c r="I4184" s="2" t="s">
        <v>160</v>
      </c>
      <c r="J4184" s="2" t="s">
        <v>21</v>
      </c>
      <c r="K4184" s="2" t="s">
        <v>5731</v>
      </c>
    </row>
    <row r="4185" ht="15.75" customHeight="1">
      <c r="A4185" s="2">
        <v>43198.0</v>
      </c>
      <c r="B4185" s="2" t="s">
        <v>7007</v>
      </c>
      <c r="C4185" s="2" t="s">
        <v>8827</v>
      </c>
      <c r="D4185" s="2" t="s">
        <v>8828</v>
      </c>
      <c r="E4185" s="2" t="s">
        <v>20</v>
      </c>
      <c r="F4185" s="2" t="s">
        <v>13</v>
      </c>
      <c r="G4185" s="2">
        <v>349.0</v>
      </c>
      <c r="H4185" s="3" t="str">
        <f>HYPERLINK("http://ar.linkedin.com/pub/maria-laura-panizza/5/647/BB8","http://ar.linkedin.com/pub/maria-laura-panizza/5/647/BB8")</f>
        <v>http://ar.linkedin.com/pub/maria-laura-panizza/5/647/BB8</v>
      </c>
      <c r="I4185" s="2" t="s">
        <v>160</v>
      </c>
      <c r="J4185" s="2" t="s">
        <v>21</v>
      </c>
      <c r="K4185" s="2" t="s">
        <v>5848</v>
      </c>
    </row>
    <row r="4186" ht="15.75" customHeight="1">
      <c r="A4186" s="2">
        <v>43223.0</v>
      </c>
      <c r="B4186" s="2" t="s">
        <v>6309</v>
      </c>
      <c r="C4186" s="2" t="s">
        <v>8829</v>
      </c>
      <c r="D4186" s="2" t="s">
        <v>8830</v>
      </c>
      <c r="E4186" s="2" t="s">
        <v>20</v>
      </c>
      <c r="F4186" s="2">
        <v>4.0</v>
      </c>
      <c r="G4186" s="2">
        <v>297.0</v>
      </c>
      <c r="H4186" s="3" t="str">
        <f>HYPERLINK("http://ar.linkedin.com/in/mbgiadas","http://ar.linkedin.com/in/mbgiadas")</f>
        <v>http://ar.linkedin.com/in/mbgiadas</v>
      </c>
      <c r="I4186" s="2" t="s">
        <v>105</v>
      </c>
      <c r="J4186" s="2" t="s">
        <v>21</v>
      </c>
      <c r="K4186" s="2" t="s">
        <v>5727</v>
      </c>
    </row>
    <row r="4187" ht="15.75" customHeight="1">
      <c r="A4187" s="2">
        <v>43252.0</v>
      </c>
      <c r="B4187" s="2" t="s">
        <v>8831</v>
      </c>
      <c r="C4187" s="2" t="s">
        <v>8832</v>
      </c>
      <c r="D4187" s="2" t="s">
        <v>8833</v>
      </c>
      <c r="E4187" s="2" t="s">
        <v>20</v>
      </c>
      <c r="F4187" s="2" t="s">
        <v>13</v>
      </c>
      <c r="G4187" s="2">
        <v>89.0</v>
      </c>
      <c r="H4187" s="3" t="str">
        <f>HYPERLINK("http://ar.linkedin.com/pub/javier-h-yamamoto/1/AA0/232","http://ar.linkedin.com/pub/javier-h-yamamoto/1/AA0/232")</f>
        <v>http://ar.linkedin.com/pub/javier-h-yamamoto/1/AA0/232</v>
      </c>
      <c r="I4187" s="2" t="s">
        <v>48</v>
      </c>
      <c r="J4187" s="2" t="s">
        <v>21</v>
      </c>
      <c r="K4187" s="2" t="s">
        <v>5725</v>
      </c>
    </row>
    <row r="4188" ht="15.75" customHeight="1">
      <c r="A4188" s="2">
        <v>43276.0</v>
      </c>
      <c r="B4188" s="2" t="s">
        <v>353</v>
      </c>
      <c r="C4188" s="2" t="s">
        <v>8834</v>
      </c>
      <c r="D4188" s="2" t="s">
        <v>42</v>
      </c>
      <c r="E4188" s="2" t="s">
        <v>20</v>
      </c>
      <c r="F4188" s="2">
        <v>5.0</v>
      </c>
      <c r="G4188" s="2">
        <v>500.0</v>
      </c>
      <c r="H4188" s="3" t="str">
        <f>HYPERLINK("http://ar.linkedin.com/in/alejandrofeiges","http://ar.linkedin.com/in/alejandrofeiges")</f>
        <v>http://ar.linkedin.com/in/alejandrofeiges</v>
      </c>
      <c r="I4188" s="2" t="s">
        <v>1390</v>
      </c>
      <c r="J4188" s="2" t="s">
        <v>21</v>
      </c>
      <c r="K4188" s="2" t="s">
        <v>5743</v>
      </c>
    </row>
    <row r="4189" ht="15.75" customHeight="1">
      <c r="A4189" s="2">
        <v>43301.0</v>
      </c>
      <c r="B4189" s="2" t="s">
        <v>6948</v>
      </c>
      <c r="C4189" s="2" t="s">
        <v>8835</v>
      </c>
      <c r="D4189" s="2" t="s">
        <v>8836</v>
      </c>
      <c r="E4189" s="2" t="s">
        <v>20</v>
      </c>
      <c r="F4189" s="2">
        <v>5.0</v>
      </c>
      <c r="G4189" s="2">
        <v>500.0</v>
      </c>
      <c r="H4189" s="3" t="str">
        <f>HYPERLINK("http://www.linkedin.com/in/mariapueyrredon","http://www.linkedin.com/in/mariapueyrredon")</f>
        <v>http://www.linkedin.com/in/mariapueyrredon</v>
      </c>
      <c r="I4189" s="2" t="s">
        <v>458</v>
      </c>
      <c r="J4189" s="2" t="s">
        <v>21</v>
      </c>
      <c r="K4189" s="2" t="s">
        <v>5727</v>
      </c>
    </row>
    <row r="4190" ht="15.75" customHeight="1">
      <c r="A4190" s="2">
        <v>43319.0</v>
      </c>
      <c r="B4190" s="2" t="s">
        <v>4503</v>
      </c>
      <c r="C4190" s="2" t="s">
        <v>4179</v>
      </c>
      <c r="D4190" s="2" t="s">
        <v>8837</v>
      </c>
      <c r="E4190" s="2" t="s">
        <v>20</v>
      </c>
      <c r="F4190" s="2" t="s">
        <v>13</v>
      </c>
      <c r="G4190" s="2">
        <v>248.0</v>
      </c>
      <c r="H4190" s="3" t="str">
        <f>HYPERLINK("http://ar.linkedin.com/pub/fernanda-weber/9/5BB/765","http://ar.linkedin.com/pub/fernanda-weber/9/5BB/765")</f>
        <v>http://ar.linkedin.com/pub/fernanda-weber/9/5BB/765</v>
      </c>
      <c r="I4190" s="2" t="s">
        <v>15</v>
      </c>
      <c r="J4190" s="2" t="s">
        <v>21</v>
      </c>
      <c r="K4190" s="2" t="s">
        <v>5725</v>
      </c>
    </row>
    <row r="4191" ht="15.75" customHeight="1">
      <c r="A4191" s="2">
        <v>43338.0</v>
      </c>
      <c r="B4191" s="2" t="s">
        <v>3015</v>
      </c>
      <c r="C4191" s="2" t="s">
        <v>8838</v>
      </c>
      <c r="D4191" s="2" t="s">
        <v>13</v>
      </c>
      <c r="E4191" s="2" t="s">
        <v>20</v>
      </c>
      <c r="F4191" s="2">
        <v>0.0</v>
      </c>
      <c r="G4191" s="2">
        <v>242.0</v>
      </c>
      <c r="H4191" s="3" t="str">
        <f>HYPERLINK("http://www.linkedin.com/pub/luciano-hammoe/8/566/132","http://www.linkedin.com/pub/luciano-hammoe/8/566/132")</f>
        <v>http://www.linkedin.com/pub/luciano-hammoe/8/566/132</v>
      </c>
      <c r="I4191" s="2" t="s">
        <v>15</v>
      </c>
      <c r="J4191" s="2" t="s">
        <v>21</v>
      </c>
      <c r="K4191" s="2" t="s">
        <v>5734</v>
      </c>
    </row>
    <row r="4192" ht="15.75" customHeight="1">
      <c r="A4192" s="2">
        <v>43340.0</v>
      </c>
      <c r="B4192" s="2" t="s">
        <v>677</v>
      </c>
      <c r="C4192" s="2" t="s">
        <v>8839</v>
      </c>
      <c r="D4192" s="2" t="s">
        <v>8840</v>
      </c>
      <c r="E4192" s="2" t="s">
        <v>20</v>
      </c>
      <c r="F4192" s="2">
        <v>4.0</v>
      </c>
      <c r="G4192" s="2">
        <v>500.0</v>
      </c>
      <c r="H4192" s="3" t="str">
        <f>HYPERLINK("http://ar.linkedin.com/in/dreggiani","http://ar.linkedin.com/in/dreggiani")</f>
        <v>http://ar.linkedin.com/in/dreggiani</v>
      </c>
      <c r="I4192" s="2" t="s">
        <v>15</v>
      </c>
      <c r="J4192" s="2" t="s">
        <v>21</v>
      </c>
      <c r="K4192" s="2" t="s">
        <v>5777</v>
      </c>
    </row>
    <row r="4193" ht="15.75" customHeight="1">
      <c r="A4193" s="2">
        <v>43353.0</v>
      </c>
      <c r="B4193" s="2" t="s">
        <v>5389</v>
      </c>
      <c r="C4193" s="2" t="s">
        <v>8841</v>
      </c>
      <c r="D4193" s="2" t="s">
        <v>13</v>
      </c>
      <c r="E4193" s="2" t="s">
        <v>20</v>
      </c>
      <c r="F4193" s="2">
        <v>0.0</v>
      </c>
      <c r="G4193" s="2">
        <v>403.0</v>
      </c>
      <c r="H4193" s="3" t="str">
        <f>HYPERLINK("http://www.linkedin.com/pub/paula-arad%C3%B3/3/186/15b","http://www.linkedin.com/pub/paula-arad%C3%B3/3/186/15b")</f>
        <v>http://www.linkedin.com/pub/paula-arad%C3%B3/3/186/15b</v>
      </c>
      <c r="I4193" s="2" t="s">
        <v>458</v>
      </c>
      <c r="J4193" s="2" t="s">
        <v>21</v>
      </c>
      <c r="K4193" s="2" t="s">
        <v>5727</v>
      </c>
    </row>
    <row r="4194" ht="15.75" customHeight="1">
      <c r="A4194" s="2">
        <v>43383.0</v>
      </c>
      <c r="B4194" s="2" t="s">
        <v>671</v>
      </c>
      <c r="C4194" s="2" t="s">
        <v>8842</v>
      </c>
      <c r="D4194" s="2" t="s">
        <v>8843</v>
      </c>
      <c r="E4194" s="2" t="s">
        <v>20</v>
      </c>
      <c r="F4194" s="2">
        <v>11.0</v>
      </c>
      <c r="G4194" s="2">
        <v>500.0</v>
      </c>
      <c r="H4194" s="3" t="str">
        <f>HYPERLINK("http://ar.linkedin.com/pub/mariana-bence/2/273/412","http://ar.linkedin.com/pub/mariana-bence/2/273/412")</f>
        <v>http://ar.linkedin.com/pub/mariana-bence/2/273/412</v>
      </c>
      <c r="I4194" s="2" t="s">
        <v>1390</v>
      </c>
      <c r="J4194" s="2" t="s">
        <v>21</v>
      </c>
      <c r="K4194" s="2" t="s">
        <v>5727</v>
      </c>
    </row>
    <row r="4195" ht="15.75" customHeight="1">
      <c r="A4195" s="2">
        <v>43396.0</v>
      </c>
      <c r="B4195" s="2" t="s">
        <v>8163</v>
      </c>
      <c r="C4195" s="2" t="s">
        <v>8844</v>
      </c>
      <c r="D4195" s="2" t="s">
        <v>5612</v>
      </c>
      <c r="E4195" s="2" t="s">
        <v>20</v>
      </c>
      <c r="F4195" s="2">
        <v>7.0</v>
      </c>
      <c r="G4195" s="2">
        <v>500.0</v>
      </c>
      <c r="H4195" s="3" t="str">
        <f>HYPERLINK("http://ar.linkedin.com/in/bernardofrau","http://ar.linkedin.com/in/bernardofrau")</f>
        <v>http://ar.linkedin.com/in/bernardofrau</v>
      </c>
      <c r="I4195" s="2" t="s">
        <v>458</v>
      </c>
      <c r="J4195" s="2" t="s">
        <v>21</v>
      </c>
      <c r="K4195" s="2" t="s">
        <v>5727</v>
      </c>
    </row>
    <row r="4196" ht="15.75" customHeight="1">
      <c r="A4196" s="2">
        <v>43404.0</v>
      </c>
      <c r="B4196" s="2" t="s">
        <v>5883</v>
      </c>
      <c r="C4196" s="2" t="s">
        <v>8845</v>
      </c>
      <c r="D4196" s="2" t="s">
        <v>8846</v>
      </c>
      <c r="E4196" s="2" t="s">
        <v>20</v>
      </c>
      <c r="F4196" s="2">
        <v>5.0</v>
      </c>
      <c r="G4196" s="2">
        <v>500.0</v>
      </c>
      <c r="H4196" s="3" t="str">
        <f>HYPERLINK("http://www.linkedin.com/pub/ariel-martinez-di-vietri/9/512/36","http://www.linkedin.com/pub/ariel-martinez-di-vietri/9/512/36")</f>
        <v>http://www.linkedin.com/pub/ariel-martinez-di-vietri/9/512/36</v>
      </c>
      <c r="I4196" s="2" t="s">
        <v>231</v>
      </c>
      <c r="J4196" s="2" t="s">
        <v>21</v>
      </c>
      <c r="K4196" s="2" t="s">
        <v>5727</v>
      </c>
    </row>
    <row r="4197" ht="15.75" customHeight="1">
      <c r="A4197" s="2">
        <v>43418.0</v>
      </c>
      <c r="B4197" s="2" t="s">
        <v>59</v>
      </c>
      <c r="C4197" s="2" t="s">
        <v>8847</v>
      </c>
      <c r="D4197" s="2" t="s">
        <v>289</v>
      </c>
      <c r="E4197" s="2" t="s">
        <v>20</v>
      </c>
      <c r="F4197" s="2">
        <v>7.0</v>
      </c>
      <c r="G4197" s="2">
        <v>500.0</v>
      </c>
      <c r="H4197" s="3" t="str">
        <f>HYPERLINK("http://ar.linkedin.com/in/mvolman","http://ar.linkedin.com/in/mvolman")</f>
        <v>http://ar.linkedin.com/in/mvolman</v>
      </c>
      <c r="I4197" s="2" t="s">
        <v>2561</v>
      </c>
      <c r="J4197" s="2" t="s">
        <v>21</v>
      </c>
      <c r="K4197" s="2" t="s">
        <v>5727</v>
      </c>
    </row>
    <row r="4198" ht="15.75" customHeight="1">
      <c r="A4198" s="2">
        <v>43431.0</v>
      </c>
      <c r="B4198" s="2" t="s">
        <v>7739</v>
      </c>
      <c r="C4198" s="2" t="s">
        <v>8848</v>
      </c>
      <c r="D4198" s="2" t="s">
        <v>8849</v>
      </c>
      <c r="E4198" s="2" t="s">
        <v>20</v>
      </c>
      <c r="F4198" s="2" t="s">
        <v>13</v>
      </c>
      <c r="G4198" s="2">
        <v>352.0</v>
      </c>
      <c r="H4198" s="3" t="str">
        <f>HYPERLINK("http://ar.linkedin.com/pub/ramiro-cormenzana/0/295/9B3","http://ar.linkedin.com/pub/ramiro-cormenzana/0/295/9B3")</f>
        <v>http://ar.linkedin.com/pub/ramiro-cormenzana/0/295/9B3</v>
      </c>
      <c r="I4198" s="2" t="s">
        <v>69</v>
      </c>
      <c r="J4198" s="2" t="s">
        <v>21</v>
      </c>
      <c r="K4198" s="2" t="s">
        <v>5725</v>
      </c>
    </row>
    <row r="4199" ht="15.75" customHeight="1">
      <c r="A4199" s="2">
        <v>43433.0</v>
      </c>
      <c r="B4199" s="2" t="s">
        <v>3299</v>
      </c>
      <c r="C4199" s="2" t="s">
        <v>8850</v>
      </c>
      <c r="D4199" s="2" t="s">
        <v>8851</v>
      </c>
      <c r="E4199" s="2" t="s">
        <v>20</v>
      </c>
      <c r="F4199" s="2">
        <v>1.0</v>
      </c>
      <c r="G4199" s="2">
        <v>260.0</v>
      </c>
      <c r="H4199" s="3" t="str">
        <f>HYPERLINK("http://ar.linkedin.com/pub/fabian-lettieri/2/599/62A","http://ar.linkedin.com/pub/fabian-lettieri/2/599/62A")</f>
        <v>http://ar.linkedin.com/pub/fabian-lettieri/2/599/62A</v>
      </c>
      <c r="I4199" s="2" t="s">
        <v>15</v>
      </c>
      <c r="J4199" s="2" t="s">
        <v>21</v>
      </c>
      <c r="K4199" s="2" t="s">
        <v>5725</v>
      </c>
    </row>
    <row r="4200" ht="15.75" customHeight="1">
      <c r="A4200" s="2">
        <v>43447.0</v>
      </c>
      <c r="B4200" s="2" t="s">
        <v>6004</v>
      </c>
      <c r="C4200" s="2" t="s">
        <v>8852</v>
      </c>
      <c r="D4200" s="2" t="s">
        <v>13</v>
      </c>
      <c r="E4200" s="2" t="s">
        <v>20</v>
      </c>
      <c r="F4200" s="2">
        <v>5.0</v>
      </c>
      <c r="G4200" s="2">
        <v>265.0</v>
      </c>
      <c r="H4200" s="3" t="str">
        <f>HYPERLINK("http://www.linkedin.com/pub/juan-manuel-ciuffo/5/9aa/21b","http://www.linkedin.com/pub/juan-manuel-ciuffo/5/9aa/21b")</f>
        <v>http://www.linkedin.com/pub/juan-manuel-ciuffo/5/9aa/21b</v>
      </c>
      <c r="I4200" s="2" t="s">
        <v>1679</v>
      </c>
      <c r="J4200" s="2" t="s">
        <v>21</v>
      </c>
      <c r="K4200" s="2" t="s">
        <v>5731</v>
      </c>
    </row>
    <row r="4201" ht="15.75" customHeight="1">
      <c r="A4201" s="2">
        <v>43458.0</v>
      </c>
      <c r="B4201" s="2" t="s">
        <v>7598</v>
      </c>
      <c r="C4201" s="2" t="s">
        <v>8853</v>
      </c>
      <c r="D4201" s="2" t="s">
        <v>8854</v>
      </c>
      <c r="E4201" s="2" t="s">
        <v>20</v>
      </c>
      <c r="F4201" s="2">
        <v>1.0</v>
      </c>
      <c r="G4201" s="2">
        <v>500.0</v>
      </c>
      <c r="H4201" s="3" t="str">
        <f>HYPERLINK("http://ar.linkedin.com/in/veronicasigno","http://ar.linkedin.com/in/veronicasigno")</f>
        <v>http://ar.linkedin.com/in/veronicasigno</v>
      </c>
      <c r="I4201" s="2" t="s">
        <v>458</v>
      </c>
      <c r="J4201" s="2" t="s">
        <v>21</v>
      </c>
      <c r="K4201" s="2" t="s">
        <v>5734</v>
      </c>
    </row>
    <row r="4202" ht="15.75" customHeight="1">
      <c r="A4202" s="2">
        <v>43466.0</v>
      </c>
      <c r="B4202" s="2" t="s">
        <v>362</v>
      </c>
      <c r="C4202" s="2" t="s">
        <v>8855</v>
      </c>
      <c r="D4202" s="2" t="s">
        <v>4265</v>
      </c>
      <c r="E4202" s="2" t="s">
        <v>20</v>
      </c>
      <c r="F4202" s="2">
        <v>4.0</v>
      </c>
      <c r="G4202" s="2">
        <v>500.0</v>
      </c>
      <c r="H4202" s="3" t="str">
        <f>HYPERLINK("http://ar.linkedin.com/pub/javier-taiana/26/773/806","http://ar.linkedin.com/pub/javier-taiana/26/773/806")</f>
        <v>http://ar.linkedin.com/pub/javier-taiana/26/773/806</v>
      </c>
      <c r="I4202" s="2" t="s">
        <v>458</v>
      </c>
      <c r="J4202" s="2" t="s">
        <v>21</v>
      </c>
      <c r="K4202" s="2" t="s">
        <v>5865</v>
      </c>
    </row>
    <row r="4203" ht="15.75" customHeight="1">
      <c r="A4203" s="2">
        <v>43476.0</v>
      </c>
      <c r="B4203" s="2" t="s">
        <v>5763</v>
      </c>
      <c r="C4203" s="2" t="s">
        <v>8856</v>
      </c>
      <c r="D4203" s="2" t="s">
        <v>8857</v>
      </c>
      <c r="E4203" s="2" t="s">
        <v>20</v>
      </c>
      <c r="F4203" s="2">
        <v>3.0</v>
      </c>
      <c r="G4203" s="2">
        <v>462.0</v>
      </c>
      <c r="H4203" s="3" t="str">
        <f>HYPERLINK("http://www.linkedin.com/in/ezequielgrande","http://www.linkedin.com/in/ezequielgrande")</f>
        <v>http://www.linkedin.com/in/ezequielgrande</v>
      </c>
      <c r="I4203" s="2" t="s">
        <v>15</v>
      </c>
      <c r="J4203" s="2" t="s">
        <v>21</v>
      </c>
      <c r="K4203" s="2" t="s">
        <v>5725</v>
      </c>
    </row>
    <row r="4204" ht="15.75" customHeight="1">
      <c r="A4204" s="2">
        <v>43492.0</v>
      </c>
      <c r="B4204" s="2" t="s">
        <v>862</v>
      </c>
      <c r="C4204" s="2" t="s">
        <v>8858</v>
      </c>
      <c r="D4204" s="2" t="s">
        <v>8859</v>
      </c>
      <c r="E4204" s="2" t="s">
        <v>20</v>
      </c>
      <c r="F4204" s="2">
        <v>7.0</v>
      </c>
      <c r="G4204" s="2">
        <v>468.0</v>
      </c>
      <c r="H4204" s="3" t="str">
        <f>HYPERLINK("http://ar.linkedin.com/in/gandiarena","http://ar.linkedin.com/in/gandiarena")</f>
        <v>http://ar.linkedin.com/in/gandiarena</v>
      </c>
      <c r="I4204" s="2" t="s">
        <v>2443</v>
      </c>
      <c r="J4204" s="2" t="s">
        <v>21</v>
      </c>
      <c r="K4204" s="2" t="s">
        <v>5727</v>
      </c>
    </row>
    <row r="4205" ht="15.75" customHeight="1">
      <c r="A4205" s="2">
        <v>43498.0</v>
      </c>
      <c r="B4205" s="2" t="s">
        <v>2186</v>
      </c>
      <c r="C4205" s="2" t="s">
        <v>6220</v>
      </c>
      <c r="D4205" s="2" t="s">
        <v>8860</v>
      </c>
      <c r="E4205" s="2" t="s">
        <v>5396</v>
      </c>
      <c r="F4205" s="2">
        <v>7.0</v>
      </c>
      <c r="G4205" s="2">
        <v>500.0</v>
      </c>
      <c r="H4205" s="3" t="str">
        <f>HYPERLINK("http://ar.linkedin.com/in/julianamora","http://ar.linkedin.com/in/julianamora")</f>
        <v>http://ar.linkedin.com/in/julianamora</v>
      </c>
      <c r="I4205" s="2" t="s">
        <v>2443</v>
      </c>
      <c r="J4205" s="2" t="s">
        <v>102</v>
      </c>
      <c r="K4205" s="2" t="s">
        <v>5734</v>
      </c>
    </row>
    <row r="4206" ht="15.75" customHeight="1">
      <c r="A4206" s="2">
        <v>43505.0</v>
      </c>
      <c r="B4206" s="2" t="s">
        <v>36</v>
      </c>
      <c r="C4206" s="2" t="s">
        <v>8861</v>
      </c>
      <c r="D4206" s="2" t="s">
        <v>8862</v>
      </c>
      <c r="E4206" s="2" t="s">
        <v>20</v>
      </c>
      <c r="F4206" s="2">
        <v>11.0</v>
      </c>
      <c r="G4206" s="2">
        <v>500.0</v>
      </c>
      <c r="H4206" s="3" t="str">
        <f>HYPERLINK("http://www.linkedin.com/pub/adriana-ceraso/5/878/342","http://www.linkedin.com/pub/adriana-ceraso/5/878/342")</f>
        <v>http://www.linkedin.com/pub/adriana-ceraso/5/878/342</v>
      </c>
      <c r="I4206" s="2" t="s">
        <v>458</v>
      </c>
      <c r="J4206" s="2" t="s">
        <v>21</v>
      </c>
      <c r="K4206" s="2" t="s">
        <v>5727</v>
      </c>
    </row>
    <row r="4207" ht="15.75" customHeight="1">
      <c r="A4207" s="2">
        <v>43552.0</v>
      </c>
      <c r="B4207" s="2" t="s">
        <v>8863</v>
      </c>
      <c r="C4207" s="2" t="s">
        <v>8864</v>
      </c>
      <c r="D4207" s="2" t="s">
        <v>13</v>
      </c>
      <c r="E4207" s="2" t="s">
        <v>20</v>
      </c>
      <c r="F4207" s="2">
        <v>5.0</v>
      </c>
      <c r="G4207" s="2">
        <v>500.0</v>
      </c>
      <c r="H4207" s="3" t="str">
        <f>HYPERLINK("http://www.linkedin.com/pub/maria-angela-fusco/4/632/468","http://www.linkedin.com/pub/maria-angela-fusco/4/632/468")</f>
        <v>http://www.linkedin.com/pub/maria-angela-fusco/4/632/468</v>
      </c>
      <c r="I4207" s="2" t="s">
        <v>15</v>
      </c>
      <c r="J4207" s="2" t="s">
        <v>21</v>
      </c>
      <c r="K4207" s="2" t="s">
        <v>6588</v>
      </c>
    </row>
    <row r="4208" ht="15.75" customHeight="1">
      <c r="A4208" s="2">
        <v>43554.0</v>
      </c>
      <c r="B4208" s="2" t="s">
        <v>8084</v>
      </c>
      <c r="C4208" s="2" t="s">
        <v>8865</v>
      </c>
      <c r="D4208" s="2" t="s">
        <v>8866</v>
      </c>
      <c r="E4208" s="2" t="s">
        <v>20</v>
      </c>
      <c r="F4208" s="2" t="s">
        <v>13</v>
      </c>
      <c r="G4208" s="2">
        <v>500.0</v>
      </c>
      <c r="H4208" s="3" t="str">
        <f>HYPERLINK("http://ar.linkedin.com/pub/rocio-berlanga/14/602/A49","http://ar.linkedin.com/pub/rocio-berlanga/14/602/A49")</f>
        <v>http://ar.linkedin.com/pub/rocio-berlanga/14/602/A49</v>
      </c>
      <c r="I4208" s="2" t="s">
        <v>458</v>
      </c>
      <c r="J4208" s="2" t="s">
        <v>21</v>
      </c>
      <c r="K4208" s="2" t="s">
        <v>5734</v>
      </c>
    </row>
    <row r="4209" ht="15.75" customHeight="1">
      <c r="A4209" s="2">
        <v>43588.0</v>
      </c>
      <c r="B4209" s="2" t="s">
        <v>1499</v>
      </c>
      <c r="C4209" s="2" t="s">
        <v>8867</v>
      </c>
      <c r="D4209" s="2" t="s">
        <v>8868</v>
      </c>
      <c r="E4209" s="2" t="s">
        <v>20</v>
      </c>
      <c r="F4209" s="2">
        <v>12.0</v>
      </c>
      <c r="G4209" s="2">
        <v>239.0</v>
      </c>
      <c r="H4209" s="3" t="str">
        <f>HYPERLINK("http://ar.linkedin.com/in/adrianvanrell","http://ar.linkedin.com/in/adrianvanrell")</f>
        <v>http://ar.linkedin.com/in/adrianvanrell</v>
      </c>
      <c r="I4209" s="2" t="s">
        <v>2000</v>
      </c>
      <c r="J4209" s="2" t="s">
        <v>21</v>
      </c>
      <c r="K4209" s="2" t="s">
        <v>5727</v>
      </c>
    </row>
    <row r="4210" ht="15.75" customHeight="1">
      <c r="A4210" s="2">
        <v>43589.0</v>
      </c>
      <c r="B4210" s="2" t="s">
        <v>5200</v>
      </c>
      <c r="C4210" s="2" t="s">
        <v>8869</v>
      </c>
      <c r="D4210" s="2" t="s">
        <v>8870</v>
      </c>
      <c r="E4210" s="2" t="s">
        <v>20</v>
      </c>
      <c r="F4210" s="2">
        <v>3.0</v>
      </c>
      <c r="G4210" s="2">
        <v>500.0</v>
      </c>
      <c r="H4210" s="3" t="str">
        <f>HYPERLINK("http://ar.linkedin.com/pub/cynthia-tortesi/15/519/704","http://ar.linkedin.com/pub/cynthia-tortesi/15/519/704")</f>
        <v>http://ar.linkedin.com/pub/cynthia-tortesi/15/519/704</v>
      </c>
      <c r="I4210" s="2" t="s">
        <v>681</v>
      </c>
      <c r="J4210" s="2" t="s">
        <v>21</v>
      </c>
      <c r="K4210" s="2" t="s">
        <v>5727</v>
      </c>
    </row>
    <row r="4211" ht="15.75" customHeight="1">
      <c r="A4211" s="2">
        <v>43591.0</v>
      </c>
      <c r="B4211" s="2" t="s">
        <v>3305</v>
      </c>
      <c r="C4211" s="2" t="s">
        <v>8871</v>
      </c>
      <c r="D4211" s="2" t="s">
        <v>6281</v>
      </c>
      <c r="E4211" s="2" t="s">
        <v>20</v>
      </c>
      <c r="F4211" s="2" t="s">
        <v>13</v>
      </c>
      <c r="G4211" s="2">
        <v>500.0</v>
      </c>
      <c r="H4211" s="3" t="str">
        <f>HYPERLINK("http://ar.linkedin.com/pub/ana-de-lorenzi/27/72/B5A","http://ar.linkedin.com/pub/ana-de-lorenzi/27/72/B5A")</f>
        <v>http://ar.linkedin.com/pub/ana-de-lorenzi/27/72/B5A</v>
      </c>
      <c r="I4211" s="2" t="s">
        <v>458</v>
      </c>
      <c r="J4211" s="2" t="s">
        <v>21</v>
      </c>
      <c r="K4211" s="2" t="s">
        <v>5734</v>
      </c>
    </row>
    <row r="4212" ht="15.75" customHeight="1">
      <c r="A4212" s="2">
        <v>43606.0</v>
      </c>
      <c r="B4212" s="2" t="s">
        <v>1499</v>
      </c>
      <c r="C4212" s="2" t="s">
        <v>8872</v>
      </c>
      <c r="D4212" s="2" t="s">
        <v>42</v>
      </c>
      <c r="E4212" s="2" t="s">
        <v>20</v>
      </c>
      <c r="F4212" s="2" t="s">
        <v>13</v>
      </c>
      <c r="G4212" s="2">
        <v>500.0</v>
      </c>
      <c r="H4212" s="3" t="str">
        <f>HYPERLINK("http://ar.linkedin.com/pub/adrian-brizuela/0/239/376","http://ar.linkedin.com/pub/adrian-brizuela/0/239/376")</f>
        <v>http://ar.linkedin.com/pub/adrian-brizuela/0/239/376</v>
      </c>
      <c r="I4212" s="2" t="s">
        <v>15</v>
      </c>
      <c r="J4212" s="2" t="s">
        <v>21</v>
      </c>
      <c r="K4212" s="2" t="s">
        <v>5725</v>
      </c>
    </row>
    <row r="4213" ht="15.75" customHeight="1">
      <c r="A4213" s="2">
        <v>43612.0</v>
      </c>
      <c r="B4213" s="2" t="s">
        <v>5078</v>
      </c>
      <c r="C4213" s="2" t="s">
        <v>8873</v>
      </c>
      <c r="D4213" s="2" t="s">
        <v>6129</v>
      </c>
      <c r="E4213" s="2" t="s">
        <v>20</v>
      </c>
      <c r="F4213" s="2">
        <v>6.0</v>
      </c>
      <c r="G4213" s="2">
        <v>151.0</v>
      </c>
      <c r="H4213" s="3" t="str">
        <f>HYPERLINK("http://ar.linkedin.com/pub/diego-andrei/A/4B6/354","http://ar.linkedin.com/pub/diego-andrei/A/4B6/354")</f>
        <v>http://ar.linkedin.com/pub/diego-andrei/A/4B6/354</v>
      </c>
      <c r="I4213" s="2" t="s">
        <v>2000</v>
      </c>
      <c r="J4213" s="2" t="s">
        <v>21</v>
      </c>
      <c r="K4213" s="2" t="s">
        <v>5727</v>
      </c>
    </row>
    <row r="4214" ht="15.75" customHeight="1">
      <c r="A4214" s="2">
        <v>43617.0</v>
      </c>
      <c r="B4214" s="2" t="s">
        <v>5723</v>
      </c>
      <c r="C4214" s="2" t="s">
        <v>8874</v>
      </c>
      <c r="D4214" s="2" t="s">
        <v>13</v>
      </c>
      <c r="E4214" s="2" t="s">
        <v>20</v>
      </c>
      <c r="F4214" s="2">
        <v>0.0</v>
      </c>
      <c r="G4214" s="2">
        <v>361.0</v>
      </c>
      <c r="H4214" s="3" t="str">
        <f>HYPERLINK("http://www.linkedin.com/pub/pablo-calcina/14/a91/129","http://www.linkedin.com/pub/pablo-calcina/14/a91/129")</f>
        <v>http://www.linkedin.com/pub/pablo-calcina/14/a91/129</v>
      </c>
      <c r="I4214" s="2" t="s">
        <v>15</v>
      </c>
      <c r="J4214" s="2" t="s">
        <v>21</v>
      </c>
      <c r="K4214" s="2" t="s">
        <v>6046</v>
      </c>
    </row>
    <row r="4215" ht="15.75" customHeight="1">
      <c r="A4215" s="2">
        <v>43620.0</v>
      </c>
      <c r="B4215" s="2" t="s">
        <v>3165</v>
      </c>
      <c r="C4215" s="2" t="s">
        <v>7146</v>
      </c>
      <c r="D4215" s="2" t="s">
        <v>6069</v>
      </c>
      <c r="E4215" s="2" t="s">
        <v>20</v>
      </c>
      <c r="F4215" s="2">
        <v>13.0</v>
      </c>
      <c r="G4215" s="2">
        <v>344.0</v>
      </c>
      <c r="H4215" s="3" t="str">
        <f>HYPERLINK("http://ar.linkedin.com/in/lucianaramos","http://ar.linkedin.com/in/lucianaramos")</f>
        <v>http://ar.linkedin.com/in/lucianaramos</v>
      </c>
      <c r="I4215" s="2" t="s">
        <v>77</v>
      </c>
      <c r="J4215" s="2" t="s">
        <v>21</v>
      </c>
      <c r="K4215" s="2" t="s">
        <v>5731</v>
      </c>
    </row>
    <row r="4216" ht="15.75" customHeight="1">
      <c r="A4216" s="2">
        <v>43637.0</v>
      </c>
      <c r="B4216" s="2" t="s">
        <v>253</v>
      </c>
      <c r="C4216" s="2" t="s">
        <v>7188</v>
      </c>
      <c r="D4216" s="2" t="s">
        <v>8875</v>
      </c>
      <c r="E4216" s="2" t="s">
        <v>20</v>
      </c>
      <c r="F4216" s="2">
        <v>1.0</v>
      </c>
      <c r="G4216" s="2">
        <v>500.0</v>
      </c>
      <c r="H4216" s="3" t="str">
        <f>HYPERLINK("http://ar.linkedin.com/pub/fernando-vazquez/0/60B/267","http://ar.linkedin.com/pub/fernando-vazquez/0/60B/267")</f>
        <v>http://ar.linkedin.com/pub/fernando-vazquez/0/60B/267</v>
      </c>
      <c r="I4216" s="2" t="s">
        <v>15</v>
      </c>
      <c r="J4216" s="2" t="s">
        <v>21</v>
      </c>
      <c r="K4216" s="2" t="s">
        <v>5725</v>
      </c>
    </row>
    <row r="4217" ht="15.75" customHeight="1">
      <c r="A4217" s="2">
        <v>43651.0</v>
      </c>
      <c r="B4217" s="2" t="s">
        <v>8876</v>
      </c>
      <c r="C4217" s="2" t="s">
        <v>8877</v>
      </c>
      <c r="D4217" s="2" t="s">
        <v>8878</v>
      </c>
      <c r="E4217" s="2" t="s">
        <v>20</v>
      </c>
      <c r="F4217" s="2">
        <v>9.0</v>
      </c>
      <c r="G4217" s="2">
        <v>152.0</v>
      </c>
      <c r="H4217" s="3" t="str">
        <f>HYPERLINK("http://ar.linkedin.com/pub/eloy-farina/22/A00/73","http://ar.linkedin.com/pub/eloy-farina/22/A00/73")</f>
        <v>http://ar.linkedin.com/pub/eloy-farina/22/A00/73</v>
      </c>
      <c r="I4217" s="2" t="s">
        <v>77</v>
      </c>
      <c r="J4217" s="2" t="s">
        <v>21</v>
      </c>
      <c r="K4217" s="2" t="s">
        <v>5845</v>
      </c>
    </row>
    <row r="4218" ht="15.75" customHeight="1">
      <c r="A4218" s="2">
        <v>43660.0</v>
      </c>
      <c r="B4218" s="2" t="s">
        <v>6064</v>
      </c>
      <c r="C4218" s="2" t="s">
        <v>8879</v>
      </c>
      <c r="D4218" s="2" t="s">
        <v>8880</v>
      </c>
      <c r="E4218" s="2" t="s">
        <v>20</v>
      </c>
      <c r="F4218" s="2">
        <v>7.0</v>
      </c>
      <c r="G4218" s="2">
        <v>500.0</v>
      </c>
      <c r="H4218" s="3" t="str">
        <f>HYPERLINK("http://ar.linkedin.com/in/angiej","http://ar.linkedin.com/in/angiej")</f>
        <v>http://ar.linkedin.com/in/angiej</v>
      </c>
      <c r="I4218" s="2" t="s">
        <v>252</v>
      </c>
      <c r="J4218" s="2" t="s">
        <v>21</v>
      </c>
      <c r="K4218" s="2" t="s">
        <v>5727</v>
      </c>
    </row>
    <row r="4219" ht="15.75" customHeight="1">
      <c r="A4219" s="2">
        <v>43676.0</v>
      </c>
      <c r="B4219" s="2" t="s">
        <v>8881</v>
      </c>
      <c r="C4219" s="2" t="s">
        <v>8882</v>
      </c>
      <c r="D4219" s="2" t="s">
        <v>8636</v>
      </c>
      <c r="E4219" s="2" t="s">
        <v>701</v>
      </c>
      <c r="F4219" s="2">
        <v>1.0</v>
      </c>
      <c r="G4219" s="2">
        <v>124.0</v>
      </c>
      <c r="H4219" s="3" t="str">
        <f>HYPERLINK("http://ar.linkedin.com/pub/thiago-arroadie/13/99B/227","http://ar.linkedin.com/pub/thiago-arroadie/13/99B/227")</f>
        <v>http://ar.linkedin.com/pub/thiago-arroadie/13/99B/227</v>
      </c>
      <c r="I4219" s="2" t="s">
        <v>69</v>
      </c>
      <c r="J4219" s="2" t="s">
        <v>702</v>
      </c>
      <c r="K4219" s="2" t="s">
        <v>6178</v>
      </c>
    </row>
    <row r="4220" ht="15.75" customHeight="1">
      <c r="A4220" s="2">
        <v>43678.0</v>
      </c>
      <c r="B4220" s="2" t="s">
        <v>5728</v>
      </c>
      <c r="C4220" s="2" t="s">
        <v>8883</v>
      </c>
      <c r="D4220" s="2" t="s">
        <v>8884</v>
      </c>
      <c r="E4220" s="2" t="s">
        <v>20</v>
      </c>
      <c r="F4220" s="2">
        <v>4.0</v>
      </c>
      <c r="G4220" s="2">
        <v>482.0</v>
      </c>
      <c r="H4220" s="3" t="str">
        <f>HYPERLINK("http://ar.linkedin.com/pub/maximiliano-carbajal/3/8A/33","http://ar.linkedin.com/pub/maximiliano-carbajal/3/8A/33")</f>
        <v>http://ar.linkedin.com/pub/maximiliano-carbajal/3/8A/33</v>
      </c>
      <c r="I4220" s="2" t="s">
        <v>844</v>
      </c>
      <c r="J4220" s="2" t="s">
        <v>21</v>
      </c>
      <c r="K4220" s="2" t="s">
        <v>5727</v>
      </c>
    </row>
    <row r="4221" ht="15.75" customHeight="1">
      <c r="A4221" s="2">
        <v>43681.0</v>
      </c>
      <c r="B4221" s="2" t="s">
        <v>8885</v>
      </c>
      <c r="C4221" s="2" t="s">
        <v>8886</v>
      </c>
      <c r="D4221" s="2" t="s">
        <v>1865</v>
      </c>
      <c r="E4221" s="2" t="s">
        <v>20</v>
      </c>
      <c r="F4221" s="2">
        <v>1.0</v>
      </c>
      <c r="G4221" s="2">
        <v>292.0</v>
      </c>
      <c r="H4221" s="3" t="str">
        <f>HYPERLINK("http://ar.linkedin.com/in/gespindola","http://ar.linkedin.com/in/gespindola")</f>
        <v>http://ar.linkedin.com/in/gespindola</v>
      </c>
      <c r="I4221" s="2" t="s">
        <v>57</v>
      </c>
      <c r="J4221" s="2" t="s">
        <v>21</v>
      </c>
      <c r="K4221" s="2" t="s">
        <v>5785</v>
      </c>
    </row>
    <row r="4222" ht="15.75" customHeight="1">
      <c r="A4222" s="2">
        <v>43685.0</v>
      </c>
      <c r="B4222" s="2" t="s">
        <v>6252</v>
      </c>
      <c r="C4222" s="2" t="s">
        <v>6543</v>
      </c>
      <c r="D4222" s="2" t="s">
        <v>8123</v>
      </c>
      <c r="E4222" s="2" t="s">
        <v>20</v>
      </c>
      <c r="F4222" s="2">
        <v>4.0</v>
      </c>
      <c r="G4222" s="2">
        <v>453.0</v>
      </c>
      <c r="H4222" s="3" t="str">
        <f>HYPERLINK("http://ar.linkedin.com/in/santiagomblanco","http://ar.linkedin.com/in/santiagomblanco")</f>
        <v>http://ar.linkedin.com/in/santiagomblanco</v>
      </c>
      <c r="I4222" s="2" t="s">
        <v>77</v>
      </c>
      <c r="J4222" s="2" t="s">
        <v>21</v>
      </c>
      <c r="K4222" s="2" t="s">
        <v>5731</v>
      </c>
    </row>
    <row r="4223" ht="15.75" customHeight="1">
      <c r="A4223" s="2">
        <v>43700.0</v>
      </c>
      <c r="B4223" s="2" t="s">
        <v>371</v>
      </c>
      <c r="C4223" s="2" t="s">
        <v>8887</v>
      </c>
      <c r="D4223" s="2" t="s">
        <v>8888</v>
      </c>
      <c r="E4223" s="2" t="s">
        <v>20</v>
      </c>
      <c r="F4223" s="2">
        <v>4.0</v>
      </c>
      <c r="G4223" s="2">
        <v>500.0</v>
      </c>
      <c r="H4223" s="3" t="str">
        <f>HYPERLINK("http://ar.linkedin.com/pub/cristina-marquez/26/463/433","http://ar.linkedin.com/pub/cristina-marquez/26/463/433")</f>
        <v>http://ar.linkedin.com/pub/cristina-marquez/26/463/433</v>
      </c>
      <c r="I4223" s="2" t="s">
        <v>57</v>
      </c>
      <c r="J4223" s="2" t="s">
        <v>21</v>
      </c>
      <c r="K4223" s="2" t="s">
        <v>5727</v>
      </c>
    </row>
    <row r="4224" ht="15.75" customHeight="1">
      <c r="A4224" s="2">
        <v>43711.0</v>
      </c>
      <c r="B4224" s="2" t="s">
        <v>5483</v>
      </c>
      <c r="C4224" s="2" t="s">
        <v>8889</v>
      </c>
      <c r="D4224" s="2" t="s">
        <v>8890</v>
      </c>
      <c r="E4224" s="2" t="s">
        <v>20</v>
      </c>
      <c r="F4224" s="2">
        <v>10.0</v>
      </c>
      <c r="G4224" s="2">
        <v>500.0</v>
      </c>
      <c r="H4224" s="3" t="str">
        <f>HYPERLINK("http://ar.linkedin.com/in/anibalmenezes","http://ar.linkedin.com/in/anibalmenezes")</f>
        <v>http://ar.linkedin.com/in/anibalmenezes</v>
      </c>
      <c r="I4224" s="2" t="s">
        <v>240</v>
      </c>
      <c r="J4224" s="2" t="s">
        <v>21</v>
      </c>
      <c r="K4224" s="2" t="s">
        <v>6388</v>
      </c>
    </row>
    <row r="4225" ht="15.75" customHeight="1">
      <c r="A4225" s="2">
        <v>43713.0</v>
      </c>
      <c r="B4225" s="2" t="s">
        <v>3305</v>
      </c>
      <c r="C4225" s="2" t="s">
        <v>8891</v>
      </c>
      <c r="D4225" s="2" t="s">
        <v>2446</v>
      </c>
      <c r="E4225" s="2" t="s">
        <v>20</v>
      </c>
      <c r="F4225" s="2">
        <v>4.0</v>
      </c>
      <c r="G4225" s="2">
        <v>500.0</v>
      </c>
      <c r="H4225" s="3" t="str">
        <f>HYPERLINK("http://ar.linkedin.com/in/anagorleri","http://ar.linkedin.com/in/anagorleri")</f>
        <v>http://ar.linkedin.com/in/anagorleri</v>
      </c>
      <c r="I4225" s="2" t="s">
        <v>458</v>
      </c>
      <c r="J4225" s="2" t="s">
        <v>21</v>
      </c>
      <c r="K4225" s="2" t="s">
        <v>5727</v>
      </c>
    </row>
    <row r="4226" ht="15.75" customHeight="1">
      <c r="A4226" s="2">
        <v>43721.0</v>
      </c>
      <c r="B4226" s="2" t="s">
        <v>8892</v>
      </c>
      <c r="C4226" s="2" t="s">
        <v>8893</v>
      </c>
      <c r="D4226" s="2" t="s">
        <v>8894</v>
      </c>
      <c r="E4226" s="2" t="s">
        <v>20</v>
      </c>
      <c r="F4226" s="2">
        <v>4.0</v>
      </c>
      <c r="G4226" s="2">
        <v>500.0</v>
      </c>
      <c r="H4226" s="3" t="str">
        <f>HYPERLINK("http://ar.linkedin.com/pub/guillermo-nicol%C3%A1s-discoli/A/352/29B","http://ar.linkedin.com/pub/guillermo-nicol%C3%A1s-discoli/A/352/29B")</f>
        <v>http://ar.linkedin.com/pub/guillermo-nicol%C3%A1s-discoli/A/352/29B</v>
      </c>
      <c r="I4226" s="2" t="s">
        <v>195</v>
      </c>
      <c r="J4226" s="2" t="s">
        <v>21</v>
      </c>
      <c r="K4226" s="2" t="s">
        <v>6046</v>
      </c>
    </row>
    <row r="4227" ht="15.75" customHeight="1">
      <c r="A4227" s="2">
        <v>43730.0</v>
      </c>
      <c r="B4227" s="2" t="s">
        <v>8895</v>
      </c>
      <c r="C4227" s="2" t="s">
        <v>8896</v>
      </c>
      <c r="D4227" s="2" t="s">
        <v>8897</v>
      </c>
      <c r="E4227" s="2" t="s">
        <v>20</v>
      </c>
      <c r="F4227" s="2" t="s">
        <v>13</v>
      </c>
      <c r="G4227" s="2">
        <v>167.0</v>
      </c>
      <c r="H4227" s="3" t="str">
        <f>HYPERLINK("http://ar.linkedin.com/pub/javier-prudencio-paredes/12/441/350","http://ar.linkedin.com/pub/javier-prudencio-paredes/12/441/350")</f>
        <v>http://ar.linkedin.com/pub/javier-prudencio-paredes/12/441/350</v>
      </c>
      <c r="I4227" s="2" t="s">
        <v>279</v>
      </c>
      <c r="J4227" s="2" t="s">
        <v>21</v>
      </c>
      <c r="K4227" s="2" t="s">
        <v>6178</v>
      </c>
    </row>
    <row r="4228" ht="15.75" customHeight="1">
      <c r="A4228" s="2">
        <v>43741.0</v>
      </c>
      <c r="B4228" s="2" t="s">
        <v>8898</v>
      </c>
      <c r="C4228" s="2" t="s">
        <v>8899</v>
      </c>
      <c r="D4228" s="2" t="s">
        <v>8900</v>
      </c>
      <c r="E4228" s="2" t="s">
        <v>20</v>
      </c>
      <c r="F4228" s="2">
        <v>8.0</v>
      </c>
      <c r="G4228" s="2">
        <v>500.0</v>
      </c>
      <c r="H4228" s="3" t="str">
        <f>HYPERLINK("http://ar.linkedin.com/pub/adriana-b-bonavita/0/14B/3B","http://ar.linkedin.com/pub/adriana-b-bonavita/0/14B/3B")</f>
        <v>http://ar.linkedin.com/pub/adriana-b-bonavita/0/14B/3B</v>
      </c>
      <c r="I4228" s="2" t="s">
        <v>458</v>
      </c>
      <c r="J4228" s="2" t="s">
        <v>21</v>
      </c>
      <c r="K4228" s="2" t="s">
        <v>5727</v>
      </c>
    </row>
    <row r="4229" ht="15.75" customHeight="1">
      <c r="A4229" s="2">
        <v>43748.0</v>
      </c>
      <c r="B4229" s="2" t="s">
        <v>4143</v>
      </c>
      <c r="C4229" s="2" t="s">
        <v>8901</v>
      </c>
      <c r="D4229" s="2" t="s">
        <v>13</v>
      </c>
      <c r="E4229" s="2" t="s">
        <v>20</v>
      </c>
      <c r="F4229" s="2">
        <v>31.0</v>
      </c>
      <c r="G4229" s="2">
        <v>500.0</v>
      </c>
      <c r="H4229" s="3" t="str">
        <f>HYPERLINK("http://www.linkedin.com/pub/david-m-rey-goitia/23/456/b29","http://www.linkedin.com/pub/david-m-rey-goitia/23/456/b29")</f>
        <v>http://www.linkedin.com/pub/david-m-rey-goitia/23/456/b29</v>
      </c>
      <c r="I4229" s="2" t="s">
        <v>681</v>
      </c>
      <c r="J4229" s="2" t="s">
        <v>21</v>
      </c>
      <c r="K4229" s="2" t="s">
        <v>5727</v>
      </c>
    </row>
    <row r="4230" ht="15.75" customHeight="1">
      <c r="A4230" s="2">
        <v>43774.0</v>
      </c>
      <c r="B4230" s="2" t="s">
        <v>8902</v>
      </c>
      <c r="C4230" s="2" t="s">
        <v>8903</v>
      </c>
      <c r="D4230" s="2" t="s">
        <v>8904</v>
      </c>
      <c r="E4230" s="2" t="s">
        <v>122</v>
      </c>
      <c r="F4230" s="2">
        <v>2.0</v>
      </c>
      <c r="G4230" s="2">
        <v>500.0</v>
      </c>
      <c r="H4230" s="3" t="str">
        <f>HYPERLINK("http://ar.linkedin.com/pub/bianca-sundell/17/884/8B8","http://ar.linkedin.com/pub/bianca-sundell/17/884/8B8")</f>
        <v>http://ar.linkedin.com/pub/bianca-sundell/17/884/8B8</v>
      </c>
      <c r="I4230" s="2" t="s">
        <v>248</v>
      </c>
      <c r="J4230" s="2" t="s">
        <v>53</v>
      </c>
      <c r="K4230" s="2" t="s">
        <v>8905</v>
      </c>
    </row>
    <row r="4231" ht="15.75" customHeight="1">
      <c r="A4231" s="2">
        <v>43796.0</v>
      </c>
      <c r="B4231" s="2" t="s">
        <v>7837</v>
      </c>
      <c r="C4231" s="2" t="s">
        <v>8906</v>
      </c>
      <c r="D4231" s="2" t="s">
        <v>8907</v>
      </c>
      <c r="E4231" s="2" t="s">
        <v>8908</v>
      </c>
      <c r="F4231" s="2">
        <v>6.0</v>
      </c>
      <c r="G4231" s="2">
        <v>235.0</v>
      </c>
      <c r="H4231" s="3" t="str">
        <f>HYPERLINK("http://www.linkedin.com/in/mfernandaluna","http://www.linkedin.com/in/mfernandaluna")</f>
        <v>http://www.linkedin.com/in/mfernandaluna</v>
      </c>
      <c r="I4231" s="2" t="s">
        <v>612</v>
      </c>
      <c r="J4231" s="2" t="s">
        <v>102</v>
      </c>
      <c r="K4231" s="2" t="s">
        <v>8909</v>
      </c>
    </row>
    <row r="4232" ht="15.75" customHeight="1">
      <c r="A4232" s="2">
        <v>43844.0</v>
      </c>
      <c r="B4232" s="2" t="s">
        <v>70</v>
      </c>
      <c r="C4232" s="2" t="s">
        <v>5864</v>
      </c>
      <c r="D4232" s="2" t="s">
        <v>8910</v>
      </c>
      <c r="E4232" s="2" t="s">
        <v>20</v>
      </c>
      <c r="F4232" s="2">
        <v>3.0</v>
      </c>
      <c r="G4232" s="2">
        <v>361.0</v>
      </c>
      <c r="H4232" s="3" t="str">
        <f>HYPERLINK("http://ar.linkedin.com/pub/gustavo-pages/3/A36/7BA","http://ar.linkedin.com/pub/gustavo-pages/3/A36/7BA")</f>
        <v>http://ar.linkedin.com/pub/gustavo-pages/3/A36/7BA</v>
      </c>
      <c r="I4232" s="2" t="s">
        <v>77</v>
      </c>
      <c r="J4232" s="2" t="s">
        <v>21</v>
      </c>
      <c r="K4232" s="2" t="s">
        <v>5743</v>
      </c>
    </row>
    <row r="4233" ht="15.75" customHeight="1">
      <c r="A4233" s="2">
        <v>43848.0</v>
      </c>
      <c r="B4233" s="2" t="s">
        <v>8519</v>
      </c>
      <c r="C4233" s="2" t="s">
        <v>3392</v>
      </c>
      <c r="D4233" s="2" t="s">
        <v>8911</v>
      </c>
      <c r="E4233" s="2" t="s">
        <v>20</v>
      </c>
      <c r="F4233" s="2" t="s">
        <v>13</v>
      </c>
      <c r="G4233" s="2">
        <v>357.0</v>
      </c>
      <c r="H4233" s="3" t="str">
        <f>HYPERLINK("http://ar.linkedin.com/pub/jose-luis-lopez/8/113/325","http://ar.linkedin.com/pub/jose-luis-lopez/8/113/325")</f>
        <v>http://ar.linkedin.com/pub/jose-luis-lopez/8/113/325</v>
      </c>
      <c r="I4233" s="2" t="s">
        <v>77</v>
      </c>
      <c r="J4233" s="2" t="s">
        <v>21</v>
      </c>
      <c r="K4233" s="2" t="s">
        <v>5785</v>
      </c>
    </row>
    <row r="4234" ht="15.75" customHeight="1">
      <c r="A4234" s="2">
        <v>43859.0</v>
      </c>
      <c r="B4234" s="2" t="s">
        <v>5732</v>
      </c>
      <c r="C4234" s="2" t="s">
        <v>8912</v>
      </c>
      <c r="D4234" s="2" t="s">
        <v>8913</v>
      </c>
      <c r="E4234" s="2" t="s">
        <v>20</v>
      </c>
      <c r="F4234" s="2" t="s">
        <v>13</v>
      </c>
      <c r="G4234" s="2">
        <v>500.0</v>
      </c>
      <c r="H4234" s="3" t="str">
        <f>HYPERLINK("http://ar.linkedin.com/pub/mart%C3%ADn-heine/8/618/B65","http://ar.linkedin.com/pub/mart%C3%ADn-heine/8/618/B65")</f>
        <v>http://ar.linkedin.com/pub/mart%C3%ADn-heine/8/618/B65</v>
      </c>
      <c r="I4234" s="2" t="s">
        <v>77</v>
      </c>
      <c r="J4234" s="2" t="s">
        <v>21</v>
      </c>
      <c r="K4234" s="2" t="s">
        <v>6342</v>
      </c>
    </row>
    <row r="4235" ht="15.75" customHeight="1">
      <c r="A4235" s="2">
        <v>43860.0</v>
      </c>
      <c r="B4235" s="2" t="s">
        <v>79</v>
      </c>
      <c r="C4235" s="2" t="s">
        <v>8914</v>
      </c>
      <c r="D4235" s="2" t="s">
        <v>7166</v>
      </c>
      <c r="E4235" s="2" t="s">
        <v>20</v>
      </c>
      <c r="F4235" s="2">
        <v>6.0</v>
      </c>
      <c r="G4235" s="2">
        <v>500.0</v>
      </c>
      <c r="H4235" s="3" t="str">
        <f>HYPERLINK("http://www.linkedin.com/pub/tom%C3%A1s-ennis/24/428/a15","http://www.linkedin.com/pub/tom%C3%A1s-ennis/24/428/a15")</f>
        <v>http://www.linkedin.com/pub/tom%C3%A1s-ennis/24/428/a15</v>
      </c>
      <c r="I4235" s="2" t="s">
        <v>279</v>
      </c>
      <c r="J4235" s="2" t="s">
        <v>21</v>
      </c>
      <c r="K4235" s="2" t="s">
        <v>5734</v>
      </c>
    </row>
    <row r="4236" ht="15.75" customHeight="1">
      <c r="A4236" s="2">
        <v>43870.0</v>
      </c>
      <c r="B4236" s="2" t="s">
        <v>6417</v>
      </c>
      <c r="C4236" s="2" t="s">
        <v>8915</v>
      </c>
      <c r="D4236" s="2" t="s">
        <v>8916</v>
      </c>
      <c r="E4236" s="2" t="s">
        <v>20</v>
      </c>
      <c r="F4236" s="2">
        <v>14.0</v>
      </c>
      <c r="G4236" s="2">
        <v>500.0</v>
      </c>
      <c r="H4236" s="3" t="str">
        <f>HYPERLINK("http://ar.linkedin.com/in/gbases","http://ar.linkedin.com/in/gbases")</f>
        <v>http://ar.linkedin.com/in/gbases</v>
      </c>
      <c r="I4236" s="2" t="s">
        <v>105</v>
      </c>
      <c r="J4236" s="2" t="s">
        <v>21</v>
      </c>
      <c r="K4236" s="2" t="s">
        <v>5727</v>
      </c>
    </row>
    <row r="4237" ht="15.75" customHeight="1">
      <c r="A4237" s="2">
        <v>43903.0</v>
      </c>
      <c r="B4237" s="2" t="s">
        <v>5871</v>
      </c>
      <c r="C4237" s="2" t="s">
        <v>3943</v>
      </c>
      <c r="D4237" s="2" t="s">
        <v>8917</v>
      </c>
      <c r="E4237" s="2" t="s">
        <v>20</v>
      </c>
      <c r="F4237" s="2">
        <v>6.0</v>
      </c>
      <c r="G4237" s="2">
        <v>326.0</v>
      </c>
      <c r="H4237" s="3" t="str">
        <f>HYPERLINK("http://ar.linkedin.com/pub/sabrina-rodriguez/23/A71/263","http://ar.linkedin.com/pub/sabrina-rodriguez/23/A71/263")</f>
        <v>http://ar.linkedin.com/pub/sabrina-rodriguez/23/A71/263</v>
      </c>
      <c r="I4237" s="2" t="s">
        <v>458</v>
      </c>
      <c r="J4237" s="2" t="s">
        <v>21</v>
      </c>
      <c r="K4237" s="2" t="s">
        <v>5727</v>
      </c>
    </row>
    <row r="4238" ht="15.75" customHeight="1">
      <c r="A4238" s="2">
        <v>43911.0</v>
      </c>
      <c r="B4238" s="2" t="s">
        <v>3268</v>
      </c>
      <c r="C4238" s="2" t="s">
        <v>8918</v>
      </c>
      <c r="D4238" s="2" t="s">
        <v>8919</v>
      </c>
      <c r="E4238" s="2" t="s">
        <v>20</v>
      </c>
      <c r="F4238" s="2">
        <v>10.0</v>
      </c>
      <c r="G4238" s="2">
        <v>500.0</v>
      </c>
      <c r="H4238" s="3" t="str">
        <f>HYPERLINK("http://ar.linkedin.com/in/patriciaprigent","http://ar.linkedin.com/in/patriciaprigent")</f>
        <v>http://ar.linkedin.com/in/patriciaprigent</v>
      </c>
      <c r="I4238" s="2" t="s">
        <v>910</v>
      </c>
      <c r="J4238" s="2" t="s">
        <v>21</v>
      </c>
      <c r="K4238" s="2" t="s">
        <v>5743</v>
      </c>
    </row>
    <row r="4239" ht="15.75" customHeight="1">
      <c r="A4239" s="2">
        <v>43920.0</v>
      </c>
      <c r="B4239" s="2" t="s">
        <v>8920</v>
      </c>
      <c r="C4239" s="2" t="s">
        <v>8921</v>
      </c>
      <c r="D4239" s="2" t="s">
        <v>13</v>
      </c>
      <c r="E4239" s="2" t="s">
        <v>20</v>
      </c>
      <c r="F4239" s="2">
        <v>0.0</v>
      </c>
      <c r="G4239" s="2">
        <v>500.0</v>
      </c>
      <c r="H4239" s="3" t="str">
        <f>HYPERLINK("http://www.linkedin.com/pub/delfina-cavalli/b/a5b/79b","http://www.linkedin.com/pub/delfina-cavalli/b/a5b/79b")</f>
        <v>http://www.linkedin.com/pub/delfina-cavalli/b/a5b/79b</v>
      </c>
      <c r="I4239" s="2" t="s">
        <v>458</v>
      </c>
      <c r="J4239" s="2" t="s">
        <v>21</v>
      </c>
      <c r="K4239" s="2" t="s">
        <v>6096</v>
      </c>
    </row>
    <row r="4240" ht="15.75" customHeight="1">
      <c r="A4240" s="2">
        <v>43932.0</v>
      </c>
      <c r="B4240" s="2" t="s">
        <v>5763</v>
      </c>
      <c r="C4240" s="2" t="s">
        <v>3375</v>
      </c>
      <c r="D4240" s="2" t="s">
        <v>3621</v>
      </c>
      <c r="E4240" s="2" t="s">
        <v>20</v>
      </c>
      <c r="F4240" s="2">
        <v>2.0</v>
      </c>
      <c r="G4240" s="2">
        <v>477.0</v>
      </c>
      <c r="H4240" s="3" t="str">
        <f>HYPERLINK("http://ar.linkedin.com/pub/ezequiel-rubin/8/47B/78B","http://ar.linkedin.com/pub/ezequiel-rubin/8/47B/78B")</f>
        <v>http://ar.linkedin.com/pub/ezequiel-rubin/8/47B/78B</v>
      </c>
      <c r="I4240" s="2" t="s">
        <v>252</v>
      </c>
      <c r="J4240" s="2" t="s">
        <v>21</v>
      </c>
      <c r="K4240" s="2" t="s">
        <v>5727</v>
      </c>
    </row>
    <row r="4241" ht="15.75" customHeight="1">
      <c r="A4241" s="2">
        <v>43944.0</v>
      </c>
      <c r="B4241" s="2" t="s">
        <v>362</v>
      </c>
      <c r="C4241" s="2" t="s">
        <v>8922</v>
      </c>
      <c r="D4241" s="2" t="s">
        <v>8923</v>
      </c>
      <c r="E4241" s="2" t="s">
        <v>20</v>
      </c>
      <c r="F4241" s="2">
        <v>13.0</v>
      </c>
      <c r="G4241" s="2">
        <v>413.0</v>
      </c>
      <c r="H4241" s="3" t="str">
        <f>HYPERLINK("http://ar.linkedin.com/in/jbonino","http://ar.linkedin.com/in/jbonino")</f>
        <v>http://ar.linkedin.com/in/jbonino</v>
      </c>
      <c r="I4241" s="2" t="s">
        <v>8924</v>
      </c>
      <c r="J4241" s="2" t="s">
        <v>21</v>
      </c>
      <c r="K4241" s="2" t="s">
        <v>5727</v>
      </c>
    </row>
    <row r="4242" ht="15.75" customHeight="1">
      <c r="A4242" s="2">
        <v>43945.0</v>
      </c>
      <c r="B4242" s="2" t="s">
        <v>8925</v>
      </c>
      <c r="C4242" s="2" t="s">
        <v>8926</v>
      </c>
      <c r="D4242" s="2" t="s">
        <v>13</v>
      </c>
      <c r="E4242" s="2" t="s">
        <v>20</v>
      </c>
      <c r="F4242" s="2">
        <v>23.0</v>
      </c>
      <c r="G4242" s="2">
        <v>500.0</v>
      </c>
      <c r="H4242" s="3" t="str">
        <f>HYPERLINK("http://www.linkedin.com/pub/juan-gabriel-micheletti/9/888/b99","http://www.linkedin.com/pub/juan-gabriel-micheletti/9/888/b99")</f>
        <v>http://www.linkedin.com/pub/juan-gabriel-micheletti/9/888/b99</v>
      </c>
      <c r="I4242" s="2" t="s">
        <v>374</v>
      </c>
      <c r="J4242" s="2" t="s">
        <v>21</v>
      </c>
      <c r="K4242" s="2" t="s">
        <v>5731</v>
      </c>
    </row>
    <row r="4243" ht="15.75" customHeight="1">
      <c r="A4243" s="2">
        <v>43948.0</v>
      </c>
      <c r="B4243" s="2" t="s">
        <v>6025</v>
      </c>
      <c r="C4243" s="2" t="s">
        <v>8927</v>
      </c>
      <c r="D4243" s="2" t="s">
        <v>289</v>
      </c>
      <c r="E4243" s="2" t="s">
        <v>20</v>
      </c>
      <c r="F4243" s="2">
        <v>17.0</v>
      </c>
      <c r="G4243" s="2">
        <v>380.0</v>
      </c>
      <c r="H4243" s="3" t="str">
        <f>HYPERLINK("http://ar.linkedin.com/pub/hernan-petruzzi/11/B76/B2","http://ar.linkedin.com/pub/hernan-petruzzi/11/B76/B2")</f>
        <v>http://ar.linkedin.com/pub/hernan-petruzzi/11/B76/B2</v>
      </c>
      <c r="I4243" s="2" t="s">
        <v>612</v>
      </c>
      <c r="J4243" s="2" t="s">
        <v>21</v>
      </c>
      <c r="K4243" s="2" t="s">
        <v>5727</v>
      </c>
    </row>
    <row r="4244" ht="15.75" customHeight="1">
      <c r="A4244" s="2">
        <v>43962.0</v>
      </c>
      <c r="B4244" s="2" t="s">
        <v>5874</v>
      </c>
      <c r="C4244" s="2" t="s">
        <v>8928</v>
      </c>
      <c r="D4244" s="2" t="s">
        <v>13</v>
      </c>
      <c r="E4244" s="2" t="s">
        <v>20</v>
      </c>
      <c r="F4244" s="2">
        <v>9.0</v>
      </c>
      <c r="G4244" s="2">
        <v>479.0</v>
      </c>
      <c r="H4244" s="3" t="str">
        <f>HYPERLINK("http://www.linkedin.com/pub/juan-carlos-martinez-carlevaro/12/905/990","http://www.linkedin.com/pub/juan-carlos-martinez-carlevaro/12/905/990")</f>
        <v>http://www.linkedin.com/pub/juan-carlos-martinez-carlevaro/12/905/990</v>
      </c>
      <c r="I4244" s="2" t="s">
        <v>844</v>
      </c>
      <c r="J4244" s="2" t="s">
        <v>21</v>
      </c>
      <c r="K4244" s="2" t="s">
        <v>5727</v>
      </c>
    </row>
    <row r="4245" ht="15.75" customHeight="1">
      <c r="A4245" s="2">
        <v>43969.0</v>
      </c>
      <c r="B4245" s="2" t="s">
        <v>8929</v>
      </c>
      <c r="C4245" s="2" t="s">
        <v>6736</v>
      </c>
      <c r="D4245" s="2" t="s">
        <v>13</v>
      </c>
      <c r="E4245" s="2" t="s">
        <v>20</v>
      </c>
      <c r="F4245" s="2">
        <v>0.0</v>
      </c>
      <c r="G4245" s="2">
        <v>500.0</v>
      </c>
      <c r="H4245" s="3" t="str">
        <f>HYPERLINK("http://ar.linkedin.com/in/norbertorubenserrano","http://ar.linkedin.com/in/norbertorubenserrano")</f>
        <v>http://ar.linkedin.com/in/norbertorubenserrano</v>
      </c>
      <c r="I4245" s="2" t="s">
        <v>458</v>
      </c>
      <c r="J4245" s="2" t="s">
        <v>21</v>
      </c>
      <c r="K4245" s="2" t="s">
        <v>5727</v>
      </c>
    </row>
    <row r="4246" ht="15.75" customHeight="1">
      <c r="A4246" s="2">
        <v>43975.0</v>
      </c>
      <c r="B4246" s="2" t="s">
        <v>8313</v>
      </c>
      <c r="C4246" s="2" t="s">
        <v>5891</v>
      </c>
      <c r="D4246" s="2" t="s">
        <v>8930</v>
      </c>
      <c r="E4246" s="2" t="s">
        <v>20</v>
      </c>
      <c r="F4246" s="2" t="s">
        <v>13</v>
      </c>
      <c r="G4246" s="2">
        <v>120.0</v>
      </c>
      <c r="H4246" s="3" t="str">
        <f>HYPERLINK("http://ar.linkedin.com/pub/julian-herrera/2A/952/148","http://ar.linkedin.com/pub/julian-herrera/2A/952/148")</f>
        <v>http://ar.linkedin.com/pub/julian-herrera/2A/952/148</v>
      </c>
      <c r="I4246" s="2" t="s">
        <v>15</v>
      </c>
      <c r="J4246" s="2" t="s">
        <v>21</v>
      </c>
      <c r="K4246" s="2" t="s">
        <v>5725</v>
      </c>
    </row>
    <row r="4247" ht="15.75" customHeight="1">
      <c r="A4247" s="2">
        <v>43978.0</v>
      </c>
      <c r="B4247" s="2" t="s">
        <v>314</v>
      </c>
      <c r="C4247" s="2" t="s">
        <v>8931</v>
      </c>
      <c r="D4247" s="2" t="s">
        <v>13</v>
      </c>
      <c r="E4247" s="2" t="s">
        <v>20</v>
      </c>
      <c r="F4247" s="2">
        <v>0.0</v>
      </c>
      <c r="G4247" s="2">
        <v>194.0</v>
      </c>
      <c r="H4247" s="3" t="str">
        <f>HYPERLINK("http://www.linkedin.com/pub/marcos-tonina/14/3a2/773","http://www.linkedin.com/pub/marcos-tonina/14/3a2/773")</f>
        <v>http://www.linkedin.com/pub/marcos-tonina/14/3a2/773</v>
      </c>
      <c r="I4247" s="2" t="s">
        <v>15</v>
      </c>
      <c r="J4247" s="2" t="s">
        <v>21</v>
      </c>
      <c r="K4247" s="2" t="s">
        <v>6178</v>
      </c>
    </row>
    <row r="4248" ht="15.75" customHeight="1">
      <c r="A4248" s="2">
        <v>43990.0</v>
      </c>
      <c r="B4248" s="2" t="s">
        <v>5732</v>
      </c>
      <c r="C4248" s="2" t="s">
        <v>8932</v>
      </c>
      <c r="D4248" s="2" t="s">
        <v>8933</v>
      </c>
      <c r="E4248" s="2" t="s">
        <v>20</v>
      </c>
      <c r="F4248" s="2">
        <v>1.0</v>
      </c>
      <c r="G4248" s="2">
        <v>160.0</v>
      </c>
      <c r="H4248" s="3" t="str">
        <f>HYPERLINK("http://ar.linkedin.com/pub/mart%C3%ADn-acosta/22/890/A84","http://ar.linkedin.com/pub/mart%C3%ADn-acosta/22/890/A84")</f>
        <v>http://ar.linkedin.com/pub/mart%C3%ADn-acosta/22/890/A84</v>
      </c>
      <c r="I4248" s="2" t="s">
        <v>252</v>
      </c>
      <c r="J4248" s="2" t="s">
        <v>21</v>
      </c>
      <c r="K4248" s="2" t="s">
        <v>5734</v>
      </c>
    </row>
    <row r="4249" ht="15.75" customHeight="1">
      <c r="A4249" s="2">
        <v>44014.0</v>
      </c>
      <c r="B4249" s="2" t="s">
        <v>3268</v>
      </c>
      <c r="C4249" s="2" t="s">
        <v>8934</v>
      </c>
      <c r="D4249" s="2" t="s">
        <v>8935</v>
      </c>
      <c r="E4249" s="2" t="s">
        <v>20</v>
      </c>
      <c r="F4249" s="2">
        <v>1.0</v>
      </c>
      <c r="G4249" s="2">
        <v>500.0</v>
      </c>
      <c r="H4249" s="3" t="str">
        <f>HYPERLINK("http://ar.linkedin.com/pub/patricia-s-/2A/8B5/734","http://ar.linkedin.com/pub/patricia-s-/2A/8B5/734")</f>
        <v>http://ar.linkedin.com/pub/patricia-s-/2A/8B5/734</v>
      </c>
      <c r="I4249" s="2" t="s">
        <v>458</v>
      </c>
      <c r="J4249" s="2" t="s">
        <v>21</v>
      </c>
      <c r="K4249" s="2" t="s">
        <v>5734</v>
      </c>
    </row>
    <row r="4250" ht="15.75" customHeight="1">
      <c r="A4250" s="2">
        <v>44032.0</v>
      </c>
      <c r="B4250" s="2" t="s">
        <v>5732</v>
      </c>
      <c r="C4250" s="2" t="s">
        <v>8936</v>
      </c>
      <c r="D4250" s="2" t="s">
        <v>13</v>
      </c>
      <c r="E4250" s="2" t="s">
        <v>20</v>
      </c>
      <c r="F4250" s="2">
        <v>0.0</v>
      </c>
      <c r="G4250" s="2">
        <v>500.0</v>
      </c>
      <c r="H4250" s="3" t="str">
        <f>HYPERLINK("http://www.linkedin.com/pub/mart%C3%ADn-amat/12/38b/46","http://www.linkedin.com/pub/mart%C3%ADn-amat/12/38b/46")</f>
        <v>http://www.linkedin.com/pub/mart%C3%ADn-amat/12/38b/46</v>
      </c>
      <c r="I4250" s="2" t="s">
        <v>15</v>
      </c>
      <c r="J4250" s="2" t="s">
        <v>21</v>
      </c>
      <c r="K4250" s="2" t="s">
        <v>6124</v>
      </c>
    </row>
    <row r="4251" ht="15.75" customHeight="1">
      <c r="A4251" s="2">
        <v>44189.0</v>
      </c>
      <c r="B4251" s="2" t="s">
        <v>5078</v>
      </c>
      <c r="C4251" s="2" t="s">
        <v>6320</v>
      </c>
      <c r="D4251" s="2" t="s">
        <v>428</v>
      </c>
      <c r="E4251" s="2" t="s">
        <v>2058</v>
      </c>
      <c r="F4251" s="2">
        <v>8.0</v>
      </c>
      <c r="G4251" s="2">
        <v>500.0</v>
      </c>
      <c r="H4251" s="3" t="str">
        <f>HYPERLINK("http://www.linkedin.com/in/diegoavalos","http://www.linkedin.com/in/diegoavalos")</f>
        <v>http://www.linkedin.com/in/diegoavalos</v>
      </c>
      <c r="I4251" s="2" t="s">
        <v>326</v>
      </c>
      <c r="J4251" s="2" t="s">
        <v>102</v>
      </c>
      <c r="K4251" s="2" t="s">
        <v>5743</v>
      </c>
    </row>
    <row r="4252" ht="15.75" customHeight="1">
      <c r="A4252" s="2">
        <v>44209.0</v>
      </c>
      <c r="B4252" s="2" t="s">
        <v>8937</v>
      </c>
      <c r="C4252" s="2" t="s">
        <v>8938</v>
      </c>
      <c r="D4252" s="2" t="s">
        <v>8939</v>
      </c>
      <c r="E4252" s="2" t="s">
        <v>20</v>
      </c>
      <c r="F4252" s="2" t="s">
        <v>13</v>
      </c>
      <c r="G4252" s="2">
        <v>122.0</v>
      </c>
      <c r="H4252" s="3" t="str">
        <f>HYPERLINK("http://ar.linkedin.com/pub/jorge-luis-falcone/1/29/677","http://ar.linkedin.com/pub/jorge-luis-falcone/1/29/677")</f>
        <v>http://ar.linkedin.com/pub/jorge-luis-falcone/1/29/677</v>
      </c>
      <c r="I4252" s="2" t="s">
        <v>119</v>
      </c>
      <c r="J4252" s="2" t="s">
        <v>21</v>
      </c>
      <c r="K4252" s="2" t="s">
        <v>5785</v>
      </c>
    </row>
    <row r="4253" ht="15.75" customHeight="1">
      <c r="A4253" s="2">
        <v>46277.0</v>
      </c>
      <c r="B4253" s="2" t="s">
        <v>592</v>
      </c>
      <c r="C4253" s="2" t="s">
        <v>8940</v>
      </c>
      <c r="D4253" s="2" t="s">
        <v>8941</v>
      </c>
      <c r="E4253" s="2" t="s">
        <v>8942</v>
      </c>
      <c r="F4253" s="2">
        <v>33.0</v>
      </c>
      <c r="G4253" s="2">
        <v>500.0</v>
      </c>
      <c r="H4253" s="3" t="str">
        <f>HYPERLINK("http://uk.linkedin.com/pub/barry-hind/4/468/135","http://uk.linkedin.com/pub/barry-hind/4/468/135")</f>
        <v>http://uk.linkedin.com/pub/barry-hind/4/468/135</v>
      </c>
      <c r="I4253" s="2" t="s">
        <v>77</v>
      </c>
      <c r="J4253" s="2" t="s">
        <v>53</v>
      </c>
      <c r="K4253" s="2" t="s">
        <v>6970</v>
      </c>
    </row>
    <row r="4254" ht="15.75" customHeight="1">
      <c r="A4254" s="2">
        <v>46282.0</v>
      </c>
      <c r="B4254" s="2" t="s">
        <v>8943</v>
      </c>
      <c r="C4254" s="2" t="s">
        <v>8944</v>
      </c>
      <c r="D4254" s="2" t="s">
        <v>13</v>
      </c>
      <c r="E4254" s="2" t="s">
        <v>2581</v>
      </c>
      <c r="F4254" s="2">
        <v>1.0</v>
      </c>
      <c r="G4254" s="2">
        <v>500.0</v>
      </c>
      <c r="H4254" s="3" t="str">
        <f>HYPERLINK("http://www.linkedin.com/pub/rashesh-joshi-bsc-fca-miod/3/631/b97","http://www.linkedin.com/pub/rashesh-joshi-bsc-fca-miod/3/631/b97")</f>
        <v>http://www.linkedin.com/pub/rashesh-joshi-bsc-fca-miod/3/631/b97</v>
      </c>
      <c r="I4254" s="2" t="s">
        <v>599</v>
      </c>
      <c r="J4254" s="2" t="s">
        <v>53</v>
      </c>
      <c r="K4254" s="2" t="s">
        <v>5743</v>
      </c>
    </row>
    <row r="4255" ht="15.75" customHeight="1">
      <c r="A4255" s="2">
        <v>46302.0</v>
      </c>
      <c r="B4255" s="2" t="s">
        <v>116</v>
      </c>
      <c r="C4255" s="2" t="s">
        <v>8945</v>
      </c>
      <c r="D4255" s="2" t="s">
        <v>8946</v>
      </c>
      <c r="E4255" s="2" t="s">
        <v>2058</v>
      </c>
      <c r="F4255" s="2">
        <v>2.0</v>
      </c>
      <c r="G4255" s="2">
        <v>500.0</v>
      </c>
      <c r="H4255" s="3" t="str">
        <f>HYPERLINK("http://www.linkedin.com/in/thespirit2010","http://www.linkedin.com/in/thespirit2010")</f>
        <v>http://www.linkedin.com/in/thespirit2010</v>
      </c>
      <c r="I4255" s="2" t="s">
        <v>137</v>
      </c>
      <c r="J4255" s="2" t="s">
        <v>102</v>
      </c>
      <c r="K4255" s="2" t="s">
        <v>5743</v>
      </c>
    </row>
    <row r="4256" ht="15.75" customHeight="1">
      <c r="A4256" s="2">
        <v>46311.0</v>
      </c>
      <c r="B4256" s="2" t="s">
        <v>2109</v>
      </c>
      <c r="C4256" s="2" t="s">
        <v>8947</v>
      </c>
      <c r="D4256" s="2" t="s">
        <v>8948</v>
      </c>
      <c r="E4256" s="2" t="s">
        <v>1407</v>
      </c>
      <c r="F4256" s="2">
        <v>10.0</v>
      </c>
      <c r="G4256" s="2">
        <v>500.0</v>
      </c>
      <c r="H4256" s="3" t="str">
        <f>HYPERLINK("http://www.linkedin.com/in/robfurmanmba","http://www.linkedin.com/in/robfurmanmba")</f>
        <v>http://www.linkedin.com/in/robfurmanmba</v>
      </c>
      <c r="I4256" s="2" t="s">
        <v>96</v>
      </c>
      <c r="J4256" s="2" t="s">
        <v>102</v>
      </c>
      <c r="K4256" s="2" t="s">
        <v>6865</v>
      </c>
    </row>
    <row r="4257" ht="15.75" customHeight="1">
      <c r="A4257" s="2">
        <v>46314.0</v>
      </c>
      <c r="B4257" s="2" t="s">
        <v>7212</v>
      </c>
      <c r="C4257" s="2" t="s">
        <v>8949</v>
      </c>
      <c r="D4257" s="2" t="s">
        <v>13</v>
      </c>
      <c r="E4257" s="2" t="s">
        <v>20</v>
      </c>
      <c r="F4257" s="2">
        <v>0.0</v>
      </c>
      <c r="G4257" s="2">
        <v>500.0</v>
      </c>
      <c r="H4257" s="3" t="str">
        <f>HYPERLINK("http://www.linkedin.com/pub/agust%C3%ADn-di-toro/11/84b/851","http://www.linkedin.com/pub/agust%C3%ADn-di-toro/11/84b/851")</f>
        <v>http://www.linkedin.com/pub/agust%C3%ADn-di-toro/11/84b/851</v>
      </c>
      <c r="I4257" s="2" t="s">
        <v>458</v>
      </c>
      <c r="J4257" s="2" t="s">
        <v>21</v>
      </c>
      <c r="K4257" s="2" t="s">
        <v>5865</v>
      </c>
    </row>
    <row r="4258" ht="15.75" customHeight="1">
      <c r="A4258" s="2">
        <v>46319.0</v>
      </c>
      <c r="B4258" s="2" t="s">
        <v>5915</v>
      </c>
      <c r="C4258" s="2" t="s">
        <v>8950</v>
      </c>
      <c r="D4258" s="2" t="s">
        <v>8951</v>
      </c>
      <c r="E4258" s="2" t="s">
        <v>20</v>
      </c>
      <c r="F4258" s="2">
        <v>7.0</v>
      </c>
      <c r="G4258" s="2">
        <v>500.0</v>
      </c>
      <c r="H4258" s="3" t="str">
        <f>HYPERLINK("http://ar.linkedin.com/pub/cecilia-balvorin/4/810/BB7","http://ar.linkedin.com/pub/cecilia-balvorin/4/810/BB7")</f>
        <v>http://ar.linkedin.com/pub/cecilia-balvorin/4/810/BB7</v>
      </c>
      <c r="I4258" s="2" t="s">
        <v>77</v>
      </c>
      <c r="J4258" s="2" t="s">
        <v>21</v>
      </c>
      <c r="K4258" s="2" t="s">
        <v>5731</v>
      </c>
    </row>
    <row r="4259" ht="15.75" customHeight="1">
      <c r="A4259" s="2">
        <v>46334.0</v>
      </c>
      <c r="B4259" s="2" t="s">
        <v>6778</v>
      </c>
      <c r="C4259" s="2" t="s">
        <v>8952</v>
      </c>
      <c r="D4259" s="2" t="s">
        <v>8953</v>
      </c>
      <c r="E4259" s="2" t="s">
        <v>20</v>
      </c>
      <c r="F4259" s="2">
        <v>3.0</v>
      </c>
      <c r="G4259" s="2">
        <v>500.0</v>
      </c>
      <c r="H4259" s="3" t="str">
        <f>HYPERLINK("http://www.linkedin.com/pub/julieta-tettamanti/14/825/6a8","http://www.linkedin.com/pub/julieta-tettamanti/14/825/6a8")</f>
        <v>http://www.linkedin.com/pub/julieta-tettamanti/14/825/6a8</v>
      </c>
      <c r="I4259" s="2" t="s">
        <v>458</v>
      </c>
      <c r="J4259" s="2" t="s">
        <v>21</v>
      </c>
      <c r="K4259" s="2" t="s">
        <v>6046</v>
      </c>
    </row>
    <row r="4260" ht="15.75" customHeight="1">
      <c r="A4260" s="2">
        <v>46352.0</v>
      </c>
      <c r="B4260" s="2" t="s">
        <v>6716</v>
      </c>
      <c r="C4260" s="2" t="s">
        <v>8954</v>
      </c>
      <c r="D4260" s="2" t="s">
        <v>8955</v>
      </c>
      <c r="E4260" s="2" t="s">
        <v>20</v>
      </c>
      <c r="F4260" s="2" t="s">
        <v>13</v>
      </c>
      <c r="G4260" s="2">
        <v>500.0</v>
      </c>
      <c r="H4260" s="3" t="str">
        <f>HYPERLINK("http://ar.linkedin.com/pub/claudia-almanza/10/5B/403","http://ar.linkedin.com/pub/claudia-almanza/10/5B/403")</f>
        <v>http://ar.linkedin.com/pub/claudia-almanza/10/5B/403</v>
      </c>
      <c r="I4260" s="2" t="s">
        <v>252</v>
      </c>
      <c r="J4260" s="2" t="s">
        <v>21</v>
      </c>
      <c r="K4260" s="2" t="s">
        <v>5994</v>
      </c>
    </row>
    <row r="4261" ht="15.75" customHeight="1">
      <c r="A4261" s="2">
        <v>46354.0</v>
      </c>
      <c r="B4261" s="2" t="s">
        <v>6225</v>
      </c>
      <c r="C4261" s="2" t="s">
        <v>8956</v>
      </c>
      <c r="D4261" s="2" t="s">
        <v>13</v>
      </c>
      <c r="E4261" s="2" t="s">
        <v>20</v>
      </c>
      <c r="F4261" s="2">
        <v>0.0</v>
      </c>
      <c r="G4261" s="2">
        <v>500.0</v>
      </c>
      <c r="H4261" s="3" t="str">
        <f>HYPERLINK("http://www.linkedin.com/pub/paola-sulkies/9/915/0","http://www.linkedin.com/pub/paola-sulkies/9/915/0")</f>
        <v>http://www.linkedin.com/pub/paola-sulkies/9/915/0</v>
      </c>
      <c r="I4261" s="2" t="s">
        <v>458</v>
      </c>
      <c r="J4261" s="2" t="s">
        <v>21</v>
      </c>
      <c r="K4261" s="2" t="s">
        <v>5848</v>
      </c>
    </row>
    <row r="4262" ht="15.75" customHeight="1">
      <c r="A4262" s="2">
        <v>46359.0</v>
      </c>
      <c r="B4262" s="2" t="s">
        <v>353</v>
      </c>
      <c r="C4262" s="2" t="s">
        <v>8957</v>
      </c>
      <c r="D4262" s="2" t="s">
        <v>8958</v>
      </c>
      <c r="E4262" s="2" t="s">
        <v>20</v>
      </c>
      <c r="F4262" s="2">
        <v>10.0</v>
      </c>
      <c r="G4262" s="2">
        <v>500.0</v>
      </c>
      <c r="H4262" s="3" t="str">
        <f>HYPERLINK("http://ar.linkedin.com/pub/alejandro-servide/14/B09/BA6","http://ar.linkedin.com/pub/alejandro-servide/14/B09/BA6")</f>
        <v>http://ar.linkedin.com/pub/alejandro-servide/14/B09/BA6</v>
      </c>
      <c r="I4262" s="2" t="s">
        <v>458</v>
      </c>
      <c r="J4262" s="2" t="s">
        <v>21</v>
      </c>
      <c r="K4262" s="2" t="s">
        <v>5727</v>
      </c>
    </row>
    <row r="4263" ht="15.75" customHeight="1">
      <c r="A4263" s="2">
        <v>46365.0</v>
      </c>
      <c r="B4263" s="2" t="s">
        <v>6666</v>
      </c>
      <c r="C4263" s="2" t="s">
        <v>8959</v>
      </c>
      <c r="D4263" s="2" t="s">
        <v>8960</v>
      </c>
      <c r="E4263" s="2" t="s">
        <v>20</v>
      </c>
      <c r="F4263" s="2">
        <v>4.0</v>
      </c>
      <c r="G4263" s="2">
        <v>500.0</v>
      </c>
      <c r="H4263" s="3" t="str">
        <f>HYPERLINK("http://ar.linkedin.com/in/sebastiangorin","http://ar.linkedin.com/in/sebastiangorin")</f>
        <v>http://ar.linkedin.com/in/sebastiangorin</v>
      </c>
      <c r="I4263" s="2" t="s">
        <v>279</v>
      </c>
      <c r="J4263" s="2" t="s">
        <v>21</v>
      </c>
      <c r="K4263" s="2" t="s">
        <v>5743</v>
      </c>
    </row>
    <row r="4264" ht="15.75" customHeight="1">
      <c r="A4264" s="2">
        <v>46387.0</v>
      </c>
      <c r="B4264" s="2" t="s">
        <v>6716</v>
      </c>
      <c r="C4264" s="2" t="s">
        <v>8961</v>
      </c>
      <c r="D4264" s="2" t="s">
        <v>8962</v>
      </c>
      <c r="E4264" s="2" t="s">
        <v>20</v>
      </c>
      <c r="F4264" s="2" t="s">
        <v>13</v>
      </c>
      <c r="G4264" s="2">
        <v>459.0</v>
      </c>
      <c r="H4264" s="3" t="str">
        <f>HYPERLINK("http://ar.linkedin.com/pub/claudia-segovia/0/245/870","http://ar.linkedin.com/pub/claudia-segovia/0/245/870")</f>
        <v>http://ar.linkedin.com/pub/claudia-segovia/0/245/870</v>
      </c>
      <c r="I4264" s="2" t="s">
        <v>57</v>
      </c>
      <c r="J4264" s="2" t="s">
        <v>21</v>
      </c>
      <c r="K4264" s="2" t="s">
        <v>5725</v>
      </c>
    </row>
    <row r="4265" ht="15.75" customHeight="1">
      <c r="A4265" s="2">
        <v>46418.0</v>
      </c>
      <c r="B4265" s="2" t="s">
        <v>6145</v>
      </c>
      <c r="C4265" s="2" t="s">
        <v>8963</v>
      </c>
      <c r="D4265" s="2" t="s">
        <v>13</v>
      </c>
      <c r="E4265" s="2" t="s">
        <v>20</v>
      </c>
      <c r="F4265" s="2">
        <v>0.0</v>
      </c>
      <c r="G4265" s="2">
        <v>500.0</v>
      </c>
      <c r="H4265" s="3" t="str">
        <f>HYPERLINK("http://www.linkedin.com/pub/guadalupe-tisera/b/884/3a0","http://www.linkedin.com/pub/guadalupe-tisera/b/884/3a0")</f>
        <v>http://www.linkedin.com/pub/guadalupe-tisera/b/884/3a0</v>
      </c>
      <c r="I4265" s="2" t="s">
        <v>458</v>
      </c>
      <c r="J4265" s="2" t="s">
        <v>21</v>
      </c>
      <c r="K4265" s="2" t="s">
        <v>5743</v>
      </c>
    </row>
    <row r="4266" ht="15.75" customHeight="1">
      <c r="A4266" s="2">
        <v>46447.0</v>
      </c>
      <c r="B4266" s="2" t="s">
        <v>862</v>
      </c>
      <c r="C4266" s="2" t="s">
        <v>8964</v>
      </c>
      <c r="D4266" s="2" t="s">
        <v>289</v>
      </c>
      <c r="E4266" s="2" t="s">
        <v>20</v>
      </c>
      <c r="F4266" s="2">
        <v>16.0</v>
      </c>
      <c r="G4266" s="2">
        <v>500.0</v>
      </c>
      <c r="H4266" s="3" t="str">
        <f>HYPERLINK("http://ar.linkedin.com/in/gdilorenzom","http://ar.linkedin.com/in/gdilorenzom")</f>
        <v>http://ar.linkedin.com/in/gdilorenzom</v>
      </c>
      <c r="I4266" s="2" t="s">
        <v>669</v>
      </c>
      <c r="J4266" s="2" t="s">
        <v>21</v>
      </c>
      <c r="K4266" s="2" t="s">
        <v>5727</v>
      </c>
    </row>
    <row r="4267" ht="15.75" customHeight="1">
      <c r="A4267" s="2">
        <v>46452.0</v>
      </c>
      <c r="B4267" s="2" t="s">
        <v>3550</v>
      </c>
      <c r="C4267" s="2" t="s">
        <v>8965</v>
      </c>
      <c r="D4267" s="2" t="s">
        <v>3621</v>
      </c>
      <c r="E4267" s="2" t="s">
        <v>20</v>
      </c>
      <c r="F4267" s="2">
        <v>30.0</v>
      </c>
      <c r="G4267" s="2">
        <v>500.0</v>
      </c>
      <c r="H4267" s="3" t="str">
        <f>HYPERLINK("http://ar.linkedin.com/pub/nicolas-todino/9/512/662","http://ar.linkedin.com/pub/nicolas-todino/9/512/662")</f>
        <v>http://ar.linkedin.com/pub/nicolas-todino/9/512/662</v>
      </c>
      <c r="I4267" s="2" t="s">
        <v>374</v>
      </c>
      <c r="J4267" s="2" t="s">
        <v>21</v>
      </c>
      <c r="K4267" s="2" t="s">
        <v>5727</v>
      </c>
    </row>
    <row r="4268" ht="15.75" customHeight="1">
      <c r="A4268" s="2">
        <v>46473.0</v>
      </c>
      <c r="B4268" s="2" t="s">
        <v>8966</v>
      </c>
      <c r="C4268" s="2" t="s">
        <v>8967</v>
      </c>
      <c r="D4268" s="2" t="s">
        <v>8968</v>
      </c>
      <c r="E4268" s="2" t="s">
        <v>20</v>
      </c>
      <c r="F4268" s="2">
        <v>2.0</v>
      </c>
      <c r="G4268" s="2">
        <v>500.0</v>
      </c>
      <c r="H4268" s="3" t="str">
        <f>HYPERLINK("http://ar.linkedin.com/pub/carina-bonetto/A/A2B/B69","http://ar.linkedin.com/pub/carina-bonetto/A/A2B/B69")</f>
        <v>http://ar.linkedin.com/pub/carina-bonetto/A/A2B/B69</v>
      </c>
      <c r="I4268" s="2" t="s">
        <v>458</v>
      </c>
      <c r="J4268" s="2" t="s">
        <v>21</v>
      </c>
      <c r="K4268" s="2" t="s">
        <v>5727</v>
      </c>
    </row>
    <row r="4269" ht="15.75" customHeight="1">
      <c r="A4269" s="2">
        <v>46523.0</v>
      </c>
      <c r="B4269" s="2" t="s">
        <v>6025</v>
      </c>
      <c r="C4269" s="2" t="s">
        <v>8969</v>
      </c>
      <c r="D4269" s="2" t="s">
        <v>8970</v>
      </c>
      <c r="E4269" s="2" t="s">
        <v>20</v>
      </c>
      <c r="F4269" s="2">
        <v>14.0</v>
      </c>
      <c r="G4269" s="2">
        <v>500.0</v>
      </c>
      <c r="H4269" s="3" t="str">
        <f>HYPERLINK("http://ar.linkedin.com/pub/hernan-trinidad/22/A61/83B","http://ar.linkedin.com/pub/hernan-trinidad/22/A61/83B")</f>
        <v>http://ar.linkedin.com/pub/hernan-trinidad/22/A61/83B</v>
      </c>
      <c r="I4269" s="2" t="s">
        <v>1390</v>
      </c>
      <c r="J4269" s="2" t="s">
        <v>21</v>
      </c>
      <c r="K4269" s="2" t="s">
        <v>5727</v>
      </c>
    </row>
    <row r="4270" ht="15.75" customHeight="1">
      <c r="A4270" s="2">
        <v>46529.0</v>
      </c>
      <c r="B4270" s="2" t="s">
        <v>3847</v>
      </c>
      <c r="C4270" s="2" t="s">
        <v>8971</v>
      </c>
      <c r="D4270" s="2" t="s">
        <v>7456</v>
      </c>
      <c r="E4270" s="2" t="s">
        <v>20</v>
      </c>
      <c r="F4270" s="2">
        <v>11.0</v>
      </c>
      <c r="G4270" s="2">
        <v>500.0</v>
      </c>
      <c r="H4270" s="3" t="str">
        <f>HYPERLINK("http://ar.linkedin.com/pub/victor-raiban/12/3A4/795","http://ar.linkedin.com/pub/victor-raiban/12/3A4/795")</f>
        <v>http://ar.linkedin.com/pub/victor-raiban/12/3A4/795</v>
      </c>
      <c r="I4270" s="2" t="s">
        <v>458</v>
      </c>
      <c r="J4270" s="2" t="s">
        <v>21</v>
      </c>
      <c r="K4270" s="2" t="s">
        <v>5727</v>
      </c>
    </row>
    <row r="4271" ht="15.75" customHeight="1">
      <c r="A4271" s="2">
        <v>46564.0</v>
      </c>
      <c r="B4271" s="2" t="s">
        <v>8972</v>
      </c>
      <c r="C4271" s="2" t="s">
        <v>8973</v>
      </c>
      <c r="D4271" s="2" t="s">
        <v>8974</v>
      </c>
      <c r="E4271" s="2" t="s">
        <v>20</v>
      </c>
      <c r="F4271" s="2">
        <v>2.0</v>
      </c>
      <c r="G4271" s="2">
        <v>500.0</v>
      </c>
      <c r="H4271" s="3" t="str">
        <f>HYPERLINK("http://ar.linkedin.com/in/dtmoser","http://ar.linkedin.com/in/dtmoser")</f>
        <v>http://ar.linkedin.com/in/dtmoser</v>
      </c>
      <c r="I4271" s="2" t="s">
        <v>518</v>
      </c>
      <c r="J4271" s="2" t="s">
        <v>21</v>
      </c>
      <c r="K4271" s="2" t="s">
        <v>5727</v>
      </c>
    </row>
    <row r="4272" ht="15.75" customHeight="1">
      <c r="A4272" s="2">
        <v>46573.0</v>
      </c>
      <c r="B4272" s="2" t="s">
        <v>8975</v>
      </c>
      <c r="C4272" s="2" t="s">
        <v>8976</v>
      </c>
      <c r="D4272" s="2" t="s">
        <v>8977</v>
      </c>
      <c r="E4272" s="2" t="s">
        <v>20</v>
      </c>
      <c r="F4272" s="2">
        <v>1.0</v>
      </c>
      <c r="G4272" s="2">
        <v>111.0</v>
      </c>
      <c r="H4272" s="3" t="str">
        <f>HYPERLINK("http://ar.linkedin.com/in/ricardoalfredocorrea","http://ar.linkedin.com/in/ricardoalfredocorrea")</f>
        <v>http://ar.linkedin.com/in/ricardoalfredocorrea</v>
      </c>
      <c r="I4272" s="2" t="s">
        <v>77</v>
      </c>
      <c r="J4272" s="2" t="s">
        <v>21</v>
      </c>
      <c r="K4272" s="2" t="s">
        <v>5848</v>
      </c>
    </row>
    <row r="4273" ht="15.75" customHeight="1">
      <c r="A4273" s="2">
        <v>46580.0</v>
      </c>
      <c r="B4273" s="2" t="s">
        <v>647</v>
      </c>
      <c r="C4273" s="2" t="s">
        <v>8978</v>
      </c>
      <c r="D4273" s="2" t="s">
        <v>42</v>
      </c>
      <c r="E4273" s="2" t="s">
        <v>20</v>
      </c>
      <c r="F4273" s="2">
        <v>9.0</v>
      </c>
      <c r="G4273" s="2">
        <v>500.0</v>
      </c>
      <c r="H4273" s="3" t="str">
        <f>HYPERLINK("http://ar.linkedin.com/pub/claudio-dar%C3%ADn/0/174/71A","http://ar.linkedin.com/pub/claudio-dar%C3%ADn/0/174/71A")</f>
        <v>http://ar.linkedin.com/pub/claudio-dar%C3%ADn/0/174/71A</v>
      </c>
      <c r="I4273" s="2" t="s">
        <v>57</v>
      </c>
      <c r="J4273" s="2" t="s">
        <v>21</v>
      </c>
      <c r="K4273" s="2" t="s">
        <v>5727</v>
      </c>
    </row>
    <row r="4274" ht="15.75" customHeight="1">
      <c r="A4274" s="2">
        <v>46586.0</v>
      </c>
      <c r="B4274" s="2" t="s">
        <v>3223</v>
      </c>
      <c r="C4274" s="2" t="s">
        <v>8979</v>
      </c>
      <c r="D4274" s="2" t="s">
        <v>13</v>
      </c>
      <c r="E4274" s="2" t="s">
        <v>20</v>
      </c>
      <c r="F4274" s="2">
        <v>0.0</v>
      </c>
      <c r="G4274" s="2">
        <v>201.0</v>
      </c>
      <c r="H4274" s="3" t="str">
        <f>HYPERLINK("http://www.linkedin.com/pub/laura-blanga/22/512/aa9","http://www.linkedin.com/pub/laura-blanga/22/512/aa9")</f>
        <v>http://www.linkedin.com/pub/laura-blanga/22/512/aa9</v>
      </c>
      <c r="I4274" s="2" t="s">
        <v>458</v>
      </c>
      <c r="J4274" s="2" t="s">
        <v>21</v>
      </c>
      <c r="K4274" s="2" t="s">
        <v>5734</v>
      </c>
    </row>
    <row r="4275" ht="15.75" customHeight="1">
      <c r="A4275" s="2">
        <v>46589.0</v>
      </c>
      <c r="B4275" s="2" t="s">
        <v>5389</v>
      </c>
      <c r="C4275" s="2" t="s">
        <v>8980</v>
      </c>
      <c r="D4275" s="2" t="s">
        <v>13</v>
      </c>
      <c r="E4275" s="2" t="s">
        <v>20</v>
      </c>
      <c r="F4275" s="2">
        <v>0.0</v>
      </c>
      <c r="G4275" s="2">
        <v>500.0</v>
      </c>
      <c r="H4275" s="3" t="str">
        <f>HYPERLINK("http://www.linkedin.com/pub/paula-lopez-lastra/14/173/98b","http://www.linkedin.com/pub/paula-lopez-lastra/14/173/98b")</f>
        <v>http://www.linkedin.com/pub/paula-lopez-lastra/14/173/98b</v>
      </c>
      <c r="I4275" s="2" t="s">
        <v>458</v>
      </c>
      <c r="J4275" s="2" t="s">
        <v>21</v>
      </c>
      <c r="K4275" s="2" t="s">
        <v>5727</v>
      </c>
    </row>
    <row r="4276" ht="15.75" customHeight="1">
      <c r="A4276" s="2">
        <v>46597.0</v>
      </c>
      <c r="B4276" s="2" t="s">
        <v>6064</v>
      </c>
      <c r="C4276" s="2" t="s">
        <v>8981</v>
      </c>
      <c r="D4276" s="2" t="s">
        <v>7712</v>
      </c>
      <c r="E4276" s="2" t="s">
        <v>20</v>
      </c>
      <c r="F4276" s="2">
        <v>1.0</v>
      </c>
      <c r="G4276" s="2">
        <v>500.0</v>
      </c>
      <c r="H4276" s="3" t="str">
        <f>HYPERLINK("http://ar.linkedin.com/pub/romina-andrada/11/A51/25","http://ar.linkedin.com/pub/romina-andrada/11/A51/25")</f>
        <v>http://ar.linkedin.com/pub/romina-andrada/11/A51/25</v>
      </c>
      <c r="I4276" s="2" t="s">
        <v>458</v>
      </c>
      <c r="J4276" s="2" t="s">
        <v>21</v>
      </c>
      <c r="K4276" s="2" t="s">
        <v>5994</v>
      </c>
    </row>
    <row r="4277" ht="15.75" customHeight="1">
      <c r="A4277" s="2">
        <v>46599.0</v>
      </c>
      <c r="B4277" s="2" t="s">
        <v>8628</v>
      </c>
      <c r="C4277" s="2" t="s">
        <v>8982</v>
      </c>
      <c r="D4277" s="2" t="s">
        <v>8983</v>
      </c>
      <c r="E4277" s="2" t="s">
        <v>20</v>
      </c>
      <c r="F4277" s="2">
        <v>6.0</v>
      </c>
      <c r="G4277" s="2">
        <v>92.0</v>
      </c>
      <c r="H4277" s="3" t="str">
        <f>HYPERLINK("http://ar.linkedin.com/in/marialauramazz","http://ar.linkedin.com/in/marialauramazz")</f>
        <v>http://ar.linkedin.com/in/marialauramazz</v>
      </c>
      <c r="I4277" s="2" t="s">
        <v>458</v>
      </c>
      <c r="J4277" s="2" t="s">
        <v>21</v>
      </c>
      <c r="K4277" s="2" t="s">
        <v>5727</v>
      </c>
    </row>
    <row r="4278" ht="15.75" customHeight="1">
      <c r="A4278" s="2">
        <v>46622.0</v>
      </c>
      <c r="B4278" s="2" t="s">
        <v>8984</v>
      </c>
      <c r="C4278" s="2" t="s">
        <v>8985</v>
      </c>
      <c r="D4278" s="2" t="s">
        <v>8986</v>
      </c>
      <c r="E4278" s="2" t="s">
        <v>20</v>
      </c>
      <c r="F4278" s="2">
        <v>9.0</v>
      </c>
      <c r="G4278" s="2">
        <v>365.0</v>
      </c>
      <c r="H4278" s="3" t="str">
        <f>HYPERLINK("http://ar.linkedin.com/pub/joaqu-n-llorca/1A/1B1/AB5","http://ar.linkedin.com/pub/joaqu-n-llorca/1A/1B1/AB5")</f>
        <v>http://ar.linkedin.com/pub/joaqu-n-llorca/1A/1B1/AB5</v>
      </c>
      <c r="I4278" s="2" t="s">
        <v>2419</v>
      </c>
      <c r="J4278" s="2" t="s">
        <v>21</v>
      </c>
      <c r="K4278" s="2" t="s">
        <v>5743</v>
      </c>
    </row>
    <row r="4279" ht="15.75" customHeight="1">
      <c r="A4279" s="2">
        <v>46626.0</v>
      </c>
      <c r="B4279" s="2" t="s">
        <v>6666</v>
      </c>
      <c r="C4279" s="2" t="s">
        <v>675</v>
      </c>
      <c r="D4279" s="2" t="s">
        <v>8987</v>
      </c>
      <c r="E4279" s="2" t="s">
        <v>20</v>
      </c>
      <c r="F4279" s="2" t="s">
        <v>13</v>
      </c>
      <c r="G4279" s="2">
        <v>190.0</v>
      </c>
      <c r="H4279" s="3" t="str">
        <f>HYPERLINK("http://ar.linkedin.com/pub/sebasti-n-torres/2B/194/22A","http://ar.linkedin.com/pub/sebasti-n-torres/2B/194/22A")</f>
        <v>http://ar.linkedin.com/pub/sebasti-n-torres/2B/194/22A</v>
      </c>
      <c r="I4279" s="2" t="s">
        <v>2419</v>
      </c>
      <c r="J4279" s="2" t="s">
        <v>21</v>
      </c>
      <c r="K4279" s="2" t="s">
        <v>5734</v>
      </c>
    </row>
    <row r="4280" ht="15.75" customHeight="1">
      <c r="A4280" s="2">
        <v>46646.0</v>
      </c>
      <c r="B4280" s="2" t="s">
        <v>358</v>
      </c>
      <c r="C4280" s="2" t="s">
        <v>8988</v>
      </c>
      <c r="D4280" s="2" t="s">
        <v>8989</v>
      </c>
      <c r="E4280" s="2" t="s">
        <v>20</v>
      </c>
      <c r="F4280" s="2">
        <v>2.0</v>
      </c>
      <c r="G4280" s="2">
        <v>500.0</v>
      </c>
      <c r="H4280" s="3" t="str">
        <f>HYPERLINK("http://ar.linkedin.com/pub/marcelo-fenoglio/14/119/827","http://ar.linkedin.com/pub/marcelo-fenoglio/14/119/827")</f>
        <v>http://ar.linkedin.com/pub/marcelo-fenoglio/14/119/827</v>
      </c>
      <c r="I4280" s="2" t="s">
        <v>608</v>
      </c>
      <c r="J4280" s="2" t="s">
        <v>21</v>
      </c>
      <c r="K4280" s="2" t="s">
        <v>5727</v>
      </c>
    </row>
    <row r="4281" ht="15.75" customHeight="1">
      <c r="A4281" s="2">
        <v>46710.0</v>
      </c>
      <c r="B4281" s="2" t="s">
        <v>6309</v>
      </c>
      <c r="C4281" s="2" t="s">
        <v>8990</v>
      </c>
      <c r="D4281" s="2" t="s">
        <v>8991</v>
      </c>
      <c r="E4281" s="2" t="s">
        <v>20</v>
      </c>
      <c r="F4281" s="2">
        <v>3.0</v>
      </c>
      <c r="G4281" s="2">
        <v>500.0</v>
      </c>
      <c r="H4281" s="3" t="str">
        <f>HYPERLINK("http://ar.linkedin.com/pub/mar%C3%ADa-bel%C3%A9n-balbi/19/5A2/230","http://ar.linkedin.com/pub/mar%C3%ADa-bel%C3%A9n-balbi/19/5A2/230")</f>
        <v>http://ar.linkedin.com/pub/mar%C3%ADa-bel%C3%A9n-balbi/19/5A2/230</v>
      </c>
      <c r="I4281" s="2" t="s">
        <v>458</v>
      </c>
      <c r="J4281" s="2" t="s">
        <v>21</v>
      </c>
      <c r="K4281" s="2" t="s">
        <v>5727</v>
      </c>
    </row>
    <row r="4282" ht="15.75" customHeight="1">
      <c r="A4282" s="2">
        <v>46713.0</v>
      </c>
      <c r="B4282" s="2" t="s">
        <v>5389</v>
      </c>
      <c r="C4282" s="2" t="s">
        <v>8992</v>
      </c>
      <c r="D4282" s="2" t="s">
        <v>13</v>
      </c>
      <c r="E4282" s="2" t="s">
        <v>20</v>
      </c>
      <c r="F4282" s="2">
        <v>0.0</v>
      </c>
      <c r="G4282" s="2">
        <v>302.0</v>
      </c>
      <c r="H4282" s="3" t="str">
        <f>HYPERLINK("http://www.linkedin.com/pub/paula-barsky/8/36a/819","http://www.linkedin.com/pub/paula-barsky/8/36a/819")</f>
        <v>http://www.linkedin.com/pub/paula-barsky/8/36a/819</v>
      </c>
      <c r="I4282" s="2" t="s">
        <v>579</v>
      </c>
      <c r="J4282" s="2" t="s">
        <v>21</v>
      </c>
      <c r="K4282" s="2" t="s">
        <v>5785</v>
      </c>
    </row>
    <row r="4283" ht="15.75" customHeight="1">
      <c r="A4283" s="2">
        <v>46717.0</v>
      </c>
      <c r="B4283" s="2" t="s">
        <v>8993</v>
      </c>
      <c r="C4283" s="2" t="s">
        <v>8994</v>
      </c>
      <c r="D4283" s="2"/>
      <c r="E4283" s="2" t="s">
        <v>122</v>
      </c>
      <c r="F4283" s="2">
        <v>8.0</v>
      </c>
      <c r="G4283" s="2">
        <v>500.0</v>
      </c>
      <c r="H4283" s="3" t="str">
        <f>HYPERLINK("http://uk.linkedin.com/pub/tamara-santiago/3/312/905","http://uk.linkedin.com/pub/tamara-santiago/3/312/905")</f>
        <v>http://uk.linkedin.com/pub/tamara-santiago/3/312/905</v>
      </c>
      <c r="I4283" s="2" t="s">
        <v>326</v>
      </c>
      <c r="J4283" s="2" t="s">
        <v>53</v>
      </c>
      <c r="K4283" s="2" t="s">
        <v>5743</v>
      </c>
    </row>
    <row r="4284" ht="15.75" customHeight="1">
      <c r="A4284" s="2">
        <v>46721.0</v>
      </c>
      <c r="B4284" s="2" t="s">
        <v>1724</v>
      </c>
      <c r="C4284" s="2" t="s">
        <v>8995</v>
      </c>
      <c r="D4284" s="2" t="s">
        <v>8996</v>
      </c>
      <c r="E4284" s="2" t="s">
        <v>20</v>
      </c>
      <c r="F4284" s="2">
        <v>6.0</v>
      </c>
      <c r="G4284" s="2">
        <v>500.0</v>
      </c>
      <c r="H4284" s="3" t="str">
        <f>HYPERLINK("http://ar.linkedin.com/in/gabrielcarrazzoni","http://ar.linkedin.com/in/gabrielcarrazzoni")</f>
        <v>http://ar.linkedin.com/in/gabrielcarrazzoni</v>
      </c>
      <c r="I4284" s="2" t="s">
        <v>2419</v>
      </c>
      <c r="J4284" s="2" t="s">
        <v>21</v>
      </c>
      <c r="K4284" s="2" t="s">
        <v>5727</v>
      </c>
    </row>
    <row r="4285" ht="15.75" customHeight="1">
      <c r="A4285" s="2">
        <v>46722.0</v>
      </c>
      <c r="B4285" s="2" t="s">
        <v>7744</v>
      </c>
      <c r="C4285" s="2" t="s">
        <v>8997</v>
      </c>
      <c r="D4285" s="2" t="s">
        <v>8998</v>
      </c>
      <c r="E4285" s="2" t="s">
        <v>20</v>
      </c>
      <c r="F4285" s="2" t="s">
        <v>13</v>
      </c>
      <c r="G4285" s="2">
        <v>59.0</v>
      </c>
      <c r="H4285" s="3" t="str">
        <f>HYPERLINK("http://ar.linkedin.com/pub/oscar-casadella/19/60/727","http://ar.linkedin.com/pub/oscar-casadella/19/60/727")</f>
        <v>http://ar.linkedin.com/pub/oscar-casadella/19/60/727</v>
      </c>
      <c r="I4285" s="2" t="s">
        <v>579</v>
      </c>
      <c r="J4285" s="2" t="s">
        <v>21</v>
      </c>
      <c r="K4285" s="2" t="s">
        <v>5848</v>
      </c>
    </row>
    <row r="4286" ht="15.75" customHeight="1">
      <c r="A4286" s="2">
        <v>46731.0</v>
      </c>
      <c r="B4286" s="2" t="s">
        <v>358</v>
      </c>
      <c r="C4286" s="2" t="s">
        <v>8999</v>
      </c>
      <c r="D4286" s="2" t="s">
        <v>9000</v>
      </c>
      <c r="E4286" s="2" t="s">
        <v>20</v>
      </c>
      <c r="F4286" s="2">
        <v>0.0</v>
      </c>
      <c r="G4286" s="2">
        <v>500.0</v>
      </c>
      <c r="H4286" s="3" t="str">
        <f>HYPERLINK("http://www.linkedin.com/in/cycmarcelo","http://www.linkedin.com/in/cycmarcelo")</f>
        <v>http://www.linkedin.com/in/cycmarcelo</v>
      </c>
      <c r="I4286" s="2" t="s">
        <v>2419</v>
      </c>
      <c r="J4286" s="2" t="s">
        <v>21</v>
      </c>
      <c r="K4286" s="2" t="s">
        <v>5734</v>
      </c>
    </row>
    <row r="4287" ht="15.75" customHeight="1">
      <c r="A4287" s="2">
        <v>46735.0</v>
      </c>
      <c r="B4287" s="2" t="s">
        <v>6252</v>
      </c>
      <c r="C4287" s="2" t="s">
        <v>9001</v>
      </c>
      <c r="D4287" s="2" t="s">
        <v>9002</v>
      </c>
      <c r="E4287" s="2" t="s">
        <v>20</v>
      </c>
      <c r="F4287" s="2" t="s">
        <v>13</v>
      </c>
      <c r="G4287" s="2">
        <v>287.0</v>
      </c>
      <c r="H4287" s="3" t="str">
        <f>HYPERLINK("http://ar.linkedin.com/pub/santiago-kantorowicz/2/133/4AB","http://ar.linkedin.com/pub/santiago-kantorowicz/2/133/4AB")</f>
        <v>http://ar.linkedin.com/pub/santiago-kantorowicz/2/133/4AB</v>
      </c>
      <c r="I4287" s="2" t="s">
        <v>15</v>
      </c>
      <c r="J4287" s="2" t="s">
        <v>21</v>
      </c>
      <c r="K4287" s="2" t="s">
        <v>5725</v>
      </c>
    </row>
    <row r="4288" ht="15.75" customHeight="1">
      <c r="A4288" s="2">
        <v>46737.0</v>
      </c>
      <c r="B4288" s="2" t="s">
        <v>353</v>
      </c>
      <c r="C4288" s="2" t="s">
        <v>9003</v>
      </c>
      <c r="D4288" s="2" t="s">
        <v>9004</v>
      </c>
      <c r="E4288" s="2" t="s">
        <v>20</v>
      </c>
      <c r="F4288" s="2" t="s">
        <v>13</v>
      </c>
      <c r="G4288" s="2">
        <v>400.0</v>
      </c>
      <c r="H4288" s="3" t="str">
        <f>HYPERLINK("http://ar.linkedin.com/pub/alejandro-dandrea/7/200/6A1","http://ar.linkedin.com/pub/alejandro-dandrea/7/200/6A1")</f>
        <v>http://ar.linkedin.com/pub/alejandro-dandrea/7/200/6A1</v>
      </c>
      <c r="I4288" s="2" t="s">
        <v>96</v>
      </c>
      <c r="J4288" s="2" t="s">
        <v>21</v>
      </c>
      <c r="K4288" s="2" t="s">
        <v>5785</v>
      </c>
    </row>
    <row r="4289" ht="15.75" customHeight="1">
      <c r="A4289" s="2">
        <v>46746.0</v>
      </c>
      <c r="B4289" s="2" t="s">
        <v>9005</v>
      </c>
      <c r="C4289" s="2" t="s">
        <v>9006</v>
      </c>
      <c r="D4289" s="2" t="s">
        <v>13</v>
      </c>
      <c r="E4289" s="2" t="s">
        <v>20</v>
      </c>
      <c r="F4289" s="2">
        <v>5.0</v>
      </c>
      <c r="G4289" s="2">
        <v>500.0</v>
      </c>
      <c r="H4289" s="3" t="str">
        <f>HYPERLINK("http://www.linkedin.com/pub/fernando-javier-cossa/12/8a7/b72","http://www.linkedin.com/pub/fernando-javier-cossa/12/8a7/b72")</f>
        <v>http://www.linkedin.com/pub/fernando-javier-cossa/12/8a7/b72</v>
      </c>
      <c r="I4289" s="2" t="s">
        <v>15</v>
      </c>
      <c r="J4289" s="2" t="s">
        <v>21</v>
      </c>
      <c r="K4289" s="2" t="s">
        <v>5727</v>
      </c>
    </row>
    <row r="4290" ht="15.75" customHeight="1">
      <c r="A4290" s="2">
        <v>46761.0</v>
      </c>
      <c r="B4290" s="2" t="s">
        <v>5915</v>
      </c>
      <c r="C4290" s="2" t="s">
        <v>9007</v>
      </c>
      <c r="D4290" s="2" t="s">
        <v>9008</v>
      </c>
      <c r="E4290" s="2" t="s">
        <v>20</v>
      </c>
      <c r="F4290" s="2">
        <v>2.0</v>
      </c>
      <c r="G4290" s="2">
        <v>291.0</v>
      </c>
      <c r="H4290" s="3" t="str">
        <f>HYPERLINK("http://ar.linkedin.com/pub/cecilia-tiesi/27/B76/400","http://ar.linkedin.com/pub/cecilia-tiesi/27/B76/400")</f>
        <v>http://ar.linkedin.com/pub/cecilia-tiesi/27/B76/400</v>
      </c>
      <c r="I4290" s="2" t="s">
        <v>77</v>
      </c>
      <c r="J4290" s="2" t="s">
        <v>21</v>
      </c>
      <c r="K4290" s="2" t="s">
        <v>5731</v>
      </c>
    </row>
    <row r="4291" ht="15.75" customHeight="1">
      <c r="A4291" s="2">
        <v>46779.0</v>
      </c>
      <c r="B4291" s="2" t="s">
        <v>9009</v>
      </c>
      <c r="C4291" s="2" t="s">
        <v>9010</v>
      </c>
      <c r="D4291" s="2" t="s">
        <v>13</v>
      </c>
      <c r="E4291" s="2" t="s">
        <v>20</v>
      </c>
      <c r="F4291" s="2">
        <v>0.0</v>
      </c>
      <c r="G4291" s="2">
        <v>266.0</v>
      </c>
      <c r="H4291" s="3" t="str">
        <f>HYPERLINK("http://www.linkedin.com/pub/alejo-h%C3%A9ctor-arrighi/14/635/5b3","http://www.linkedin.com/pub/alejo-h%C3%A9ctor-arrighi/14/635/5b3")</f>
        <v>http://www.linkedin.com/pub/alejo-h%C3%A9ctor-arrighi/14/635/5b3</v>
      </c>
      <c r="I4291" s="2" t="s">
        <v>15</v>
      </c>
      <c r="J4291" s="2" t="s">
        <v>21</v>
      </c>
      <c r="K4291" s="2" t="s">
        <v>5725</v>
      </c>
    </row>
    <row r="4292" ht="15.75" customHeight="1">
      <c r="A4292" s="2">
        <v>46851.0</v>
      </c>
      <c r="B4292" s="2" t="s">
        <v>371</v>
      </c>
      <c r="C4292" s="2" t="s">
        <v>9011</v>
      </c>
      <c r="D4292" s="2" t="s">
        <v>9012</v>
      </c>
      <c r="E4292" s="2" t="s">
        <v>20</v>
      </c>
      <c r="F4292" s="2" t="s">
        <v>13</v>
      </c>
      <c r="G4292" s="2">
        <v>482.0</v>
      </c>
      <c r="H4292" s="3" t="str">
        <f>HYPERLINK("http://ar.linkedin.com/pub/cristina-megna/4/B27/488","http://ar.linkedin.com/pub/cristina-megna/4/B27/488")</f>
        <v>http://ar.linkedin.com/pub/cristina-megna/4/B27/488</v>
      </c>
      <c r="I4292" s="2" t="s">
        <v>2023</v>
      </c>
      <c r="J4292" s="2" t="s">
        <v>21</v>
      </c>
      <c r="K4292" s="2" t="s">
        <v>5734</v>
      </c>
    </row>
    <row r="4293" ht="15.75" customHeight="1">
      <c r="A4293" s="2">
        <v>46867.0</v>
      </c>
      <c r="B4293" s="2" t="s">
        <v>540</v>
      </c>
      <c r="C4293" s="2" t="s">
        <v>6808</v>
      </c>
      <c r="D4293" s="2" t="s">
        <v>9013</v>
      </c>
      <c r="E4293" s="2" t="s">
        <v>20</v>
      </c>
      <c r="F4293" s="2">
        <v>22.0</v>
      </c>
      <c r="G4293" s="2">
        <v>434.0</v>
      </c>
      <c r="H4293" s="3" t="str">
        <f>HYPERLINK("http://ar.linkedin.com/pub/christian-bonifacio/23/190/4B4","http://ar.linkedin.com/pub/christian-bonifacio/23/190/4B4")</f>
        <v>http://ar.linkedin.com/pub/christian-bonifacio/23/190/4B4</v>
      </c>
      <c r="I4293" s="2" t="s">
        <v>119</v>
      </c>
      <c r="J4293" s="2" t="s">
        <v>21</v>
      </c>
      <c r="K4293" s="2" t="s">
        <v>5731</v>
      </c>
    </row>
    <row r="4294" ht="15.75" customHeight="1">
      <c r="A4294" s="2">
        <v>46868.0</v>
      </c>
      <c r="B4294" s="2" t="s">
        <v>9014</v>
      </c>
      <c r="C4294" s="2" t="s">
        <v>1720</v>
      </c>
      <c r="D4294" s="2" t="s">
        <v>13</v>
      </c>
      <c r="E4294" s="2" t="s">
        <v>20</v>
      </c>
      <c r="F4294" s="2">
        <v>0.0</v>
      </c>
      <c r="G4294" s="2">
        <v>20.0</v>
      </c>
      <c r="H4294" s="3" t="str">
        <f>HYPERLINK("http://www.linkedin.com/pub/oscar-mart%C3%ADn-bianchi/14/154/372","http://www.linkedin.com/pub/oscar-mart%C3%ADn-bianchi/14/154/372")</f>
        <v>http://www.linkedin.com/pub/oscar-mart%C3%ADn-bianchi/14/154/372</v>
      </c>
      <c r="I4294" s="2" t="s">
        <v>48</v>
      </c>
      <c r="J4294" s="2" t="s">
        <v>21</v>
      </c>
      <c r="K4294" s="2" t="s">
        <v>5734</v>
      </c>
    </row>
    <row r="4295" ht="15.75" customHeight="1">
      <c r="A4295" s="2">
        <v>46879.0</v>
      </c>
      <c r="B4295" s="2" t="s">
        <v>353</v>
      </c>
      <c r="C4295" s="2" t="s">
        <v>9015</v>
      </c>
      <c r="D4295" s="2" t="s">
        <v>9016</v>
      </c>
      <c r="E4295" s="2" t="s">
        <v>20</v>
      </c>
      <c r="F4295" s="2" t="s">
        <v>13</v>
      </c>
      <c r="G4295" s="2">
        <v>500.0</v>
      </c>
      <c r="H4295" s="3" t="str">
        <f>HYPERLINK("http://ar.linkedin.com/pub/alejandro-monz%C3%B3n/27/388/35","http://ar.linkedin.com/pub/alejandro-monz%C3%B3n/27/388/35")</f>
        <v>http://ar.linkedin.com/pub/alejandro-monz%C3%B3n/27/388/35</v>
      </c>
      <c r="I4295" s="2" t="s">
        <v>2419</v>
      </c>
      <c r="J4295" s="2" t="s">
        <v>21</v>
      </c>
      <c r="K4295" s="2" t="s">
        <v>5734</v>
      </c>
    </row>
    <row r="4296" ht="15.75" customHeight="1">
      <c r="A4296" s="2">
        <v>46896.0</v>
      </c>
      <c r="B4296" s="2" t="s">
        <v>59</v>
      </c>
      <c r="C4296" s="2" t="s">
        <v>9017</v>
      </c>
      <c r="D4296" s="2" t="s">
        <v>289</v>
      </c>
      <c r="E4296" s="2" t="s">
        <v>199</v>
      </c>
      <c r="F4296" s="2">
        <v>6.0</v>
      </c>
      <c r="G4296" s="2">
        <v>500.0</v>
      </c>
      <c r="H4296" s="3" t="str">
        <f>HYPERLINK("http://www.linkedin.com/pub/martin-machin-cladera/0/313/667","http://www.linkedin.com/pub/martin-machin-cladera/0/313/667")</f>
        <v>http://www.linkedin.com/pub/martin-machin-cladera/0/313/667</v>
      </c>
      <c r="I4296" s="2" t="s">
        <v>15</v>
      </c>
      <c r="J4296" s="2" t="s">
        <v>200</v>
      </c>
      <c r="K4296" s="2" t="s">
        <v>6178</v>
      </c>
    </row>
    <row r="4297" ht="15.75" customHeight="1">
      <c r="A4297" s="2">
        <v>46906.0</v>
      </c>
      <c r="B4297" s="2" t="s">
        <v>6093</v>
      </c>
      <c r="C4297" s="2" t="s">
        <v>9018</v>
      </c>
      <c r="D4297" s="2" t="s">
        <v>9019</v>
      </c>
      <c r="E4297" s="2" t="s">
        <v>20</v>
      </c>
      <c r="F4297" s="2">
        <v>1.0</v>
      </c>
      <c r="G4297" s="2">
        <v>203.0</v>
      </c>
      <c r="H4297" s="3" t="str">
        <f>HYPERLINK("http://ar.linkedin.com/pub/nicol%C3%A1s-buthay/23/7B4/B13","http://ar.linkedin.com/pub/nicol%C3%A1s-buthay/23/7B4/B13")</f>
        <v>http://ar.linkedin.com/pub/nicol%C3%A1s-buthay/23/7B4/B13</v>
      </c>
      <c r="I4297" s="2" t="s">
        <v>2023</v>
      </c>
      <c r="J4297" s="2" t="s">
        <v>21</v>
      </c>
      <c r="K4297" s="2" t="s">
        <v>5734</v>
      </c>
    </row>
    <row r="4298" ht="15.75" customHeight="1">
      <c r="A4298" s="2">
        <v>46921.0</v>
      </c>
      <c r="B4298" s="2" t="s">
        <v>6083</v>
      </c>
      <c r="C4298" s="2" t="s">
        <v>3392</v>
      </c>
      <c r="D4298" s="2" t="s">
        <v>9020</v>
      </c>
      <c r="E4298" s="2" t="s">
        <v>20</v>
      </c>
      <c r="F4298" s="2" t="s">
        <v>13</v>
      </c>
      <c r="G4298" s="2">
        <v>175.0</v>
      </c>
      <c r="H4298" s="3" t="str">
        <f>HYPERLINK("http://ar.linkedin.com/pub/mariela-lopez/1A/B20/363","http://ar.linkedin.com/pub/mariela-lopez/1A/B20/363")</f>
        <v>http://ar.linkedin.com/pub/mariela-lopez/1A/B20/363</v>
      </c>
      <c r="I4298" s="2" t="s">
        <v>579</v>
      </c>
      <c r="J4298" s="2" t="s">
        <v>21</v>
      </c>
      <c r="K4298" s="2" t="s">
        <v>5848</v>
      </c>
    </row>
    <row r="4299" ht="15.75" customHeight="1">
      <c r="A4299" s="2">
        <v>46941.0</v>
      </c>
      <c r="B4299" s="2" t="s">
        <v>8694</v>
      </c>
      <c r="C4299" s="2" t="s">
        <v>658</v>
      </c>
      <c r="D4299" s="2" t="s">
        <v>9021</v>
      </c>
      <c r="E4299" s="2" t="s">
        <v>20</v>
      </c>
      <c r="F4299" s="2">
        <v>3.0</v>
      </c>
      <c r="G4299" s="2">
        <v>500.0</v>
      </c>
      <c r="H4299" s="3" t="str">
        <f>HYPERLINK("http://ar.linkedin.com/pub/vanesa-l%C3%B3pez/8/948/487","http://ar.linkedin.com/pub/vanesa-l%C3%B3pez/8/948/487")</f>
        <v>http://ar.linkedin.com/pub/vanesa-l%C3%B3pez/8/948/487</v>
      </c>
      <c r="I4299" s="2" t="s">
        <v>96</v>
      </c>
      <c r="J4299" s="2" t="s">
        <v>21</v>
      </c>
      <c r="K4299" s="2" t="s">
        <v>5727</v>
      </c>
    </row>
    <row r="4300" ht="15.75" customHeight="1">
      <c r="A4300" s="2">
        <v>46945.0</v>
      </c>
      <c r="B4300" s="2" t="s">
        <v>9022</v>
      </c>
      <c r="C4300" s="2" t="s">
        <v>9023</v>
      </c>
      <c r="D4300" s="2" t="s">
        <v>13</v>
      </c>
      <c r="E4300" s="2" t="s">
        <v>20</v>
      </c>
      <c r="F4300" s="2">
        <v>0.0</v>
      </c>
      <c r="G4300" s="2">
        <v>500.0</v>
      </c>
      <c r="H4300" s="3" t="str">
        <f>HYPERLINK("http://www.linkedin.com/pub/pilar-cabrera-castilla/6/637/336","http://www.linkedin.com/pub/pilar-cabrera-castilla/6/637/336")</f>
        <v>http://www.linkedin.com/pub/pilar-cabrera-castilla/6/637/336</v>
      </c>
      <c r="I4300" s="2" t="s">
        <v>458</v>
      </c>
      <c r="J4300" s="2" t="s">
        <v>21</v>
      </c>
      <c r="K4300" s="2" t="s">
        <v>5734</v>
      </c>
    </row>
    <row r="4301" ht="15.75" customHeight="1">
      <c r="A4301" s="2">
        <v>46957.0</v>
      </c>
      <c r="B4301" s="2" t="s">
        <v>2648</v>
      </c>
      <c r="C4301" s="2" t="s">
        <v>5960</v>
      </c>
      <c r="D4301" s="2" t="s">
        <v>9024</v>
      </c>
      <c r="E4301" s="2" t="s">
        <v>20</v>
      </c>
      <c r="F4301" s="2">
        <v>11.0</v>
      </c>
      <c r="G4301" s="2">
        <v>225.0</v>
      </c>
      <c r="H4301" s="3" t="str">
        <f>HYPERLINK("http://ar.linkedin.com/pub/norman-beltran/A/370/A81","http://ar.linkedin.com/pub/norman-beltran/A/370/A81")</f>
        <v>http://ar.linkedin.com/pub/norman-beltran/A/370/A81</v>
      </c>
      <c r="I4301" s="2" t="s">
        <v>96</v>
      </c>
      <c r="J4301" s="2" t="s">
        <v>21</v>
      </c>
      <c r="K4301" s="2" t="s">
        <v>5727</v>
      </c>
    </row>
    <row r="4302" ht="15.75" customHeight="1">
      <c r="A4302" s="2">
        <v>46960.0</v>
      </c>
      <c r="B4302" s="2" t="s">
        <v>9025</v>
      </c>
      <c r="C4302" s="2" t="s">
        <v>797</v>
      </c>
      <c r="D4302" s="2" t="s">
        <v>9026</v>
      </c>
      <c r="E4302" s="2" t="s">
        <v>122</v>
      </c>
      <c r="F4302" s="2">
        <v>2.0</v>
      </c>
      <c r="G4302" s="2">
        <v>500.0</v>
      </c>
      <c r="H4302" s="3" t="str">
        <f>HYPERLINK("http://uk.linkedin.com/pub/david-alan-taylor/14/835/A73","http://uk.linkedin.com/pub/david-alan-taylor/14/835/A73")</f>
        <v>http://uk.linkedin.com/pub/david-alan-taylor/14/835/A73</v>
      </c>
      <c r="I4302" s="2" t="s">
        <v>77</v>
      </c>
      <c r="J4302" s="2" t="s">
        <v>53</v>
      </c>
      <c r="K4302" s="2" t="s">
        <v>5725</v>
      </c>
    </row>
    <row r="4303" ht="15.75" customHeight="1">
      <c r="A4303" s="2">
        <v>46987.0</v>
      </c>
      <c r="B4303" s="2" t="s">
        <v>9027</v>
      </c>
      <c r="C4303" s="2" t="s">
        <v>4179</v>
      </c>
      <c r="D4303" s="2" t="s">
        <v>13</v>
      </c>
      <c r="E4303" s="2" t="s">
        <v>20</v>
      </c>
      <c r="F4303" s="2">
        <v>0.0</v>
      </c>
      <c r="G4303" s="2">
        <v>500.0</v>
      </c>
      <c r="H4303" s="3" t="str">
        <f>HYPERLINK("http://www.linkedin.com/pub/mar%C3%ADa-josefina-weber/b/869/29","http://www.linkedin.com/pub/mar%C3%ADa-josefina-weber/b/869/29")</f>
        <v>http://www.linkedin.com/pub/mar%C3%ADa-josefina-weber/b/869/29</v>
      </c>
      <c r="I4303" s="2" t="s">
        <v>458</v>
      </c>
      <c r="J4303" s="2" t="s">
        <v>21</v>
      </c>
      <c r="K4303" s="2" t="s">
        <v>5734</v>
      </c>
    </row>
    <row r="4304" ht="15.75" customHeight="1">
      <c r="A4304" s="2">
        <v>46994.0</v>
      </c>
      <c r="B4304" s="2" t="s">
        <v>9028</v>
      </c>
      <c r="C4304" s="2" t="s">
        <v>9029</v>
      </c>
      <c r="D4304" s="2" t="s">
        <v>9030</v>
      </c>
      <c r="E4304" s="2" t="s">
        <v>20</v>
      </c>
      <c r="F4304" s="2" t="s">
        <v>13</v>
      </c>
      <c r="G4304" s="2">
        <v>500.0</v>
      </c>
      <c r="H4304" s="3" t="str">
        <f>HYPERLINK("http://ar.linkedin.com/pub/lucila-mar-a-g-elfo-salles/15/A12/6BB","http://ar.linkedin.com/pub/lucila-mar-a-g-elfo-salles/15/A12/6BB")</f>
        <v>http://ar.linkedin.com/pub/lucila-mar-a-g-elfo-salles/15/A12/6BB</v>
      </c>
      <c r="I4304" s="2" t="s">
        <v>105</v>
      </c>
      <c r="J4304" s="2" t="s">
        <v>21</v>
      </c>
      <c r="K4304" s="2" t="s">
        <v>5785</v>
      </c>
    </row>
    <row r="4305" ht="15.75" customHeight="1">
      <c r="A4305" s="2">
        <v>47001.0</v>
      </c>
      <c r="B4305" s="2" t="s">
        <v>9031</v>
      </c>
      <c r="C4305" s="2" t="s">
        <v>9032</v>
      </c>
      <c r="D4305" s="2" t="s">
        <v>13</v>
      </c>
      <c r="E4305" s="2" t="s">
        <v>20</v>
      </c>
      <c r="F4305" s="2">
        <v>0.0</v>
      </c>
      <c r="G4305" s="2">
        <v>500.0</v>
      </c>
      <c r="H4305" s="3" t="str">
        <f>HYPERLINK("http://ar.linkedin.com/pub/brenda-baran/9/443/189","http://ar.linkedin.com/pub/brenda-baran/9/443/189")</f>
        <v>http://ar.linkedin.com/pub/brenda-baran/9/443/189</v>
      </c>
      <c r="I4305" s="2" t="s">
        <v>458</v>
      </c>
      <c r="J4305" s="2" t="s">
        <v>21</v>
      </c>
      <c r="K4305" s="2" t="s">
        <v>5865</v>
      </c>
    </row>
    <row r="4306" ht="15.75" customHeight="1">
      <c r="A4306" s="2">
        <v>47022.0</v>
      </c>
      <c r="B4306" s="2" t="s">
        <v>9033</v>
      </c>
      <c r="C4306" s="2" t="s">
        <v>2750</v>
      </c>
      <c r="D4306" s="2" t="s">
        <v>2079</v>
      </c>
      <c r="E4306" s="2" t="s">
        <v>20</v>
      </c>
      <c r="F4306" s="2" t="s">
        <v>13</v>
      </c>
      <c r="G4306" s="2">
        <v>500.0</v>
      </c>
      <c r="H4306" s="3" t="str">
        <f>HYPERLINK("http://ar.linkedin.com/pub/jorge-n-berman/0/190/4","http://ar.linkedin.com/pub/jorge-n-berman/0/190/4")</f>
        <v>http://ar.linkedin.com/pub/jorge-n-berman/0/190/4</v>
      </c>
      <c r="I4306" s="2" t="s">
        <v>458</v>
      </c>
      <c r="J4306" s="2" t="s">
        <v>21</v>
      </c>
      <c r="K4306" s="2" t="s">
        <v>5734</v>
      </c>
    </row>
    <row r="4307" ht="15.75" customHeight="1">
      <c r="A4307" s="2">
        <v>47024.0</v>
      </c>
      <c r="B4307" s="2" t="s">
        <v>3692</v>
      </c>
      <c r="C4307" s="2" t="s">
        <v>5758</v>
      </c>
      <c r="D4307" s="2" t="s">
        <v>9034</v>
      </c>
      <c r="E4307" s="2" t="s">
        <v>20</v>
      </c>
      <c r="F4307" s="2">
        <v>8.0</v>
      </c>
      <c r="G4307" s="2">
        <v>500.0</v>
      </c>
      <c r="H4307" s="3" t="str">
        <f>HYPERLINK("http://ar.linkedin.com/pub/federico-carbone/7/B00/B3A","http://ar.linkedin.com/pub/federico-carbone/7/B00/B3A")</f>
        <v>http://ar.linkedin.com/pub/federico-carbone/7/B00/B3A</v>
      </c>
      <c r="I4307" s="2" t="s">
        <v>669</v>
      </c>
      <c r="J4307" s="2" t="s">
        <v>21</v>
      </c>
      <c r="K4307" s="2" t="s">
        <v>5727</v>
      </c>
    </row>
    <row r="4308" ht="15.75" customHeight="1">
      <c r="A4308" s="2">
        <v>47028.0</v>
      </c>
      <c r="B4308" s="2" t="s">
        <v>515</v>
      </c>
      <c r="C4308" s="2" t="s">
        <v>9035</v>
      </c>
      <c r="D4308" s="2" t="s">
        <v>9036</v>
      </c>
      <c r="E4308" s="2" t="s">
        <v>20</v>
      </c>
      <c r="F4308" s="2">
        <v>3.0</v>
      </c>
      <c r="G4308" s="2">
        <v>243.0</v>
      </c>
      <c r="H4308" s="3" t="str">
        <f>HYPERLINK("http://ar.linkedin.com/pub/juan-ignacio-mazza/12/A34/411","http://ar.linkedin.com/pub/juan-ignacio-mazza/12/A34/411")</f>
        <v>http://ar.linkedin.com/pub/juan-ignacio-mazza/12/A34/411</v>
      </c>
      <c r="I4308" s="2" t="s">
        <v>599</v>
      </c>
      <c r="J4308" s="2" t="s">
        <v>21</v>
      </c>
      <c r="K4308" s="2" t="s">
        <v>5727</v>
      </c>
    </row>
    <row r="4309" ht="15.75" customHeight="1">
      <c r="A4309" s="2">
        <v>47033.0</v>
      </c>
      <c r="B4309" s="2" t="s">
        <v>9037</v>
      </c>
      <c r="C4309" s="2" t="s">
        <v>1729</v>
      </c>
      <c r="D4309" s="2" t="s">
        <v>9038</v>
      </c>
      <c r="E4309" s="2" t="s">
        <v>20</v>
      </c>
      <c r="F4309" s="2">
        <v>16.0</v>
      </c>
      <c r="G4309" s="2">
        <v>500.0</v>
      </c>
      <c r="H4309" s="3" t="str">
        <f>HYPERLINK("http://ar.linkedin.com/pub/sergio-gabriel-martinez/23/81B/674","http://ar.linkedin.com/pub/sergio-gabriel-martinez/23/81B/674")</f>
        <v>http://ar.linkedin.com/pub/sergio-gabriel-martinez/23/81B/674</v>
      </c>
      <c r="I4309" s="2" t="s">
        <v>458</v>
      </c>
      <c r="J4309" s="2" t="s">
        <v>21</v>
      </c>
      <c r="K4309" s="2" t="s">
        <v>5727</v>
      </c>
    </row>
    <row r="4310" ht="15.75" customHeight="1">
      <c r="A4310" s="2">
        <v>47048.0</v>
      </c>
      <c r="B4310" s="2" t="s">
        <v>3563</v>
      </c>
      <c r="C4310" s="2" t="s">
        <v>9039</v>
      </c>
      <c r="D4310" s="2" t="s">
        <v>13</v>
      </c>
      <c r="E4310" s="2" t="s">
        <v>9040</v>
      </c>
      <c r="F4310" s="2">
        <v>2.0</v>
      </c>
      <c r="G4310" s="2">
        <v>500.0</v>
      </c>
      <c r="H4310" s="3" t="str">
        <f>HYPERLINK("http://www.linkedin.com/pub/manuel-castellano-quiroga/0/4a7/990","http://www.linkedin.com/pub/manuel-castellano-quiroga/0/4a7/990")</f>
        <v>http://www.linkedin.com/pub/manuel-castellano-quiroga/0/4a7/990</v>
      </c>
      <c r="I4310" s="2" t="s">
        <v>475</v>
      </c>
      <c r="J4310" s="2" t="s">
        <v>220</v>
      </c>
      <c r="K4310" s="2" t="s">
        <v>5727</v>
      </c>
    </row>
    <row r="4311" ht="15.75" customHeight="1">
      <c r="A4311" s="2">
        <v>47056.0</v>
      </c>
      <c r="B4311" s="2" t="s">
        <v>1289</v>
      </c>
      <c r="C4311" s="2" t="s">
        <v>9041</v>
      </c>
      <c r="D4311" s="2" t="s">
        <v>9042</v>
      </c>
      <c r="E4311" s="2" t="s">
        <v>2058</v>
      </c>
      <c r="F4311" s="2">
        <v>7.0</v>
      </c>
      <c r="G4311" s="2">
        <v>500.0</v>
      </c>
      <c r="H4311" s="3" t="str">
        <f>HYPERLINK("http://www.linkedin.com/in/clifftang","http://www.linkedin.com/in/clifftang")</f>
        <v>http://www.linkedin.com/in/clifftang</v>
      </c>
      <c r="I4311" s="2" t="s">
        <v>248</v>
      </c>
      <c r="J4311" s="2" t="s">
        <v>102</v>
      </c>
      <c r="K4311" s="2" t="s">
        <v>5823</v>
      </c>
    </row>
    <row r="4312" ht="15.75" customHeight="1">
      <c r="A4312" s="2">
        <v>47060.0</v>
      </c>
      <c r="B4312" s="2" t="s">
        <v>275</v>
      </c>
      <c r="C4312" s="2" t="s">
        <v>9043</v>
      </c>
      <c r="D4312" s="2" t="s">
        <v>2274</v>
      </c>
      <c r="E4312" s="2" t="s">
        <v>5503</v>
      </c>
      <c r="F4312" s="2">
        <v>14.0</v>
      </c>
      <c r="G4312" s="2">
        <v>500.0</v>
      </c>
      <c r="H4312" s="3" t="str">
        <f>HYPERLINK("http://www.linkedin.com/in/markdunlop","http://www.linkedin.com/in/markdunlop")</f>
        <v>http://www.linkedin.com/in/markdunlop</v>
      </c>
      <c r="I4312" s="2" t="s">
        <v>681</v>
      </c>
      <c r="J4312" s="2" t="s">
        <v>102</v>
      </c>
      <c r="K4312" s="2" t="s">
        <v>5727</v>
      </c>
    </row>
    <row r="4313" ht="15.75" customHeight="1">
      <c r="A4313" s="2">
        <v>47062.0</v>
      </c>
      <c r="B4313" s="2" t="s">
        <v>5761</v>
      </c>
      <c r="C4313" s="2" t="s">
        <v>9044</v>
      </c>
      <c r="D4313" s="2" t="s">
        <v>13</v>
      </c>
      <c r="E4313" s="2" t="s">
        <v>20</v>
      </c>
      <c r="F4313" s="2">
        <v>10.0</v>
      </c>
      <c r="G4313" s="2">
        <v>500.0</v>
      </c>
      <c r="H4313" s="3" t="str">
        <f>HYPERLINK("http://www.linkedin.com/pub/maria-florencia-caggia/4/883/706","http://www.linkedin.com/pub/maria-florencia-caggia/4/883/706")</f>
        <v>http://www.linkedin.com/pub/maria-florencia-caggia/4/883/706</v>
      </c>
      <c r="I4313" s="2" t="s">
        <v>458</v>
      </c>
      <c r="J4313" s="2" t="s">
        <v>21</v>
      </c>
      <c r="K4313" s="2" t="s">
        <v>5929</v>
      </c>
    </row>
    <row r="4314" ht="15.75" customHeight="1">
      <c r="A4314" s="2">
        <v>47107.0</v>
      </c>
      <c r="B4314" s="2" t="s">
        <v>523</v>
      </c>
      <c r="C4314" s="2" t="s">
        <v>9045</v>
      </c>
      <c r="D4314" s="2" t="s">
        <v>9046</v>
      </c>
      <c r="E4314" s="2" t="s">
        <v>20</v>
      </c>
      <c r="F4314" s="2">
        <v>5.0</v>
      </c>
      <c r="G4314" s="2">
        <v>176.0</v>
      </c>
      <c r="H4314" s="3" t="str">
        <f>HYPERLINK("http://ar.linkedin.com/pub/ignacio-giani/A/5A2/581","http://ar.linkedin.com/pub/ignacio-giani/A/5A2/581")</f>
        <v>http://ar.linkedin.com/pub/ignacio-giani/A/5A2/581</v>
      </c>
      <c r="I4314" s="2" t="s">
        <v>77</v>
      </c>
      <c r="J4314" s="2" t="s">
        <v>21</v>
      </c>
      <c r="K4314" s="2" t="s">
        <v>5731</v>
      </c>
    </row>
    <row r="4315" ht="15.75" customHeight="1">
      <c r="A4315" s="2">
        <v>47109.0</v>
      </c>
      <c r="B4315" s="2" t="s">
        <v>238</v>
      </c>
      <c r="C4315" s="2" t="s">
        <v>9047</v>
      </c>
      <c r="D4315" s="2" t="s">
        <v>13</v>
      </c>
      <c r="E4315" s="2" t="s">
        <v>20</v>
      </c>
      <c r="F4315" s="2">
        <v>2.0</v>
      </c>
      <c r="G4315" s="2">
        <v>500.0</v>
      </c>
      <c r="H4315" s="3" t="str">
        <f>HYPERLINK("http://www.linkedin.com/pub/juan-ayerza/6/623/4a9","http://www.linkedin.com/pub/juan-ayerza/6/623/4a9")</f>
        <v>http://www.linkedin.com/pub/juan-ayerza/6/623/4a9</v>
      </c>
      <c r="I4315" s="2" t="s">
        <v>560</v>
      </c>
      <c r="J4315" s="2" t="s">
        <v>21</v>
      </c>
      <c r="K4315" s="2" t="s">
        <v>5727</v>
      </c>
    </row>
    <row r="4316" ht="15.75" customHeight="1">
      <c r="A4316" s="2">
        <v>47129.0</v>
      </c>
      <c r="B4316" s="2" t="s">
        <v>9048</v>
      </c>
      <c r="C4316" s="2" t="s">
        <v>1502</v>
      </c>
      <c r="D4316" s="2" t="s">
        <v>9049</v>
      </c>
      <c r="E4316" s="2" t="s">
        <v>20</v>
      </c>
      <c r="F4316" s="2">
        <v>1.0</v>
      </c>
      <c r="G4316" s="2">
        <v>342.0</v>
      </c>
      <c r="H4316" s="3" t="str">
        <f>HYPERLINK("http://ar.linkedin.com/pub/bettina-cohen/0/2B1/151","http://ar.linkedin.com/pub/bettina-cohen/0/2B1/151")</f>
        <v>http://ar.linkedin.com/pub/bettina-cohen/0/2B1/151</v>
      </c>
      <c r="I4316" s="2" t="s">
        <v>119</v>
      </c>
      <c r="J4316" s="2" t="s">
        <v>21</v>
      </c>
      <c r="K4316" s="2" t="s">
        <v>5785</v>
      </c>
    </row>
    <row r="4317" ht="15.75" customHeight="1">
      <c r="A4317" s="2">
        <v>47130.0</v>
      </c>
      <c r="B4317" s="2" t="s">
        <v>9050</v>
      </c>
      <c r="C4317" s="2" t="s">
        <v>9051</v>
      </c>
      <c r="D4317" s="2" t="s">
        <v>9052</v>
      </c>
      <c r="E4317" s="2" t="s">
        <v>20</v>
      </c>
      <c r="F4317" s="2">
        <v>4.0</v>
      </c>
      <c r="G4317" s="2">
        <v>265.0</v>
      </c>
      <c r="H4317" s="3" t="str">
        <f>HYPERLINK("http://ar.linkedin.com/in/cfmartinelli","http://ar.linkedin.com/in/cfmartinelli")</f>
        <v>http://ar.linkedin.com/in/cfmartinelli</v>
      </c>
      <c r="I4317" s="2" t="s">
        <v>96</v>
      </c>
      <c r="J4317" s="2" t="s">
        <v>21</v>
      </c>
      <c r="K4317" s="2" t="s">
        <v>5727</v>
      </c>
    </row>
    <row r="4318" ht="15.75" customHeight="1">
      <c r="A4318" s="2">
        <v>47158.0</v>
      </c>
      <c r="B4318" s="2" t="s">
        <v>3847</v>
      </c>
      <c r="C4318" s="2" t="s">
        <v>8260</v>
      </c>
      <c r="D4318" s="2" t="s">
        <v>9053</v>
      </c>
      <c r="E4318" s="2" t="s">
        <v>20</v>
      </c>
      <c r="F4318" s="2">
        <v>3.0</v>
      </c>
      <c r="G4318" s="2">
        <v>500.0</v>
      </c>
      <c r="H4318" s="3" t="str">
        <f>HYPERLINK("http://ar.linkedin.com/in/victormoure","http://ar.linkedin.com/in/victormoure")</f>
        <v>http://ar.linkedin.com/in/victormoure</v>
      </c>
      <c r="I4318" s="2" t="s">
        <v>2443</v>
      </c>
      <c r="J4318" s="2" t="s">
        <v>21</v>
      </c>
      <c r="K4318" s="2" t="s">
        <v>5734</v>
      </c>
    </row>
    <row r="4319" ht="15.75" customHeight="1">
      <c r="A4319" s="2">
        <v>47163.0</v>
      </c>
      <c r="B4319" s="2" t="s">
        <v>59</v>
      </c>
      <c r="C4319" s="2" t="s">
        <v>9054</v>
      </c>
      <c r="D4319" s="2" t="s">
        <v>9055</v>
      </c>
      <c r="E4319" s="2" t="s">
        <v>20</v>
      </c>
      <c r="F4319" s="2">
        <v>6.0</v>
      </c>
      <c r="G4319" s="2">
        <v>500.0</v>
      </c>
      <c r="H4319" s="3" t="str">
        <f>HYPERLINK("http://www.linkedin.com/in/martingasulla","http://www.linkedin.com/in/martingasulla")</f>
        <v>http://www.linkedin.com/in/martingasulla</v>
      </c>
      <c r="I4319" s="2" t="s">
        <v>5036</v>
      </c>
      <c r="J4319" s="2" t="s">
        <v>21</v>
      </c>
      <c r="K4319" s="2" t="s">
        <v>5727</v>
      </c>
    </row>
    <row r="4320" ht="15.75" customHeight="1">
      <c r="A4320" s="2">
        <v>47177.0</v>
      </c>
      <c r="B4320" s="2" t="s">
        <v>2720</v>
      </c>
      <c r="C4320" s="2" t="s">
        <v>9056</v>
      </c>
      <c r="D4320" s="2" t="s">
        <v>289</v>
      </c>
      <c r="E4320" s="2" t="s">
        <v>20</v>
      </c>
      <c r="F4320" s="2" t="s">
        <v>13</v>
      </c>
      <c r="G4320" s="2">
        <v>500.0</v>
      </c>
      <c r="H4320" s="3" t="str">
        <f>HYPERLINK("http://ar.linkedin.com/pub/alexis-pourrain/B/10/4A8","http://ar.linkedin.com/pub/alexis-pourrain/B/10/4A8")</f>
        <v>http://ar.linkedin.com/pub/alexis-pourrain/B/10/4A8</v>
      </c>
      <c r="I4320" s="2" t="s">
        <v>77</v>
      </c>
      <c r="J4320" s="2" t="s">
        <v>21</v>
      </c>
      <c r="K4320" s="2" t="s">
        <v>5848</v>
      </c>
    </row>
    <row r="4321" ht="15.75" customHeight="1">
      <c r="A4321" s="2">
        <v>47198.0</v>
      </c>
      <c r="B4321" s="2" t="s">
        <v>70</v>
      </c>
      <c r="C4321" s="2" t="s">
        <v>9057</v>
      </c>
      <c r="D4321" s="2" t="s">
        <v>9058</v>
      </c>
      <c r="E4321" s="2" t="s">
        <v>20</v>
      </c>
      <c r="F4321" s="2">
        <v>1.0</v>
      </c>
      <c r="G4321" s="2">
        <v>500.0</v>
      </c>
      <c r="H4321" s="3" t="str">
        <f>HYPERLINK("http://ar.linkedin.com/in/gcousido","http://ar.linkedin.com/in/gcousido")</f>
        <v>http://ar.linkedin.com/in/gcousido</v>
      </c>
      <c r="I4321" s="2" t="s">
        <v>15</v>
      </c>
      <c r="J4321" s="2" t="s">
        <v>21</v>
      </c>
      <c r="K4321" s="2" t="s">
        <v>5725</v>
      </c>
    </row>
    <row r="4322" ht="15.75" customHeight="1">
      <c r="A4322" s="2">
        <v>47225.0</v>
      </c>
      <c r="B4322" s="2" t="s">
        <v>221</v>
      </c>
      <c r="C4322" s="2" t="s">
        <v>9059</v>
      </c>
      <c r="D4322" s="2" t="s">
        <v>9060</v>
      </c>
      <c r="E4322" s="2" t="s">
        <v>20</v>
      </c>
      <c r="F4322" s="2">
        <v>2.0</v>
      </c>
      <c r="G4322" s="2">
        <v>209.0</v>
      </c>
      <c r="H4322" s="3" t="str">
        <f>HYPERLINK("http://ar.linkedin.com/pub/miguel-isabella/11/89A/137","http://ar.linkedin.com/pub/miguel-isabella/11/89A/137")</f>
        <v>http://ar.linkedin.com/pub/miguel-isabella/11/89A/137</v>
      </c>
      <c r="I4322" s="2" t="s">
        <v>279</v>
      </c>
      <c r="J4322" s="2" t="s">
        <v>21</v>
      </c>
      <c r="K4322" s="2" t="s">
        <v>5727</v>
      </c>
    </row>
    <row r="4323" ht="15.75" customHeight="1">
      <c r="A4323" s="2">
        <v>47238.0</v>
      </c>
      <c r="B4323" s="2" t="s">
        <v>6004</v>
      </c>
      <c r="C4323" s="2" t="s">
        <v>4088</v>
      </c>
      <c r="D4323" s="2" t="s">
        <v>9061</v>
      </c>
      <c r="E4323" s="2" t="s">
        <v>20</v>
      </c>
      <c r="F4323" s="2">
        <v>1.0</v>
      </c>
      <c r="G4323" s="2">
        <v>283.0</v>
      </c>
      <c r="H4323" s="3" t="str">
        <f>HYPERLINK("http://ar.linkedin.com/pub/juan-manuel-guidi/9/9AB/A00","http://ar.linkedin.com/pub/juan-manuel-guidi/9/9AB/A00")</f>
        <v>http://ar.linkedin.com/pub/juan-manuel-guidi/9/9AB/A00</v>
      </c>
      <c r="I4323" s="2" t="s">
        <v>77</v>
      </c>
      <c r="J4323" s="2" t="s">
        <v>21</v>
      </c>
      <c r="K4323" s="2" t="s">
        <v>5848</v>
      </c>
    </row>
    <row r="4324" ht="15.75" customHeight="1">
      <c r="A4324" s="2">
        <v>47243.0</v>
      </c>
      <c r="B4324" s="2" t="s">
        <v>3223</v>
      </c>
      <c r="C4324" s="2" t="s">
        <v>9062</v>
      </c>
      <c r="D4324" s="2" t="s">
        <v>6982</v>
      </c>
      <c r="E4324" s="2" t="s">
        <v>20</v>
      </c>
      <c r="F4324" s="2">
        <v>1.0</v>
      </c>
      <c r="G4324" s="2">
        <v>284.0</v>
      </c>
      <c r="H4324" s="3" t="str">
        <f>HYPERLINK("http://ar.linkedin.com/pub/laura-suero/9/B44/889","http://ar.linkedin.com/pub/laura-suero/9/B44/889")</f>
        <v>http://ar.linkedin.com/pub/laura-suero/9/B44/889</v>
      </c>
      <c r="I4324" s="2" t="s">
        <v>1452</v>
      </c>
      <c r="J4324" s="2" t="s">
        <v>21</v>
      </c>
      <c r="K4324" s="2" t="s">
        <v>5865</v>
      </c>
    </row>
    <row r="4325" ht="15.75" customHeight="1">
      <c r="A4325" s="2">
        <v>47272.0</v>
      </c>
      <c r="B4325" s="2" t="s">
        <v>423</v>
      </c>
      <c r="C4325" s="2" t="s">
        <v>9063</v>
      </c>
      <c r="D4325" s="2" t="s">
        <v>9064</v>
      </c>
      <c r="E4325" s="2" t="s">
        <v>20</v>
      </c>
      <c r="F4325" s="2">
        <v>10.0</v>
      </c>
      <c r="G4325" s="2">
        <v>500.0</v>
      </c>
      <c r="H4325" s="3" t="str">
        <f>HYPERLINK("http://ar.linkedin.com/in/carolinagoodacre","http://ar.linkedin.com/in/carolinagoodacre")</f>
        <v>http://ar.linkedin.com/in/carolinagoodacre</v>
      </c>
      <c r="I4325" s="2" t="s">
        <v>669</v>
      </c>
      <c r="J4325" s="2" t="s">
        <v>21</v>
      </c>
      <c r="K4325" s="2" t="s">
        <v>5743</v>
      </c>
    </row>
    <row r="4326" ht="15.75" customHeight="1">
      <c r="A4326" s="2">
        <v>47273.0</v>
      </c>
      <c r="B4326" s="2" t="s">
        <v>9065</v>
      </c>
      <c r="C4326" s="2" t="s">
        <v>9066</v>
      </c>
      <c r="D4326" s="2" t="s">
        <v>13</v>
      </c>
      <c r="E4326" s="2" t="s">
        <v>20</v>
      </c>
      <c r="F4326" s="2">
        <v>10.0</v>
      </c>
      <c r="G4326" s="2">
        <v>475.0</v>
      </c>
      <c r="H4326" s="3" t="str">
        <f>HYPERLINK("http://www.linkedin.com/pub/mariana-gabriela-rincon/19/5b8/480","http://www.linkedin.com/pub/mariana-gabriela-rincon/19/5b8/480")</f>
        <v>http://www.linkedin.com/pub/mariana-gabriela-rincon/19/5b8/480</v>
      </c>
      <c r="I4326" s="2" t="s">
        <v>910</v>
      </c>
      <c r="J4326" s="2" t="s">
        <v>21</v>
      </c>
      <c r="K4326" s="2" t="s">
        <v>5727</v>
      </c>
    </row>
    <row r="4327" ht="15.75" customHeight="1">
      <c r="A4327" s="2">
        <v>47283.0</v>
      </c>
      <c r="B4327" s="2" t="s">
        <v>5915</v>
      </c>
      <c r="C4327" s="2" t="s">
        <v>3943</v>
      </c>
      <c r="D4327" s="2" t="s">
        <v>2066</v>
      </c>
      <c r="E4327" s="2" t="s">
        <v>20</v>
      </c>
      <c r="F4327" s="2">
        <v>10.0</v>
      </c>
      <c r="G4327" s="2">
        <v>500.0</v>
      </c>
      <c r="H4327" s="3" t="str">
        <f>HYPERLINK("http://ar.linkedin.com/in/clarapaula","http://ar.linkedin.com/in/clarapaula")</f>
        <v>http://ar.linkedin.com/in/clarapaula</v>
      </c>
      <c r="I4327" s="2" t="s">
        <v>57</v>
      </c>
      <c r="J4327" s="2" t="s">
        <v>21</v>
      </c>
      <c r="K4327" s="2" t="s">
        <v>5727</v>
      </c>
    </row>
    <row r="4328" ht="15.75" customHeight="1">
      <c r="A4328" s="2">
        <v>47289.0</v>
      </c>
      <c r="B4328" s="2" t="s">
        <v>9067</v>
      </c>
      <c r="C4328" s="2" t="s">
        <v>7539</v>
      </c>
      <c r="D4328" s="2" t="s">
        <v>9068</v>
      </c>
      <c r="E4328" s="2" t="s">
        <v>20</v>
      </c>
      <c r="F4328" s="2">
        <v>10.0</v>
      </c>
      <c r="G4328" s="2">
        <v>500.0</v>
      </c>
      <c r="H4328" s="3" t="str">
        <f>HYPERLINK("http://ar.linkedin.com/pub/federico-ariel-p-rez/5/184/76A","http://ar.linkedin.com/pub/federico-ariel-p-rez/5/184/76A")</f>
        <v>http://ar.linkedin.com/pub/federico-ariel-p-rez/5/184/76A</v>
      </c>
      <c r="I4328" s="2" t="s">
        <v>1679</v>
      </c>
      <c r="J4328" s="2" t="s">
        <v>21</v>
      </c>
      <c r="K4328" s="2" t="s">
        <v>5727</v>
      </c>
    </row>
    <row r="4329" ht="15.75" customHeight="1">
      <c r="A4329" s="2">
        <v>47301.0</v>
      </c>
      <c r="B4329" s="2" t="s">
        <v>6064</v>
      </c>
      <c r="C4329" s="2" t="s">
        <v>9069</v>
      </c>
      <c r="D4329" s="2" t="s">
        <v>8341</v>
      </c>
      <c r="E4329" s="2" t="s">
        <v>20</v>
      </c>
      <c r="F4329" s="2" t="s">
        <v>13</v>
      </c>
      <c r="G4329" s="2">
        <v>500.0</v>
      </c>
      <c r="H4329" s="3" t="str">
        <f>HYPERLINK("http://ar.linkedin.com/pub/romina-pi-eiro/13/503/6A0","http://ar.linkedin.com/pub/romina-pi-eiro/13/503/6A0")</f>
        <v>http://ar.linkedin.com/pub/romina-pi-eiro/13/503/6A0</v>
      </c>
      <c r="I4329" s="2" t="s">
        <v>458</v>
      </c>
      <c r="J4329" s="2" t="s">
        <v>21</v>
      </c>
      <c r="K4329" s="2" t="s">
        <v>5734</v>
      </c>
    </row>
    <row r="4330" ht="15.75" customHeight="1">
      <c r="A4330" s="2">
        <v>47309.0</v>
      </c>
      <c r="B4330" s="2" t="s">
        <v>353</v>
      </c>
      <c r="C4330" s="2" t="s">
        <v>9070</v>
      </c>
      <c r="D4330" s="2" t="s">
        <v>9071</v>
      </c>
      <c r="E4330" s="2" t="s">
        <v>20</v>
      </c>
      <c r="F4330" s="2" t="s">
        <v>13</v>
      </c>
      <c r="G4330" s="2">
        <v>191.0</v>
      </c>
      <c r="H4330" s="3" t="str">
        <f>HYPERLINK("http://ar.linkedin.com/pub/alejandro-gallo/A/7A0/AA3","http://ar.linkedin.com/pub/alejandro-gallo/A/7A0/AA3")</f>
        <v>http://ar.linkedin.com/pub/alejandro-gallo/A/7A0/AA3</v>
      </c>
      <c r="I4330" s="2" t="s">
        <v>57</v>
      </c>
      <c r="J4330" s="2" t="s">
        <v>21</v>
      </c>
      <c r="K4330" s="2" t="s">
        <v>5725</v>
      </c>
    </row>
    <row r="4331" ht="15.75" customHeight="1">
      <c r="A4331" s="2">
        <v>47324.0</v>
      </c>
      <c r="B4331" s="2" t="s">
        <v>70</v>
      </c>
      <c r="C4331" s="2" t="s">
        <v>9072</v>
      </c>
      <c r="D4331" s="2" t="s">
        <v>7993</v>
      </c>
      <c r="E4331" s="2" t="s">
        <v>20</v>
      </c>
      <c r="F4331" s="2">
        <v>2.0</v>
      </c>
      <c r="G4331" s="2">
        <v>157.0</v>
      </c>
      <c r="H4331" s="3" t="str">
        <f>HYPERLINK("http://ar.linkedin.com/in/ggazzano","http://ar.linkedin.com/in/ggazzano")</f>
        <v>http://ar.linkedin.com/in/ggazzano</v>
      </c>
      <c r="I4331" s="2" t="s">
        <v>1452</v>
      </c>
      <c r="J4331" s="2" t="s">
        <v>21</v>
      </c>
      <c r="K4331" s="2" t="s">
        <v>9073</v>
      </c>
    </row>
    <row r="4332" ht="15.75" customHeight="1">
      <c r="A4332" s="2">
        <v>47357.0</v>
      </c>
      <c r="B4332" s="2" t="s">
        <v>9074</v>
      </c>
      <c r="C4332" s="2" t="s">
        <v>9075</v>
      </c>
      <c r="D4332" s="2" t="s">
        <v>9076</v>
      </c>
      <c r="E4332" s="2" t="s">
        <v>20</v>
      </c>
      <c r="F4332" s="2">
        <v>2.0</v>
      </c>
      <c r="G4332" s="2">
        <v>500.0</v>
      </c>
      <c r="H4332" s="3" t="str">
        <f>HYPERLINK("http://ar.linkedin.com/pub/maria-victoria-guimil/9/753/725","http://ar.linkedin.com/pub/maria-victoria-guimil/9/753/725")</f>
        <v>http://ar.linkedin.com/pub/maria-victoria-guimil/9/753/725</v>
      </c>
      <c r="I4332" s="2" t="s">
        <v>3187</v>
      </c>
      <c r="J4332" s="2" t="s">
        <v>21</v>
      </c>
      <c r="K4332" s="2" t="s">
        <v>5727</v>
      </c>
    </row>
    <row r="4333" ht="15.75" customHeight="1">
      <c r="A4333" s="2">
        <v>47377.0</v>
      </c>
      <c r="B4333" s="2" t="s">
        <v>3684</v>
      </c>
      <c r="C4333" s="2" t="s">
        <v>9077</v>
      </c>
      <c r="D4333" s="2" t="s">
        <v>9078</v>
      </c>
      <c r="E4333" s="2" t="s">
        <v>20</v>
      </c>
      <c r="F4333" s="2" t="s">
        <v>13</v>
      </c>
      <c r="G4333" s="2">
        <v>347.0</v>
      </c>
      <c r="H4333" s="3" t="str">
        <f>HYPERLINK("http://ar.linkedin.com/pub/walter-gentili/B/828/5B5","http://ar.linkedin.com/pub/walter-gentili/B/828/5B5")</f>
        <v>http://ar.linkedin.com/pub/walter-gentili/B/828/5B5</v>
      </c>
      <c r="I4333" s="2" t="s">
        <v>9079</v>
      </c>
      <c r="J4333" s="2" t="s">
        <v>21</v>
      </c>
      <c r="K4333" s="2" t="s">
        <v>5977</v>
      </c>
    </row>
    <row r="4334" ht="15.75" customHeight="1">
      <c r="A4334" s="2">
        <v>47383.0</v>
      </c>
      <c r="B4334" s="2" t="s">
        <v>5078</v>
      </c>
      <c r="C4334" s="2" t="s">
        <v>9080</v>
      </c>
      <c r="D4334" s="2" t="s">
        <v>13</v>
      </c>
      <c r="E4334" s="2" t="s">
        <v>20</v>
      </c>
      <c r="F4334" s="2">
        <v>0.0</v>
      </c>
      <c r="G4334" s="2">
        <v>294.0</v>
      </c>
      <c r="H4334" s="3" t="str">
        <f>HYPERLINK("http://www.linkedin.com/pub/diego-lorenzutti/2/b32/a9b","http://www.linkedin.com/pub/diego-lorenzutti/2/b32/a9b")</f>
        <v>http://www.linkedin.com/pub/diego-lorenzutti/2/b32/a9b</v>
      </c>
      <c r="I4334" s="2" t="s">
        <v>77</v>
      </c>
      <c r="J4334" s="2" t="s">
        <v>21</v>
      </c>
      <c r="K4334" s="2" t="s">
        <v>5785</v>
      </c>
    </row>
    <row r="4335" ht="15.75" customHeight="1">
      <c r="A4335" s="2">
        <v>47424.0</v>
      </c>
      <c r="B4335" s="2" t="s">
        <v>5723</v>
      </c>
      <c r="C4335" s="2" t="s">
        <v>9081</v>
      </c>
      <c r="D4335" s="2" t="s">
        <v>6404</v>
      </c>
      <c r="E4335" s="2" t="s">
        <v>20</v>
      </c>
      <c r="F4335" s="2" t="s">
        <v>13</v>
      </c>
      <c r="G4335" s="2">
        <v>215.0</v>
      </c>
      <c r="H4335" s="3" t="str">
        <f>HYPERLINK("http://ar.linkedin.com/pub/pablo-pannunzio/27/838/10B","http://ar.linkedin.com/pub/pablo-pannunzio/27/838/10B")</f>
        <v>http://ar.linkedin.com/pub/pablo-pannunzio/27/838/10B</v>
      </c>
      <c r="I4335" s="2" t="s">
        <v>15</v>
      </c>
      <c r="J4335" s="2" t="s">
        <v>21</v>
      </c>
      <c r="K4335" s="2" t="s">
        <v>5725</v>
      </c>
    </row>
    <row r="4336" ht="15.75" customHeight="1">
      <c r="A4336" s="2">
        <v>47428.0</v>
      </c>
      <c r="B4336" s="2" t="s">
        <v>3268</v>
      </c>
      <c r="C4336" s="2" t="s">
        <v>9082</v>
      </c>
      <c r="D4336" s="2" t="s">
        <v>9083</v>
      </c>
      <c r="E4336" s="2" t="s">
        <v>20</v>
      </c>
      <c r="F4336" s="2" t="s">
        <v>13</v>
      </c>
      <c r="G4336" s="2">
        <v>351.0</v>
      </c>
      <c r="H4336" s="3" t="str">
        <f>HYPERLINK("http://ar.linkedin.com/pub/patricia-goldstein/10/12B/464","http://ar.linkedin.com/pub/patricia-goldstein/10/12B/464")</f>
        <v>http://ar.linkedin.com/pub/patricia-goldstein/10/12B/464</v>
      </c>
      <c r="I4336" s="2" t="s">
        <v>15</v>
      </c>
      <c r="J4336" s="2" t="s">
        <v>21</v>
      </c>
      <c r="K4336" s="2" t="s">
        <v>6124</v>
      </c>
    </row>
    <row r="4337" ht="15.75" customHeight="1">
      <c r="A4337" s="2">
        <v>47481.0</v>
      </c>
      <c r="B4337" s="2" t="s">
        <v>523</v>
      </c>
      <c r="C4337" s="2" t="s">
        <v>9084</v>
      </c>
      <c r="D4337" s="2" t="s">
        <v>9085</v>
      </c>
      <c r="E4337" s="2" t="s">
        <v>20</v>
      </c>
      <c r="F4337" s="2" t="s">
        <v>13</v>
      </c>
      <c r="G4337" s="2">
        <v>102.0</v>
      </c>
      <c r="H4337" s="3" t="str">
        <f>HYPERLINK("http://ar.linkedin.com/pub/toti-schmeisser/17/214/25A","http://ar.linkedin.com/pub/toti-schmeisser/17/214/25A")</f>
        <v>http://ar.linkedin.com/pub/toti-schmeisser/17/214/25A</v>
      </c>
      <c r="I4337" s="2" t="s">
        <v>105</v>
      </c>
      <c r="J4337" s="2" t="s">
        <v>21</v>
      </c>
      <c r="K4337" s="2" t="s">
        <v>5725</v>
      </c>
    </row>
    <row r="4338" ht="15.75" customHeight="1">
      <c r="A4338" s="2">
        <v>47485.0</v>
      </c>
      <c r="B4338" s="2" t="s">
        <v>9086</v>
      </c>
      <c r="C4338" s="2" t="s">
        <v>6543</v>
      </c>
      <c r="D4338" s="2" t="s">
        <v>9087</v>
      </c>
      <c r="E4338" s="2" t="s">
        <v>20</v>
      </c>
      <c r="F4338" s="2">
        <v>3.0</v>
      </c>
      <c r="G4338" s="2">
        <v>500.0</v>
      </c>
      <c r="H4338" s="3" t="str">
        <f>HYPERLINK("http://ar.linkedin.com/pub/h%C3%A9ctor-blanco/7/B7A/B53","http://ar.linkedin.com/pub/h%C3%A9ctor-blanco/7/B7A/B53")</f>
        <v>http://ar.linkedin.com/pub/h%C3%A9ctor-blanco/7/B7A/B53</v>
      </c>
      <c r="I4338" s="2" t="s">
        <v>77</v>
      </c>
      <c r="J4338" s="2" t="s">
        <v>21</v>
      </c>
      <c r="K4338" s="2" t="s">
        <v>5731</v>
      </c>
    </row>
    <row r="4339" ht="15.75" customHeight="1">
      <c r="A4339" s="2">
        <v>47494.0</v>
      </c>
      <c r="B4339" s="2" t="s">
        <v>9088</v>
      </c>
      <c r="C4339" s="2" t="s">
        <v>9089</v>
      </c>
      <c r="D4339" s="2" t="s">
        <v>9090</v>
      </c>
      <c r="E4339" s="2" t="s">
        <v>20</v>
      </c>
      <c r="F4339" s="2">
        <v>4.0</v>
      </c>
      <c r="G4339" s="2">
        <v>500.0</v>
      </c>
      <c r="H4339" s="3" t="str">
        <f>HYPERLINK("http://ar.linkedin.com/in/alejandrojaviercanteli","http://ar.linkedin.com/in/alejandrojaviercanteli")</f>
        <v>http://ar.linkedin.com/in/alejandrojaviercanteli</v>
      </c>
      <c r="I4339" s="2" t="s">
        <v>77</v>
      </c>
      <c r="J4339" s="2" t="s">
        <v>21</v>
      </c>
      <c r="K4339" s="2" t="s">
        <v>5731</v>
      </c>
    </row>
    <row r="4340" ht="15.75" customHeight="1">
      <c r="A4340" s="2">
        <v>47500.0</v>
      </c>
      <c r="B4340" s="2" t="s">
        <v>5883</v>
      </c>
      <c r="C4340" s="2" t="s">
        <v>9091</v>
      </c>
      <c r="D4340" s="2" t="s">
        <v>8678</v>
      </c>
      <c r="E4340" s="2" t="s">
        <v>20</v>
      </c>
      <c r="F4340" s="2">
        <v>4.0</v>
      </c>
      <c r="G4340" s="2">
        <v>500.0</v>
      </c>
      <c r="H4340" s="3" t="str">
        <f>HYPERLINK("http://ar.linkedin.com/in/aaurelio","http://ar.linkedin.com/in/aaurelio")</f>
        <v>http://ar.linkedin.com/in/aaurelio</v>
      </c>
      <c r="I4340" s="2" t="s">
        <v>77</v>
      </c>
      <c r="J4340" s="2" t="s">
        <v>21</v>
      </c>
      <c r="K4340" s="2" t="s">
        <v>5731</v>
      </c>
    </row>
    <row r="4341" ht="15.75" customHeight="1">
      <c r="A4341" s="2">
        <v>47501.0</v>
      </c>
      <c r="B4341" s="2" t="s">
        <v>5808</v>
      </c>
      <c r="C4341" s="2" t="s">
        <v>7582</v>
      </c>
      <c r="D4341" s="2" t="s">
        <v>9092</v>
      </c>
      <c r="E4341" s="2" t="s">
        <v>20</v>
      </c>
      <c r="F4341" s="2">
        <v>17.0</v>
      </c>
      <c r="G4341" s="2">
        <v>435.0</v>
      </c>
      <c r="H4341" s="3" t="str">
        <f>HYPERLINK("http://ar.linkedin.com/pub/matias-berardi/0/B59/664","http://ar.linkedin.com/pub/matias-berardi/0/B59/664")</f>
        <v>http://ar.linkedin.com/pub/matias-berardi/0/B59/664</v>
      </c>
      <c r="I4341" s="2" t="s">
        <v>2046</v>
      </c>
      <c r="J4341" s="2" t="s">
        <v>21</v>
      </c>
      <c r="K4341" s="2" t="s">
        <v>5727</v>
      </c>
    </row>
    <row r="4342" ht="15.75" customHeight="1">
      <c r="A4342" s="2">
        <v>47537.0</v>
      </c>
      <c r="B4342" s="2" t="s">
        <v>353</v>
      </c>
      <c r="C4342" s="2" t="s">
        <v>6078</v>
      </c>
      <c r="D4342" s="2" t="s">
        <v>186</v>
      </c>
      <c r="E4342" s="2" t="s">
        <v>20</v>
      </c>
      <c r="F4342" s="2" t="s">
        <v>13</v>
      </c>
      <c r="G4342" s="2">
        <v>221.0</v>
      </c>
      <c r="H4342" s="3" t="str">
        <f>HYPERLINK("http://ar.linkedin.com/pub/alejandro-abella/0/432/1B7","http://ar.linkedin.com/pub/alejandro-abella/0/432/1B7")</f>
        <v>http://ar.linkedin.com/pub/alejandro-abella/0/432/1B7</v>
      </c>
      <c r="I4342" s="2" t="s">
        <v>57</v>
      </c>
      <c r="J4342" s="2" t="s">
        <v>21</v>
      </c>
      <c r="K4342" s="2" t="s">
        <v>5725</v>
      </c>
    </row>
    <row r="4343" ht="15.75" customHeight="1">
      <c r="A4343" s="2">
        <v>47544.0</v>
      </c>
      <c r="B4343" s="2" t="s">
        <v>9093</v>
      </c>
      <c r="C4343" s="2" t="s">
        <v>9094</v>
      </c>
      <c r="D4343" s="2" t="s">
        <v>6634</v>
      </c>
      <c r="E4343" s="2" t="s">
        <v>1093</v>
      </c>
      <c r="F4343" s="2">
        <v>0.0</v>
      </c>
      <c r="G4343" s="2">
        <v>235.0</v>
      </c>
      <c r="H4343" s="3" t="str">
        <f>HYPERLINK("http://www.linkedin.com/pub/federico-mart%C3%ADn-betoldi/a/5b0/1a9","http://www.linkedin.com/pub/federico-mart%C3%ADn-betoldi/a/5b0/1a9")</f>
        <v>http://www.linkedin.com/pub/federico-mart%C3%ADn-betoldi/a/5b0/1a9</v>
      </c>
      <c r="I4343" s="2" t="s">
        <v>48</v>
      </c>
      <c r="J4343" s="2" t="s">
        <v>1095</v>
      </c>
      <c r="K4343" s="2" t="s">
        <v>6124</v>
      </c>
    </row>
    <row r="4344" ht="15.75" customHeight="1">
      <c r="A4344" s="2">
        <v>47564.0</v>
      </c>
      <c r="B4344" s="2" t="s">
        <v>5922</v>
      </c>
      <c r="C4344" s="2" t="s">
        <v>9095</v>
      </c>
      <c r="D4344" s="2" t="s">
        <v>9096</v>
      </c>
      <c r="E4344" s="2" t="s">
        <v>20</v>
      </c>
      <c r="F4344" s="2">
        <v>1.0</v>
      </c>
      <c r="G4344" s="2">
        <v>303.0</v>
      </c>
      <c r="H4344" s="3" t="str">
        <f>HYPERLINK("http://ar.linkedin.com/pub/gabriela-caserta/9/781/B93","http://ar.linkedin.com/pub/gabriela-caserta/9/781/B93")</f>
        <v>http://ar.linkedin.com/pub/gabriela-caserta/9/781/B93</v>
      </c>
      <c r="I4344" s="2" t="s">
        <v>15</v>
      </c>
      <c r="J4344" s="2" t="s">
        <v>21</v>
      </c>
      <c r="K4344" s="2" t="s">
        <v>5725</v>
      </c>
    </row>
    <row r="4345" ht="15.75" customHeight="1">
      <c r="A4345" s="2">
        <v>47568.0</v>
      </c>
      <c r="B4345" s="2" t="s">
        <v>1528</v>
      </c>
      <c r="C4345" s="2" t="s">
        <v>9097</v>
      </c>
      <c r="D4345" s="2" t="s">
        <v>9098</v>
      </c>
      <c r="E4345" s="2" t="s">
        <v>1288</v>
      </c>
      <c r="F4345" s="2">
        <v>3.0</v>
      </c>
      <c r="G4345" s="2">
        <v>182.0</v>
      </c>
      <c r="H4345" s="3" t="str">
        <f>HYPERLINK("http://ar.linkedin.com/pub/guido-pestrin/11/65B/81","http://ar.linkedin.com/pub/guido-pestrin/11/65B/81")</f>
        <v>http://ar.linkedin.com/pub/guido-pestrin/11/65B/81</v>
      </c>
      <c r="I4345" s="2" t="s">
        <v>248</v>
      </c>
      <c r="J4345" s="2" t="s">
        <v>53</v>
      </c>
      <c r="K4345" s="2" t="s">
        <v>6096</v>
      </c>
    </row>
    <row r="4346" ht="15.75" customHeight="1">
      <c r="A4346" s="2">
        <v>47571.0</v>
      </c>
      <c r="B4346" s="2" t="s">
        <v>227</v>
      </c>
      <c r="C4346" s="2" t="s">
        <v>221</v>
      </c>
      <c r="D4346" s="2" t="s">
        <v>5746</v>
      </c>
      <c r="E4346" s="2" t="s">
        <v>20</v>
      </c>
      <c r="F4346" s="2">
        <v>3.0</v>
      </c>
      <c r="G4346" s="2">
        <v>389.0</v>
      </c>
      <c r="H4346" s="3" t="str">
        <f>HYPERLINK("http://ar.linkedin.com/in/jorgeamiguel","http://ar.linkedin.com/in/jorgeamiguel")</f>
        <v>http://ar.linkedin.com/in/jorgeamiguel</v>
      </c>
      <c r="I4346" s="2" t="s">
        <v>681</v>
      </c>
      <c r="J4346" s="2" t="s">
        <v>21</v>
      </c>
      <c r="K4346" s="2" t="s">
        <v>5727</v>
      </c>
    </row>
    <row r="4347" ht="15.75" customHeight="1">
      <c r="A4347" s="2">
        <v>47587.0</v>
      </c>
      <c r="B4347" s="2" t="s">
        <v>9099</v>
      </c>
      <c r="C4347" s="2" t="s">
        <v>9100</v>
      </c>
      <c r="D4347" s="2" t="s">
        <v>9101</v>
      </c>
      <c r="E4347" s="2" t="s">
        <v>101</v>
      </c>
      <c r="F4347" s="2">
        <v>18.0</v>
      </c>
      <c r="G4347" s="2">
        <v>500.0</v>
      </c>
      <c r="H4347" s="3" t="str">
        <f>HYPERLINK("http://www.linkedin.com/pub/mo-o-neill/6/BA0/B75","http://www.linkedin.com/pub/mo-o-neill/6/BA0/B75")</f>
        <v>http://www.linkedin.com/pub/mo-o-neill/6/BA0/B75</v>
      </c>
      <c r="I4347" s="2" t="s">
        <v>248</v>
      </c>
      <c r="J4347" s="2" t="s">
        <v>102</v>
      </c>
      <c r="K4347" s="2" t="s">
        <v>6388</v>
      </c>
    </row>
    <row r="4348" ht="15.75" customHeight="1">
      <c r="A4348" s="2">
        <v>47588.0</v>
      </c>
      <c r="B4348" s="2" t="s">
        <v>5808</v>
      </c>
      <c r="C4348" s="2" t="s">
        <v>9102</v>
      </c>
      <c r="D4348" s="2" t="s">
        <v>9103</v>
      </c>
      <c r="E4348" s="2" t="s">
        <v>9104</v>
      </c>
      <c r="F4348" s="2">
        <v>5.0</v>
      </c>
      <c r="G4348" s="2">
        <v>500.0</v>
      </c>
      <c r="H4348" s="3" t="str">
        <f>HYPERLINK("http://www.linkedin.com/in/matiasmiguelvillar","http://www.linkedin.com/in/matiasmiguelvillar")</f>
        <v>http://www.linkedin.com/in/matiasmiguelvillar</v>
      </c>
      <c r="I4348" s="2" t="s">
        <v>714</v>
      </c>
      <c r="J4348" s="2" t="s">
        <v>65</v>
      </c>
      <c r="K4348" s="2" t="s">
        <v>5727</v>
      </c>
    </row>
    <row r="4349" ht="15.75" customHeight="1">
      <c r="A4349" s="2">
        <v>47626.0</v>
      </c>
      <c r="B4349" s="2" t="s">
        <v>647</v>
      </c>
      <c r="C4349" s="2" t="s">
        <v>7545</v>
      </c>
      <c r="D4349" s="2" t="s">
        <v>9105</v>
      </c>
      <c r="E4349" s="2" t="s">
        <v>20</v>
      </c>
      <c r="F4349" s="2">
        <v>4.0</v>
      </c>
      <c r="G4349" s="2">
        <v>102.0</v>
      </c>
      <c r="H4349" s="3" t="str">
        <f>HYPERLINK("http://ar.linkedin.com/in/claudiomiglesias","http://ar.linkedin.com/in/claudiomiglesias")</f>
        <v>http://ar.linkedin.com/in/claudiomiglesias</v>
      </c>
      <c r="I4349" s="2" t="s">
        <v>2443</v>
      </c>
      <c r="J4349" s="2" t="s">
        <v>21</v>
      </c>
      <c r="K4349" s="2" t="s">
        <v>5727</v>
      </c>
    </row>
    <row r="4350" ht="15.75" customHeight="1">
      <c r="A4350" s="2">
        <v>47629.0</v>
      </c>
      <c r="B4350" s="2" t="s">
        <v>5732</v>
      </c>
      <c r="C4350" s="2" t="s">
        <v>9106</v>
      </c>
      <c r="D4350" s="2" t="s">
        <v>1196</v>
      </c>
      <c r="E4350" s="2" t="s">
        <v>20</v>
      </c>
      <c r="F4350" s="2">
        <v>8.0</v>
      </c>
      <c r="G4350" s="2">
        <v>500.0</v>
      </c>
      <c r="H4350" s="3" t="str">
        <f>HYPERLINK("http://ar.linkedin.com/pub/mart-n-arguindegui/20/B15/807","http://ar.linkedin.com/pub/mart-n-arguindegui/20/B15/807")</f>
        <v>http://ar.linkedin.com/pub/mart-n-arguindegui/20/B15/807</v>
      </c>
      <c r="I4350" s="2" t="s">
        <v>57</v>
      </c>
      <c r="J4350" s="2" t="s">
        <v>21</v>
      </c>
      <c r="K4350" s="2" t="s">
        <v>5743</v>
      </c>
    </row>
    <row r="4351" ht="15.75" customHeight="1">
      <c r="A4351" s="2">
        <v>47646.0</v>
      </c>
      <c r="B4351" s="2" t="s">
        <v>9107</v>
      </c>
      <c r="C4351" s="2" t="s">
        <v>9108</v>
      </c>
      <c r="D4351" s="2" t="s">
        <v>9109</v>
      </c>
      <c r="E4351" s="2" t="s">
        <v>20</v>
      </c>
      <c r="F4351" s="2">
        <v>5.0</v>
      </c>
      <c r="G4351" s="2">
        <v>307.0</v>
      </c>
      <c r="H4351" s="3" t="str">
        <f>HYPERLINK("http://ar.linkedin.com/in/pedroalmonacid","http://ar.linkedin.com/in/pedroalmonacid")</f>
        <v>http://ar.linkedin.com/in/pedroalmonacid</v>
      </c>
      <c r="I4351" s="2" t="s">
        <v>608</v>
      </c>
      <c r="J4351" s="2" t="s">
        <v>21</v>
      </c>
      <c r="K4351" s="2" t="s">
        <v>5727</v>
      </c>
    </row>
    <row r="4352" ht="15.75" customHeight="1">
      <c r="A4352" s="2">
        <v>47652.0</v>
      </c>
      <c r="B4352" s="2" t="s">
        <v>6417</v>
      </c>
      <c r="C4352" s="2" t="s">
        <v>9110</v>
      </c>
      <c r="D4352" s="2" t="s">
        <v>13</v>
      </c>
      <c r="E4352" s="2" t="s">
        <v>20</v>
      </c>
      <c r="F4352" s="2">
        <v>0.0</v>
      </c>
      <c r="G4352" s="2">
        <v>348.0</v>
      </c>
      <c r="H4352" s="3" t="str">
        <f>HYPERLINK("http://www.linkedin.com/pub/gonzalo-martinez-pasman/0/728/9a0","http://www.linkedin.com/pub/gonzalo-martinez-pasman/0/728/9a0")</f>
        <v>http://www.linkedin.com/pub/gonzalo-martinez-pasman/0/728/9a0</v>
      </c>
      <c r="I4352" s="2" t="s">
        <v>77</v>
      </c>
      <c r="J4352" s="2" t="s">
        <v>21</v>
      </c>
      <c r="K4352" s="2" t="s">
        <v>5785</v>
      </c>
    </row>
    <row r="4353" ht="15.75" customHeight="1">
      <c r="A4353" s="2">
        <v>47674.0</v>
      </c>
      <c r="B4353" s="2" t="s">
        <v>9111</v>
      </c>
      <c r="C4353" s="2" t="s">
        <v>658</v>
      </c>
      <c r="D4353" s="2" t="s">
        <v>9112</v>
      </c>
      <c r="E4353" s="2" t="s">
        <v>20</v>
      </c>
      <c r="F4353" s="2">
        <v>2.0</v>
      </c>
      <c r="G4353" s="2">
        <v>442.0</v>
      </c>
      <c r="H4353" s="3" t="str">
        <f>HYPERLINK("http://ar.linkedin.com/in/lopezjuandiego","http://ar.linkedin.com/in/lopezjuandiego")</f>
        <v>http://ar.linkedin.com/in/lopezjuandiego</v>
      </c>
      <c r="I4353" s="2" t="s">
        <v>1398</v>
      </c>
      <c r="J4353" s="2" t="s">
        <v>21</v>
      </c>
      <c r="K4353" s="2" t="s">
        <v>5727</v>
      </c>
    </row>
    <row r="4354" ht="15.75" customHeight="1">
      <c r="A4354" s="2">
        <v>47679.0</v>
      </c>
      <c r="B4354" s="2" t="s">
        <v>5834</v>
      </c>
      <c r="C4354" s="2" t="s">
        <v>9113</v>
      </c>
      <c r="D4354" s="2" t="s">
        <v>9114</v>
      </c>
      <c r="E4354" s="2" t="s">
        <v>20</v>
      </c>
      <c r="F4354" s="2">
        <v>14.0</v>
      </c>
      <c r="G4354" s="2">
        <v>500.0</v>
      </c>
      <c r="H4354" s="3" t="str">
        <f>HYPERLINK("http://ar.linkedin.com/in/flaviaricci","http://ar.linkedin.com/in/flaviaricci")</f>
        <v>http://ar.linkedin.com/in/flaviaricci</v>
      </c>
      <c r="I4354" s="2" t="s">
        <v>440</v>
      </c>
      <c r="J4354" s="2" t="s">
        <v>21</v>
      </c>
      <c r="K4354" s="2" t="s">
        <v>5743</v>
      </c>
    </row>
    <row r="4355" ht="15.75" customHeight="1">
      <c r="A4355" s="2">
        <v>47692.0</v>
      </c>
      <c r="B4355" s="2" t="s">
        <v>609</v>
      </c>
      <c r="C4355" s="2" t="s">
        <v>9115</v>
      </c>
      <c r="D4355" s="2" t="s">
        <v>9116</v>
      </c>
      <c r="E4355" s="2" t="s">
        <v>20</v>
      </c>
      <c r="F4355" s="2">
        <v>3.0</v>
      </c>
      <c r="G4355" s="2">
        <v>500.0</v>
      </c>
      <c r="H4355" s="3" t="str">
        <f>HYPERLINK("http://ar.linkedin.com/in/rquesada","http://ar.linkedin.com/in/rquesada")</f>
        <v>http://ar.linkedin.com/in/rquesada</v>
      </c>
      <c r="I4355" s="2" t="s">
        <v>458</v>
      </c>
      <c r="J4355" s="2" t="s">
        <v>21</v>
      </c>
      <c r="K4355" s="2" t="s">
        <v>5727</v>
      </c>
    </row>
    <row r="4356" ht="15.75" customHeight="1">
      <c r="A4356" s="2">
        <v>47700.0</v>
      </c>
      <c r="B4356" s="2" t="s">
        <v>567</v>
      </c>
      <c r="C4356" s="2" t="s">
        <v>9117</v>
      </c>
      <c r="D4356" s="2" t="s">
        <v>9118</v>
      </c>
      <c r="E4356" s="2" t="s">
        <v>20</v>
      </c>
      <c r="F4356" s="2">
        <v>4.0</v>
      </c>
      <c r="G4356" s="2">
        <v>159.0</v>
      </c>
      <c r="H4356" s="3" t="str">
        <f>HYPERLINK("http://ar.linkedin.com/in/susanadirosa","http://ar.linkedin.com/in/susanadirosa")</f>
        <v>http://ar.linkedin.com/in/susanadirosa</v>
      </c>
      <c r="I4356" s="2" t="s">
        <v>105</v>
      </c>
      <c r="J4356" s="2" t="s">
        <v>21</v>
      </c>
      <c r="K4356" s="2" t="s">
        <v>5727</v>
      </c>
    </row>
    <row r="4357" ht="15.75" customHeight="1">
      <c r="A4357" s="2">
        <v>47713.0</v>
      </c>
      <c r="B4357" s="2" t="s">
        <v>9119</v>
      </c>
      <c r="C4357" s="2" t="s">
        <v>9120</v>
      </c>
      <c r="D4357" s="2" t="s">
        <v>13</v>
      </c>
      <c r="E4357" s="2" t="s">
        <v>20</v>
      </c>
      <c r="F4357" s="2">
        <v>1.0</v>
      </c>
      <c r="G4357" s="2">
        <v>418.0</v>
      </c>
      <c r="H4357" s="3" t="str">
        <f>HYPERLINK("http://www.linkedin.com/pub/maria-rosa-frabasile/14/243/626","http://www.linkedin.com/pub/maria-rosa-frabasile/14/243/626")</f>
        <v>http://www.linkedin.com/pub/maria-rosa-frabasile/14/243/626</v>
      </c>
      <c r="I4357" s="2" t="s">
        <v>105</v>
      </c>
      <c r="J4357" s="2" t="s">
        <v>21</v>
      </c>
      <c r="K4357" s="2" t="s">
        <v>5725</v>
      </c>
    </row>
    <row r="4358" ht="15.75" customHeight="1">
      <c r="A4358" s="2">
        <v>47736.0</v>
      </c>
      <c r="B4358" s="2" t="s">
        <v>5732</v>
      </c>
      <c r="C4358" s="2" t="s">
        <v>9121</v>
      </c>
      <c r="D4358" s="2" t="s">
        <v>13</v>
      </c>
      <c r="E4358" s="2" t="s">
        <v>20</v>
      </c>
      <c r="F4358" s="2">
        <v>0.0</v>
      </c>
      <c r="G4358" s="2">
        <v>500.0</v>
      </c>
      <c r="H4358" s="3" t="str">
        <f>HYPERLINK("http://www.linkedin.com/pub/mart%C3%ADn-hern%C3%A1ndez-k%C5%99eh%C3%A1%C4%8Dek/20/5a6/819","http://www.linkedin.com/pub/mart%C3%ADn-hern%C3%A1ndez-k%C5%99eh%C3%A1%C4%8Dek/20/5a6/819")</f>
        <v>http://www.linkedin.com/pub/mart%C3%ADn-hern%C3%A1ndez-k%C5%99eh%C3%A1%C4%8Dek/20/5a6/819</v>
      </c>
      <c r="I4358" s="2" t="s">
        <v>57</v>
      </c>
      <c r="J4358" s="2" t="s">
        <v>21</v>
      </c>
      <c r="K4358" s="2" t="s">
        <v>5727</v>
      </c>
    </row>
    <row r="4359" ht="15.75" customHeight="1">
      <c r="A4359" s="2">
        <v>47750.0</v>
      </c>
      <c r="B4359" s="2" t="s">
        <v>824</v>
      </c>
      <c r="C4359" s="2" t="s">
        <v>9122</v>
      </c>
      <c r="D4359" s="2" t="s">
        <v>9123</v>
      </c>
      <c r="E4359" s="2" t="s">
        <v>1918</v>
      </c>
      <c r="F4359" s="2">
        <v>7.0</v>
      </c>
      <c r="G4359" s="2">
        <v>500.0</v>
      </c>
      <c r="H4359" s="3" t="str">
        <f>HYPERLINK("http://www.linkedin.com/in/njalaty","http://www.linkedin.com/in/njalaty")</f>
        <v>http://www.linkedin.com/in/njalaty</v>
      </c>
      <c r="I4359" s="2" t="s">
        <v>248</v>
      </c>
      <c r="J4359" s="2" t="s">
        <v>102</v>
      </c>
      <c r="K4359" s="2" t="s">
        <v>6388</v>
      </c>
    </row>
    <row r="4360" ht="15.75" customHeight="1">
      <c r="A4360" s="2">
        <v>47771.0</v>
      </c>
      <c r="B4360" s="2" t="s">
        <v>6173</v>
      </c>
      <c r="C4360" s="2" t="s">
        <v>9124</v>
      </c>
      <c r="D4360" s="2" t="s">
        <v>9125</v>
      </c>
      <c r="E4360" s="2" t="s">
        <v>20</v>
      </c>
      <c r="F4360" s="2">
        <v>3.0</v>
      </c>
      <c r="G4360" s="2">
        <v>128.0</v>
      </c>
      <c r="H4360" s="3" t="str">
        <f>HYPERLINK("http://ar.linkedin.com/pub/lucia-cavagna/23/99A/582","http://ar.linkedin.com/pub/lucia-cavagna/23/99A/582")</f>
        <v>http://ar.linkedin.com/pub/lucia-cavagna/23/99A/582</v>
      </c>
      <c r="I4360" s="2" t="s">
        <v>77</v>
      </c>
      <c r="J4360" s="2" t="s">
        <v>21</v>
      </c>
      <c r="K4360" s="2" t="s">
        <v>5731</v>
      </c>
    </row>
    <row r="4361" ht="15.75" customHeight="1">
      <c r="A4361" s="2">
        <v>47786.0</v>
      </c>
      <c r="B4361" s="2" t="s">
        <v>423</v>
      </c>
      <c r="C4361" s="2" t="s">
        <v>563</v>
      </c>
      <c r="D4361" s="2" t="s">
        <v>9126</v>
      </c>
      <c r="E4361" s="2" t="s">
        <v>20</v>
      </c>
      <c r="F4361" s="2">
        <v>6.0</v>
      </c>
      <c r="G4361" s="2">
        <v>500.0</v>
      </c>
      <c r="H4361" s="3" t="str">
        <f>HYPERLINK("http://ar.linkedin.com/in/carolinawerner","http://ar.linkedin.com/in/carolinawerner")</f>
        <v>http://ar.linkedin.com/in/carolinawerner</v>
      </c>
      <c r="I4361" s="2" t="s">
        <v>560</v>
      </c>
      <c r="J4361" s="2" t="s">
        <v>21</v>
      </c>
      <c r="K4361" s="2" t="s">
        <v>5727</v>
      </c>
    </row>
    <row r="4362" ht="15.75" customHeight="1">
      <c r="A4362" s="2">
        <v>47792.0</v>
      </c>
      <c r="B4362" s="2" t="s">
        <v>5883</v>
      </c>
      <c r="C4362" s="2" t="s">
        <v>6541</v>
      </c>
      <c r="D4362" s="2" t="s">
        <v>9127</v>
      </c>
      <c r="E4362" s="2" t="s">
        <v>20</v>
      </c>
      <c r="F4362" s="2">
        <v>1.0</v>
      </c>
      <c r="G4362" s="2">
        <v>386.0</v>
      </c>
      <c r="H4362" s="3" t="str">
        <f>HYPERLINK("http://ar.linkedin.com/pub/ariel-barrionuevo/A/5A6/13","http://ar.linkedin.com/pub/ariel-barrionuevo/A/5A6/13")</f>
        <v>http://ar.linkedin.com/pub/ariel-barrionuevo/A/5A6/13</v>
      </c>
      <c r="I4362" s="2" t="s">
        <v>77</v>
      </c>
      <c r="J4362" s="2" t="s">
        <v>21</v>
      </c>
      <c r="K4362" s="2" t="s">
        <v>5785</v>
      </c>
    </row>
    <row r="4363" ht="15.75" customHeight="1">
      <c r="A4363" s="2">
        <v>47808.0</v>
      </c>
      <c r="B4363" s="2" t="s">
        <v>492</v>
      </c>
      <c r="C4363" s="2" t="s">
        <v>6207</v>
      </c>
      <c r="D4363" s="2" t="s">
        <v>8678</v>
      </c>
      <c r="E4363" s="2" t="s">
        <v>20</v>
      </c>
      <c r="F4363" s="2">
        <v>9.0</v>
      </c>
      <c r="G4363" s="2">
        <v>500.0</v>
      </c>
      <c r="H4363" s="3" t="str">
        <f>HYPERLINK("http://ar.linkedin.com/in/sergioalvarez100","http://ar.linkedin.com/in/sergioalvarez100")</f>
        <v>http://ar.linkedin.com/in/sergioalvarez100</v>
      </c>
      <c r="I4363" s="2" t="s">
        <v>446</v>
      </c>
      <c r="J4363" s="2" t="s">
        <v>21</v>
      </c>
      <c r="K4363" s="2" t="s">
        <v>5731</v>
      </c>
    </row>
    <row r="4364" ht="15.75" customHeight="1">
      <c r="A4364" s="2">
        <v>47818.0</v>
      </c>
      <c r="B4364" s="2" t="s">
        <v>9086</v>
      </c>
      <c r="C4364" s="2" t="s">
        <v>9128</v>
      </c>
      <c r="D4364" s="2" t="s">
        <v>13</v>
      </c>
      <c r="E4364" s="2" t="s">
        <v>20</v>
      </c>
      <c r="F4364" s="2">
        <v>0.0</v>
      </c>
      <c r="G4364" s="2">
        <v>500.0</v>
      </c>
      <c r="H4364" s="3" t="str">
        <f>HYPERLINK("http://www.linkedin.com/pub/h%C3%A9ctor-de-p%C3%A9rez/0/672/722","http://www.linkedin.com/pub/h%C3%A9ctor-de-p%C3%A9rez/0/672/722")</f>
        <v>http://www.linkedin.com/pub/h%C3%A9ctor-de-p%C3%A9rez/0/672/722</v>
      </c>
      <c r="I4364" s="2" t="s">
        <v>231</v>
      </c>
      <c r="J4364" s="2" t="s">
        <v>21</v>
      </c>
      <c r="K4364" s="2" t="s">
        <v>5785</v>
      </c>
    </row>
    <row r="4365" ht="15.75" customHeight="1">
      <c r="A4365" s="2">
        <v>47819.0</v>
      </c>
      <c r="B4365" s="2" t="s">
        <v>7739</v>
      </c>
      <c r="C4365" s="2" t="s">
        <v>9129</v>
      </c>
      <c r="D4365" s="2" t="s">
        <v>9130</v>
      </c>
      <c r="E4365" s="2" t="s">
        <v>20</v>
      </c>
      <c r="F4365" s="2">
        <v>2.0</v>
      </c>
      <c r="G4365" s="2">
        <v>251.0</v>
      </c>
      <c r="H4365" s="3" t="str">
        <f>HYPERLINK("http://ar.linkedin.com/in/romanramiro","http://ar.linkedin.com/in/romanramiro")</f>
        <v>http://ar.linkedin.com/in/romanramiro</v>
      </c>
      <c r="I4365" s="2" t="s">
        <v>105</v>
      </c>
      <c r="J4365" s="2" t="s">
        <v>21</v>
      </c>
      <c r="K4365" s="2" t="s">
        <v>5727</v>
      </c>
    </row>
    <row r="4366" ht="15.75" customHeight="1">
      <c r="A4366" s="2">
        <v>47824.0</v>
      </c>
      <c r="B4366" s="2" t="s">
        <v>5763</v>
      </c>
      <c r="C4366" s="2" t="s">
        <v>9131</v>
      </c>
      <c r="D4366" s="2" t="s">
        <v>9132</v>
      </c>
      <c r="E4366" s="2" t="s">
        <v>20</v>
      </c>
      <c r="F4366" s="2">
        <v>20.0</v>
      </c>
      <c r="G4366" s="2">
        <v>500.0</v>
      </c>
      <c r="H4366" s="3" t="str">
        <f>HYPERLINK("http://www.linkedin.com/in/ezequielfritz","http://www.linkedin.com/in/ezequielfritz")</f>
        <v>http://www.linkedin.com/in/ezequielfritz</v>
      </c>
      <c r="I4366" s="2" t="s">
        <v>105</v>
      </c>
      <c r="J4366" s="2" t="s">
        <v>21</v>
      </c>
      <c r="K4366" s="2" t="s">
        <v>5727</v>
      </c>
    </row>
    <row r="4367" ht="15.75" customHeight="1">
      <c r="A4367" s="2">
        <v>47826.0</v>
      </c>
      <c r="B4367" s="2" t="s">
        <v>677</v>
      </c>
      <c r="C4367" s="2" t="s">
        <v>9133</v>
      </c>
      <c r="D4367" s="2" t="s">
        <v>13</v>
      </c>
      <c r="E4367" s="2" t="s">
        <v>20</v>
      </c>
      <c r="F4367" s="2">
        <v>0.0</v>
      </c>
      <c r="G4367" s="2">
        <v>500.0</v>
      </c>
      <c r="H4367" s="3" t="str">
        <f>HYPERLINK("http://www.linkedin.com/pub/daniel-gonzalez-iglesias/13/b41/41","http://www.linkedin.com/pub/daniel-gonzalez-iglesias/13/b41/41")</f>
        <v>http://www.linkedin.com/pub/daniel-gonzalez-iglesias/13/b41/41</v>
      </c>
      <c r="I4367" s="2" t="s">
        <v>470</v>
      </c>
      <c r="J4367" s="2" t="s">
        <v>21</v>
      </c>
      <c r="K4367" s="2" t="s">
        <v>5727</v>
      </c>
    </row>
    <row r="4368" ht="15.75" customHeight="1">
      <c r="A4368" s="2">
        <v>47832.0</v>
      </c>
      <c r="B4368" s="2" t="s">
        <v>523</v>
      </c>
      <c r="C4368" s="2" t="s">
        <v>9134</v>
      </c>
      <c r="D4368" s="2" t="s">
        <v>9135</v>
      </c>
      <c r="E4368" s="2" t="s">
        <v>20</v>
      </c>
      <c r="F4368" s="2" t="s">
        <v>13</v>
      </c>
      <c r="G4368" s="2">
        <v>500.0</v>
      </c>
      <c r="H4368" s="3" t="str">
        <f>HYPERLINK("http://www.linkedin.com/pub/ignacio-vidaguren/0/1A0/91","http://www.linkedin.com/pub/ignacio-vidaguren/0/1A0/91")</f>
        <v>http://www.linkedin.com/pub/ignacio-vidaguren/0/1A0/91</v>
      </c>
      <c r="I4368" s="2" t="s">
        <v>69</v>
      </c>
      <c r="J4368" s="2" t="s">
        <v>21</v>
      </c>
      <c r="K4368" s="2" t="s">
        <v>5725</v>
      </c>
    </row>
    <row r="4369" ht="15.75" customHeight="1">
      <c r="A4369" s="2">
        <v>47844.0</v>
      </c>
      <c r="B4369" s="2" t="s">
        <v>6622</v>
      </c>
      <c r="C4369" s="2" t="s">
        <v>9136</v>
      </c>
      <c r="D4369" s="2" t="s">
        <v>9137</v>
      </c>
      <c r="E4369" s="2" t="s">
        <v>20</v>
      </c>
      <c r="F4369" s="2" t="s">
        <v>13</v>
      </c>
      <c r="G4369" s="2">
        <v>241.0</v>
      </c>
      <c r="H4369" s="3" t="str">
        <f>HYPERLINK("http://ar.linkedin.com/pub/patricio-leach/9/175/580","http://ar.linkedin.com/pub/patricio-leach/9/175/580")</f>
        <v>http://ar.linkedin.com/pub/patricio-leach/9/175/580</v>
      </c>
      <c r="I4369" s="2" t="s">
        <v>96</v>
      </c>
      <c r="J4369" s="2" t="s">
        <v>21</v>
      </c>
      <c r="K4369" s="2" t="s">
        <v>6178</v>
      </c>
    </row>
    <row r="4370" ht="15.75" customHeight="1">
      <c r="A4370" s="2">
        <v>47853.0</v>
      </c>
      <c r="B4370" s="2" t="s">
        <v>845</v>
      </c>
      <c r="C4370" s="2" t="s">
        <v>9138</v>
      </c>
      <c r="D4370" s="2" t="s">
        <v>9139</v>
      </c>
      <c r="E4370" s="2" t="s">
        <v>20</v>
      </c>
      <c r="F4370" s="2">
        <v>4.0</v>
      </c>
      <c r="G4370" s="2">
        <v>500.0</v>
      </c>
      <c r="H4370" s="3" t="str">
        <f>HYPERLINK("http://ar.linkedin.com/pub/david-mijares/1/3A8/78A","http://ar.linkedin.com/pub/david-mijares/1/3A8/78A")</f>
        <v>http://ar.linkedin.com/pub/david-mijares/1/3A8/78A</v>
      </c>
      <c r="I4370" s="2" t="s">
        <v>910</v>
      </c>
      <c r="J4370" s="2" t="s">
        <v>21</v>
      </c>
      <c r="K4370" s="2" t="s">
        <v>5743</v>
      </c>
    </row>
    <row r="4371" ht="15.75" customHeight="1">
      <c r="A4371" s="2">
        <v>47862.0</v>
      </c>
      <c r="B4371" s="2" t="s">
        <v>3684</v>
      </c>
      <c r="C4371" s="2" t="s">
        <v>9140</v>
      </c>
      <c r="D4371" s="2" t="s">
        <v>9141</v>
      </c>
      <c r="E4371" s="2" t="s">
        <v>20</v>
      </c>
      <c r="F4371" s="2" t="s">
        <v>13</v>
      </c>
      <c r="G4371" s="2">
        <v>167.0</v>
      </c>
      <c r="H4371" s="3" t="str">
        <f>HYPERLINK("http://ar.linkedin.com/pub/walter-moreno/1A/657/8B2","http://ar.linkedin.com/pub/walter-moreno/1A/657/8B2")</f>
        <v>http://ar.linkedin.com/pub/walter-moreno/1A/657/8B2</v>
      </c>
      <c r="I4371" s="2" t="s">
        <v>608</v>
      </c>
      <c r="J4371" s="2" t="s">
        <v>21</v>
      </c>
      <c r="K4371" s="2" t="s">
        <v>5785</v>
      </c>
    </row>
    <row r="4372" ht="15.75" customHeight="1">
      <c r="A4372" s="2">
        <v>47870.0</v>
      </c>
      <c r="B4372" s="2" t="s">
        <v>253</v>
      </c>
      <c r="C4372" s="2" t="s">
        <v>9142</v>
      </c>
      <c r="D4372" s="2" t="s">
        <v>9143</v>
      </c>
      <c r="E4372" s="2" t="s">
        <v>20</v>
      </c>
      <c r="F4372" s="2">
        <v>8.0</v>
      </c>
      <c r="G4372" s="2">
        <v>500.0</v>
      </c>
      <c r="H4372" s="3" t="str">
        <f>HYPERLINK("http://ar.linkedin.com/in/fernandomoyano","http://ar.linkedin.com/in/fernandomoyano")</f>
        <v>http://ar.linkedin.com/in/fernandomoyano</v>
      </c>
      <c r="I4372" s="2" t="s">
        <v>279</v>
      </c>
      <c r="J4372" s="2" t="s">
        <v>21</v>
      </c>
      <c r="K4372" s="2" t="s">
        <v>5727</v>
      </c>
    </row>
    <row r="4373" ht="15.75" customHeight="1">
      <c r="A4373" s="2">
        <v>47883.0</v>
      </c>
      <c r="B4373" s="2" t="s">
        <v>8313</v>
      </c>
      <c r="C4373" s="2" t="s">
        <v>9144</v>
      </c>
      <c r="D4373" s="2" t="s">
        <v>13</v>
      </c>
      <c r="E4373" s="2" t="s">
        <v>20</v>
      </c>
      <c r="F4373" s="2">
        <v>0.0</v>
      </c>
      <c r="G4373" s="2">
        <v>500.0</v>
      </c>
      <c r="H4373" s="3" t="str">
        <f>HYPERLINK("http://www.linkedin.com/pub/julian-pallanza/a/a6/b63","http://www.linkedin.com/pub/julian-pallanza/a/a6/b63")</f>
        <v>http://www.linkedin.com/pub/julian-pallanza/a/a6/b63</v>
      </c>
      <c r="I4373" s="2" t="s">
        <v>231</v>
      </c>
      <c r="J4373" s="2" t="s">
        <v>21</v>
      </c>
      <c r="K4373" s="2" t="s">
        <v>5785</v>
      </c>
    </row>
    <row r="4374" ht="15.75" customHeight="1">
      <c r="A4374" s="2">
        <v>47915.0</v>
      </c>
      <c r="B4374" s="2" t="s">
        <v>6432</v>
      </c>
      <c r="C4374" s="2" t="s">
        <v>9145</v>
      </c>
      <c r="D4374" s="2" t="s">
        <v>9146</v>
      </c>
      <c r="E4374" s="2" t="s">
        <v>20</v>
      </c>
      <c r="F4374" s="2">
        <v>2.0</v>
      </c>
      <c r="G4374" s="2">
        <v>500.0</v>
      </c>
      <c r="H4374" s="3" t="str">
        <f>HYPERLINK("http://www.linkedin.com/pub/marcela-bayarsky/a/403/970","http://www.linkedin.com/pub/marcela-bayarsky/a/403/970")</f>
        <v>http://www.linkedin.com/pub/marcela-bayarsky/a/403/970</v>
      </c>
      <c r="I4374" s="2" t="s">
        <v>1094</v>
      </c>
      <c r="J4374" s="2" t="s">
        <v>21</v>
      </c>
      <c r="K4374" s="2" t="s">
        <v>5727</v>
      </c>
    </row>
    <row r="4375" ht="15.75" customHeight="1">
      <c r="A4375" s="2">
        <v>47918.0</v>
      </c>
      <c r="B4375" s="2" t="s">
        <v>8315</v>
      </c>
      <c r="C4375" s="2" t="s">
        <v>9147</v>
      </c>
      <c r="D4375" s="2" t="s">
        <v>9148</v>
      </c>
      <c r="E4375" s="2" t="s">
        <v>20</v>
      </c>
      <c r="F4375" s="2">
        <v>9.0</v>
      </c>
      <c r="G4375" s="2">
        <v>500.0</v>
      </c>
      <c r="H4375" s="3" t="str">
        <f>HYPERLINK("http://ar.linkedin.com/pub/josefina-recondo/8/11B/1A6","http://ar.linkedin.com/pub/josefina-recondo/8/11B/1A6")</f>
        <v>http://ar.linkedin.com/pub/josefina-recondo/8/11B/1A6</v>
      </c>
      <c r="I4375" s="2" t="s">
        <v>77</v>
      </c>
      <c r="J4375" s="2" t="s">
        <v>21</v>
      </c>
      <c r="K4375" s="2" t="s">
        <v>5731</v>
      </c>
    </row>
    <row r="4376" ht="15.75" customHeight="1">
      <c r="A4376" s="2">
        <v>47921.0</v>
      </c>
      <c r="B4376" s="2" t="s">
        <v>59</v>
      </c>
      <c r="C4376" s="2" t="s">
        <v>4729</v>
      </c>
      <c r="D4376" s="2" t="s">
        <v>9149</v>
      </c>
      <c r="E4376" s="2" t="s">
        <v>20</v>
      </c>
      <c r="F4376" s="2" t="s">
        <v>13</v>
      </c>
      <c r="G4376" s="2">
        <v>443.0</v>
      </c>
      <c r="H4376" s="3" t="str">
        <f>HYPERLINK("http://ar.linkedin.com/pub/martin-perez/2/64B/408","http://ar.linkedin.com/pub/martin-perez/2/64B/408")</f>
        <v>http://ar.linkedin.com/pub/martin-perez/2/64B/408</v>
      </c>
      <c r="I4376" s="2" t="s">
        <v>873</v>
      </c>
      <c r="J4376" s="2" t="s">
        <v>21</v>
      </c>
      <c r="K4376" s="2" t="s">
        <v>5734</v>
      </c>
    </row>
    <row r="4377" ht="15.75" customHeight="1">
      <c r="A4377" s="2">
        <v>47944.0</v>
      </c>
      <c r="B4377" s="2" t="s">
        <v>5794</v>
      </c>
      <c r="C4377" s="2" t="s">
        <v>9150</v>
      </c>
      <c r="D4377" s="2" t="s">
        <v>9151</v>
      </c>
      <c r="E4377" s="2" t="s">
        <v>20</v>
      </c>
      <c r="F4377" s="2">
        <v>8.0</v>
      </c>
      <c r="G4377" s="2">
        <v>434.0</v>
      </c>
      <c r="H4377" s="3" t="str">
        <f>HYPERLINK("http://ar.linkedin.com/in/silvinacantesano","http://ar.linkedin.com/in/silvinacantesano")</f>
        <v>http://ar.linkedin.com/in/silvinacantesano</v>
      </c>
      <c r="I4377" s="2" t="s">
        <v>2081</v>
      </c>
      <c r="J4377" s="2" t="s">
        <v>21</v>
      </c>
      <c r="K4377" s="2" t="s">
        <v>5727</v>
      </c>
    </row>
    <row r="4378" ht="15.75" customHeight="1">
      <c r="A4378" s="2">
        <v>47973.0</v>
      </c>
      <c r="B4378" s="2" t="s">
        <v>9152</v>
      </c>
      <c r="C4378" s="2" t="s">
        <v>9140</v>
      </c>
      <c r="D4378" s="2" t="s">
        <v>9153</v>
      </c>
      <c r="E4378" s="2" t="s">
        <v>20</v>
      </c>
      <c r="F4378" s="2">
        <v>5.0</v>
      </c>
      <c r="G4378" s="2">
        <v>500.0</v>
      </c>
      <c r="H4378" s="3" t="str">
        <f>HYPERLINK("http://ar.linkedin.com/pub/mayra-moreno/B/317/154","http://ar.linkedin.com/pub/mayra-moreno/B/317/154")</f>
        <v>http://ar.linkedin.com/pub/mayra-moreno/B/317/154</v>
      </c>
      <c r="I4378" s="2" t="s">
        <v>458</v>
      </c>
      <c r="J4378" s="2" t="s">
        <v>21</v>
      </c>
      <c r="K4378" s="2" t="s">
        <v>5727</v>
      </c>
    </row>
    <row r="4379" ht="15.75" customHeight="1">
      <c r="A4379" s="2">
        <v>47988.0</v>
      </c>
      <c r="B4379" s="2" t="s">
        <v>5803</v>
      </c>
      <c r="C4379" s="2" t="s">
        <v>9154</v>
      </c>
      <c r="D4379" s="2" t="s">
        <v>9155</v>
      </c>
      <c r="E4379" s="2" t="s">
        <v>20</v>
      </c>
      <c r="F4379" s="2">
        <v>2.0</v>
      </c>
      <c r="G4379" s="2">
        <v>415.0</v>
      </c>
      <c r="H4379" s="3" t="str">
        <f>HYPERLINK("http://ar.linkedin.com/in/marianonerd","http://ar.linkedin.com/in/marianonerd")</f>
        <v>http://ar.linkedin.com/in/marianonerd</v>
      </c>
      <c r="I4379" s="2" t="s">
        <v>2081</v>
      </c>
      <c r="J4379" s="2" t="s">
        <v>21</v>
      </c>
      <c r="K4379" s="2" t="s">
        <v>5727</v>
      </c>
    </row>
    <row r="4380" ht="15.75" customHeight="1">
      <c r="A4380" s="2">
        <v>47996.0</v>
      </c>
      <c r="B4380" s="2" t="s">
        <v>9156</v>
      </c>
      <c r="C4380" s="2" t="s">
        <v>9157</v>
      </c>
      <c r="D4380" s="2" t="s">
        <v>380</v>
      </c>
      <c r="E4380" s="2" t="s">
        <v>20</v>
      </c>
      <c r="F4380" s="2">
        <v>0.0</v>
      </c>
      <c r="G4380" s="2">
        <v>500.0</v>
      </c>
      <c r="H4380" s="3" t="str">
        <f>HYPERLINK("http://ar.linkedin.com/in/trescuartos","http://ar.linkedin.com/in/trescuartos")</f>
        <v>http://ar.linkedin.com/in/trescuartos</v>
      </c>
      <c r="I4380" s="2" t="s">
        <v>844</v>
      </c>
      <c r="J4380" s="2" t="s">
        <v>21</v>
      </c>
      <c r="K4380" s="2" t="s">
        <v>5743</v>
      </c>
    </row>
    <row r="4381" ht="15.75" customHeight="1">
      <c r="A4381" s="2">
        <v>47997.0</v>
      </c>
      <c r="B4381" s="2" t="s">
        <v>9158</v>
      </c>
      <c r="C4381" s="2" t="s">
        <v>9159</v>
      </c>
      <c r="D4381" s="2" t="s">
        <v>9160</v>
      </c>
      <c r="E4381" s="2" t="s">
        <v>20</v>
      </c>
      <c r="F4381" s="2" t="s">
        <v>13</v>
      </c>
      <c r="G4381" s="2">
        <v>280.0</v>
      </c>
      <c r="H4381" s="3" t="str">
        <f>HYPERLINK("http://ar.linkedin.com/pub/lionel-modi/5/BAB/487","http://ar.linkedin.com/pub/lionel-modi/5/BAB/487")</f>
        <v>http://ar.linkedin.com/pub/lionel-modi/5/BAB/487</v>
      </c>
      <c r="I4381" s="2" t="s">
        <v>279</v>
      </c>
      <c r="J4381" s="2" t="s">
        <v>21</v>
      </c>
      <c r="K4381" s="2" t="s">
        <v>5785</v>
      </c>
    </row>
    <row r="4382" ht="15.75" customHeight="1">
      <c r="A4382" s="2">
        <v>48004.0</v>
      </c>
      <c r="B4382" s="2" t="s">
        <v>5849</v>
      </c>
      <c r="C4382" s="2" t="s">
        <v>9161</v>
      </c>
      <c r="D4382" s="2" t="s">
        <v>9162</v>
      </c>
      <c r="E4382" s="2" t="s">
        <v>20</v>
      </c>
      <c r="F4382" s="2" t="s">
        <v>13</v>
      </c>
      <c r="G4382" s="2">
        <v>500.0</v>
      </c>
      <c r="H4382" s="3" t="str">
        <f>HYPERLINK("http://ar.linkedin.com/pub/facundo-de-la-iglesia/4/810/B16","http://ar.linkedin.com/pub/facundo-de-la-iglesia/4/810/B16")</f>
        <v>http://ar.linkedin.com/pub/facundo-de-la-iglesia/4/810/B16</v>
      </c>
      <c r="I4382" s="2" t="s">
        <v>77</v>
      </c>
      <c r="J4382" s="2" t="s">
        <v>21</v>
      </c>
      <c r="K4382" s="2" t="s">
        <v>5848</v>
      </c>
    </row>
    <row r="4383" ht="15.75" customHeight="1">
      <c r="A4383" s="2">
        <v>48019.0</v>
      </c>
      <c r="B4383" s="2" t="s">
        <v>9163</v>
      </c>
      <c r="C4383" s="2" t="s">
        <v>4179</v>
      </c>
      <c r="D4383" s="2" t="s">
        <v>13</v>
      </c>
      <c r="E4383" s="2" t="s">
        <v>20</v>
      </c>
      <c r="F4383" s="2">
        <v>0.0</v>
      </c>
      <c r="G4383" s="2">
        <v>308.0</v>
      </c>
      <c r="H4383" s="3" t="str">
        <f>HYPERLINK("http://www.linkedin.com/pub/gretel-weber/24/62a/84b","http://www.linkedin.com/pub/gretel-weber/24/62a/84b")</f>
        <v>http://www.linkedin.com/pub/gretel-weber/24/62a/84b</v>
      </c>
      <c r="I4383" s="2" t="s">
        <v>579</v>
      </c>
      <c r="J4383" s="2" t="s">
        <v>21</v>
      </c>
      <c r="K4383" s="2" t="s">
        <v>5848</v>
      </c>
    </row>
    <row r="4384" ht="15.75" customHeight="1">
      <c r="A4384" s="2">
        <v>48044.0</v>
      </c>
      <c r="B4384" s="2" t="s">
        <v>671</v>
      </c>
      <c r="C4384" s="2" t="s">
        <v>6896</v>
      </c>
      <c r="D4384" s="2"/>
      <c r="E4384" s="2" t="s">
        <v>9164</v>
      </c>
      <c r="F4384" s="2">
        <v>4.0</v>
      </c>
      <c r="G4384" s="2">
        <v>500.0</v>
      </c>
      <c r="H4384" s="3" t="str">
        <f>HYPERLINK("http://www.linkedin.com/pub/mariana-castro/0/273/4B1","http://www.linkedin.com/pub/mariana-castro/0/273/4B1")</f>
        <v>http://www.linkedin.com/pub/mariana-castro/0/273/4B1</v>
      </c>
      <c r="I4384" s="2" t="s">
        <v>48</v>
      </c>
      <c r="J4384" s="2" t="s">
        <v>3505</v>
      </c>
      <c r="K4384" s="2" t="s">
        <v>9165</v>
      </c>
    </row>
    <row r="4385" ht="15.75" customHeight="1">
      <c r="A4385" s="2">
        <v>48057.0</v>
      </c>
      <c r="B4385" s="2" t="s">
        <v>862</v>
      </c>
      <c r="C4385" s="2" t="s">
        <v>9166</v>
      </c>
      <c r="D4385" s="2" t="s">
        <v>9167</v>
      </c>
      <c r="E4385" s="2" t="s">
        <v>20</v>
      </c>
      <c r="F4385" s="2">
        <v>14.0</v>
      </c>
      <c r="G4385" s="2">
        <v>500.0</v>
      </c>
      <c r="H4385" s="3" t="str">
        <f>HYPERLINK("http://ar.linkedin.com/in/gabrielcatalano","http://ar.linkedin.com/in/gabrielcatalano")</f>
        <v>http://ar.linkedin.com/in/gabrielcatalano</v>
      </c>
      <c r="I4385" s="2" t="s">
        <v>458</v>
      </c>
      <c r="J4385" s="2" t="s">
        <v>21</v>
      </c>
      <c r="K4385" s="2" t="s">
        <v>5743</v>
      </c>
    </row>
    <row r="4386" ht="15.75" customHeight="1">
      <c r="A4386" s="2">
        <v>48078.0</v>
      </c>
      <c r="B4386" s="2" t="s">
        <v>423</v>
      </c>
      <c r="C4386" s="2" t="s">
        <v>9168</v>
      </c>
      <c r="D4386" s="2" t="s">
        <v>9169</v>
      </c>
      <c r="E4386" s="2" t="s">
        <v>9170</v>
      </c>
      <c r="F4386" s="2" t="s">
        <v>13</v>
      </c>
      <c r="G4386" s="2">
        <v>500.0</v>
      </c>
      <c r="H4386" s="3" t="str">
        <f>HYPERLINK("http://ar.linkedin.com/pub/carolina-ranieri/B/B97/628","http://ar.linkedin.com/pub/carolina-ranieri/B/B97/628")</f>
        <v>http://ar.linkedin.com/pub/carolina-ranieri/B/B97/628</v>
      </c>
      <c r="I4386" s="2" t="s">
        <v>458</v>
      </c>
      <c r="J4386" s="2" t="s">
        <v>220</v>
      </c>
      <c r="K4386" s="2" t="s">
        <v>9171</v>
      </c>
    </row>
    <row r="4387" ht="15.75" customHeight="1">
      <c r="A4387" s="2">
        <v>48118.0</v>
      </c>
      <c r="B4387" s="2" t="s">
        <v>5794</v>
      </c>
      <c r="C4387" s="2" t="s">
        <v>9172</v>
      </c>
      <c r="D4387" s="2" t="s">
        <v>13</v>
      </c>
      <c r="E4387" s="2" t="s">
        <v>20</v>
      </c>
      <c r="F4387" s="2">
        <v>0.0</v>
      </c>
      <c r="G4387" s="2">
        <v>369.0</v>
      </c>
      <c r="H4387" s="3" t="str">
        <f>HYPERLINK("http://www.linkedin.com/pub/silvina-danza/3/629/3b6","http://www.linkedin.com/pub/silvina-danza/3/629/3b6")</f>
        <v>http://www.linkedin.com/pub/silvina-danza/3/629/3b6</v>
      </c>
      <c r="I4387" s="2" t="s">
        <v>15</v>
      </c>
      <c r="J4387" s="2" t="s">
        <v>21</v>
      </c>
      <c r="K4387" s="2" t="s">
        <v>5725</v>
      </c>
    </row>
    <row r="4388" ht="15.75" customHeight="1">
      <c r="A4388" s="2">
        <v>48132.0</v>
      </c>
      <c r="B4388" s="2" t="s">
        <v>9022</v>
      </c>
      <c r="C4388" s="2" t="s">
        <v>9173</v>
      </c>
      <c r="D4388" s="2" t="s">
        <v>13</v>
      </c>
      <c r="E4388" s="2" t="s">
        <v>355</v>
      </c>
      <c r="F4388" s="2">
        <v>1.0</v>
      </c>
      <c r="G4388" s="2">
        <v>500.0</v>
      </c>
      <c r="H4388" s="3" t="str">
        <f>HYPERLINK("http://www.linkedin.com/pub/pilar-mercado-perez/10/986/ba0","http://www.linkedin.com/pub/pilar-mercado-perez/10/986/ba0")</f>
        <v>http://www.linkedin.com/pub/pilar-mercado-perez/10/986/ba0</v>
      </c>
      <c r="I4388" s="2" t="s">
        <v>15</v>
      </c>
      <c r="J4388" s="2" t="s">
        <v>28</v>
      </c>
      <c r="K4388" s="2" t="s">
        <v>5819</v>
      </c>
    </row>
    <row r="4389" ht="15.75" customHeight="1">
      <c r="A4389" s="2">
        <v>48143.0</v>
      </c>
      <c r="B4389" s="2" t="s">
        <v>1076</v>
      </c>
      <c r="C4389" s="2" t="s">
        <v>3452</v>
      </c>
      <c r="D4389" s="2" t="s">
        <v>9174</v>
      </c>
      <c r="E4389" s="2" t="s">
        <v>20</v>
      </c>
      <c r="F4389" s="2">
        <v>1.0</v>
      </c>
      <c r="G4389" s="2">
        <v>392.0</v>
      </c>
      <c r="H4389" s="3" t="str">
        <f>HYPERLINK("http://ar.linkedin.com/pub/jennifer-jones/27/3BB/A32","http://ar.linkedin.com/pub/jennifer-jones/27/3BB/A32")</f>
        <v>http://ar.linkedin.com/pub/jennifer-jones/27/3BB/A32</v>
      </c>
      <c r="I4389" s="2" t="s">
        <v>77</v>
      </c>
      <c r="J4389" s="2" t="s">
        <v>21</v>
      </c>
      <c r="K4389" s="2" t="s">
        <v>5848</v>
      </c>
    </row>
    <row r="4390" ht="15.75" customHeight="1">
      <c r="A4390" s="2">
        <v>48156.0</v>
      </c>
      <c r="B4390" s="2" t="s">
        <v>7267</v>
      </c>
      <c r="C4390" s="2" t="s">
        <v>9175</v>
      </c>
      <c r="D4390" s="2" t="s">
        <v>9176</v>
      </c>
      <c r="E4390" s="2" t="s">
        <v>20</v>
      </c>
      <c r="F4390" s="2">
        <v>2.0</v>
      </c>
      <c r="G4390" s="2">
        <v>500.0</v>
      </c>
      <c r="H4390" s="3" t="str">
        <f>HYPERLINK("http://ar.linkedin.com/pub/eugenia-ordo%C3%B1ez/1B/67/53A","http://ar.linkedin.com/pub/eugenia-ordo%C3%B1ez/1B/67/53A")</f>
        <v>http://ar.linkedin.com/pub/eugenia-ordo%C3%B1ez/1B/67/53A</v>
      </c>
      <c r="I4390" s="2" t="s">
        <v>458</v>
      </c>
      <c r="J4390" s="2" t="s">
        <v>21</v>
      </c>
      <c r="K4390" s="2" t="s">
        <v>7583</v>
      </c>
    </row>
    <row r="4391" ht="15.75" customHeight="1">
      <c r="A4391" s="2">
        <v>48159.0</v>
      </c>
      <c r="B4391" s="2" t="s">
        <v>6252</v>
      </c>
      <c r="C4391" s="2" t="s">
        <v>9177</v>
      </c>
      <c r="D4391" s="2" t="s">
        <v>9178</v>
      </c>
      <c r="E4391" s="2" t="s">
        <v>20</v>
      </c>
      <c r="F4391" s="2" t="s">
        <v>13</v>
      </c>
      <c r="G4391" s="2">
        <v>328.0</v>
      </c>
      <c r="H4391" s="3" t="str">
        <f>HYPERLINK("http://ar.linkedin.com/pub/santiago-wesenack/13/B89/26A","http://ar.linkedin.com/pub/santiago-wesenack/13/B89/26A")</f>
        <v>http://ar.linkedin.com/pub/santiago-wesenack/13/B89/26A</v>
      </c>
      <c r="I4391" s="2" t="s">
        <v>279</v>
      </c>
      <c r="J4391" s="2" t="s">
        <v>21</v>
      </c>
      <c r="K4391" s="2" t="s">
        <v>5734</v>
      </c>
    </row>
    <row r="4392" ht="15.75" customHeight="1">
      <c r="A4392" s="2">
        <v>48173.0</v>
      </c>
      <c r="B4392" s="2" t="s">
        <v>9179</v>
      </c>
      <c r="C4392" s="2" t="s">
        <v>9180</v>
      </c>
      <c r="D4392" s="2" t="s">
        <v>9181</v>
      </c>
      <c r="E4392" s="2" t="s">
        <v>1190</v>
      </c>
      <c r="F4392" s="2" t="s">
        <v>13</v>
      </c>
      <c r="G4392" s="2">
        <v>500.0</v>
      </c>
      <c r="H4392" s="3" t="str">
        <f>HYPERLINK("http://www.linkedin.com/in/javierabalmaceda","http://www.linkedin.com/in/javierabalmaceda")</f>
        <v>http://www.linkedin.com/in/javierabalmaceda</v>
      </c>
      <c r="I4392" s="2" t="s">
        <v>306</v>
      </c>
      <c r="J4392" s="2" t="s">
        <v>102</v>
      </c>
      <c r="K4392" s="2" t="s">
        <v>5725</v>
      </c>
    </row>
    <row r="4393" ht="15.75" customHeight="1">
      <c r="A4393" s="2">
        <v>48177.0</v>
      </c>
      <c r="B4393" s="2" t="s">
        <v>3692</v>
      </c>
      <c r="C4393" s="2" t="s">
        <v>9182</v>
      </c>
      <c r="D4393" s="2" t="s">
        <v>9183</v>
      </c>
      <c r="E4393" s="2" t="s">
        <v>20</v>
      </c>
      <c r="F4393" s="2">
        <v>1.0</v>
      </c>
      <c r="G4393" s="2">
        <v>385.0</v>
      </c>
      <c r="H4393" s="3" t="str">
        <f>HYPERLINK("http://ar.linkedin.com/pub/federico-sandler/0/A70/775","http://ar.linkedin.com/pub/federico-sandler/0/A70/775")</f>
        <v>http://ar.linkedin.com/pub/federico-sandler/0/A70/775</v>
      </c>
      <c r="I4393" s="2" t="s">
        <v>709</v>
      </c>
      <c r="J4393" s="2" t="s">
        <v>21</v>
      </c>
      <c r="K4393" s="2" t="s">
        <v>5734</v>
      </c>
    </row>
    <row r="4394" ht="15.75" customHeight="1">
      <c r="A4394" s="2">
        <v>48236.0</v>
      </c>
      <c r="B4394" s="2" t="s">
        <v>3223</v>
      </c>
      <c r="C4394" s="2" t="s">
        <v>9184</v>
      </c>
      <c r="D4394" s="2" t="s">
        <v>9185</v>
      </c>
      <c r="E4394" s="2" t="s">
        <v>20</v>
      </c>
      <c r="F4394" s="2">
        <v>14.0</v>
      </c>
      <c r="G4394" s="2">
        <v>500.0</v>
      </c>
      <c r="H4394" s="3" t="str">
        <f>HYPERLINK("http://ar.linkedin.com/in/lauravaillard","http://ar.linkedin.com/in/lauravaillard")</f>
        <v>http://ar.linkedin.com/in/lauravaillard</v>
      </c>
      <c r="I4394" s="2" t="s">
        <v>844</v>
      </c>
      <c r="J4394" s="2" t="s">
        <v>21</v>
      </c>
      <c r="K4394" s="2" t="s">
        <v>5727</v>
      </c>
    </row>
    <row r="4395" ht="15.75" customHeight="1">
      <c r="A4395" s="2">
        <v>48257.0</v>
      </c>
      <c r="B4395" s="2" t="s">
        <v>1499</v>
      </c>
      <c r="C4395" s="2" t="s">
        <v>9186</v>
      </c>
      <c r="D4395" s="2" t="s">
        <v>42</v>
      </c>
      <c r="E4395" s="2" t="s">
        <v>20</v>
      </c>
      <c r="F4395" s="2">
        <v>1.0</v>
      </c>
      <c r="G4395" s="2">
        <v>465.0</v>
      </c>
      <c r="H4395" s="3" t="str">
        <f>HYPERLINK("http://ar.linkedin.com/pub/adrian-silberman/0/38B/427","http://ar.linkedin.com/pub/adrian-silberman/0/38B/427")</f>
        <v>http://ar.linkedin.com/pub/adrian-silberman/0/38B/427</v>
      </c>
      <c r="I4395" s="2" t="s">
        <v>475</v>
      </c>
      <c r="J4395" s="2" t="s">
        <v>21</v>
      </c>
      <c r="K4395" s="2" t="s">
        <v>5725</v>
      </c>
    </row>
    <row r="4396" ht="15.75" customHeight="1">
      <c r="A4396" s="2">
        <v>48288.0</v>
      </c>
      <c r="B4396" s="2" t="s">
        <v>7916</v>
      </c>
      <c r="C4396" s="2" t="s">
        <v>9187</v>
      </c>
      <c r="D4396" s="2" t="s">
        <v>9188</v>
      </c>
      <c r="E4396" s="2" t="s">
        <v>20</v>
      </c>
      <c r="F4396" s="2">
        <v>3.0</v>
      </c>
      <c r="G4396" s="2">
        <v>149.0</v>
      </c>
      <c r="H4396" s="3" t="str">
        <f>HYPERLINK("http://ar.linkedin.com/in/analiapalli","http://ar.linkedin.com/in/analiapalli")</f>
        <v>http://ar.linkedin.com/in/analiapalli</v>
      </c>
      <c r="I4396" s="2" t="s">
        <v>2994</v>
      </c>
      <c r="J4396" s="2" t="s">
        <v>21</v>
      </c>
      <c r="K4396" s="2" t="s">
        <v>9189</v>
      </c>
    </row>
    <row r="4397" ht="15.75" customHeight="1">
      <c r="A4397" s="2">
        <v>48334.0</v>
      </c>
      <c r="B4397" s="2" t="s">
        <v>2727</v>
      </c>
      <c r="C4397" s="2" t="s">
        <v>9190</v>
      </c>
      <c r="D4397" s="2" t="s">
        <v>9191</v>
      </c>
      <c r="E4397" s="2" t="s">
        <v>20</v>
      </c>
      <c r="F4397" s="2">
        <v>4.0</v>
      </c>
      <c r="G4397" s="2">
        <v>500.0</v>
      </c>
      <c r="H4397" s="3" t="str">
        <f>HYPERLINK("http://ar.linkedin.com/pub/monica-szydlowski/B/31A/186","http://ar.linkedin.com/pub/monica-szydlowski/B/31A/186")</f>
        <v>http://ar.linkedin.com/pub/monica-szydlowski/B/31A/186</v>
      </c>
      <c r="I4397" s="2" t="s">
        <v>579</v>
      </c>
      <c r="J4397" s="2" t="s">
        <v>21</v>
      </c>
      <c r="K4397" s="2" t="s">
        <v>5731</v>
      </c>
    </row>
    <row r="4398" ht="15.75" customHeight="1">
      <c r="A4398" s="2">
        <v>48335.0</v>
      </c>
      <c r="B4398" s="2" t="s">
        <v>3201</v>
      </c>
      <c r="C4398" s="2" t="s">
        <v>9192</v>
      </c>
      <c r="D4398" s="2" t="s">
        <v>9193</v>
      </c>
      <c r="E4398" s="2" t="s">
        <v>20</v>
      </c>
      <c r="F4398" s="2">
        <v>4.0</v>
      </c>
      <c r="G4398" s="2">
        <v>500.0</v>
      </c>
      <c r="H4398" s="3" t="str">
        <f>HYPERLINK("http://ar.linkedin.com/in/cansebarrhh","http://ar.linkedin.com/in/cansebarrhh")</f>
        <v>http://ar.linkedin.com/in/cansebarrhh</v>
      </c>
      <c r="I4398" s="2" t="s">
        <v>458</v>
      </c>
      <c r="J4398" s="2" t="s">
        <v>21</v>
      </c>
      <c r="K4398" s="2" t="s">
        <v>5727</v>
      </c>
    </row>
    <row r="4399" ht="15.75" customHeight="1">
      <c r="A4399" s="2">
        <v>48361.0</v>
      </c>
      <c r="B4399" s="2" t="s">
        <v>5078</v>
      </c>
      <c r="C4399" s="2" t="s">
        <v>390</v>
      </c>
      <c r="D4399" s="2" t="s">
        <v>9194</v>
      </c>
      <c r="E4399" s="2" t="s">
        <v>20</v>
      </c>
      <c r="F4399" s="2" t="s">
        <v>13</v>
      </c>
      <c r="G4399" s="2">
        <v>238.0</v>
      </c>
      <c r="H4399" s="3" t="str">
        <f>HYPERLINK("http://ar.linkedin.com/pub/diego-zorzi/B/839/905","http://ar.linkedin.com/pub/diego-zorzi/B/839/905")</f>
        <v>http://ar.linkedin.com/pub/diego-zorzi/B/839/905</v>
      </c>
      <c r="I4399" s="2" t="s">
        <v>9195</v>
      </c>
      <c r="J4399" s="2" t="s">
        <v>21</v>
      </c>
      <c r="K4399" s="2" t="s">
        <v>5785</v>
      </c>
    </row>
    <row r="4400" ht="15.75" customHeight="1">
      <c r="A4400" s="2">
        <v>48379.0</v>
      </c>
      <c r="B4400" s="2" t="s">
        <v>9196</v>
      </c>
      <c r="C4400" s="2" t="s">
        <v>9197</v>
      </c>
      <c r="D4400" s="2" t="s">
        <v>9198</v>
      </c>
      <c r="E4400" s="2" t="s">
        <v>20</v>
      </c>
      <c r="F4400" s="2">
        <v>3.0</v>
      </c>
      <c r="G4400" s="2">
        <v>500.0</v>
      </c>
      <c r="H4400" s="3" t="str">
        <f>HYPERLINK("http://ar.linkedin.com/pub/marina-virginia-aragon-s/23/335/576","http://ar.linkedin.com/pub/marina-virginia-aragon-s/23/335/576")</f>
        <v>http://ar.linkedin.com/pub/marina-virginia-aragon-s/23/335/576</v>
      </c>
      <c r="I4400" s="2" t="s">
        <v>458</v>
      </c>
      <c r="J4400" s="2" t="s">
        <v>21</v>
      </c>
      <c r="K4400" s="2" t="s">
        <v>5727</v>
      </c>
    </row>
    <row r="4401" ht="15.75" customHeight="1">
      <c r="A4401" s="2">
        <v>48408.0</v>
      </c>
      <c r="B4401" s="2" t="s">
        <v>9199</v>
      </c>
      <c r="C4401" s="2" t="s">
        <v>9200</v>
      </c>
      <c r="D4401" s="2" t="s">
        <v>8548</v>
      </c>
      <c r="E4401" s="2" t="s">
        <v>20</v>
      </c>
      <c r="F4401" s="2">
        <v>3.0</v>
      </c>
      <c r="G4401" s="2">
        <v>500.0</v>
      </c>
      <c r="H4401" s="3" t="str">
        <f>HYPERLINK("http://www.linkedin.com/pub/gabriela-yanina-assad/18/360/614","http://www.linkedin.com/pub/gabriela-yanina-assad/18/360/614")</f>
        <v>http://www.linkedin.com/pub/gabriela-yanina-assad/18/360/614</v>
      </c>
      <c r="I4401" s="2" t="s">
        <v>458</v>
      </c>
      <c r="J4401" s="2" t="s">
        <v>21</v>
      </c>
      <c r="K4401" s="2" t="s">
        <v>5727</v>
      </c>
    </row>
    <row r="4402" ht="15.75" customHeight="1">
      <c r="A4402" s="2">
        <v>48415.0</v>
      </c>
      <c r="B4402" s="2" t="s">
        <v>1309</v>
      </c>
      <c r="C4402" s="2" t="s">
        <v>9201</v>
      </c>
      <c r="D4402" s="2" t="s">
        <v>5749</v>
      </c>
      <c r="E4402" s="2" t="s">
        <v>20</v>
      </c>
      <c r="F4402" s="2">
        <v>11.0</v>
      </c>
      <c r="G4402" s="2">
        <v>500.0</v>
      </c>
      <c r="H4402" s="3" t="str">
        <f>HYPERLINK("http://ar.linkedin.com/in/apanciera","http://ar.linkedin.com/in/apanciera")</f>
        <v>http://ar.linkedin.com/in/apanciera</v>
      </c>
      <c r="I4402" s="2" t="s">
        <v>873</v>
      </c>
      <c r="J4402" s="2" t="s">
        <v>21</v>
      </c>
      <c r="K4402" s="2" t="s">
        <v>5727</v>
      </c>
    </row>
    <row r="4403" ht="15.75" customHeight="1">
      <c r="A4403" s="2">
        <v>48430.0</v>
      </c>
      <c r="B4403" s="2" t="s">
        <v>9202</v>
      </c>
      <c r="C4403" s="2" t="s">
        <v>9203</v>
      </c>
      <c r="D4403" s="2" t="s">
        <v>7751</v>
      </c>
      <c r="E4403" s="2" t="s">
        <v>20</v>
      </c>
      <c r="F4403" s="2">
        <v>2.0</v>
      </c>
      <c r="G4403" s="2">
        <v>500.0</v>
      </c>
      <c r="H4403" s="3" t="str">
        <f>HYPERLINK("http://ar.linkedin.com/pub/natali-lloret/26/6A0/32","http://ar.linkedin.com/pub/natali-lloret/26/6A0/32")</f>
        <v>http://ar.linkedin.com/pub/natali-lloret/26/6A0/32</v>
      </c>
      <c r="I4403" s="2" t="s">
        <v>248</v>
      </c>
      <c r="J4403" s="2" t="s">
        <v>21</v>
      </c>
      <c r="K4403" s="2" t="s">
        <v>6046</v>
      </c>
    </row>
    <row r="4404" ht="15.75" customHeight="1">
      <c r="A4404" s="2">
        <v>48442.0</v>
      </c>
      <c r="B4404" s="2" t="s">
        <v>201</v>
      </c>
      <c r="C4404" s="2" t="s">
        <v>6073</v>
      </c>
      <c r="D4404" s="2" t="s">
        <v>9204</v>
      </c>
      <c r="E4404" s="2" t="s">
        <v>20</v>
      </c>
      <c r="F4404" s="2">
        <v>1.0</v>
      </c>
      <c r="G4404" s="2">
        <v>251.0</v>
      </c>
      <c r="H4404" s="3" t="str">
        <f>HYPERLINK("http://ar.linkedin.com/pub/natalia-fortunato/3/592/388","http://ar.linkedin.com/pub/natalia-fortunato/3/592/388")</f>
        <v>http://ar.linkedin.com/pub/natalia-fortunato/3/592/388</v>
      </c>
      <c r="I4404" s="2" t="s">
        <v>77</v>
      </c>
      <c r="J4404" s="2" t="s">
        <v>21</v>
      </c>
      <c r="K4404" s="2" t="s">
        <v>5785</v>
      </c>
    </row>
    <row r="4405" ht="15.75" customHeight="1">
      <c r="A4405" s="2">
        <v>48449.0</v>
      </c>
      <c r="B4405" s="2" t="s">
        <v>353</v>
      </c>
      <c r="C4405" s="2" t="s">
        <v>2935</v>
      </c>
      <c r="D4405" s="2" t="s">
        <v>9205</v>
      </c>
      <c r="E4405" s="2" t="s">
        <v>20</v>
      </c>
      <c r="F4405" s="2">
        <v>2.0</v>
      </c>
      <c r="G4405" s="2">
        <v>500.0</v>
      </c>
      <c r="H4405" s="3" t="str">
        <f>HYPERLINK("http://ar.linkedin.com/in/alejandrorush","http://ar.linkedin.com/in/alejandrorush")</f>
        <v>http://ar.linkedin.com/in/alejandrorush</v>
      </c>
      <c r="I4405" s="2" t="s">
        <v>1398</v>
      </c>
      <c r="J4405" s="2" t="s">
        <v>21</v>
      </c>
      <c r="K4405" s="2" t="s">
        <v>5727</v>
      </c>
    </row>
    <row r="4406" ht="15.75" customHeight="1">
      <c r="A4406" s="2">
        <v>48452.0</v>
      </c>
      <c r="B4406" s="2" t="s">
        <v>5922</v>
      </c>
      <c r="C4406" s="2" t="s">
        <v>6207</v>
      </c>
      <c r="D4406" s="2" t="s">
        <v>9206</v>
      </c>
      <c r="E4406" s="2" t="s">
        <v>20</v>
      </c>
      <c r="F4406" s="2">
        <v>6.0</v>
      </c>
      <c r="G4406" s="2">
        <v>214.0</v>
      </c>
      <c r="H4406" s="3" t="str">
        <f>HYPERLINK("http://ar.linkedin.com/pub/gabriela-alvarez/30/A33/541","http://ar.linkedin.com/pub/gabriela-alvarez/30/A33/541")</f>
        <v>http://ar.linkedin.com/pub/gabriela-alvarez/30/A33/541</v>
      </c>
      <c r="I4406" s="2" t="s">
        <v>579</v>
      </c>
      <c r="J4406" s="2" t="s">
        <v>21</v>
      </c>
      <c r="K4406" s="2" t="s">
        <v>5731</v>
      </c>
    </row>
    <row r="4407" ht="15.75" customHeight="1">
      <c r="A4407" s="2">
        <v>48543.0</v>
      </c>
      <c r="B4407" s="2" t="s">
        <v>677</v>
      </c>
      <c r="C4407" s="2" t="s">
        <v>9207</v>
      </c>
      <c r="D4407" s="2" t="s">
        <v>9208</v>
      </c>
      <c r="E4407" s="2" t="s">
        <v>20</v>
      </c>
      <c r="F4407" s="2">
        <v>4.0</v>
      </c>
      <c r="G4407" s="2">
        <v>398.0</v>
      </c>
      <c r="H4407" s="3" t="str">
        <f>HYPERLINK("http://ar.linkedin.com/pub/daniel-monetto/7/85A/419","http://ar.linkedin.com/pub/daniel-monetto/7/85A/419")</f>
        <v>http://ar.linkedin.com/pub/daniel-monetto/7/85A/419</v>
      </c>
      <c r="I4407" s="2" t="s">
        <v>77</v>
      </c>
      <c r="J4407" s="2" t="s">
        <v>21</v>
      </c>
      <c r="K4407" s="2" t="s">
        <v>5731</v>
      </c>
    </row>
    <row r="4408" ht="15.75" customHeight="1">
      <c r="A4408" s="2">
        <v>48547.0</v>
      </c>
      <c r="B4408" s="2" t="s">
        <v>5723</v>
      </c>
      <c r="C4408" s="2" t="s">
        <v>8481</v>
      </c>
      <c r="D4408" s="2" t="s">
        <v>13</v>
      </c>
      <c r="E4408" s="2" t="s">
        <v>20</v>
      </c>
      <c r="F4408" s="2">
        <v>0.0</v>
      </c>
      <c r="G4408" s="2">
        <v>352.0</v>
      </c>
      <c r="H4408" s="3" t="str">
        <f>HYPERLINK("http://www.linkedin.com/pub/pablo-ren%C3%B3/0/239/96b","http://www.linkedin.com/pub/pablo-ren%C3%B3/0/239/96b")</f>
        <v>http://www.linkedin.com/pub/pablo-ren%C3%B3/0/239/96b</v>
      </c>
      <c r="I4408" s="2" t="s">
        <v>77</v>
      </c>
      <c r="J4408" s="2" t="s">
        <v>21</v>
      </c>
      <c r="K4408" s="2" t="s">
        <v>5785</v>
      </c>
    </row>
    <row r="4409" ht="15.75" customHeight="1">
      <c r="A4409" s="2">
        <v>48552.0</v>
      </c>
      <c r="B4409" s="2" t="s">
        <v>9209</v>
      </c>
      <c r="C4409" s="2" t="s">
        <v>9210</v>
      </c>
      <c r="D4409" s="2" t="s">
        <v>13</v>
      </c>
      <c r="E4409" s="2" t="s">
        <v>20</v>
      </c>
      <c r="F4409" s="2">
        <v>1.0</v>
      </c>
      <c r="G4409" s="2">
        <v>500.0</v>
      </c>
      <c r="H4409" s="3" t="str">
        <f>HYPERLINK("http://www.linkedin.com/pub/maria-catalina-arnaldo/14/515/22b","http://www.linkedin.com/pub/maria-catalina-arnaldo/14/515/22b")</f>
        <v>http://www.linkedin.com/pub/maria-catalina-arnaldo/14/515/22b</v>
      </c>
      <c r="I4409" s="2" t="s">
        <v>458</v>
      </c>
      <c r="J4409" s="2" t="s">
        <v>21</v>
      </c>
      <c r="K4409" s="2" t="s">
        <v>5929</v>
      </c>
    </row>
    <row r="4410" ht="15.75" customHeight="1">
      <c r="A4410" s="2">
        <v>48566.0</v>
      </c>
      <c r="B4410" s="2" t="s">
        <v>7096</v>
      </c>
      <c r="C4410" s="2" t="s">
        <v>9211</v>
      </c>
      <c r="D4410" s="2" t="s">
        <v>9212</v>
      </c>
      <c r="E4410" s="2" t="s">
        <v>20</v>
      </c>
      <c r="F4410" s="2">
        <v>9.0</v>
      </c>
      <c r="G4410" s="2">
        <v>500.0</v>
      </c>
      <c r="H4410" s="3" t="str">
        <f>HYPERLINK("http://ar.linkedin.com/pub/valeria-viale/20/454/109","http://ar.linkedin.com/pub/valeria-viale/20/454/109")</f>
        <v>http://ar.linkedin.com/pub/valeria-viale/20/454/109</v>
      </c>
      <c r="I4410" s="2" t="s">
        <v>458</v>
      </c>
      <c r="J4410" s="2" t="s">
        <v>21</v>
      </c>
      <c r="K4410" s="2" t="s">
        <v>5727</v>
      </c>
    </row>
    <row r="4411" ht="15.75" customHeight="1">
      <c r="A4411" s="2">
        <v>48585.0</v>
      </c>
      <c r="B4411" s="2" t="s">
        <v>9213</v>
      </c>
      <c r="C4411" s="2" t="s">
        <v>9214</v>
      </c>
      <c r="D4411" s="2" t="s">
        <v>13</v>
      </c>
      <c r="E4411" s="2" t="s">
        <v>20</v>
      </c>
      <c r="F4411" s="2">
        <v>6.0</v>
      </c>
      <c r="G4411" s="2">
        <v>278.0</v>
      </c>
      <c r="H4411" s="3" t="str">
        <f>HYPERLINK("http://www.linkedin.com/pub/mariano-ruben-ghirelli/10/421/683","http://www.linkedin.com/pub/mariano-ruben-ghirelli/10/421/683")</f>
        <v>http://www.linkedin.com/pub/mariano-ruben-ghirelli/10/421/683</v>
      </c>
      <c r="I4411" s="2" t="s">
        <v>2000</v>
      </c>
      <c r="J4411" s="2" t="s">
        <v>21</v>
      </c>
      <c r="K4411" s="2" t="s">
        <v>5727</v>
      </c>
    </row>
    <row r="4412" ht="15.75" customHeight="1">
      <c r="A4412" s="2">
        <v>48587.0</v>
      </c>
      <c r="B4412" s="2" t="s">
        <v>9215</v>
      </c>
      <c r="C4412" s="2" t="s">
        <v>9216</v>
      </c>
      <c r="D4412" s="2" t="s">
        <v>9217</v>
      </c>
      <c r="E4412" s="2" t="s">
        <v>20</v>
      </c>
      <c r="F4412" s="2" t="s">
        <v>13</v>
      </c>
      <c r="G4412" s="2">
        <v>385.0</v>
      </c>
      <c r="H4412" s="3" t="str">
        <f>HYPERLINK("http://ar.linkedin.com/pub/roc%C3%ADo-bustamante/1/A96/A9","http://ar.linkedin.com/pub/roc%C3%ADo-bustamante/1/A96/A9")</f>
        <v>http://ar.linkedin.com/pub/roc%C3%ADo-bustamante/1/A96/A9</v>
      </c>
      <c r="I4412" s="2" t="s">
        <v>57</v>
      </c>
      <c r="J4412" s="2" t="s">
        <v>21</v>
      </c>
      <c r="K4412" s="2" t="s">
        <v>5725</v>
      </c>
    </row>
    <row r="4413" ht="15.75" customHeight="1">
      <c r="A4413" s="2">
        <v>48594.0</v>
      </c>
      <c r="B4413" s="2" t="s">
        <v>1517</v>
      </c>
      <c r="C4413" s="2" t="s">
        <v>9218</v>
      </c>
      <c r="D4413" s="2" t="s">
        <v>9219</v>
      </c>
      <c r="E4413" s="2" t="s">
        <v>20</v>
      </c>
      <c r="F4413" s="2">
        <v>2.0</v>
      </c>
      <c r="G4413" s="2">
        <v>267.0</v>
      </c>
      <c r="H4413" s="3" t="str">
        <f>HYPERLINK("http://ar.linkedin.com/pub/carla-pasini/B/465/86","http://ar.linkedin.com/pub/carla-pasini/B/465/86")</f>
        <v>http://ar.linkedin.com/pub/carla-pasini/B/465/86</v>
      </c>
      <c r="I4413" s="2" t="s">
        <v>458</v>
      </c>
      <c r="J4413" s="2" t="s">
        <v>21</v>
      </c>
      <c r="K4413" s="2" t="s">
        <v>5727</v>
      </c>
    </row>
    <row r="4414" ht="15.75" customHeight="1">
      <c r="A4414" s="2">
        <v>48626.0</v>
      </c>
      <c r="B4414" s="2" t="s">
        <v>9220</v>
      </c>
      <c r="C4414" s="2" t="s">
        <v>9221</v>
      </c>
      <c r="D4414" s="2" t="s">
        <v>13</v>
      </c>
      <c r="E4414" s="2" t="s">
        <v>20</v>
      </c>
      <c r="F4414" s="2">
        <v>0.0</v>
      </c>
      <c r="G4414" s="2">
        <v>500.0</v>
      </c>
      <c r="H4414" s="3" t="str">
        <f>HYPERLINK("http://www.linkedin.com/pub/noelia-del-ben/2a/79b/258","http://www.linkedin.com/pub/noelia-del-ben/2a/79b/258")</f>
        <v>http://www.linkedin.com/pub/noelia-del-ben/2a/79b/258</v>
      </c>
      <c r="I4414" s="2" t="s">
        <v>458</v>
      </c>
      <c r="J4414" s="2" t="s">
        <v>21</v>
      </c>
      <c r="K4414" s="2" t="s">
        <v>5734</v>
      </c>
    </row>
    <row r="4415" ht="15.75" customHeight="1">
      <c r="A4415" s="2">
        <v>48641.0</v>
      </c>
      <c r="B4415" s="2" t="s">
        <v>59</v>
      </c>
      <c r="C4415" s="2" t="s">
        <v>9222</v>
      </c>
      <c r="D4415" s="2" t="s">
        <v>9223</v>
      </c>
      <c r="E4415" s="2" t="s">
        <v>20</v>
      </c>
      <c r="F4415" s="2">
        <v>5.0</v>
      </c>
      <c r="G4415" s="2">
        <v>222.0</v>
      </c>
      <c r="H4415" s="3" t="str">
        <f>HYPERLINK("http://ar.linkedin.com/pub/martin-puppo/2A/910/331","http://ar.linkedin.com/pub/martin-puppo/2A/910/331")</f>
        <v>http://ar.linkedin.com/pub/martin-puppo/2A/910/331</v>
      </c>
      <c r="I4415" s="2" t="s">
        <v>579</v>
      </c>
      <c r="J4415" s="2" t="s">
        <v>21</v>
      </c>
      <c r="K4415" s="2" t="s">
        <v>5731</v>
      </c>
    </row>
    <row r="4416" ht="15.75" customHeight="1">
      <c r="A4416" s="2">
        <v>48644.0</v>
      </c>
      <c r="B4416" s="2" t="s">
        <v>6083</v>
      </c>
      <c r="C4416" s="2" t="s">
        <v>9224</v>
      </c>
      <c r="D4416" s="2" t="s">
        <v>13</v>
      </c>
      <c r="E4416" s="2" t="s">
        <v>20</v>
      </c>
      <c r="F4416" s="2">
        <v>0.0</v>
      </c>
      <c r="G4416" s="2">
        <v>230.0</v>
      </c>
      <c r="H4416" s="3" t="str">
        <f>HYPERLINK("http://www.linkedin.com/pub/mariela-panchenko/9/96b/a63","http://www.linkedin.com/pub/mariela-panchenko/9/96b/a63")</f>
        <v>http://www.linkedin.com/pub/mariela-panchenko/9/96b/a63</v>
      </c>
      <c r="I4416" s="2" t="s">
        <v>15</v>
      </c>
      <c r="J4416" s="2" t="s">
        <v>21</v>
      </c>
      <c r="K4416" s="2" t="s">
        <v>5848</v>
      </c>
    </row>
    <row r="4417" ht="15.75" customHeight="1">
      <c r="A4417" s="2">
        <v>48650.0</v>
      </c>
      <c r="B4417" s="2" t="s">
        <v>7254</v>
      </c>
      <c r="C4417" s="2" t="s">
        <v>6148</v>
      </c>
      <c r="D4417" s="2" t="s">
        <v>9225</v>
      </c>
      <c r="E4417" s="2" t="s">
        <v>20</v>
      </c>
      <c r="F4417" s="2" t="s">
        <v>13</v>
      </c>
      <c r="G4417" s="2">
        <v>427.0</v>
      </c>
      <c r="H4417" s="3" t="str">
        <f>HYPERLINK("http://ar.linkedin.com/pub/juan-martin-romero/22/37B/566","http://ar.linkedin.com/pub/juan-martin-romero/22/37B/566")</f>
        <v>http://ar.linkedin.com/pub/juan-martin-romero/22/37B/566</v>
      </c>
      <c r="I4417" s="2" t="s">
        <v>77</v>
      </c>
      <c r="J4417" s="2" t="s">
        <v>21</v>
      </c>
      <c r="K4417" s="2" t="s">
        <v>5848</v>
      </c>
    </row>
    <row r="4418" ht="15.75" customHeight="1">
      <c r="A4418" s="2">
        <v>48690.0</v>
      </c>
      <c r="B4418" s="2" t="s">
        <v>8313</v>
      </c>
      <c r="C4418" s="2" t="s">
        <v>9226</v>
      </c>
      <c r="D4418" s="2" t="s">
        <v>4265</v>
      </c>
      <c r="E4418" s="2" t="s">
        <v>20</v>
      </c>
      <c r="F4418" s="2">
        <v>3.0</v>
      </c>
      <c r="G4418" s="2">
        <v>500.0</v>
      </c>
      <c r="H4418" s="3" t="str">
        <f>HYPERLINK("http://ar.linkedin.com/pub/julian-galazzi/A/526/B22","http://ar.linkedin.com/pub/julian-galazzi/A/526/B22")</f>
        <v>http://ar.linkedin.com/pub/julian-galazzi/A/526/B22</v>
      </c>
      <c r="I4418" s="2" t="s">
        <v>579</v>
      </c>
      <c r="J4418" s="2" t="s">
        <v>21</v>
      </c>
      <c r="K4418" s="2" t="s">
        <v>5743</v>
      </c>
    </row>
    <row r="4419" ht="15.75" customHeight="1">
      <c r="A4419" s="2">
        <v>48713.0</v>
      </c>
      <c r="B4419" s="2" t="s">
        <v>3550</v>
      </c>
      <c r="C4419" s="2" t="s">
        <v>9227</v>
      </c>
      <c r="D4419" s="2" t="s">
        <v>3440</v>
      </c>
      <c r="E4419" s="2" t="s">
        <v>1727</v>
      </c>
      <c r="F4419" s="2" t="s">
        <v>13</v>
      </c>
      <c r="G4419" s="2">
        <v>500.0</v>
      </c>
      <c r="H4419" s="3" t="str">
        <f>HYPERLINK("http://ar.linkedin.com/in/nicolasferrario","http://ar.linkedin.com/in/nicolasferrario")</f>
        <v>http://ar.linkedin.com/in/nicolasferrario</v>
      </c>
      <c r="I4419" s="2" t="s">
        <v>48</v>
      </c>
      <c r="J4419" s="2" t="s">
        <v>34</v>
      </c>
      <c r="K4419" s="2" t="s">
        <v>6807</v>
      </c>
    </row>
    <row r="4420" ht="15.75" customHeight="1">
      <c r="A4420" s="2">
        <v>48743.0</v>
      </c>
      <c r="B4420" s="2" t="s">
        <v>6765</v>
      </c>
      <c r="C4420" s="2" t="s">
        <v>9228</v>
      </c>
      <c r="D4420" s="2" t="s">
        <v>9229</v>
      </c>
      <c r="E4420" s="2" t="s">
        <v>20</v>
      </c>
      <c r="F4420" s="2" t="s">
        <v>13</v>
      </c>
      <c r="G4420" s="2">
        <v>202.0</v>
      </c>
      <c r="H4420" s="3" t="str">
        <f>HYPERLINK("http://ar.linkedin.com/in/grogowy","http://ar.linkedin.com/in/grogowy")</f>
        <v>http://ar.linkedin.com/in/grogowy</v>
      </c>
      <c r="I4420" s="2" t="s">
        <v>77</v>
      </c>
      <c r="J4420" s="2" t="s">
        <v>21</v>
      </c>
      <c r="K4420" s="2" t="s">
        <v>5785</v>
      </c>
    </row>
    <row r="4421" ht="15.75" customHeight="1">
      <c r="A4421" s="2">
        <v>48769.0</v>
      </c>
      <c r="B4421" s="2" t="s">
        <v>5846</v>
      </c>
      <c r="C4421" s="2" t="s">
        <v>6469</v>
      </c>
      <c r="D4421" s="2" t="s">
        <v>9230</v>
      </c>
      <c r="E4421" s="2" t="s">
        <v>20</v>
      </c>
      <c r="F4421" s="2">
        <v>1.0</v>
      </c>
      <c r="G4421" s="2">
        <v>500.0</v>
      </c>
      <c r="H4421" s="3" t="str">
        <f>HYPERLINK("http://www.linkedin.com/in/hbarrozo","http://www.linkedin.com/in/hbarrozo")</f>
        <v>http://www.linkedin.com/in/hbarrozo</v>
      </c>
      <c r="I4421" s="2" t="s">
        <v>15</v>
      </c>
      <c r="J4421" s="2" t="s">
        <v>21</v>
      </c>
      <c r="K4421" s="2" t="s">
        <v>5725</v>
      </c>
    </row>
    <row r="4422" ht="15.75" customHeight="1">
      <c r="A4422" s="2">
        <v>48784.0</v>
      </c>
      <c r="B4422" s="2" t="s">
        <v>5735</v>
      </c>
      <c r="C4422" s="2" t="s">
        <v>5949</v>
      </c>
      <c r="D4422" s="2" t="s">
        <v>9231</v>
      </c>
      <c r="E4422" s="2" t="s">
        <v>20</v>
      </c>
      <c r="F4422" s="2" t="s">
        <v>13</v>
      </c>
      <c r="G4422" s="2">
        <v>415.0</v>
      </c>
      <c r="H4422" s="3" t="str">
        <f>HYPERLINK("http://ar.linkedin.com/pub/german-brito/1/756/245","http://ar.linkedin.com/pub/german-brito/1/756/245")</f>
        <v>http://ar.linkedin.com/pub/german-brito/1/756/245</v>
      </c>
      <c r="I4422" s="2" t="s">
        <v>77</v>
      </c>
      <c r="J4422" s="2" t="s">
        <v>21</v>
      </c>
      <c r="K4422" s="2" t="s">
        <v>5848</v>
      </c>
    </row>
    <row r="4423" ht="15.75" customHeight="1">
      <c r="A4423" s="2">
        <v>48826.0</v>
      </c>
      <c r="B4423" s="2" t="s">
        <v>5926</v>
      </c>
      <c r="C4423" s="2" t="s">
        <v>9232</v>
      </c>
      <c r="D4423" s="2" t="s">
        <v>9233</v>
      </c>
      <c r="E4423" s="2" t="s">
        <v>20</v>
      </c>
      <c r="F4423" s="2">
        <v>4.0</v>
      </c>
      <c r="G4423" s="2">
        <v>380.0</v>
      </c>
      <c r="H4423" s="3" t="str">
        <f>HYPERLINK("http://ar.linkedin.com/in/yesicavissani","http://ar.linkedin.com/in/yesicavissani")</f>
        <v>http://ar.linkedin.com/in/yesicavissani</v>
      </c>
      <c r="I4423" s="2" t="s">
        <v>105</v>
      </c>
      <c r="J4423" s="2" t="s">
        <v>21</v>
      </c>
      <c r="K4423" s="2" t="s">
        <v>5727</v>
      </c>
    </row>
    <row r="4424" ht="15.75" customHeight="1">
      <c r="A4424" s="2">
        <v>48836.0</v>
      </c>
      <c r="B4424" s="2" t="s">
        <v>5547</v>
      </c>
      <c r="C4424" s="2" t="s">
        <v>6556</v>
      </c>
      <c r="D4424" s="2" t="s">
        <v>9234</v>
      </c>
      <c r="E4424" s="2" t="s">
        <v>20</v>
      </c>
      <c r="F4424" s="2">
        <v>3.0</v>
      </c>
      <c r="G4424" s="2">
        <v>132.0</v>
      </c>
      <c r="H4424" s="3" t="str">
        <f>HYPERLINK("http://ar.linkedin.com/pub/daniel-l-dominguez/18/51/BB5","http://ar.linkedin.com/pub/daniel-l-dominguez/18/51/BB5")</f>
        <v>http://ar.linkedin.com/pub/daniel-l-dominguez/18/51/BB5</v>
      </c>
      <c r="I4424" s="2" t="s">
        <v>1398</v>
      </c>
      <c r="J4424" s="2" t="s">
        <v>21</v>
      </c>
      <c r="K4424" s="2" t="s">
        <v>5727</v>
      </c>
    </row>
    <row r="4425" ht="15.75" customHeight="1">
      <c r="A4425" s="2">
        <v>48844.0</v>
      </c>
      <c r="B4425" s="2" t="s">
        <v>227</v>
      </c>
      <c r="C4425" s="2" t="s">
        <v>912</v>
      </c>
      <c r="D4425" s="2" t="s">
        <v>9235</v>
      </c>
      <c r="E4425" s="2" t="s">
        <v>20</v>
      </c>
      <c r="F4425" s="2" t="s">
        <v>13</v>
      </c>
      <c r="G4425" s="2">
        <v>163.0</v>
      </c>
      <c r="H4425" s="3" t="str">
        <f>HYPERLINK("http://ar.linkedin.com/pub/jorge-demaria/5/B90/367","http://ar.linkedin.com/pub/jorge-demaria/5/B90/367")</f>
        <v>http://ar.linkedin.com/pub/jorge-demaria/5/B90/367</v>
      </c>
      <c r="I4425" s="2" t="s">
        <v>77</v>
      </c>
      <c r="J4425" s="2" t="s">
        <v>21</v>
      </c>
      <c r="K4425" s="2" t="s">
        <v>5848</v>
      </c>
    </row>
    <row r="4426" ht="15.75" customHeight="1">
      <c r="A4426" s="2">
        <v>48855.0</v>
      </c>
      <c r="B4426" s="2" t="s">
        <v>152</v>
      </c>
      <c r="C4426" s="2" t="s">
        <v>9236</v>
      </c>
      <c r="D4426" s="2" t="s">
        <v>9237</v>
      </c>
      <c r="E4426" s="2" t="s">
        <v>20</v>
      </c>
      <c r="F4426" s="2">
        <v>7.0</v>
      </c>
      <c r="G4426" s="2">
        <v>175.0</v>
      </c>
      <c r="H4426" s="3" t="str">
        <f>HYPERLINK("http://www.linkedin.com/in/edumoranvallejos","http://www.linkedin.com/in/edumoranvallejos")</f>
        <v>http://www.linkedin.com/in/edumoranvallejos</v>
      </c>
      <c r="I4426" s="2" t="s">
        <v>458</v>
      </c>
      <c r="J4426" s="2" t="s">
        <v>21</v>
      </c>
      <c r="K4426" s="2" t="s">
        <v>5743</v>
      </c>
    </row>
    <row r="4427" ht="15.75" customHeight="1">
      <c r="A4427" s="2">
        <v>48883.0</v>
      </c>
      <c r="B4427" s="2" t="s">
        <v>5078</v>
      </c>
      <c r="C4427" s="2" t="s">
        <v>9238</v>
      </c>
      <c r="D4427" s="2" t="s">
        <v>9239</v>
      </c>
      <c r="E4427" s="2" t="s">
        <v>20</v>
      </c>
      <c r="F4427" s="2">
        <v>3.0</v>
      </c>
      <c r="G4427" s="2">
        <v>500.0</v>
      </c>
      <c r="H4427" s="3" t="str">
        <f>HYPERLINK("http://www.linkedin.com/in/diegoarnaiz","http://www.linkedin.com/in/diegoarnaiz")</f>
        <v>http://www.linkedin.com/in/diegoarnaiz</v>
      </c>
      <c r="I4427" s="2" t="s">
        <v>1679</v>
      </c>
      <c r="J4427" s="2" t="s">
        <v>21</v>
      </c>
      <c r="K4427" s="2" t="s">
        <v>5727</v>
      </c>
    </row>
    <row r="4428" ht="15.75" customHeight="1">
      <c r="A4428" s="2">
        <v>48907.0</v>
      </c>
      <c r="B4428" s="2" t="s">
        <v>1528</v>
      </c>
      <c r="C4428" s="2" t="s">
        <v>9240</v>
      </c>
      <c r="D4428" s="2" t="s">
        <v>9241</v>
      </c>
      <c r="E4428" s="2" t="s">
        <v>20</v>
      </c>
      <c r="F4428" s="2">
        <v>2.0</v>
      </c>
      <c r="G4428" s="2">
        <v>338.0</v>
      </c>
      <c r="H4428" s="3" t="str">
        <f>HYPERLINK("http://ar.linkedin.com/in/ramaguido","http://ar.linkedin.com/in/ramaguido")</f>
        <v>http://ar.linkedin.com/in/ramaguido</v>
      </c>
      <c r="I4428" s="2" t="s">
        <v>105</v>
      </c>
      <c r="J4428" s="2" t="s">
        <v>21</v>
      </c>
      <c r="K4428" s="2" t="s">
        <v>5727</v>
      </c>
    </row>
    <row r="4429" ht="15.75" customHeight="1">
      <c r="A4429" s="2">
        <v>48908.0</v>
      </c>
      <c r="B4429" s="2" t="s">
        <v>5883</v>
      </c>
      <c r="C4429" s="2" t="s">
        <v>9242</v>
      </c>
      <c r="D4429" s="2" t="s">
        <v>1750</v>
      </c>
      <c r="E4429" s="2" t="s">
        <v>20</v>
      </c>
      <c r="F4429" s="2">
        <v>2.0</v>
      </c>
      <c r="G4429" s="2">
        <v>500.0</v>
      </c>
      <c r="H4429" s="3" t="str">
        <f>HYPERLINK("http://ar.linkedin.com/in/agriffouliere","http://ar.linkedin.com/in/agriffouliere")</f>
        <v>http://ar.linkedin.com/in/agriffouliere</v>
      </c>
      <c r="I4429" s="2" t="s">
        <v>77</v>
      </c>
      <c r="J4429" s="2" t="s">
        <v>21</v>
      </c>
      <c r="K4429" s="2" t="s">
        <v>5743</v>
      </c>
    </row>
    <row r="4430" ht="15.75" customHeight="1">
      <c r="A4430" s="2">
        <v>48933.0</v>
      </c>
      <c r="B4430" s="2" t="s">
        <v>9243</v>
      </c>
      <c r="C4430" s="2" t="s">
        <v>8303</v>
      </c>
      <c r="D4430" s="2" t="s">
        <v>9244</v>
      </c>
      <c r="E4430" s="2" t="s">
        <v>20</v>
      </c>
      <c r="F4430" s="2">
        <v>4.0</v>
      </c>
      <c r="G4430" s="2">
        <v>497.0</v>
      </c>
      <c r="H4430" s="3" t="str">
        <f>HYPERLINK("http://www.linkedin.com/pub/gabriel-fabi%C3%A1n-font/14/4a0/406","http://www.linkedin.com/pub/gabriel-fabi%C3%A1n-font/14/4a0/406")</f>
        <v>http://www.linkedin.com/pub/gabriel-fabi%C3%A1n-font/14/4a0/406</v>
      </c>
      <c r="I4430" s="2" t="s">
        <v>446</v>
      </c>
      <c r="J4430" s="2" t="s">
        <v>21</v>
      </c>
      <c r="K4430" s="2" t="s">
        <v>5734</v>
      </c>
    </row>
    <row r="4431" ht="15.75" customHeight="1">
      <c r="A4431" s="2">
        <v>48947.0</v>
      </c>
      <c r="B4431" s="2" t="s">
        <v>1528</v>
      </c>
      <c r="C4431" s="2" t="s">
        <v>9245</v>
      </c>
      <c r="D4431" s="2" t="s">
        <v>9246</v>
      </c>
      <c r="E4431" s="2" t="s">
        <v>20</v>
      </c>
      <c r="F4431" s="2" t="s">
        <v>13</v>
      </c>
      <c r="G4431" s="2">
        <v>406.0</v>
      </c>
      <c r="H4431" s="3" t="str">
        <f>HYPERLINK("http://ar.linkedin.com/pub/guido-belotti/6/A80/B46","http://ar.linkedin.com/pub/guido-belotti/6/A80/B46")</f>
        <v>http://ar.linkedin.com/pub/guido-belotti/6/A80/B46</v>
      </c>
      <c r="I4431" s="2" t="s">
        <v>15</v>
      </c>
      <c r="J4431" s="2" t="s">
        <v>21</v>
      </c>
      <c r="K4431" s="2" t="s">
        <v>6124</v>
      </c>
    </row>
    <row r="4432" ht="15.75" customHeight="1">
      <c r="A4432" s="2">
        <v>48957.0</v>
      </c>
      <c r="B4432" s="2" t="s">
        <v>227</v>
      </c>
      <c r="C4432" s="2" t="s">
        <v>9247</v>
      </c>
      <c r="D4432" s="2" t="s">
        <v>6129</v>
      </c>
      <c r="E4432" s="2" t="s">
        <v>20</v>
      </c>
      <c r="F4432" s="2">
        <v>7.0</v>
      </c>
      <c r="G4432" s="2">
        <v>500.0</v>
      </c>
      <c r="H4432" s="3" t="str">
        <f>HYPERLINK("http://ar.linkedin.com/pub/jorge-rousseaux/8/853/81A","http://ar.linkedin.com/pub/jorge-rousseaux/8/853/81A")</f>
        <v>http://ar.linkedin.com/pub/jorge-rousseaux/8/853/81A</v>
      </c>
      <c r="I4432" s="2" t="s">
        <v>1452</v>
      </c>
      <c r="J4432" s="2" t="s">
        <v>21</v>
      </c>
      <c r="K4432" s="2" t="s">
        <v>6046</v>
      </c>
    </row>
    <row r="4433" ht="15.75" customHeight="1">
      <c r="A4433" s="2">
        <v>48965.0</v>
      </c>
      <c r="B4433" s="2" t="s">
        <v>3201</v>
      </c>
      <c r="C4433" s="2" t="s">
        <v>9248</v>
      </c>
      <c r="D4433" s="2" t="s">
        <v>13</v>
      </c>
      <c r="E4433" s="2" t="s">
        <v>20</v>
      </c>
      <c r="F4433" s="2">
        <v>23.0</v>
      </c>
      <c r="G4433" s="2">
        <v>500.0</v>
      </c>
      <c r="H4433" s="3" t="str">
        <f>HYPERLINK("http://ar.linkedin.com/in/sebastiannardi","http://ar.linkedin.com/in/sebastiannardi")</f>
        <v>http://ar.linkedin.com/in/sebastiannardi</v>
      </c>
      <c r="I4433" s="2" t="s">
        <v>77</v>
      </c>
      <c r="J4433" s="2" t="s">
        <v>21</v>
      </c>
      <c r="K4433" s="2" t="s">
        <v>5848</v>
      </c>
    </row>
    <row r="4434" ht="15.75" customHeight="1">
      <c r="A4434" s="2">
        <v>48978.0</v>
      </c>
      <c r="B4434" s="2" t="s">
        <v>9249</v>
      </c>
      <c r="C4434" s="2" t="s">
        <v>8615</v>
      </c>
      <c r="D4434" s="2" t="s">
        <v>9250</v>
      </c>
      <c r="E4434" s="2" t="s">
        <v>20</v>
      </c>
      <c r="F4434" s="2" t="s">
        <v>13</v>
      </c>
      <c r="G4434" s="2">
        <v>135.0</v>
      </c>
      <c r="H4434" s="3" t="str">
        <f>HYPERLINK("http://ar.linkedin.com/pub/luc%C3%ADa-cabral/21/870/622","http://ar.linkedin.com/pub/luc%C3%ADa-cabral/21/870/622")</f>
        <v>http://ar.linkedin.com/pub/luc%C3%ADa-cabral/21/870/622</v>
      </c>
      <c r="I4434" s="2" t="s">
        <v>458</v>
      </c>
      <c r="J4434" s="2" t="s">
        <v>21</v>
      </c>
      <c r="K4434" s="2" t="s">
        <v>5734</v>
      </c>
    </row>
    <row r="4435" ht="15.75" customHeight="1">
      <c r="A4435" s="2">
        <v>49010.0</v>
      </c>
      <c r="B4435" s="2" t="s">
        <v>59</v>
      </c>
      <c r="C4435" s="2" t="s">
        <v>9251</v>
      </c>
      <c r="D4435" s="2" t="s">
        <v>118</v>
      </c>
      <c r="E4435" s="2" t="s">
        <v>20</v>
      </c>
      <c r="F4435" s="2" t="s">
        <v>13</v>
      </c>
      <c r="G4435" s="2">
        <v>344.0</v>
      </c>
      <c r="H4435" s="3" t="str">
        <f>HYPERLINK("http://ar.linkedin.com/pub/martin-lang/8/848/563","http://ar.linkedin.com/pub/martin-lang/8/848/563")</f>
        <v>http://ar.linkedin.com/pub/martin-lang/8/848/563</v>
      </c>
      <c r="I4435" s="2" t="s">
        <v>279</v>
      </c>
      <c r="J4435" s="2" t="s">
        <v>21</v>
      </c>
      <c r="K4435" s="2" t="s">
        <v>5743</v>
      </c>
    </row>
    <row r="4436" ht="15.75" customHeight="1">
      <c r="A4436" s="2">
        <v>49014.0</v>
      </c>
      <c r="B4436" s="2" t="s">
        <v>45</v>
      </c>
      <c r="C4436" s="2" t="s">
        <v>9252</v>
      </c>
      <c r="D4436" s="2" t="s">
        <v>13</v>
      </c>
      <c r="E4436" s="2" t="s">
        <v>20</v>
      </c>
      <c r="F4436" s="2">
        <v>0.0</v>
      </c>
      <c r="G4436" s="2">
        <v>233.0</v>
      </c>
      <c r="H4436" s="3" t="str">
        <f>HYPERLINK("http://www.linkedin.com/pub/carlos-defez/a/b73/554","http://www.linkedin.com/pub/carlos-defez/a/b73/554")</f>
        <v>http://www.linkedin.com/pub/carlos-defez/a/b73/554</v>
      </c>
      <c r="I4436" s="2" t="s">
        <v>15</v>
      </c>
      <c r="J4436" s="2" t="s">
        <v>21</v>
      </c>
      <c r="K4436" s="2" t="s">
        <v>5785</v>
      </c>
    </row>
    <row r="4437" ht="15.75" customHeight="1">
      <c r="A4437" s="2">
        <v>49041.0</v>
      </c>
      <c r="B4437" s="2" t="s">
        <v>45</v>
      </c>
      <c r="C4437" s="2" t="s">
        <v>9253</v>
      </c>
      <c r="D4437" s="2" t="s">
        <v>9254</v>
      </c>
      <c r="E4437" s="2" t="s">
        <v>20</v>
      </c>
      <c r="F4437" s="2" t="s">
        <v>13</v>
      </c>
      <c r="G4437" s="2">
        <v>379.0</v>
      </c>
      <c r="H4437" s="3" t="str">
        <f>HYPERLINK("http://ar.linkedin.com/pub/carlos-mari/1/173/B78","http://ar.linkedin.com/pub/carlos-mari/1/173/B78")</f>
        <v>http://ar.linkedin.com/pub/carlos-mari/1/173/B78</v>
      </c>
      <c r="I4437" s="2" t="s">
        <v>15</v>
      </c>
      <c r="J4437" s="2" t="s">
        <v>21</v>
      </c>
      <c r="K4437" s="2" t="s">
        <v>5725</v>
      </c>
    </row>
    <row r="4438" ht="15.75" customHeight="1">
      <c r="A4438" s="2">
        <v>49052.0</v>
      </c>
      <c r="B4438" s="2" t="s">
        <v>9255</v>
      </c>
      <c r="C4438" s="2" t="s">
        <v>1903</v>
      </c>
      <c r="D4438" s="2" t="s">
        <v>9256</v>
      </c>
      <c r="E4438" s="2" t="s">
        <v>20</v>
      </c>
      <c r="F4438" s="2">
        <v>5.0</v>
      </c>
      <c r="G4438" s="2">
        <v>500.0</v>
      </c>
      <c r="H4438" s="3" t="str">
        <f>HYPERLINK("http://ar.linkedin.com/in/gerardogil","http://ar.linkedin.com/in/gerardogil")</f>
        <v>http://ar.linkedin.com/in/gerardogil</v>
      </c>
      <c r="I4438" s="2" t="s">
        <v>105</v>
      </c>
      <c r="J4438" s="2" t="s">
        <v>21</v>
      </c>
      <c r="K4438" s="2" t="s">
        <v>5727</v>
      </c>
    </row>
    <row r="4439" ht="15.75" customHeight="1">
      <c r="A4439" s="2">
        <v>49098.0</v>
      </c>
      <c r="B4439" s="2" t="s">
        <v>9257</v>
      </c>
      <c r="C4439" s="2" t="s">
        <v>3268</v>
      </c>
      <c r="D4439" s="2" t="s">
        <v>9258</v>
      </c>
      <c r="E4439" s="2" t="s">
        <v>20</v>
      </c>
      <c r="F4439" s="2">
        <v>2.0</v>
      </c>
      <c r="G4439" s="2">
        <v>500.0</v>
      </c>
      <c r="H4439" s="3" t="str">
        <f>HYPERLINK("http://ar.linkedin.com/pub/tiseira-patricia/B/A00/441","http://ar.linkedin.com/pub/tiseira-patricia/B/A00/441")</f>
        <v>http://ar.linkedin.com/pub/tiseira-patricia/B/A00/441</v>
      </c>
      <c r="I4439" s="2" t="s">
        <v>458</v>
      </c>
      <c r="J4439" s="2" t="s">
        <v>21</v>
      </c>
      <c r="K4439" s="2" t="s">
        <v>5727</v>
      </c>
    </row>
    <row r="4440" ht="15.75" customHeight="1">
      <c r="A4440" s="2">
        <v>49112.0</v>
      </c>
      <c r="B4440" s="2" t="s">
        <v>9259</v>
      </c>
      <c r="C4440" s="2" t="s">
        <v>9260</v>
      </c>
      <c r="D4440" s="2" t="s">
        <v>498</v>
      </c>
      <c r="E4440" s="2" t="s">
        <v>20</v>
      </c>
      <c r="F4440" s="2">
        <v>11.0</v>
      </c>
      <c r="G4440" s="2">
        <v>500.0</v>
      </c>
      <c r="H4440" s="3" t="str">
        <f>HYPERLINK("http://ar.linkedin.com/in/alejandrotombesi","http://ar.linkedin.com/in/alejandrotombesi")</f>
        <v>http://ar.linkedin.com/in/alejandrotombesi</v>
      </c>
      <c r="I4440" s="2" t="s">
        <v>77</v>
      </c>
      <c r="J4440" s="2" t="s">
        <v>21</v>
      </c>
      <c r="K4440" s="2" t="s">
        <v>5743</v>
      </c>
    </row>
    <row r="4441" ht="15.75" customHeight="1">
      <c r="A4441" s="2">
        <v>49114.0</v>
      </c>
      <c r="B4441" s="2" t="s">
        <v>6064</v>
      </c>
      <c r="C4441" s="2" t="s">
        <v>9261</v>
      </c>
      <c r="D4441" s="2" t="s">
        <v>13</v>
      </c>
      <c r="E4441" s="2" t="s">
        <v>20</v>
      </c>
      <c r="F4441" s="2">
        <v>1.0</v>
      </c>
      <c r="G4441" s="2">
        <v>500.0</v>
      </c>
      <c r="H4441" s="3" t="str">
        <f>HYPERLINK("http://www.linkedin.com/pub/romina-gomez-vieyra/21/420/7bb","http://www.linkedin.com/pub/romina-gomez-vieyra/21/420/7bb")</f>
        <v>http://www.linkedin.com/pub/romina-gomez-vieyra/21/420/7bb</v>
      </c>
      <c r="I4441" s="2" t="s">
        <v>458</v>
      </c>
      <c r="J4441" s="2" t="s">
        <v>21</v>
      </c>
      <c r="K4441" s="2" t="s">
        <v>9262</v>
      </c>
    </row>
    <row r="4442" ht="15.75" customHeight="1">
      <c r="A4442" s="2">
        <v>49155.0</v>
      </c>
      <c r="B4442" s="2" t="s">
        <v>152</v>
      </c>
      <c r="C4442" s="2" t="s">
        <v>9263</v>
      </c>
      <c r="D4442" s="2" t="s">
        <v>5798</v>
      </c>
      <c r="E4442" s="2" t="s">
        <v>20</v>
      </c>
      <c r="F4442" s="2" t="s">
        <v>13</v>
      </c>
      <c r="G4442" s="2">
        <v>500.0</v>
      </c>
      <c r="H4442" s="3" t="str">
        <f>HYPERLINK("http://ar.linkedin.com/pub/eduardo-canedo/9/1B4/330","http://ar.linkedin.com/pub/eduardo-canedo/9/1B4/330")</f>
        <v>http://ar.linkedin.com/pub/eduardo-canedo/9/1B4/330</v>
      </c>
      <c r="I4442" s="2" t="s">
        <v>77</v>
      </c>
      <c r="J4442" s="2" t="s">
        <v>21</v>
      </c>
      <c r="K4442" s="2" t="s">
        <v>5785</v>
      </c>
    </row>
    <row r="4443" ht="15.75" customHeight="1">
      <c r="A4443" s="2">
        <v>49172.0</v>
      </c>
      <c r="B4443" s="2" t="s">
        <v>9264</v>
      </c>
      <c r="C4443" s="2" t="s">
        <v>6310</v>
      </c>
      <c r="D4443" s="2" t="s">
        <v>8349</v>
      </c>
      <c r="E4443" s="2" t="s">
        <v>20</v>
      </c>
      <c r="F4443" s="2">
        <v>6.0</v>
      </c>
      <c r="G4443" s="2">
        <v>500.0</v>
      </c>
      <c r="H4443" s="3" t="str">
        <f>HYPERLINK("http://ar.linkedin.com/pub/gustavo-marcelo-fourcade/B/357/B85","http://ar.linkedin.com/pub/gustavo-marcelo-fourcade/B/357/B85")</f>
        <v>http://ar.linkedin.com/pub/gustavo-marcelo-fourcade/B/357/B85</v>
      </c>
      <c r="I4443" s="2" t="s">
        <v>77</v>
      </c>
      <c r="J4443" s="2" t="s">
        <v>21</v>
      </c>
      <c r="K4443" s="2" t="s">
        <v>5731</v>
      </c>
    </row>
    <row r="4444" ht="15.75" customHeight="1">
      <c r="A4444" s="2">
        <v>49173.0</v>
      </c>
      <c r="B4444" s="2" t="s">
        <v>3268</v>
      </c>
      <c r="C4444" s="2" t="s">
        <v>9265</v>
      </c>
      <c r="D4444" s="2" t="s">
        <v>9266</v>
      </c>
      <c r="E4444" s="2" t="s">
        <v>20</v>
      </c>
      <c r="F4444" s="2">
        <v>13.0</v>
      </c>
      <c r="G4444" s="2">
        <v>339.0</v>
      </c>
      <c r="H4444" s="3" t="str">
        <f>HYPERLINK("http://ar.linkedin.com/in/pberkovics","http://ar.linkedin.com/in/pberkovics")</f>
        <v>http://ar.linkedin.com/in/pberkovics</v>
      </c>
      <c r="I4444" s="2" t="s">
        <v>195</v>
      </c>
      <c r="J4444" s="2" t="s">
        <v>21</v>
      </c>
      <c r="K4444" s="2" t="s">
        <v>6046</v>
      </c>
    </row>
    <row r="4445" ht="15.75" customHeight="1">
      <c r="A4445" s="2">
        <v>49208.0</v>
      </c>
      <c r="B4445" s="2" t="s">
        <v>862</v>
      </c>
      <c r="C4445" s="2" t="s">
        <v>9267</v>
      </c>
      <c r="D4445" s="2" t="s">
        <v>9268</v>
      </c>
      <c r="E4445" s="2" t="s">
        <v>20</v>
      </c>
      <c r="F4445" s="2">
        <v>2.0</v>
      </c>
      <c r="G4445" s="2">
        <v>302.0</v>
      </c>
      <c r="H4445" s="3" t="str">
        <f>HYPERLINK("http://ar.linkedin.com/in/gvisintin","http://ar.linkedin.com/in/gvisintin")</f>
        <v>http://ar.linkedin.com/in/gvisintin</v>
      </c>
      <c r="I4445" s="2" t="s">
        <v>77</v>
      </c>
      <c r="J4445" s="2" t="s">
        <v>21</v>
      </c>
      <c r="K4445" s="2" t="s">
        <v>5731</v>
      </c>
    </row>
    <row r="4446" ht="15.75" customHeight="1">
      <c r="A4446" s="2">
        <v>49263.0</v>
      </c>
      <c r="B4446" s="2" t="s">
        <v>6778</v>
      </c>
      <c r="C4446" s="2" t="s">
        <v>9269</v>
      </c>
      <c r="D4446" s="2" t="s">
        <v>9270</v>
      </c>
      <c r="E4446" s="2" t="s">
        <v>20</v>
      </c>
      <c r="F4446" s="2" t="s">
        <v>13</v>
      </c>
      <c r="G4446" s="2">
        <v>500.0</v>
      </c>
      <c r="H4446" s="3" t="str">
        <f>HYPERLINK("http://ar.linkedin.com/pub/julieta-dalam-n/8/166/4B2","http://ar.linkedin.com/pub/julieta-dalam-n/8/166/4B2")</f>
        <v>http://ar.linkedin.com/pub/julieta-dalam-n/8/166/4B2</v>
      </c>
      <c r="I4446" s="2" t="s">
        <v>105</v>
      </c>
      <c r="J4446" s="2" t="s">
        <v>21</v>
      </c>
      <c r="K4446" s="2" t="s">
        <v>9271</v>
      </c>
    </row>
    <row r="4447" ht="15.75" customHeight="1">
      <c r="A4447" s="2">
        <v>49265.0</v>
      </c>
      <c r="B4447" s="2" t="s">
        <v>5803</v>
      </c>
      <c r="C4447" s="2" t="s">
        <v>7805</v>
      </c>
      <c r="D4447" s="2" t="s">
        <v>9272</v>
      </c>
      <c r="E4447" s="2" t="s">
        <v>20</v>
      </c>
      <c r="F4447" s="2">
        <v>14.0</v>
      </c>
      <c r="G4447" s="2">
        <v>500.0</v>
      </c>
      <c r="H4447" s="3" t="str">
        <f>HYPERLINK("http://www.linkedin.com/in/marianodelavega","http://www.linkedin.com/in/marianodelavega")</f>
        <v>http://www.linkedin.com/in/marianodelavega</v>
      </c>
      <c r="I4447" s="2" t="s">
        <v>105</v>
      </c>
      <c r="J4447" s="2" t="s">
        <v>21</v>
      </c>
      <c r="K4447" s="2" t="s">
        <v>5727</v>
      </c>
    </row>
    <row r="4448" ht="15.75" customHeight="1">
      <c r="A4448" s="2">
        <v>49272.0</v>
      </c>
      <c r="B4448" s="2" t="s">
        <v>9273</v>
      </c>
      <c r="C4448" s="2" t="s">
        <v>4486</v>
      </c>
      <c r="D4448" s="2" t="s">
        <v>9274</v>
      </c>
      <c r="E4448" s="2" t="s">
        <v>20</v>
      </c>
      <c r="F4448" s="2">
        <v>1.0</v>
      </c>
      <c r="G4448" s="2">
        <v>231.0</v>
      </c>
      <c r="H4448" s="3" t="str">
        <f>HYPERLINK("http://ar.linkedin.com/pub/pablo-a-fernandez/8/132/196","http://ar.linkedin.com/pub/pablo-a-fernandez/8/132/196")</f>
        <v>http://ar.linkedin.com/pub/pablo-a-fernandez/8/132/196</v>
      </c>
      <c r="I4448" s="2" t="s">
        <v>579</v>
      </c>
      <c r="J4448" s="2" t="s">
        <v>21</v>
      </c>
      <c r="K4448" s="2" t="s">
        <v>5848</v>
      </c>
    </row>
    <row r="4449" ht="15.75" customHeight="1">
      <c r="A4449" s="2">
        <v>49281.0</v>
      </c>
      <c r="B4449" s="2" t="s">
        <v>5389</v>
      </c>
      <c r="C4449" s="2" t="s">
        <v>9275</v>
      </c>
      <c r="D4449" s="2" t="s">
        <v>8862</v>
      </c>
      <c r="E4449" s="2" t="s">
        <v>20</v>
      </c>
      <c r="F4449" s="2" t="s">
        <v>13</v>
      </c>
      <c r="G4449" s="2">
        <v>115.0</v>
      </c>
      <c r="H4449" s="3" t="str">
        <f>HYPERLINK("http://ar.linkedin.com/pub/paula-renes/25/8B/7A7","http://ar.linkedin.com/pub/paula-renes/25/8B/7A7")</f>
        <v>http://ar.linkedin.com/pub/paula-renes/25/8B/7A7</v>
      </c>
      <c r="I4449" s="2" t="s">
        <v>105</v>
      </c>
      <c r="J4449" s="2" t="s">
        <v>21</v>
      </c>
      <c r="K4449" s="2" t="s">
        <v>5785</v>
      </c>
    </row>
    <row r="4450" ht="15.75" customHeight="1">
      <c r="A4450" s="2">
        <v>49319.0</v>
      </c>
      <c r="B4450" s="2" t="s">
        <v>6112</v>
      </c>
      <c r="C4450" s="2" t="s">
        <v>6244</v>
      </c>
      <c r="D4450" s="2" t="s">
        <v>9276</v>
      </c>
      <c r="E4450" s="2" t="s">
        <v>20</v>
      </c>
      <c r="F4450" s="2" t="s">
        <v>13</v>
      </c>
      <c r="G4450" s="2">
        <v>208.0</v>
      </c>
      <c r="H4450" s="3" t="str">
        <f>HYPERLINK("http://ar.linkedin.com/in/jonatansuarez","http://ar.linkedin.com/in/jonatansuarez")</f>
        <v>http://ar.linkedin.com/in/jonatansuarez</v>
      </c>
      <c r="I4450" s="2" t="s">
        <v>15</v>
      </c>
      <c r="J4450" s="2" t="s">
        <v>21</v>
      </c>
      <c r="K4450" s="2" t="s">
        <v>6124</v>
      </c>
    </row>
    <row r="4451" ht="15.75" customHeight="1">
      <c r="A4451" s="2">
        <v>49320.0</v>
      </c>
      <c r="B4451" s="2" t="s">
        <v>647</v>
      </c>
      <c r="C4451" s="2" t="s">
        <v>7060</v>
      </c>
      <c r="D4451" s="2" t="s">
        <v>9277</v>
      </c>
      <c r="E4451" s="2" t="s">
        <v>20</v>
      </c>
      <c r="F4451" s="2">
        <v>7.0</v>
      </c>
      <c r="G4451" s="2">
        <v>500.0</v>
      </c>
      <c r="H4451" s="3" t="str">
        <f>HYPERLINK("http://ar.linkedin.com/in/claudioquipildor","http://ar.linkedin.com/in/claudioquipildor")</f>
        <v>http://ar.linkedin.com/in/claudioquipildor</v>
      </c>
      <c r="I4451" s="2" t="s">
        <v>77</v>
      </c>
      <c r="J4451" s="2" t="s">
        <v>21</v>
      </c>
      <c r="K4451" s="2" t="s">
        <v>5743</v>
      </c>
    </row>
    <row r="4452" ht="15.75" customHeight="1">
      <c r="A4452" s="2">
        <v>49322.0</v>
      </c>
      <c r="B4452" s="2" t="s">
        <v>6238</v>
      </c>
      <c r="C4452" s="2" t="s">
        <v>9278</v>
      </c>
      <c r="D4452" s="2" t="s">
        <v>13</v>
      </c>
      <c r="E4452" s="2" t="s">
        <v>20</v>
      </c>
      <c r="F4452" s="2">
        <v>0.0</v>
      </c>
      <c r="G4452" s="2">
        <v>500.0</v>
      </c>
      <c r="H4452" s="3" t="str">
        <f>HYPERLINK("http://www.linkedin.com/pub/soledad-vicenzotti/24/aa9/a84","http://www.linkedin.com/pub/soledad-vicenzotti/24/aa9/a84")</f>
        <v>http://www.linkedin.com/pub/soledad-vicenzotti/24/aa9/a84</v>
      </c>
      <c r="I4452" s="2" t="s">
        <v>105</v>
      </c>
      <c r="J4452" s="2" t="s">
        <v>21</v>
      </c>
      <c r="K4452" s="2" t="s">
        <v>5727</v>
      </c>
    </row>
    <row r="4453" ht="15.75" customHeight="1">
      <c r="A4453" s="2">
        <v>49329.0</v>
      </c>
      <c r="B4453" s="2" t="s">
        <v>6309</v>
      </c>
      <c r="C4453" s="2" t="s">
        <v>9279</v>
      </c>
      <c r="D4453" s="2" t="s">
        <v>13</v>
      </c>
      <c r="E4453" s="2" t="s">
        <v>20</v>
      </c>
      <c r="F4453" s="2">
        <v>2.0</v>
      </c>
      <c r="G4453" s="2">
        <v>500.0</v>
      </c>
      <c r="H4453" s="3" t="str">
        <f>HYPERLINK("http://www.linkedin.com/pub/mar%C3%ADa-bel%C3%A9n-trezza/16/331/9b0","http://www.linkedin.com/pub/mar%C3%ADa-bel%C3%A9n-trezza/16/331/9b0")</f>
        <v>http://www.linkedin.com/pub/mar%C3%ADa-bel%C3%A9n-trezza/16/331/9b0</v>
      </c>
      <c r="I4453" s="2" t="s">
        <v>458</v>
      </c>
      <c r="J4453" s="2" t="s">
        <v>21</v>
      </c>
      <c r="K4453" s="2" t="s">
        <v>5734</v>
      </c>
    </row>
    <row r="4454" ht="15.75" customHeight="1">
      <c r="A4454" s="2">
        <v>49362.0</v>
      </c>
      <c r="B4454" s="2" t="s">
        <v>9280</v>
      </c>
      <c r="C4454" s="2" t="s">
        <v>3201</v>
      </c>
      <c r="D4454" s="2" t="s">
        <v>13</v>
      </c>
      <c r="E4454" s="2" t="s">
        <v>20</v>
      </c>
      <c r="F4454" s="2">
        <v>0.0</v>
      </c>
      <c r="G4454" s="2">
        <v>500.0</v>
      </c>
      <c r="H4454" s="3" t="str">
        <f>HYPERLINK("http://www.linkedin.com/pub/luraschi-sebastian/9/1b5/4ab","http://www.linkedin.com/pub/luraschi-sebastian/9/1b5/4ab")</f>
        <v>http://www.linkedin.com/pub/luraschi-sebastian/9/1b5/4ab</v>
      </c>
      <c r="I4454" s="2" t="s">
        <v>77</v>
      </c>
      <c r="J4454" s="2" t="s">
        <v>21</v>
      </c>
      <c r="K4454" s="2" t="s">
        <v>5731</v>
      </c>
    </row>
    <row r="4455" ht="15.75" customHeight="1">
      <c r="A4455" s="2">
        <v>49372.0</v>
      </c>
      <c r="B4455" s="2" t="s">
        <v>152</v>
      </c>
      <c r="C4455" s="2" t="s">
        <v>9281</v>
      </c>
      <c r="D4455" s="2" t="s">
        <v>9282</v>
      </c>
      <c r="E4455" s="2" t="s">
        <v>20</v>
      </c>
      <c r="F4455" s="2">
        <v>4.0</v>
      </c>
      <c r="G4455" s="2">
        <v>405.0</v>
      </c>
      <c r="H4455" s="3" t="str">
        <f>HYPERLINK("http://ar.linkedin.com/pub/eduardo-andrino/1/58/839","http://ar.linkedin.com/pub/eduardo-andrino/1/58/839")</f>
        <v>http://ar.linkedin.com/pub/eduardo-andrino/1/58/839</v>
      </c>
      <c r="I4455" s="2" t="s">
        <v>77</v>
      </c>
      <c r="J4455" s="2" t="s">
        <v>21</v>
      </c>
      <c r="K4455" s="2" t="s">
        <v>5743</v>
      </c>
    </row>
    <row r="4456" ht="15.75" customHeight="1">
      <c r="A4456" s="2">
        <v>49382.0</v>
      </c>
      <c r="B4456" s="2" t="s">
        <v>9283</v>
      </c>
      <c r="C4456" s="2" t="s">
        <v>9284</v>
      </c>
      <c r="D4456" s="2" t="s">
        <v>9285</v>
      </c>
      <c r="E4456" s="2" t="s">
        <v>20</v>
      </c>
      <c r="F4456" s="2">
        <v>3.0</v>
      </c>
      <c r="G4456" s="2">
        <v>500.0</v>
      </c>
      <c r="H4456" s="3" t="str">
        <f>HYPERLINK("http://ar.linkedin.com/in/piacambariere","http://ar.linkedin.com/in/piacambariere")</f>
        <v>http://ar.linkedin.com/in/piacambariere</v>
      </c>
      <c r="I4456" s="2" t="s">
        <v>105</v>
      </c>
      <c r="J4456" s="2" t="s">
        <v>21</v>
      </c>
      <c r="K4456" s="2" t="s">
        <v>5727</v>
      </c>
    </row>
    <row r="4457" ht="15.75" customHeight="1">
      <c r="A4457" s="2">
        <v>49385.0</v>
      </c>
      <c r="B4457" s="2" t="s">
        <v>1310</v>
      </c>
      <c r="C4457" s="2" t="s">
        <v>9286</v>
      </c>
      <c r="D4457" s="2" t="s">
        <v>9287</v>
      </c>
      <c r="E4457" s="2" t="s">
        <v>20</v>
      </c>
      <c r="F4457" s="2">
        <v>17.0</v>
      </c>
      <c r="G4457" s="2">
        <v>500.0</v>
      </c>
      <c r="H4457" s="3" t="str">
        <f>HYPERLINK("http://ar.linkedin.com/in/angelyamada","http://ar.linkedin.com/in/angelyamada")</f>
        <v>http://ar.linkedin.com/in/angelyamada</v>
      </c>
      <c r="I4457" s="2" t="s">
        <v>2443</v>
      </c>
      <c r="J4457" s="2" t="s">
        <v>21</v>
      </c>
      <c r="K4457" s="2" t="s">
        <v>5743</v>
      </c>
    </row>
    <row r="4458" ht="15.75" customHeight="1">
      <c r="A4458" s="2">
        <v>49386.0</v>
      </c>
      <c r="B4458" s="2" t="s">
        <v>5824</v>
      </c>
      <c r="C4458" s="2" t="s">
        <v>7750</v>
      </c>
      <c r="D4458" s="2" t="s">
        <v>42</v>
      </c>
      <c r="E4458" s="2" t="s">
        <v>20</v>
      </c>
      <c r="F4458" s="2" t="s">
        <v>13</v>
      </c>
      <c r="G4458" s="2">
        <v>372.0</v>
      </c>
      <c r="H4458" s="3" t="str">
        <f>HYPERLINK("http://ar.linkedin.com/pub/alejandra-rosas/A/745/625","http://ar.linkedin.com/pub/alejandra-rosas/A/745/625")</f>
        <v>http://ar.linkedin.com/pub/alejandra-rosas/A/745/625</v>
      </c>
      <c r="I4458" s="2" t="s">
        <v>15</v>
      </c>
      <c r="J4458" s="2" t="s">
        <v>21</v>
      </c>
      <c r="K4458" s="2" t="s">
        <v>5725</v>
      </c>
    </row>
    <row r="4459" ht="15.75" customHeight="1">
      <c r="A4459" s="2">
        <v>49394.0</v>
      </c>
      <c r="B4459" s="2" t="s">
        <v>238</v>
      </c>
      <c r="C4459" s="2" t="s">
        <v>9288</v>
      </c>
      <c r="D4459" s="2" t="s">
        <v>9289</v>
      </c>
      <c r="E4459" s="2" t="s">
        <v>20</v>
      </c>
      <c r="F4459" s="2">
        <v>1.0</v>
      </c>
      <c r="G4459" s="2">
        <v>110.0</v>
      </c>
      <c r="H4459" s="3" t="str">
        <f>HYPERLINK("http://ar.linkedin.com/in/juandalotto","http://ar.linkedin.com/in/juandalotto")</f>
        <v>http://ar.linkedin.com/in/juandalotto</v>
      </c>
      <c r="I4459" s="2" t="s">
        <v>77</v>
      </c>
      <c r="J4459" s="2" t="s">
        <v>21</v>
      </c>
      <c r="K4459" s="2" t="s">
        <v>5848</v>
      </c>
    </row>
    <row r="4460" ht="15.75" customHeight="1">
      <c r="A4460" s="2">
        <v>49396.0</v>
      </c>
      <c r="B4460" s="2" t="s">
        <v>6219</v>
      </c>
      <c r="C4460" s="2" t="s">
        <v>9290</v>
      </c>
      <c r="D4460" s="2" t="s">
        <v>9291</v>
      </c>
      <c r="E4460" s="2" t="s">
        <v>20</v>
      </c>
      <c r="F4460" s="2" t="s">
        <v>13</v>
      </c>
      <c r="G4460" s="2">
        <v>328.0</v>
      </c>
      <c r="H4460" s="3" t="str">
        <f>HYPERLINK("http://ar.linkedin.com/pub/hugo-coiro/0/30B/555","http://ar.linkedin.com/pub/hugo-coiro/0/30B/555")</f>
        <v>http://ar.linkedin.com/pub/hugo-coiro/0/30B/555</v>
      </c>
      <c r="I4460" s="2" t="s">
        <v>15</v>
      </c>
      <c r="J4460" s="2" t="s">
        <v>21</v>
      </c>
      <c r="K4460" s="2" t="s">
        <v>5725</v>
      </c>
    </row>
    <row r="4461" ht="15.75" customHeight="1">
      <c r="A4461" s="2">
        <v>49400.0</v>
      </c>
      <c r="B4461" s="2" t="s">
        <v>7096</v>
      </c>
      <c r="C4461" s="2" t="s">
        <v>9292</v>
      </c>
      <c r="D4461" s="2" t="s">
        <v>8326</v>
      </c>
      <c r="E4461" s="2" t="s">
        <v>20</v>
      </c>
      <c r="F4461" s="2">
        <v>4.0</v>
      </c>
      <c r="G4461" s="2">
        <v>500.0</v>
      </c>
      <c r="H4461" s="3" t="str">
        <f>HYPERLINK("http://ar.linkedin.com/pub/valeria-izzo/11/2AB/553","http://ar.linkedin.com/pub/valeria-izzo/11/2AB/553")</f>
        <v>http://ar.linkedin.com/pub/valeria-izzo/11/2AB/553</v>
      </c>
      <c r="I4461" s="2" t="s">
        <v>105</v>
      </c>
      <c r="J4461" s="2" t="s">
        <v>21</v>
      </c>
      <c r="K4461" s="2" t="s">
        <v>5727</v>
      </c>
    </row>
    <row r="4462" ht="15.75" customHeight="1">
      <c r="A4462" s="2">
        <v>49401.0</v>
      </c>
      <c r="B4462" s="2" t="s">
        <v>6545</v>
      </c>
      <c r="C4462" s="2" t="s">
        <v>9293</v>
      </c>
      <c r="D4462" s="2" t="s">
        <v>13</v>
      </c>
      <c r="E4462" s="2" t="s">
        <v>20</v>
      </c>
      <c r="F4462" s="2">
        <v>0.0</v>
      </c>
      <c r="G4462" s="2">
        <v>107.0</v>
      </c>
      <c r="H4462" s="3" t="str">
        <f>HYPERLINK("http://www.linkedin.com/pub/adri%C3%A1n-kappes/20/250/789","http://www.linkedin.com/pub/adri%C3%A1n-kappes/20/250/789")</f>
        <v>http://www.linkedin.com/pub/adri%C3%A1n-kappes/20/250/789</v>
      </c>
      <c r="I4462" s="2" t="s">
        <v>77</v>
      </c>
      <c r="J4462" s="2" t="s">
        <v>21</v>
      </c>
      <c r="K4462" s="2" t="s">
        <v>5785</v>
      </c>
    </row>
    <row r="4463" ht="15.75" customHeight="1">
      <c r="A4463" s="2">
        <v>49436.0</v>
      </c>
      <c r="B4463" s="2" t="s">
        <v>9294</v>
      </c>
      <c r="C4463" s="2" t="s">
        <v>9295</v>
      </c>
      <c r="D4463" s="2" t="s">
        <v>13</v>
      </c>
      <c r="E4463" s="2" t="s">
        <v>20</v>
      </c>
      <c r="F4463" s="2">
        <v>0.0</v>
      </c>
      <c r="G4463" s="2">
        <v>400.0</v>
      </c>
      <c r="H4463" s="3" t="str">
        <f>HYPERLINK("http://www.linkedin.com/pub/lu-hirthe/6/706/238","http://www.linkedin.com/pub/lu-hirthe/6/706/238")</f>
        <v>http://www.linkedin.com/pub/lu-hirthe/6/706/238</v>
      </c>
      <c r="I4463" s="2" t="s">
        <v>105</v>
      </c>
      <c r="J4463" s="2" t="s">
        <v>21</v>
      </c>
      <c r="K4463" s="2" t="s">
        <v>5727</v>
      </c>
    </row>
    <row r="4464" ht="15.75" customHeight="1">
      <c r="A4464" s="2">
        <v>49442.0</v>
      </c>
      <c r="B4464" s="2" t="s">
        <v>9296</v>
      </c>
      <c r="C4464" s="2" t="s">
        <v>9297</v>
      </c>
      <c r="D4464" s="2" t="s">
        <v>9298</v>
      </c>
      <c r="E4464" s="2" t="s">
        <v>20</v>
      </c>
      <c r="F4464" s="2">
        <v>5.0</v>
      </c>
      <c r="G4464" s="2">
        <v>500.0</v>
      </c>
      <c r="H4464" s="3" t="str">
        <f>HYPERLINK("http://ar.linkedin.com/in/angelcolangelo","http://ar.linkedin.com/in/angelcolangelo")</f>
        <v>http://ar.linkedin.com/in/angelcolangelo</v>
      </c>
      <c r="I4464" s="2" t="s">
        <v>844</v>
      </c>
      <c r="J4464" s="2" t="s">
        <v>21</v>
      </c>
      <c r="K4464" s="2" t="s">
        <v>5727</v>
      </c>
    </row>
    <row r="4465" ht="15.75" customHeight="1">
      <c r="A4465" s="2">
        <v>49452.0</v>
      </c>
      <c r="B4465" s="2" t="s">
        <v>1161</v>
      </c>
      <c r="C4465" s="2" t="s">
        <v>9299</v>
      </c>
      <c r="D4465" s="2" t="s">
        <v>9300</v>
      </c>
      <c r="E4465" s="2" t="s">
        <v>20</v>
      </c>
      <c r="F4465" s="2">
        <v>7.0</v>
      </c>
      <c r="G4465" s="2">
        <v>379.0</v>
      </c>
      <c r="H4465" s="3" t="str">
        <f>HYPERLINK("http://ar.linkedin.com/in/alexandrawlasiuk","http://ar.linkedin.com/in/alexandrawlasiuk")</f>
        <v>http://ar.linkedin.com/in/alexandrawlasiuk</v>
      </c>
      <c r="I4465" s="2" t="s">
        <v>9301</v>
      </c>
      <c r="J4465" s="2" t="s">
        <v>21</v>
      </c>
      <c r="K4465" s="2" t="s">
        <v>5727</v>
      </c>
    </row>
    <row r="4466" ht="15.75" customHeight="1">
      <c r="A4466" s="2">
        <v>49456.0</v>
      </c>
      <c r="B4466" s="2" t="s">
        <v>9302</v>
      </c>
      <c r="C4466" s="2" t="s">
        <v>9303</v>
      </c>
      <c r="D4466" s="2" t="s">
        <v>13</v>
      </c>
      <c r="E4466" s="2" t="s">
        <v>20</v>
      </c>
      <c r="F4466" s="2">
        <v>0.0</v>
      </c>
      <c r="G4466" s="2">
        <v>500.0</v>
      </c>
      <c r="H4466" s="3" t="str">
        <f>HYPERLINK("http://www.linkedin.com/pub/alvaro-gomez-barraza/23/410/847","http://www.linkedin.com/pub/alvaro-gomez-barraza/23/410/847")</f>
        <v>http://www.linkedin.com/pub/alvaro-gomez-barraza/23/410/847</v>
      </c>
      <c r="I4466" s="2" t="s">
        <v>3168</v>
      </c>
      <c r="J4466" s="2" t="s">
        <v>21</v>
      </c>
      <c r="K4466" s="2" t="s">
        <v>5785</v>
      </c>
    </row>
    <row r="4467" ht="15.75" customHeight="1">
      <c r="A4467" s="2">
        <v>49460.0</v>
      </c>
      <c r="B4467" s="2" t="s">
        <v>5755</v>
      </c>
      <c r="C4467" s="2" t="s">
        <v>9304</v>
      </c>
      <c r="D4467" s="2" t="s">
        <v>13</v>
      </c>
      <c r="E4467" s="2" t="s">
        <v>20</v>
      </c>
      <c r="F4467" s="2">
        <v>2.0</v>
      </c>
      <c r="G4467" s="2">
        <v>476.0</v>
      </c>
      <c r="H4467" s="3" t="str">
        <f>HYPERLINK("http://www.linkedin.com/pub/maria-eugenia-eslava-lopez/23/776/547","http://www.linkedin.com/pub/maria-eugenia-eslava-lopez/23/776/547")</f>
        <v>http://www.linkedin.com/pub/maria-eugenia-eslava-lopez/23/776/547</v>
      </c>
      <c r="I4467" s="2" t="s">
        <v>560</v>
      </c>
      <c r="J4467" s="2" t="s">
        <v>21</v>
      </c>
      <c r="K4467" s="2" t="s">
        <v>5731</v>
      </c>
    </row>
    <row r="4468" ht="15.75" customHeight="1">
      <c r="A4468" s="2">
        <v>49466.0</v>
      </c>
      <c r="B4468" s="2" t="s">
        <v>227</v>
      </c>
      <c r="C4468" s="2" t="s">
        <v>5975</v>
      </c>
      <c r="D4468" s="2" t="s">
        <v>9305</v>
      </c>
      <c r="E4468" s="2" t="s">
        <v>20</v>
      </c>
      <c r="F4468" s="2">
        <v>18.0</v>
      </c>
      <c r="G4468" s="2">
        <v>500.0</v>
      </c>
      <c r="H4468" s="3" t="str">
        <f>HYPERLINK("http://ar.linkedin.com/pub/jorge-colombo/24/970/A34","http://ar.linkedin.com/pub/jorge-colombo/24/970/A34")</f>
        <v>http://ar.linkedin.com/pub/jorge-colombo/24/970/A34</v>
      </c>
      <c r="I4468" s="2" t="s">
        <v>279</v>
      </c>
      <c r="J4468" s="2" t="s">
        <v>21</v>
      </c>
      <c r="K4468" s="2" t="s">
        <v>5727</v>
      </c>
    </row>
    <row r="4469" ht="15.75" customHeight="1">
      <c r="A4469" s="2">
        <v>49473.0</v>
      </c>
      <c r="B4469" s="2" t="s">
        <v>862</v>
      </c>
      <c r="C4469" s="2" t="s">
        <v>9306</v>
      </c>
      <c r="D4469" s="2" t="s">
        <v>9307</v>
      </c>
      <c r="E4469" s="2" t="s">
        <v>20</v>
      </c>
      <c r="F4469" s="2" t="s">
        <v>13</v>
      </c>
      <c r="G4469" s="2">
        <v>178.0</v>
      </c>
      <c r="H4469" s="3" t="str">
        <f>HYPERLINK("http://ar.linkedin.com/in/gmareque","http://ar.linkedin.com/in/gmareque")</f>
        <v>http://ar.linkedin.com/in/gmareque</v>
      </c>
      <c r="I4469" s="2" t="s">
        <v>579</v>
      </c>
      <c r="J4469" s="2" t="s">
        <v>21</v>
      </c>
      <c r="K4469" s="2" t="s">
        <v>5848</v>
      </c>
    </row>
    <row r="4470" ht="15.75" customHeight="1">
      <c r="A4470" s="2">
        <v>49505.0</v>
      </c>
      <c r="B4470" s="2" t="s">
        <v>3268</v>
      </c>
      <c r="C4470" s="2" t="s">
        <v>9308</v>
      </c>
      <c r="D4470" s="2" t="s">
        <v>9309</v>
      </c>
      <c r="E4470" s="2" t="s">
        <v>20</v>
      </c>
      <c r="F4470" s="2">
        <v>3.0</v>
      </c>
      <c r="G4470" s="2">
        <v>500.0</v>
      </c>
      <c r="H4470" s="3" t="str">
        <f>HYPERLINK("http://ar.linkedin.com/in/patriciaarneri","http://ar.linkedin.com/in/patriciaarneri")</f>
        <v>http://ar.linkedin.com/in/patriciaarneri</v>
      </c>
      <c r="I4470" s="2" t="s">
        <v>1398</v>
      </c>
      <c r="J4470" s="2" t="s">
        <v>21</v>
      </c>
      <c r="K4470" s="2" t="s">
        <v>5727</v>
      </c>
    </row>
    <row r="4471" ht="15.75" customHeight="1">
      <c r="A4471" s="2">
        <v>49506.0</v>
      </c>
      <c r="B4471" s="2" t="s">
        <v>5922</v>
      </c>
      <c r="C4471" s="2" t="s">
        <v>9310</v>
      </c>
      <c r="D4471" s="2" t="s">
        <v>9311</v>
      </c>
      <c r="E4471" s="2" t="s">
        <v>20</v>
      </c>
      <c r="F4471" s="2">
        <v>2.0</v>
      </c>
      <c r="G4471" s="2">
        <v>500.0</v>
      </c>
      <c r="H4471" s="3" t="str">
        <f>HYPERLINK("http://ar.linkedin.com/in/gabrielatomassoni","http://ar.linkedin.com/in/gabrielatomassoni")</f>
        <v>http://ar.linkedin.com/in/gabrielatomassoni</v>
      </c>
      <c r="I4471" s="2" t="s">
        <v>105</v>
      </c>
      <c r="J4471" s="2" t="s">
        <v>21</v>
      </c>
      <c r="K4471" s="2" t="s">
        <v>5727</v>
      </c>
    </row>
    <row r="4472" ht="15.75" customHeight="1">
      <c r="A4472" s="2">
        <v>49531.0</v>
      </c>
      <c r="B4472" s="2" t="s">
        <v>647</v>
      </c>
      <c r="C4472" s="2" t="s">
        <v>9312</v>
      </c>
      <c r="D4472" s="2" t="s">
        <v>9024</v>
      </c>
      <c r="E4472" s="2" t="s">
        <v>20</v>
      </c>
      <c r="F4472" s="2">
        <v>2.0</v>
      </c>
      <c r="G4472" s="2">
        <v>202.0</v>
      </c>
      <c r="H4472" s="3" t="str">
        <f>HYPERLINK("http://ar.linkedin.com/pub/claudio-pietraroia/7/9B7/B41","http://ar.linkedin.com/pub/claudio-pietraroia/7/9B7/B41")</f>
        <v>http://ar.linkedin.com/pub/claudio-pietraroia/7/9B7/B41</v>
      </c>
      <c r="I4472" s="2" t="s">
        <v>1841</v>
      </c>
      <c r="J4472" s="2" t="s">
        <v>21</v>
      </c>
      <c r="K4472" s="2" t="s">
        <v>6075</v>
      </c>
    </row>
    <row r="4473" ht="15.75" customHeight="1">
      <c r="A4473" s="2">
        <v>49532.0</v>
      </c>
      <c r="B4473" s="2" t="s">
        <v>227</v>
      </c>
      <c r="C4473" s="2" t="s">
        <v>9313</v>
      </c>
      <c r="D4473" s="2" t="s">
        <v>9314</v>
      </c>
      <c r="E4473" s="2" t="s">
        <v>20</v>
      </c>
      <c r="F4473" s="2">
        <v>3.0</v>
      </c>
      <c r="G4473" s="2">
        <v>500.0</v>
      </c>
      <c r="H4473" s="3" t="str">
        <f>HYPERLINK("http://ar.linkedin.com/pub/jorge-barletta/2/325/707","http://ar.linkedin.com/pub/jorge-barletta/2/325/707")</f>
        <v>http://ar.linkedin.com/pub/jorge-barletta/2/325/707</v>
      </c>
      <c r="I4473" s="2" t="s">
        <v>458</v>
      </c>
      <c r="J4473" s="2" t="s">
        <v>21</v>
      </c>
      <c r="K4473" s="2" t="s">
        <v>5727</v>
      </c>
    </row>
    <row r="4474" ht="15.75" customHeight="1">
      <c r="A4474" s="2">
        <v>49544.0</v>
      </c>
      <c r="B4474" s="2" t="s">
        <v>8150</v>
      </c>
      <c r="C4474" s="2" t="s">
        <v>9315</v>
      </c>
      <c r="D4474" s="2" t="s">
        <v>9316</v>
      </c>
      <c r="E4474" s="2" t="s">
        <v>20</v>
      </c>
      <c r="F4474" s="2">
        <v>5.0</v>
      </c>
      <c r="G4474" s="2">
        <v>500.0</v>
      </c>
      <c r="H4474" s="3" t="str">
        <f>HYPERLINK("http://ar.linkedin.com/in/ceciliaesposito","http://ar.linkedin.com/in/ceciliaesposito")</f>
        <v>http://ar.linkedin.com/in/ceciliaesposito</v>
      </c>
      <c r="I4474" s="2" t="s">
        <v>844</v>
      </c>
      <c r="J4474" s="2" t="s">
        <v>21</v>
      </c>
      <c r="K4474" s="2" t="s">
        <v>5727</v>
      </c>
    </row>
    <row r="4475" ht="15.75" customHeight="1">
      <c r="A4475" s="2">
        <v>49574.0</v>
      </c>
      <c r="B4475" s="2" t="s">
        <v>9317</v>
      </c>
      <c r="C4475" s="2" t="s">
        <v>5891</v>
      </c>
      <c r="D4475" s="2" t="s">
        <v>13</v>
      </c>
      <c r="E4475" s="2" t="s">
        <v>20</v>
      </c>
      <c r="F4475" s="2">
        <v>0.0</v>
      </c>
      <c r="G4475" s="2">
        <v>315.0</v>
      </c>
      <c r="H4475" s="3" t="str">
        <f>HYPERLINK("http://www.linkedin.com/pub/gisela-analia-herrera/24/270/b15","http://www.linkedin.com/pub/gisela-analia-herrera/24/270/b15")</f>
        <v>http://www.linkedin.com/pub/gisela-analia-herrera/24/270/b15</v>
      </c>
      <c r="I4475" s="2" t="s">
        <v>15</v>
      </c>
      <c r="J4475" s="2" t="s">
        <v>21</v>
      </c>
      <c r="K4475" s="2" t="s">
        <v>5725</v>
      </c>
    </row>
    <row r="4476" ht="15.75" customHeight="1">
      <c r="A4476" s="2">
        <v>49586.0</v>
      </c>
      <c r="B4476" s="2" t="s">
        <v>2451</v>
      </c>
      <c r="C4476" s="2" t="s">
        <v>9318</v>
      </c>
      <c r="D4476" s="2" t="s">
        <v>9319</v>
      </c>
      <c r="E4476" s="2" t="s">
        <v>20</v>
      </c>
      <c r="F4476" s="2">
        <v>3.0</v>
      </c>
      <c r="G4476" s="2">
        <v>347.0</v>
      </c>
      <c r="H4476" s="3" t="str">
        <f>HYPERLINK("http://ar.linkedin.com/in/marcelinov","http://ar.linkedin.com/in/marcelinov")</f>
        <v>http://ar.linkedin.com/in/marcelinov</v>
      </c>
      <c r="I4476" s="2" t="s">
        <v>77</v>
      </c>
      <c r="J4476" s="2" t="s">
        <v>21</v>
      </c>
      <c r="K4476" s="2" t="s">
        <v>5731</v>
      </c>
    </row>
    <row r="4477" ht="15.75" customHeight="1">
      <c r="A4477" s="2">
        <v>49590.0</v>
      </c>
      <c r="B4477" s="2" t="s">
        <v>2943</v>
      </c>
      <c r="C4477" s="2" t="s">
        <v>9320</v>
      </c>
      <c r="D4477" s="2" t="s">
        <v>13</v>
      </c>
      <c r="E4477" s="2" t="s">
        <v>20</v>
      </c>
      <c r="F4477" s="2">
        <v>0.0</v>
      </c>
      <c r="G4477" s="2">
        <v>500.0</v>
      </c>
      <c r="H4477" s="3" t="str">
        <f>HYPERLINK("http://www.linkedin.com/pub/b%C3%A1rbara-ressia/21/6ab/18b","http://www.linkedin.com/pub/b%C3%A1rbara-ressia/21/6ab/18b")</f>
        <v>http://www.linkedin.com/pub/b%C3%A1rbara-ressia/21/6ab/18b</v>
      </c>
      <c r="I4477" s="2" t="s">
        <v>458</v>
      </c>
      <c r="J4477" s="2" t="s">
        <v>21</v>
      </c>
      <c r="K4477" s="2" t="s">
        <v>5734</v>
      </c>
    </row>
    <row r="4478" ht="15.75" customHeight="1">
      <c r="A4478" s="2">
        <v>49595.0</v>
      </c>
      <c r="B4478" s="2" t="s">
        <v>3299</v>
      </c>
      <c r="C4478" s="2" t="s">
        <v>9321</v>
      </c>
      <c r="D4478" s="2" t="s">
        <v>416</v>
      </c>
      <c r="E4478" s="2" t="s">
        <v>20</v>
      </c>
      <c r="F4478" s="2">
        <v>7.0</v>
      </c>
      <c r="G4478" s="2">
        <v>500.0</v>
      </c>
      <c r="H4478" s="3" t="str">
        <f>HYPERLINK("http://ar.linkedin.com/in/fabianwizenfeld","http://ar.linkedin.com/in/fabianwizenfeld")</f>
        <v>http://ar.linkedin.com/in/fabianwizenfeld</v>
      </c>
      <c r="I4478" s="2" t="s">
        <v>326</v>
      </c>
      <c r="J4478" s="2" t="s">
        <v>21</v>
      </c>
      <c r="K4478" s="2" t="s">
        <v>5727</v>
      </c>
    </row>
    <row r="4479" ht="15.75" customHeight="1">
      <c r="A4479" s="2">
        <v>49604.0</v>
      </c>
      <c r="B4479" s="2" t="s">
        <v>677</v>
      </c>
      <c r="C4479" s="2" t="s">
        <v>9322</v>
      </c>
      <c r="D4479" s="2" t="s">
        <v>9323</v>
      </c>
      <c r="E4479" s="2" t="s">
        <v>20</v>
      </c>
      <c r="F4479" s="2">
        <v>2.0</v>
      </c>
      <c r="G4479" s="2">
        <v>435.0</v>
      </c>
      <c r="H4479" s="3" t="str">
        <f>HYPERLINK("http://ar.linkedin.com/in/danielsessarego","http://ar.linkedin.com/in/danielsessarego")</f>
        <v>http://ar.linkedin.com/in/danielsessarego</v>
      </c>
      <c r="I4479" s="2" t="s">
        <v>77</v>
      </c>
      <c r="J4479" s="2" t="s">
        <v>21</v>
      </c>
      <c r="K4479" s="2" t="s">
        <v>5731</v>
      </c>
    </row>
    <row r="4480" ht="15.75" customHeight="1">
      <c r="A4480" s="2">
        <v>49609.0</v>
      </c>
      <c r="B4480" s="2" t="s">
        <v>5415</v>
      </c>
      <c r="C4480" s="2" t="s">
        <v>9324</v>
      </c>
      <c r="D4480" s="2" t="s">
        <v>9325</v>
      </c>
      <c r="E4480" s="2" t="s">
        <v>20</v>
      </c>
      <c r="F4480" s="2" t="s">
        <v>13</v>
      </c>
      <c r="G4480" s="2">
        <v>158.0</v>
      </c>
      <c r="H4480" s="3" t="str">
        <f>HYPERLINK("http://ar.linkedin.com/pub/cristian-canelo/9/4A7/25B","http://ar.linkedin.com/pub/cristian-canelo/9/4A7/25B")</f>
        <v>http://ar.linkedin.com/pub/cristian-canelo/9/4A7/25B</v>
      </c>
      <c r="I4480" s="2" t="s">
        <v>57</v>
      </c>
      <c r="J4480" s="2" t="s">
        <v>21</v>
      </c>
      <c r="K4480" s="2" t="s">
        <v>5725</v>
      </c>
    </row>
    <row r="4481" ht="15.75" customHeight="1">
      <c r="A4481" s="2">
        <v>49612.0</v>
      </c>
      <c r="B4481" s="2" t="s">
        <v>9326</v>
      </c>
      <c r="C4481" s="2" t="s">
        <v>9327</v>
      </c>
      <c r="D4481" s="2" t="s">
        <v>9328</v>
      </c>
      <c r="E4481" s="2" t="s">
        <v>20</v>
      </c>
      <c r="F4481" s="2">
        <v>2.0</v>
      </c>
      <c r="G4481" s="2">
        <v>248.0</v>
      </c>
      <c r="H4481" s="3" t="str">
        <f>HYPERLINK("http://ar.linkedin.com/in/mpelle2010","http://ar.linkedin.com/in/mpelle2010")</f>
        <v>http://ar.linkedin.com/in/mpelle2010</v>
      </c>
      <c r="I4481" s="2" t="s">
        <v>57</v>
      </c>
      <c r="J4481" s="2" t="s">
        <v>21</v>
      </c>
      <c r="K4481" s="2" t="s">
        <v>5734</v>
      </c>
    </row>
    <row r="4482" ht="15.75" customHeight="1">
      <c r="A4482" s="2">
        <v>49627.0</v>
      </c>
      <c r="B4482" s="2" t="s">
        <v>5883</v>
      </c>
      <c r="C4482" s="2" t="s">
        <v>9329</v>
      </c>
      <c r="D4482" s="2" t="s">
        <v>289</v>
      </c>
      <c r="E4482" s="2" t="s">
        <v>20</v>
      </c>
      <c r="F4482" s="2" t="s">
        <v>13</v>
      </c>
      <c r="G4482" s="2">
        <v>500.0</v>
      </c>
      <c r="H4482" s="3" t="str">
        <f>HYPERLINK("http://ar.linkedin.com/in/arielpascar","http://ar.linkedin.com/in/arielpascar")</f>
        <v>http://ar.linkedin.com/in/arielpascar</v>
      </c>
      <c r="I4482" s="2" t="s">
        <v>6750</v>
      </c>
      <c r="J4482" s="2" t="s">
        <v>21</v>
      </c>
      <c r="K4482" s="2" t="s">
        <v>5734</v>
      </c>
    </row>
    <row r="4483" ht="15.75" customHeight="1">
      <c r="A4483" s="2">
        <v>49641.0</v>
      </c>
      <c r="B4483" s="2" t="s">
        <v>70</v>
      </c>
      <c r="C4483" s="2" t="s">
        <v>9330</v>
      </c>
      <c r="D4483" s="2" t="s">
        <v>9331</v>
      </c>
      <c r="E4483" s="2" t="s">
        <v>20</v>
      </c>
      <c r="F4483" s="2">
        <v>7.0</v>
      </c>
      <c r="G4483" s="2">
        <v>500.0</v>
      </c>
      <c r="H4483" s="3" t="str">
        <f>HYPERLINK("http://ar.linkedin.com/in/greguilon","http://ar.linkedin.com/in/greguilon")</f>
        <v>http://ar.linkedin.com/in/greguilon</v>
      </c>
      <c r="I4483" s="2" t="s">
        <v>15</v>
      </c>
      <c r="J4483" s="2" t="s">
        <v>21</v>
      </c>
      <c r="K4483" s="2" t="s">
        <v>6588</v>
      </c>
    </row>
    <row r="4484" ht="15.75" customHeight="1">
      <c r="A4484" s="2">
        <v>49662.0</v>
      </c>
      <c r="B4484" s="2" t="s">
        <v>152</v>
      </c>
      <c r="C4484" s="2" t="s">
        <v>9332</v>
      </c>
      <c r="D4484" s="2" t="s">
        <v>8678</v>
      </c>
      <c r="E4484" s="2" t="s">
        <v>20</v>
      </c>
      <c r="F4484" s="2" t="s">
        <v>13</v>
      </c>
      <c r="G4484" s="2">
        <v>500.0</v>
      </c>
      <c r="H4484" s="3" t="str">
        <f>HYPERLINK("http://ar.linkedin.com/pub/eduardo-vigilante/23/331/A60","http://ar.linkedin.com/pub/eduardo-vigilante/23/331/A60")</f>
        <v>http://ar.linkedin.com/pub/eduardo-vigilante/23/331/A60</v>
      </c>
      <c r="I4484" s="2" t="s">
        <v>77</v>
      </c>
      <c r="J4484" s="2" t="s">
        <v>21</v>
      </c>
      <c r="K4484" s="2" t="s">
        <v>5785</v>
      </c>
    </row>
    <row r="4485" ht="15.75" customHeight="1">
      <c r="A4485" s="2">
        <v>49678.0</v>
      </c>
      <c r="B4485" s="2" t="s">
        <v>253</v>
      </c>
      <c r="C4485" s="2" t="s">
        <v>9333</v>
      </c>
      <c r="D4485" s="2" t="s">
        <v>13</v>
      </c>
      <c r="E4485" s="2" t="s">
        <v>20</v>
      </c>
      <c r="F4485" s="2">
        <v>5.0</v>
      </c>
      <c r="G4485" s="2">
        <v>389.0</v>
      </c>
      <c r="H4485" s="3" t="str">
        <f>HYPERLINK("http://www.linkedin.com/pub/fernando-giaquinta/6/71a/683","http://www.linkedin.com/pub/fernando-giaquinta/6/71a/683")</f>
        <v>http://www.linkedin.com/pub/fernando-giaquinta/6/71a/683</v>
      </c>
      <c r="I4485" s="2" t="s">
        <v>15</v>
      </c>
      <c r="J4485" s="2" t="s">
        <v>21</v>
      </c>
      <c r="K4485" s="2" t="s">
        <v>5727</v>
      </c>
    </row>
    <row r="4486" ht="15.75" customHeight="1">
      <c r="A4486" s="2">
        <v>49698.0</v>
      </c>
      <c r="B4486" s="2" t="s">
        <v>6195</v>
      </c>
      <c r="C4486" s="2" t="s">
        <v>6244</v>
      </c>
      <c r="D4486" s="2" t="s">
        <v>9334</v>
      </c>
      <c r="E4486" s="2" t="s">
        <v>20</v>
      </c>
      <c r="F4486" s="2">
        <v>2.0</v>
      </c>
      <c r="G4486" s="2">
        <v>500.0</v>
      </c>
      <c r="H4486" s="3" t="str">
        <f>HYPERLINK("http://ar.linkedin.com/in/vivianasuarez","http://ar.linkedin.com/in/vivianasuarez")</f>
        <v>http://ar.linkedin.com/in/vivianasuarez</v>
      </c>
      <c r="I4486" s="2" t="s">
        <v>69</v>
      </c>
      <c r="J4486" s="2" t="s">
        <v>21</v>
      </c>
      <c r="K4486" s="2" t="s">
        <v>5777</v>
      </c>
    </row>
    <row r="4487" ht="15.75" customHeight="1">
      <c r="A4487" s="2">
        <v>49707.0</v>
      </c>
      <c r="B4487" s="2" t="s">
        <v>5723</v>
      </c>
      <c r="C4487" s="2" t="s">
        <v>9335</v>
      </c>
      <c r="D4487" s="2" t="s">
        <v>9336</v>
      </c>
      <c r="E4487" s="2" t="s">
        <v>20</v>
      </c>
      <c r="F4487" s="2">
        <v>9.0</v>
      </c>
      <c r="G4487" s="2">
        <v>500.0</v>
      </c>
      <c r="H4487" s="3" t="str">
        <f>HYPERLINK("http://ar.linkedin.com/in/pablogoldmann","http://ar.linkedin.com/in/pablogoldmann")</f>
        <v>http://ar.linkedin.com/in/pablogoldmann</v>
      </c>
      <c r="I4487" s="2" t="s">
        <v>1841</v>
      </c>
      <c r="J4487" s="2" t="s">
        <v>21</v>
      </c>
      <c r="K4487" s="2" t="s">
        <v>5727</v>
      </c>
    </row>
    <row r="4488" ht="15.75" customHeight="1">
      <c r="A4488" s="2">
        <v>49708.0</v>
      </c>
      <c r="B4488" s="2" t="s">
        <v>9337</v>
      </c>
      <c r="C4488" s="2" t="s">
        <v>9338</v>
      </c>
      <c r="D4488" s="2" t="s">
        <v>13</v>
      </c>
      <c r="E4488" s="2" t="s">
        <v>20</v>
      </c>
      <c r="F4488" s="2">
        <v>0.0</v>
      </c>
      <c r="G4488" s="2">
        <v>500.0</v>
      </c>
      <c r="H4488" s="3" t="str">
        <f>HYPERLINK("http://www.linkedin.com/pub/geraldine-czarny/8/aab/317","http://www.linkedin.com/pub/geraldine-czarny/8/aab/317")</f>
        <v>http://www.linkedin.com/pub/geraldine-czarny/8/aab/317</v>
      </c>
      <c r="I4488" s="2" t="s">
        <v>248</v>
      </c>
      <c r="J4488" s="2" t="s">
        <v>21</v>
      </c>
      <c r="K4488" s="2" t="s">
        <v>5727</v>
      </c>
    </row>
    <row r="4489" ht="15.75" customHeight="1">
      <c r="A4489" s="2">
        <v>49737.0</v>
      </c>
      <c r="B4489" s="2" t="s">
        <v>9339</v>
      </c>
      <c r="C4489" s="2" t="s">
        <v>9340</v>
      </c>
      <c r="D4489" s="2" t="s">
        <v>9341</v>
      </c>
      <c r="E4489" s="2" t="s">
        <v>20</v>
      </c>
      <c r="F4489" s="2" t="s">
        <v>13</v>
      </c>
      <c r="G4489" s="2">
        <v>500.0</v>
      </c>
      <c r="H4489" s="3" t="str">
        <f>HYPERLINK("http://ar.linkedin.com/pub/reclutamiento-acs-mexico-argentina/29/544/A75","http://ar.linkedin.com/pub/reclutamiento-acs-mexico-argentina/29/544/A75")</f>
        <v>http://ar.linkedin.com/pub/reclutamiento-acs-mexico-argentina/29/544/A75</v>
      </c>
      <c r="I4489" s="2" t="s">
        <v>15</v>
      </c>
      <c r="J4489" s="2" t="s">
        <v>21</v>
      </c>
      <c r="K4489" s="2" t="s">
        <v>5725</v>
      </c>
    </row>
    <row r="4490" ht="15.75" customHeight="1">
      <c r="A4490" s="2">
        <v>49753.0</v>
      </c>
      <c r="B4490" s="2" t="s">
        <v>9342</v>
      </c>
      <c r="C4490" s="2" t="s">
        <v>6859</v>
      </c>
      <c r="D4490" s="2" t="s">
        <v>13</v>
      </c>
      <c r="E4490" s="2" t="s">
        <v>20</v>
      </c>
      <c r="F4490" s="2">
        <v>0.0</v>
      </c>
      <c r="G4490" s="2">
        <v>356.0</v>
      </c>
      <c r="H4490" s="3" t="str">
        <f>HYPERLINK("http://www.linkedin.com/pub/adriana-gabriela-cerutti/5/692/958","http://www.linkedin.com/pub/adriana-gabriela-cerutti/5/692/958")</f>
        <v>http://www.linkedin.com/pub/adriana-gabriela-cerutti/5/692/958</v>
      </c>
      <c r="I4490" s="2" t="s">
        <v>15</v>
      </c>
      <c r="J4490" s="2" t="s">
        <v>21</v>
      </c>
      <c r="K4490" s="2" t="s">
        <v>5725</v>
      </c>
    </row>
    <row r="4491" ht="15.75" customHeight="1">
      <c r="A4491" s="2">
        <v>49780.0</v>
      </c>
      <c r="B4491" s="2" t="s">
        <v>45</v>
      </c>
      <c r="C4491" s="2" t="s">
        <v>9343</v>
      </c>
      <c r="D4491" s="2" t="s">
        <v>9344</v>
      </c>
      <c r="E4491" s="2" t="s">
        <v>20</v>
      </c>
      <c r="F4491" s="2" t="s">
        <v>13</v>
      </c>
      <c r="G4491" s="2">
        <v>129.0</v>
      </c>
      <c r="H4491" s="3" t="str">
        <f>HYPERLINK("http://ar.linkedin.com/pub/carlos-canova/3/205/7B8","http://ar.linkedin.com/pub/carlos-canova/3/205/7B8")</f>
        <v>http://ar.linkedin.com/pub/carlos-canova/3/205/7B8</v>
      </c>
      <c r="I4491" s="2" t="s">
        <v>279</v>
      </c>
      <c r="J4491" s="2" t="s">
        <v>21</v>
      </c>
      <c r="K4491" s="2" t="s">
        <v>5734</v>
      </c>
    </row>
    <row r="4492" ht="15.75" customHeight="1">
      <c r="A4492" s="2">
        <v>49802.0</v>
      </c>
      <c r="B4492" s="2" t="s">
        <v>1836</v>
      </c>
      <c r="C4492" s="2" t="s">
        <v>9345</v>
      </c>
      <c r="D4492" s="2" t="s">
        <v>9346</v>
      </c>
      <c r="E4492" s="2" t="s">
        <v>628</v>
      </c>
      <c r="F4492" s="2">
        <v>0.0</v>
      </c>
      <c r="G4492" s="2">
        <v>485.0</v>
      </c>
      <c r="H4492" s="3" t="str">
        <f>HYPERLINK("http://www.linkedin.com/in/voneche","http://www.linkedin.com/in/voneche")</f>
        <v>http://www.linkedin.com/in/voneche</v>
      </c>
      <c r="I4492" s="2" t="s">
        <v>681</v>
      </c>
      <c r="J4492" s="2" t="s">
        <v>102</v>
      </c>
      <c r="K4492" s="2" t="s">
        <v>5727</v>
      </c>
    </row>
    <row r="4493" ht="15.75" customHeight="1">
      <c r="A4493" s="2">
        <v>49806.0</v>
      </c>
      <c r="B4493" s="2" t="s">
        <v>6043</v>
      </c>
      <c r="C4493" s="2" t="s">
        <v>9347</v>
      </c>
      <c r="D4493" s="2" t="s">
        <v>9348</v>
      </c>
      <c r="E4493" s="2" t="s">
        <v>20</v>
      </c>
      <c r="F4493" s="2">
        <v>2.0</v>
      </c>
      <c r="G4493" s="2">
        <v>336.0</v>
      </c>
      <c r="H4493" s="3" t="str">
        <f>HYPERLINK("http://ar.linkedin.com/pub/sofia-fernandez-madero/4/738/B77","http://ar.linkedin.com/pub/sofia-fernandez-madero/4/738/B77")</f>
        <v>http://ar.linkedin.com/pub/sofia-fernandez-madero/4/738/B77</v>
      </c>
      <c r="I4493" s="2" t="s">
        <v>1679</v>
      </c>
      <c r="J4493" s="2" t="s">
        <v>21</v>
      </c>
      <c r="K4493" s="2" t="s">
        <v>5727</v>
      </c>
    </row>
    <row r="4494" ht="15.75" customHeight="1">
      <c r="A4494" s="2">
        <v>49814.0</v>
      </c>
      <c r="B4494" s="2" t="s">
        <v>9349</v>
      </c>
      <c r="C4494" s="2" t="s">
        <v>9350</v>
      </c>
      <c r="D4494" s="2" t="s">
        <v>13</v>
      </c>
      <c r="E4494" s="2" t="s">
        <v>20</v>
      </c>
      <c r="F4494" s="2">
        <v>5.0</v>
      </c>
      <c r="G4494" s="2">
        <v>500.0</v>
      </c>
      <c r="H4494" s="3" t="str">
        <f>HYPERLINK("http://www.linkedin.com/pub/sebasti%C3%A1n-pablo-torrisi/a/749/60","http://www.linkedin.com/pub/sebasti%C3%A1n-pablo-torrisi/a/749/60")</f>
        <v>http://www.linkedin.com/pub/sebasti%C3%A1n-pablo-torrisi/a/749/60</v>
      </c>
      <c r="I4494" s="2" t="s">
        <v>1679</v>
      </c>
      <c r="J4494" s="2" t="s">
        <v>21</v>
      </c>
      <c r="K4494" s="2" t="s">
        <v>5727</v>
      </c>
    </row>
    <row r="4495" ht="15.75" customHeight="1">
      <c r="A4495" s="2">
        <v>49839.0</v>
      </c>
      <c r="B4495" s="2" t="s">
        <v>549</v>
      </c>
      <c r="C4495" s="2" t="s">
        <v>8409</v>
      </c>
      <c r="D4495" s="2" t="s">
        <v>7878</v>
      </c>
      <c r="E4495" s="2" t="s">
        <v>20</v>
      </c>
      <c r="F4495" s="2">
        <v>1.0</v>
      </c>
      <c r="G4495" s="2">
        <v>273.0</v>
      </c>
      <c r="H4495" s="3" t="str">
        <f>HYPERLINK("http://ar.linkedin.com/pub/mario-arancibia/1/707/8B4","http://ar.linkedin.com/pub/mario-arancibia/1/707/8B4")</f>
        <v>http://ar.linkedin.com/pub/mario-arancibia/1/707/8B4</v>
      </c>
      <c r="I4495" s="2" t="s">
        <v>77</v>
      </c>
      <c r="J4495" s="2" t="s">
        <v>21</v>
      </c>
      <c r="K4495" s="2" t="s">
        <v>5785</v>
      </c>
    </row>
    <row r="4496" ht="15.75" customHeight="1">
      <c r="A4496" s="2">
        <v>49857.0</v>
      </c>
      <c r="B4496" s="2" t="s">
        <v>1310</v>
      </c>
      <c r="C4496" s="2" t="s">
        <v>9351</v>
      </c>
      <c r="D4496" s="2" t="s">
        <v>9352</v>
      </c>
      <c r="E4496" s="2" t="s">
        <v>20</v>
      </c>
      <c r="F4496" s="2">
        <v>1.0</v>
      </c>
      <c r="G4496" s="2">
        <v>108.0</v>
      </c>
      <c r="H4496" s="3" t="str">
        <f>HYPERLINK("http://ar.linkedin.com/pub/angel-gallardo/5/552/2A2","http://ar.linkedin.com/pub/angel-gallardo/5/552/2A2")</f>
        <v>http://ar.linkedin.com/pub/angel-gallardo/5/552/2A2</v>
      </c>
      <c r="I4496" s="2" t="s">
        <v>77</v>
      </c>
      <c r="J4496" s="2" t="s">
        <v>21</v>
      </c>
      <c r="K4496" s="2" t="s">
        <v>5848</v>
      </c>
    </row>
    <row r="4497" ht="15.75" customHeight="1">
      <c r="A4497" s="2">
        <v>49870.0</v>
      </c>
      <c r="B4497" s="2" t="s">
        <v>201</v>
      </c>
      <c r="C4497" s="2" t="s">
        <v>9353</v>
      </c>
      <c r="D4497" s="2" t="s">
        <v>9354</v>
      </c>
      <c r="E4497" s="2" t="s">
        <v>20</v>
      </c>
      <c r="F4497" s="2" t="s">
        <v>13</v>
      </c>
      <c r="G4497" s="2">
        <v>191.0</v>
      </c>
      <c r="H4497" s="3" t="str">
        <f>HYPERLINK("http://ar.linkedin.com/pub/natalia-cozzi/2B/710/537","http://ar.linkedin.com/pub/natalia-cozzi/2B/710/537")</f>
        <v>http://ar.linkedin.com/pub/natalia-cozzi/2B/710/537</v>
      </c>
      <c r="I4497" s="2" t="s">
        <v>77</v>
      </c>
      <c r="J4497" s="2" t="s">
        <v>21</v>
      </c>
      <c r="K4497" s="2" t="s">
        <v>5848</v>
      </c>
    </row>
    <row r="4498" ht="15.75" customHeight="1">
      <c r="A4498" s="2">
        <v>49881.0</v>
      </c>
      <c r="B4498" s="2" t="s">
        <v>146</v>
      </c>
      <c r="C4498" s="2" t="s">
        <v>4481</v>
      </c>
      <c r="D4498" s="2" t="s">
        <v>9355</v>
      </c>
      <c r="E4498" s="2" t="s">
        <v>20</v>
      </c>
      <c r="F4498" s="2">
        <v>3.0</v>
      </c>
      <c r="G4498" s="2">
        <v>194.0</v>
      </c>
      <c r="H4498" s="3" t="str">
        <f>HYPERLINK("http://ar.linkedin.com/pub/enrique-villar/6/201/79A","http://ar.linkedin.com/pub/enrique-villar/6/201/79A")</f>
        <v>http://ar.linkedin.com/pub/enrique-villar/6/201/79A</v>
      </c>
      <c r="I4498" s="2" t="s">
        <v>77</v>
      </c>
      <c r="J4498" s="2" t="s">
        <v>21</v>
      </c>
      <c r="K4498" s="2" t="s">
        <v>9356</v>
      </c>
    </row>
    <row r="4499" ht="15.75" customHeight="1">
      <c r="A4499" s="2">
        <v>49890.0</v>
      </c>
      <c r="B4499" s="2" t="s">
        <v>6083</v>
      </c>
      <c r="C4499" s="2" t="s">
        <v>9357</v>
      </c>
      <c r="D4499" s="2" t="s">
        <v>936</v>
      </c>
      <c r="E4499" s="2" t="s">
        <v>20</v>
      </c>
      <c r="F4499" s="2">
        <v>5.0</v>
      </c>
      <c r="G4499" s="2">
        <v>500.0</v>
      </c>
      <c r="H4499" s="3" t="str">
        <f>HYPERLINK("http://www.linkedin.com/pub/mariela-sepulveda/0/117/942","http://www.linkedin.com/pub/mariela-sepulveda/0/117/942")</f>
        <v>http://www.linkedin.com/pub/mariela-sepulveda/0/117/942</v>
      </c>
      <c r="I4499" s="2" t="s">
        <v>105</v>
      </c>
      <c r="J4499" s="2" t="s">
        <v>21</v>
      </c>
      <c r="K4499" s="2" t="s">
        <v>5725</v>
      </c>
    </row>
    <row r="4500" ht="15.75" customHeight="1">
      <c r="A4500" s="2">
        <v>49892.0</v>
      </c>
      <c r="B4500" s="2" t="s">
        <v>9358</v>
      </c>
      <c r="C4500" s="2" t="s">
        <v>3392</v>
      </c>
      <c r="D4500" s="2" t="s">
        <v>9359</v>
      </c>
      <c r="E4500" s="2" t="s">
        <v>9360</v>
      </c>
      <c r="F4500" s="2">
        <v>4.0</v>
      </c>
      <c r="G4500" s="2">
        <v>500.0</v>
      </c>
      <c r="H4500" s="3" t="str">
        <f>HYPERLINK("http://ar.linkedin.com/pub/alejandro-hernan-lopez/17/A42/12","http://ar.linkedin.com/pub/alejandro-hernan-lopez/17/A42/12")</f>
        <v>http://ar.linkedin.com/pub/alejandro-hernan-lopez/17/A42/12</v>
      </c>
      <c r="I4500" s="2" t="s">
        <v>15</v>
      </c>
      <c r="J4500" s="2" t="s">
        <v>53</v>
      </c>
      <c r="K4500" s="2" t="s">
        <v>5725</v>
      </c>
    </row>
    <row r="4501" ht="15.75" customHeight="1">
      <c r="A4501" s="2">
        <v>49963.0</v>
      </c>
      <c r="B4501" s="2" t="s">
        <v>6232</v>
      </c>
      <c r="C4501" s="2" t="s">
        <v>8241</v>
      </c>
      <c r="D4501" s="2" t="s">
        <v>13</v>
      </c>
      <c r="E4501" s="2" t="s">
        <v>20</v>
      </c>
      <c r="F4501" s="2">
        <v>0.0</v>
      </c>
      <c r="G4501" s="2">
        <v>500.0</v>
      </c>
      <c r="H4501" s="3" t="str">
        <f>HYPERLINK("http://www.linkedin.com/pub/emiliano-d%C3%A1vila/23/62a/a06","http://www.linkedin.com/pub/emiliano-d%C3%A1vila/23/62a/a06")</f>
        <v>http://www.linkedin.com/pub/emiliano-d%C3%A1vila/23/62a/a06</v>
      </c>
      <c r="I4501" s="2" t="s">
        <v>48</v>
      </c>
      <c r="J4501" s="2" t="s">
        <v>21</v>
      </c>
      <c r="K4501" s="2" t="s">
        <v>5727</v>
      </c>
    </row>
    <row r="4502" ht="15.75" customHeight="1">
      <c r="A4502" s="2">
        <v>49979.0</v>
      </c>
      <c r="B4502" s="2" t="s">
        <v>8814</v>
      </c>
      <c r="C4502" s="2" t="s">
        <v>9361</v>
      </c>
      <c r="D4502" s="2" t="s">
        <v>9362</v>
      </c>
      <c r="E4502" s="2" t="s">
        <v>20</v>
      </c>
      <c r="F4502" s="2" t="s">
        <v>13</v>
      </c>
      <c r="G4502" s="2">
        <v>500.0</v>
      </c>
      <c r="H4502" s="3" t="str">
        <f>HYPERLINK("http://ar.linkedin.com/pub/mar-a-soledad-cataldo/30/5B2/716","http://ar.linkedin.com/pub/mar-a-soledad-cataldo/30/5B2/716")</f>
        <v>http://ar.linkedin.com/pub/mar-a-soledad-cataldo/30/5B2/716</v>
      </c>
      <c r="I4502" s="2" t="s">
        <v>458</v>
      </c>
      <c r="J4502" s="2" t="s">
        <v>21</v>
      </c>
      <c r="K4502" s="2" t="s">
        <v>5734</v>
      </c>
    </row>
    <row r="4503" ht="15.75" customHeight="1">
      <c r="A4503" s="2">
        <v>49987.0</v>
      </c>
      <c r="B4503" s="2" t="s">
        <v>5732</v>
      </c>
      <c r="C4503" s="2" t="s">
        <v>9363</v>
      </c>
      <c r="D4503" s="2" t="s">
        <v>13</v>
      </c>
      <c r="E4503" s="2" t="s">
        <v>20</v>
      </c>
      <c r="F4503" s="2">
        <v>0.0</v>
      </c>
      <c r="G4503" s="2">
        <v>197.0</v>
      </c>
      <c r="H4503" s="3" t="str">
        <f>HYPERLINK("http://www.linkedin.com/pub/mart%C3%ADn-gambardella/22/b92/38b","http://www.linkedin.com/pub/mart%C3%ADn-gambardella/22/b92/38b")</f>
        <v>http://www.linkedin.com/pub/mart%C3%ADn-gambardella/22/b92/38b</v>
      </c>
      <c r="I4503" s="2" t="s">
        <v>15</v>
      </c>
      <c r="J4503" s="2" t="s">
        <v>21</v>
      </c>
      <c r="K4503" s="2" t="s">
        <v>5848</v>
      </c>
    </row>
    <row r="4504" ht="15.75" customHeight="1">
      <c r="A4504" s="2">
        <v>49989.0</v>
      </c>
      <c r="B4504" s="2" t="s">
        <v>6467</v>
      </c>
      <c r="C4504" s="2" t="s">
        <v>9364</v>
      </c>
      <c r="D4504" s="2" t="s">
        <v>6069</v>
      </c>
      <c r="E4504" s="2" t="s">
        <v>20</v>
      </c>
      <c r="F4504" s="2">
        <v>1.0</v>
      </c>
      <c r="G4504" s="2">
        <v>221.0</v>
      </c>
      <c r="H4504" s="3" t="str">
        <f>HYPERLINK("http://ar.linkedin.com/pub/florencia-b%C3%B6se/A/610/20","http://ar.linkedin.com/pub/florencia-b%C3%B6se/A/610/20")</f>
        <v>http://ar.linkedin.com/pub/florencia-b%C3%B6se/A/610/20</v>
      </c>
      <c r="I4504" s="2" t="s">
        <v>252</v>
      </c>
      <c r="J4504" s="2" t="s">
        <v>21</v>
      </c>
      <c r="K4504" s="2" t="s">
        <v>5734</v>
      </c>
    </row>
    <row r="4505" ht="15.75" customHeight="1">
      <c r="A4505" s="2">
        <v>49992.0</v>
      </c>
      <c r="B4505" s="2" t="s">
        <v>45</v>
      </c>
      <c r="C4505" s="2" t="s">
        <v>9365</v>
      </c>
      <c r="D4505" s="2" t="s">
        <v>9366</v>
      </c>
      <c r="E4505" s="2" t="s">
        <v>20</v>
      </c>
      <c r="F4505" s="2" t="s">
        <v>13</v>
      </c>
      <c r="G4505" s="2">
        <v>76.0</v>
      </c>
      <c r="H4505" s="3" t="str">
        <f>HYPERLINK("http://ar.linkedin.com/pub/carlos-fanego/18/230/443","http://ar.linkedin.com/pub/carlos-fanego/18/230/443")</f>
        <v>http://ar.linkedin.com/pub/carlos-fanego/18/230/443</v>
      </c>
      <c r="I4505" s="2" t="s">
        <v>579</v>
      </c>
      <c r="J4505" s="2" t="s">
        <v>21</v>
      </c>
      <c r="K4505" s="2" t="s">
        <v>5848</v>
      </c>
    </row>
    <row r="4506" ht="15.75" customHeight="1">
      <c r="A4506" s="2">
        <v>49996.0</v>
      </c>
      <c r="B4506" s="2" t="s">
        <v>9367</v>
      </c>
      <c r="C4506" s="2" t="s">
        <v>3259</v>
      </c>
      <c r="D4506" s="2" t="s">
        <v>9368</v>
      </c>
      <c r="E4506" s="2" t="s">
        <v>20</v>
      </c>
      <c r="F4506" s="2" t="s">
        <v>13</v>
      </c>
      <c r="G4506" s="2">
        <v>135.0</v>
      </c>
      <c r="H4506" s="3" t="str">
        <f>HYPERLINK("http://ar.linkedin.com/pub/claudia-cristina-rossi/A/427/60A","http://ar.linkedin.com/pub/claudia-cristina-rossi/A/427/60A")</f>
        <v>http://ar.linkedin.com/pub/claudia-cristina-rossi/A/427/60A</v>
      </c>
      <c r="I4506" s="2" t="s">
        <v>279</v>
      </c>
      <c r="J4506" s="2" t="s">
        <v>21</v>
      </c>
      <c r="K4506" s="2" t="s">
        <v>5734</v>
      </c>
    </row>
    <row r="4507" ht="15.75" customHeight="1">
      <c r="A4507" s="2">
        <v>50000.0</v>
      </c>
      <c r="B4507" s="2" t="s">
        <v>9369</v>
      </c>
      <c r="C4507" s="2" t="s">
        <v>8932</v>
      </c>
      <c r="D4507" s="2" t="s">
        <v>5127</v>
      </c>
      <c r="E4507" s="2" t="s">
        <v>20</v>
      </c>
      <c r="F4507" s="2">
        <v>1.0</v>
      </c>
      <c r="G4507" s="2">
        <v>167.0</v>
      </c>
      <c r="H4507" s="3" t="str">
        <f>HYPERLINK("http://ar.linkedin.com/pub/m-nica-acosta/8/498/6B9","http://ar.linkedin.com/pub/m-nica-acosta/8/498/6B9")</f>
        <v>http://ar.linkedin.com/pub/m-nica-acosta/8/498/6B9</v>
      </c>
      <c r="I4507" s="2" t="s">
        <v>48</v>
      </c>
      <c r="J4507" s="2" t="s">
        <v>21</v>
      </c>
      <c r="K4507" s="2" t="s">
        <v>5725</v>
      </c>
    </row>
    <row r="4508" ht="15.75" customHeight="1">
      <c r="A4508" s="2">
        <v>50008.0</v>
      </c>
      <c r="B4508" s="2" t="s">
        <v>3165</v>
      </c>
      <c r="C4508" s="2" t="s">
        <v>6956</v>
      </c>
      <c r="D4508" s="2" t="s">
        <v>9370</v>
      </c>
      <c r="E4508" s="2" t="s">
        <v>20</v>
      </c>
      <c r="F4508" s="2" t="s">
        <v>13</v>
      </c>
      <c r="G4508" s="2">
        <v>179.0</v>
      </c>
      <c r="H4508" s="3" t="str">
        <f>HYPERLINK("http://ar.linkedin.com/pub/luciana-arce/9/4A4/84A","http://ar.linkedin.com/pub/luciana-arce/9/4A4/84A")</f>
        <v>http://ar.linkedin.com/pub/luciana-arce/9/4A4/84A</v>
      </c>
      <c r="I4508" s="2" t="s">
        <v>15</v>
      </c>
      <c r="J4508" s="2" t="s">
        <v>21</v>
      </c>
      <c r="K4508" s="2" t="s">
        <v>6124</v>
      </c>
    </row>
    <row r="4509" ht="15.75" customHeight="1">
      <c r="A4509" s="2">
        <v>50040.0</v>
      </c>
      <c r="B4509" s="2" t="s">
        <v>677</v>
      </c>
      <c r="C4509" s="2" t="s">
        <v>9371</v>
      </c>
      <c r="D4509" s="2" t="s">
        <v>9372</v>
      </c>
      <c r="E4509" s="2" t="s">
        <v>20</v>
      </c>
      <c r="F4509" s="2">
        <v>1.0</v>
      </c>
      <c r="G4509" s="2">
        <v>500.0</v>
      </c>
      <c r="H4509" s="3" t="str">
        <f>HYPERLINK("http://www.linkedin.com/in/dvenditti","http://www.linkedin.com/in/dvenditti")</f>
        <v>http://www.linkedin.com/in/dvenditti</v>
      </c>
      <c r="I4509" s="2" t="s">
        <v>188</v>
      </c>
      <c r="J4509" s="2" t="s">
        <v>21</v>
      </c>
      <c r="K4509" s="2" t="s">
        <v>5727</v>
      </c>
    </row>
    <row r="4510" ht="15.75" customHeight="1">
      <c r="A4510" s="2">
        <v>50071.0</v>
      </c>
      <c r="B4510" s="2" t="s">
        <v>6225</v>
      </c>
      <c r="C4510" s="2" t="s">
        <v>9373</v>
      </c>
      <c r="D4510" s="2" t="s">
        <v>13</v>
      </c>
      <c r="E4510" s="2" t="s">
        <v>20</v>
      </c>
      <c r="F4510" s="2">
        <v>0.0</v>
      </c>
      <c r="G4510" s="2">
        <v>500.0</v>
      </c>
      <c r="H4510" s="3" t="str">
        <f>HYPERLINK("http://www.linkedin.com/pub/paola-racana-consultora/16/251/a83","http://www.linkedin.com/pub/paola-racana-consultora/16/251/a83")</f>
        <v>http://www.linkedin.com/pub/paola-racana-consultora/16/251/a83</v>
      </c>
      <c r="I4510" s="2" t="s">
        <v>458</v>
      </c>
      <c r="J4510" s="2" t="s">
        <v>21</v>
      </c>
      <c r="K4510" s="2" t="s">
        <v>5734</v>
      </c>
    </row>
    <row r="4511" ht="15.75" customHeight="1">
      <c r="A4511" s="2">
        <v>50081.0</v>
      </c>
      <c r="B4511" s="2" t="s">
        <v>7027</v>
      </c>
      <c r="C4511" s="2" t="s">
        <v>9374</v>
      </c>
      <c r="D4511" s="2" t="s">
        <v>9375</v>
      </c>
      <c r="E4511" s="2" t="s">
        <v>20</v>
      </c>
      <c r="F4511" s="2">
        <v>3.0</v>
      </c>
      <c r="G4511" s="2">
        <v>337.0</v>
      </c>
      <c r="H4511" s="3" t="str">
        <f>HYPERLINK("http://ar.linkedin.com/pub/agustina-paz/10/167/832","http://ar.linkedin.com/pub/agustina-paz/10/167/832")</f>
        <v>http://ar.linkedin.com/pub/agustina-paz/10/167/832</v>
      </c>
      <c r="I4511" s="2" t="s">
        <v>172</v>
      </c>
      <c r="J4511" s="2" t="s">
        <v>21</v>
      </c>
      <c r="K4511" s="2" t="s">
        <v>5727</v>
      </c>
    </row>
    <row r="4512" ht="15.75" customHeight="1">
      <c r="A4512" s="2">
        <v>50125.0</v>
      </c>
      <c r="B4512" s="2" t="s">
        <v>3201</v>
      </c>
      <c r="C4512" s="2" t="s">
        <v>9376</v>
      </c>
      <c r="D4512" s="2" t="s">
        <v>13</v>
      </c>
      <c r="E4512" s="2" t="s">
        <v>20</v>
      </c>
      <c r="F4512" s="2">
        <v>0.0</v>
      </c>
      <c r="G4512" s="2">
        <v>435.0</v>
      </c>
      <c r="H4512" s="3" t="str">
        <f>HYPERLINK("http://www.linkedin.com/pub/sebastian-lonegro/5/673/13b","http://www.linkedin.com/pub/sebastian-lonegro/5/673/13b")</f>
        <v>http://www.linkedin.com/pub/sebastian-lonegro/5/673/13b</v>
      </c>
      <c r="I4512" s="2" t="s">
        <v>143</v>
      </c>
      <c r="J4512" s="2" t="s">
        <v>21</v>
      </c>
      <c r="K4512" s="2" t="s">
        <v>5725</v>
      </c>
    </row>
    <row r="4513" ht="15.75" customHeight="1">
      <c r="A4513" s="2">
        <v>50126.0</v>
      </c>
      <c r="B4513" s="2" t="s">
        <v>6765</v>
      </c>
      <c r="C4513" s="2" t="s">
        <v>6541</v>
      </c>
      <c r="D4513" s="2" t="s">
        <v>9377</v>
      </c>
      <c r="E4513" s="2" t="s">
        <v>20</v>
      </c>
      <c r="F4513" s="2" t="s">
        <v>13</v>
      </c>
      <c r="G4513" s="2">
        <v>446.0</v>
      </c>
      <c r="H4513" s="3" t="str">
        <f>HYPERLINK("http://ar.linkedin.com/pub/gaston-barrionuevo/19/52A/766","http://ar.linkedin.com/pub/gaston-barrionuevo/19/52A/766")</f>
        <v>http://ar.linkedin.com/pub/gaston-barrionuevo/19/52A/766</v>
      </c>
      <c r="I4513" s="2" t="s">
        <v>458</v>
      </c>
      <c r="J4513" s="2" t="s">
        <v>21</v>
      </c>
      <c r="K4513" s="2" t="s">
        <v>5734</v>
      </c>
    </row>
    <row r="4514" ht="15.75" customHeight="1">
      <c r="A4514" s="2">
        <v>50135.0</v>
      </c>
      <c r="B4514" s="2" t="s">
        <v>501</v>
      </c>
      <c r="C4514" s="2" t="s">
        <v>9378</v>
      </c>
      <c r="D4514" s="2" t="s">
        <v>9379</v>
      </c>
      <c r="E4514" s="2" t="s">
        <v>20</v>
      </c>
      <c r="F4514" s="2" t="s">
        <v>13</v>
      </c>
      <c r="G4514" s="2">
        <v>326.0</v>
      </c>
      <c r="H4514" s="3" t="str">
        <f>HYPERLINK("http://ar.linkedin.com/in/franfarina","http://ar.linkedin.com/in/franfarina")</f>
        <v>http://ar.linkedin.com/in/franfarina</v>
      </c>
      <c r="I4514" s="2" t="s">
        <v>279</v>
      </c>
      <c r="J4514" s="2" t="s">
        <v>21</v>
      </c>
      <c r="K4514" s="2" t="s">
        <v>5734</v>
      </c>
    </row>
    <row r="4515" ht="15.75" customHeight="1">
      <c r="A4515" s="2">
        <v>50155.0</v>
      </c>
      <c r="B4515" s="2" t="s">
        <v>264</v>
      </c>
      <c r="C4515" s="2" t="s">
        <v>9380</v>
      </c>
      <c r="D4515" s="2" t="s">
        <v>13</v>
      </c>
      <c r="E4515" s="2" t="s">
        <v>20</v>
      </c>
      <c r="F4515" s="2">
        <v>0.0</v>
      </c>
      <c r="G4515" s="2">
        <v>500.0</v>
      </c>
      <c r="H4515" s="3" t="str">
        <f>HYPERLINK("http://www.linkedin.com/pub/andres-marro/18/627/761","http://www.linkedin.com/pub/andres-marro/18/627/761")</f>
        <v>http://www.linkedin.com/pub/andres-marro/18/627/761</v>
      </c>
      <c r="I4515" s="2" t="s">
        <v>458</v>
      </c>
      <c r="J4515" s="2" t="s">
        <v>21</v>
      </c>
      <c r="K4515" s="2" t="s">
        <v>5734</v>
      </c>
    </row>
    <row r="4516" ht="15.75" customHeight="1">
      <c r="A4516" s="2">
        <v>50160.0</v>
      </c>
      <c r="B4516" s="2" t="s">
        <v>3619</v>
      </c>
      <c r="C4516" s="2" t="s">
        <v>9381</v>
      </c>
      <c r="D4516" s="2" t="s">
        <v>9382</v>
      </c>
      <c r="E4516" s="2" t="s">
        <v>20</v>
      </c>
      <c r="F4516" s="2" t="s">
        <v>13</v>
      </c>
      <c r="G4516" s="2">
        <v>500.0</v>
      </c>
      <c r="H4516" s="3" t="str">
        <f>HYPERLINK("http://ar.linkedin.com/pub/antonella-di-marzio/30/969/4A","http://ar.linkedin.com/pub/antonella-di-marzio/30/969/4A")</f>
        <v>http://ar.linkedin.com/pub/antonella-di-marzio/30/969/4A</v>
      </c>
      <c r="I4516" s="2" t="s">
        <v>77</v>
      </c>
      <c r="J4516" s="2" t="s">
        <v>21</v>
      </c>
      <c r="K4516" s="2" t="s">
        <v>5785</v>
      </c>
    </row>
    <row r="4517" ht="15.75" customHeight="1">
      <c r="A4517" s="2">
        <v>50188.0</v>
      </c>
      <c r="B4517" s="2" t="s">
        <v>6252</v>
      </c>
      <c r="C4517" s="2" t="s">
        <v>9383</v>
      </c>
      <c r="D4517" s="2" t="s">
        <v>9384</v>
      </c>
      <c r="E4517" s="2" t="s">
        <v>20</v>
      </c>
      <c r="F4517" s="2">
        <v>12.0</v>
      </c>
      <c r="G4517" s="2">
        <v>500.0</v>
      </c>
      <c r="H4517" s="3" t="str">
        <f>HYPERLINK("http://ar.linkedin.com/pub/santiago-romay/A/30/921","http://ar.linkedin.com/pub/santiago-romay/A/30/921")</f>
        <v>http://ar.linkedin.com/pub/santiago-romay/A/30/921</v>
      </c>
      <c r="I4517" s="2" t="s">
        <v>96</v>
      </c>
      <c r="J4517" s="2" t="s">
        <v>21</v>
      </c>
      <c r="K4517" s="2" t="s">
        <v>5727</v>
      </c>
    </row>
    <row r="4518" ht="15.75" customHeight="1">
      <c r="A4518" s="2">
        <v>50199.0</v>
      </c>
      <c r="B4518" s="2" t="s">
        <v>9385</v>
      </c>
      <c r="C4518" s="2" t="s">
        <v>13</v>
      </c>
      <c r="D4518" s="2" t="s">
        <v>13</v>
      </c>
      <c r="E4518" s="2" t="s">
        <v>199</v>
      </c>
      <c r="F4518" s="2">
        <v>0.0</v>
      </c>
      <c r="G4518" s="2">
        <v>468.0</v>
      </c>
      <c r="H4518" s="3" t="str">
        <f>HYPERLINK("http://www.linkedin.com/pub/pablo-pajon/b/774/759","http://www.linkedin.com/pub/pablo-pajon/b/774/759")</f>
        <v>http://www.linkedin.com/pub/pablo-pajon/b/774/759</v>
      </c>
      <c r="I4518" s="2" t="s">
        <v>77</v>
      </c>
      <c r="J4518" s="2" t="s">
        <v>200</v>
      </c>
      <c r="K4518" s="2" t="s">
        <v>5731</v>
      </c>
    </row>
    <row r="4519" ht="15.75" customHeight="1">
      <c r="A4519" s="2">
        <v>50214.0</v>
      </c>
      <c r="B4519" s="2" t="s">
        <v>492</v>
      </c>
      <c r="C4519" s="2" t="s">
        <v>9386</v>
      </c>
      <c r="D4519" s="2" t="s">
        <v>9387</v>
      </c>
      <c r="E4519" s="2" t="s">
        <v>20</v>
      </c>
      <c r="F4519" s="2">
        <v>5.0</v>
      </c>
      <c r="G4519" s="2">
        <v>500.0</v>
      </c>
      <c r="H4519" s="3" t="str">
        <f>HYPERLINK("http://ar.linkedin.com/pub/sergio-pozzoli/B/6A0/4B9","http://ar.linkedin.com/pub/sergio-pozzoli/B/6A0/4B9")</f>
        <v>http://ar.linkedin.com/pub/sergio-pozzoli/B/6A0/4B9</v>
      </c>
      <c r="I4519" s="2" t="s">
        <v>105</v>
      </c>
      <c r="J4519" s="2" t="s">
        <v>21</v>
      </c>
      <c r="K4519" s="2" t="s">
        <v>5743</v>
      </c>
    </row>
    <row r="4520" ht="15.75" customHeight="1">
      <c r="A4520" s="2">
        <v>50228.0</v>
      </c>
      <c r="B4520" s="2" t="s">
        <v>1344</v>
      </c>
      <c r="C4520" s="2" t="s">
        <v>8355</v>
      </c>
      <c r="D4520" s="2" t="s">
        <v>1620</v>
      </c>
      <c r="E4520" s="2" t="s">
        <v>20</v>
      </c>
      <c r="F4520" s="2" t="s">
        <v>13</v>
      </c>
      <c r="G4520" s="2">
        <v>500.0</v>
      </c>
      <c r="H4520" s="3" t="str">
        <f>HYPERLINK("http://ar.linkedin.com/pub/renato-rossello/8/956/383","http://ar.linkedin.com/pub/renato-rossello/8/956/383")</f>
        <v>http://ar.linkedin.com/pub/renato-rossello/8/956/383</v>
      </c>
      <c r="I4520" s="2" t="s">
        <v>2603</v>
      </c>
      <c r="J4520" s="2" t="s">
        <v>21</v>
      </c>
      <c r="K4520" s="2" t="s">
        <v>9388</v>
      </c>
    </row>
    <row r="4521" ht="15.75" customHeight="1">
      <c r="A4521" s="2">
        <v>50237.0</v>
      </c>
      <c r="B4521" s="2" t="s">
        <v>6219</v>
      </c>
      <c r="C4521" s="2" t="s">
        <v>9389</v>
      </c>
      <c r="D4521" s="2" t="s">
        <v>9390</v>
      </c>
      <c r="E4521" s="2" t="s">
        <v>20</v>
      </c>
      <c r="F4521" s="2">
        <v>15.0</v>
      </c>
      <c r="G4521" s="2">
        <v>208.0</v>
      </c>
      <c r="H4521" s="3" t="str">
        <f>HYPERLINK("http://www.linkedin.com/in/hugodamiani","http://www.linkedin.com/in/hugodamiani")</f>
        <v>http://www.linkedin.com/in/hugodamiani</v>
      </c>
      <c r="I4521" s="2" t="s">
        <v>15</v>
      </c>
      <c r="J4521" s="2" t="s">
        <v>21</v>
      </c>
      <c r="K4521" s="2" t="s">
        <v>5731</v>
      </c>
    </row>
    <row r="4522" ht="15.75" customHeight="1">
      <c r="A4522" s="2">
        <v>50239.0</v>
      </c>
      <c r="B4522" s="2" t="s">
        <v>6339</v>
      </c>
      <c r="C4522" s="2" t="s">
        <v>9391</v>
      </c>
      <c r="D4522" s="2" t="s">
        <v>9392</v>
      </c>
      <c r="E4522" s="2" t="s">
        <v>20</v>
      </c>
      <c r="F4522" s="2">
        <v>3.0</v>
      </c>
      <c r="G4522" s="2">
        <v>500.0</v>
      </c>
      <c r="H4522" s="3" t="str">
        <f>HYPERLINK("http://ar.linkedin.com/in/ecaprarulo","http://ar.linkedin.com/in/ecaprarulo")</f>
        <v>http://ar.linkedin.com/in/ecaprarulo</v>
      </c>
      <c r="I4522" s="2" t="s">
        <v>1698</v>
      </c>
      <c r="J4522" s="2" t="s">
        <v>21</v>
      </c>
      <c r="K4522" s="2" t="s">
        <v>5727</v>
      </c>
    </row>
    <row r="4523" ht="15.75" customHeight="1">
      <c r="A4523" s="2">
        <v>50248.0</v>
      </c>
      <c r="B4523" s="2" t="s">
        <v>45</v>
      </c>
      <c r="C4523" s="2" t="s">
        <v>9393</v>
      </c>
      <c r="D4523" s="2" t="s">
        <v>9394</v>
      </c>
      <c r="E4523" s="2" t="s">
        <v>20</v>
      </c>
      <c r="F4523" s="2">
        <v>4.0</v>
      </c>
      <c r="G4523" s="2">
        <v>379.0</v>
      </c>
      <c r="H4523" s="3" t="str">
        <f>HYPERLINK("http://ar.linkedin.com/in/wwwlinkedincomcarlos1831","http://ar.linkedin.com/in/wwwlinkedincomcarlos1831")</f>
        <v>http://ar.linkedin.com/in/wwwlinkedincomcarlos1831</v>
      </c>
      <c r="I4523" s="2" t="s">
        <v>27</v>
      </c>
      <c r="J4523" s="2" t="s">
        <v>21</v>
      </c>
      <c r="K4523" s="2" t="s">
        <v>5727</v>
      </c>
    </row>
    <row r="4524" ht="15.75" customHeight="1">
      <c r="A4524" s="2">
        <v>50253.0</v>
      </c>
      <c r="B4524" s="2" t="s">
        <v>193</v>
      </c>
      <c r="C4524" s="2" t="s">
        <v>9395</v>
      </c>
      <c r="D4524" s="2" t="s">
        <v>9396</v>
      </c>
      <c r="E4524" s="2" t="s">
        <v>20</v>
      </c>
      <c r="F4524" s="2" t="s">
        <v>13</v>
      </c>
      <c r="G4524" s="2">
        <v>223.0</v>
      </c>
      <c r="H4524" s="3" t="str">
        <f>HYPERLINK("http://ar.linkedin.com/pub/lic-guillermo-polzella/4/B55/370","http://ar.linkedin.com/pub/lic-guillermo-polzella/4/B55/370")</f>
        <v>http://ar.linkedin.com/pub/lic-guillermo-polzella/4/B55/370</v>
      </c>
      <c r="I4524" s="2" t="s">
        <v>119</v>
      </c>
      <c r="J4524" s="2" t="s">
        <v>21</v>
      </c>
      <c r="K4524" s="2" t="s">
        <v>5785</v>
      </c>
    </row>
    <row r="4525" ht="15.75" customHeight="1">
      <c r="A4525" s="2">
        <v>50254.0</v>
      </c>
      <c r="B4525" s="2" t="s">
        <v>9397</v>
      </c>
      <c r="C4525" s="2" t="s">
        <v>9398</v>
      </c>
      <c r="D4525" s="2" t="s">
        <v>13</v>
      </c>
      <c r="E4525" s="2" t="s">
        <v>20</v>
      </c>
      <c r="F4525" s="2">
        <v>12.0</v>
      </c>
      <c r="G4525" s="2">
        <v>321.0</v>
      </c>
      <c r="H4525" s="3" t="str">
        <f>HYPERLINK("http://www.linkedin.com/pub/alberto-m-druetta-pmp/1/a07/b54","http://www.linkedin.com/pub/alberto-m-druetta-pmp/1/a07/b54")</f>
        <v>http://www.linkedin.com/pub/alberto-m-druetta-pmp/1/a07/b54</v>
      </c>
      <c r="I4525" s="2" t="s">
        <v>77</v>
      </c>
      <c r="J4525" s="2" t="s">
        <v>21</v>
      </c>
      <c r="K4525" s="2" t="s">
        <v>5743</v>
      </c>
    </row>
    <row r="4526" ht="15.75" customHeight="1">
      <c r="A4526" s="2">
        <v>50325.0</v>
      </c>
      <c r="B4526" s="2" t="s">
        <v>5849</v>
      </c>
      <c r="C4526" s="2" t="s">
        <v>9399</v>
      </c>
      <c r="D4526" s="2" t="s">
        <v>9400</v>
      </c>
      <c r="E4526" s="2" t="s">
        <v>20</v>
      </c>
      <c r="F4526" s="2" t="s">
        <v>13</v>
      </c>
      <c r="G4526" s="2">
        <v>117.0</v>
      </c>
      <c r="H4526" s="3" t="str">
        <f>HYPERLINK("http://ar.linkedin.com/pub/facundo-calegari/2/38B/85","http://ar.linkedin.com/pub/facundo-calegari/2/38B/85")</f>
        <v>http://ar.linkedin.com/pub/facundo-calegari/2/38B/85</v>
      </c>
      <c r="I4526" s="2" t="s">
        <v>873</v>
      </c>
      <c r="J4526" s="2" t="s">
        <v>21</v>
      </c>
      <c r="K4526" s="2" t="s">
        <v>5734</v>
      </c>
    </row>
    <row r="4527" ht="15.75" customHeight="1">
      <c r="A4527" s="2">
        <v>50328.0</v>
      </c>
      <c r="B4527" s="2" t="s">
        <v>7267</v>
      </c>
      <c r="C4527" s="2" t="s">
        <v>7545</v>
      </c>
      <c r="D4527" s="2" t="s">
        <v>9401</v>
      </c>
      <c r="E4527" s="2" t="s">
        <v>20</v>
      </c>
      <c r="F4527" s="2" t="s">
        <v>13</v>
      </c>
      <c r="G4527" s="2">
        <v>123.0</v>
      </c>
      <c r="H4527" s="3" t="str">
        <f>HYPERLINK("http://ar.linkedin.com/pub/euge-iglesias/19/623/47B","http://ar.linkedin.com/pub/euge-iglesias/19/623/47B")</f>
        <v>http://ar.linkedin.com/pub/euge-iglesias/19/623/47B</v>
      </c>
      <c r="I4527" s="2" t="s">
        <v>195</v>
      </c>
      <c r="J4527" s="2" t="s">
        <v>21</v>
      </c>
      <c r="K4527" s="2" t="s">
        <v>5865</v>
      </c>
    </row>
    <row r="4528" ht="15.75" customHeight="1">
      <c r="A4528" s="2">
        <v>50341.0</v>
      </c>
      <c r="B4528" s="2" t="s">
        <v>3175</v>
      </c>
      <c r="C4528" s="2" t="s">
        <v>9402</v>
      </c>
      <c r="D4528" s="2" t="s">
        <v>9403</v>
      </c>
      <c r="E4528" s="2" t="s">
        <v>20</v>
      </c>
      <c r="F4528" s="2">
        <v>2.0</v>
      </c>
      <c r="G4528" s="2">
        <v>164.0</v>
      </c>
      <c r="H4528" s="3" t="str">
        <f>HYPERLINK("http://ar.linkedin.com/pub/daniela-iturria/11/668/829","http://ar.linkedin.com/pub/daniela-iturria/11/668/829")</f>
        <v>http://ar.linkedin.com/pub/daniela-iturria/11/668/829</v>
      </c>
      <c r="I4528" s="2" t="s">
        <v>714</v>
      </c>
      <c r="J4528" s="2" t="s">
        <v>21</v>
      </c>
      <c r="K4528" s="2" t="s">
        <v>5727</v>
      </c>
    </row>
    <row r="4529" ht="15.75" customHeight="1">
      <c r="A4529" s="2">
        <v>50390.0</v>
      </c>
      <c r="B4529" s="2" t="s">
        <v>9404</v>
      </c>
      <c r="C4529" s="2" t="s">
        <v>9405</v>
      </c>
      <c r="D4529" s="2" t="s">
        <v>9406</v>
      </c>
      <c r="E4529" s="2" t="s">
        <v>20</v>
      </c>
      <c r="F4529" s="2">
        <v>28.0</v>
      </c>
      <c r="G4529" s="2">
        <v>500.0</v>
      </c>
      <c r="H4529" s="3" t="str">
        <f>HYPERLINK("http://ar.linkedin.com/in/22071956","http://ar.linkedin.com/in/22071956")</f>
        <v>http://ar.linkedin.com/in/22071956</v>
      </c>
      <c r="I4529" s="2" t="s">
        <v>279</v>
      </c>
      <c r="J4529" s="2" t="s">
        <v>21</v>
      </c>
      <c r="K4529" s="2" t="s">
        <v>5727</v>
      </c>
    </row>
    <row r="4530" ht="15.75" customHeight="1">
      <c r="A4530" s="2">
        <v>50410.0</v>
      </c>
      <c r="B4530" s="2" t="s">
        <v>506</v>
      </c>
      <c r="C4530" s="2" t="s">
        <v>9407</v>
      </c>
      <c r="D4530" s="2" t="s">
        <v>7518</v>
      </c>
      <c r="E4530" s="2" t="s">
        <v>20</v>
      </c>
      <c r="F4530" s="2">
        <v>5.0</v>
      </c>
      <c r="G4530" s="2">
        <v>383.0</v>
      </c>
      <c r="H4530" s="3" t="str">
        <f>HYPERLINK("http://ar.linkedin.com/in/josealvarezchaus","http://ar.linkedin.com/in/josealvarezchaus")</f>
        <v>http://ar.linkedin.com/in/josealvarezchaus</v>
      </c>
      <c r="I4530" s="2" t="s">
        <v>279</v>
      </c>
      <c r="J4530" s="2" t="s">
        <v>21</v>
      </c>
      <c r="K4530" s="2" t="s">
        <v>5727</v>
      </c>
    </row>
    <row r="4531" ht="15.75" customHeight="1">
      <c r="A4531" s="2">
        <v>50435.0</v>
      </c>
      <c r="B4531" s="2" t="s">
        <v>9158</v>
      </c>
      <c r="C4531" s="2" t="s">
        <v>9408</v>
      </c>
      <c r="D4531" s="2" t="s">
        <v>9409</v>
      </c>
      <c r="E4531" s="2" t="s">
        <v>20</v>
      </c>
      <c r="F4531" s="2">
        <v>8.0</v>
      </c>
      <c r="G4531" s="2">
        <v>373.0</v>
      </c>
      <c r="H4531" s="3" t="str">
        <f>HYPERLINK("http://ar.linkedin.com/pub/lionel-portnoy-rosso/8/6B3/128","http://ar.linkedin.com/pub/lionel-portnoy-rosso/8/6B3/128")</f>
        <v>http://ar.linkedin.com/pub/lionel-portnoy-rosso/8/6B3/128</v>
      </c>
      <c r="I4531" s="2" t="s">
        <v>681</v>
      </c>
      <c r="J4531" s="2" t="s">
        <v>21</v>
      </c>
      <c r="K4531" s="2" t="s">
        <v>5727</v>
      </c>
    </row>
    <row r="4532" ht="15.75" customHeight="1">
      <c r="A4532" s="2">
        <v>50437.0</v>
      </c>
      <c r="B4532" s="2" t="s">
        <v>5723</v>
      </c>
      <c r="C4532" s="2" t="s">
        <v>9410</v>
      </c>
      <c r="D4532" s="2" t="s">
        <v>9411</v>
      </c>
      <c r="E4532" s="2" t="s">
        <v>20</v>
      </c>
      <c r="F4532" s="2">
        <v>4.0</v>
      </c>
      <c r="G4532" s="2">
        <v>250.0</v>
      </c>
      <c r="H4532" s="3" t="str">
        <f>HYPERLINK("http://ar.linkedin.com/in/pablosguajardo","http://ar.linkedin.com/in/pablosguajardo")</f>
        <v>http://ar.linkedin.com/in/pablosguajardo</v>
      </c>
      <c r="I4532" s="2" t="s">
        <v>57</v>
      </c>
      <c r="J4532" s="2" t="s">
        <v>21</v>
      </c>
      <c r="K4532" s="2" t="s">
        <v>5727</v>
      </c>
    </row>
    <row r="4533" ht="15.75" customHeight="1">
      <c r="A4533" s="2">
        <v>50446.0</v>
      </c>
      <c r="B4533" s="2" t="s">
        <v>6219</v>
      </c>
      <c r="C4533" s="2" t="s">
        <v>9412</v>
      </c>
      <c r="D4533" s="2" t="s">
        <v>9413</v>
      </c>
      <c r="E4533" s="2" t="s">
        <v>20</v>
      </c>
      <c r="F4533" s="2">
        <v>1.0</v>
      </c>
      <c r="G4533" s="2">
        <v>134.0</v>
      </c>
      <c r="H4533" s="3" t="str">
        <f>HYPERLINK("http://ar.linkedin.com/pub/hugo-zagarzazu/2A/29A/B53","http://ar.linkedin.com/pub/hugo-zagarzazu/2A/29A/B53")</f>
        <v>http://ar.linkedin.com/pub/hugo-zagarzazu/2A/29A/B53</v>
      </c>
      <c r="I4533" s="2" t="s">
        <v>77</v>
      </c>
      <c r="J4533" s="2" t="s">
        <v>21</v>
      </c>
      <c r="K4533" s="2" t="s">
        <v>6342</v>
      </c>
    </row>
    <row r="4534" ht="15.75" customHeight="1">
      <c r="A4534" s="2">
        <v>50449.0</v>
      </c>
      <c r="B4534" s="2" t="s">
        <v>5883</v>
      </c>
      <c r="C4534" s="2" t="s">
        <v>2904</v>
      </c>
      <c r="D4534" s="2" t="s">
        <v>5807</v>
      </c>
      <c r="E4534" s="2" t="s">
        <v>20</v>
      </c>
      <c r="F4534" s="2">
        <v>1.0</v>
      </c>
      <c r="G4534" s="2">
        <v>163.0</v>
      </c>
      <c r="H4534" s="3" t="str">
        <f>HYPERLINK("http://ar.linkedin.com/pub/ariel-fabiano/17/901/352","http://ar.linkedin.com/pub/ariel-fabiano/17/901/352")</f>
        <v>http://ar.linkedin.com/pub/ariel-fabiano/17/901/352</v>
      </c>
      <c r="I4534" s="2" t="s">
        <v>15</v>
      </c>
      <c r="J4534" s="2" t="s">
        <v>21</v>
      </c>
      <c r="K4534" s="2" t="s">
        <v>6124</v>
      </c>
    </row>
    <row r="4535" ht="15.75" customHeight="1">
      <c r="A4535" s="2">
        <v>50450.0</v>
      </c>
      <c r="B4535" s="2" t="s">
        <v>9414</v>
      </c>
      <c r="C4535" s="2" t="s">
        <v>9415</v>
      </c>
      <c r="D4535" s="2" t="s">
        <v>9416</v>
      </c>
      <c r="E4535" s="2" t="s">
        <v>20</v>
      </c>
      <c r="F4535" s="2">
        <v>4.0</v>
      </c>
      <c r="G4535" s="2">
        <v>127.0</v>
      </c>
      <c r="H4535" s="3" t="str">
        <f>HYPERLINK("http://ar.linkedin.com/pub/diana-bermudez/18/897/6B5","http://ar.linkedin.com/pub/diana-bermudez/18/897/6B5")</f>
        <v>http://ar.linkedin.com/pub/diana-bermudez/18/897/6B5</v>
      </c>
      <c r="I4535" s="2" t="s">
        <v>77</v>
      </c>
      <c r="J4535" s="2" t="s">
        <v>21</v>
      </c>
      <c r="K4535" s="2" t="s">
        <v>5731</v>
      </c>
    </row>
    <row r="4536" ht="15.75" customHeight="1">
      <c r="A4536" s="2">
        <v>50452.0</v>
      </c>
      <c r="B4536" s="2" t="s">
        <v>6716</v>
      </c>
      <c r="C4536" s="2" t="s">
        <v>9417</v>
      </c>
      <c r="D4536" s="2" t="s">
        <v>9418</v>
      </c>
      <c r="E4536" s="2" t="s">
        <v>20</v>
      </c>
      <c r="F4536" s="2">
        <v>2.0</v>
      </c>
      <c r="G4536" s="2">
        <v>323.0</v>
      </c>
      <c r="H4536" s="3" t="str">
        <f>HYPERLINK("http://ar.linkedin.com/pub/claudia-kahn/13/A53/99","http://ar.linkedin.com/pub/claudia-kahn/13/A53/99")</f>
        <v>http://ar.linkedin.com/pub/claudia-kahn/13/A53/99</v>
      </c>
      <c r="I4536" s="2" t="s">
        <v>77</v>
      </c>
      <c r="J4536" s="2" t="s">
        <v>21</v>
      </c>
      <c r="K4536" s="2" t="s">
        <v>5743</v>
      </c>
    </row>
    <row r="4537" ht="15.75" customHeight="1">
      <c r="A4537" s="2">
        <v>50453.0</v>
      </c>
      <c r="B4537" s="2" t="s">
        <v>9419</v>
      </c>
      <c r="C4537" s="2" t="s">
        <v>9420</v>
      </c>
      <c r="D4537" s="2" t="s">
        <v>13</v>
      </c>
      <c r="E4537" s="2" t="s">
        <v>20</v>
      </c>
      <c r="F4537" s="2">
        <v>0.0</v>
      </c>
      <c r="G4537" s="2">
        <v>500.0</v>
      </c>
      <c r="H4537" s="3" t="str">
        <f>HYPERLINK("http://www.linkedin.com/pub/yanina-ferrero-de-la-torre/25/551/b88","http://www.linkedin.com/pub/yanina-ferrero-de-la-torre/25/551/b88")</f>
        <v>http://www.linkedin.com/pub/yanina-ferrero-de-la-torre/25/551/b88</v>
      </c>
      <c r="I4537" s="2" t="s">
        <v>77</v>
      </c>
      <c r="J4537" s="2" t="s">
        <v>21</v>
      </c>
      <c r="K4537" s="2" t="s">
        <v>9421</v>
      </c>
    </row>
    <row r="4538" ht="15.75" customHeight="1">
      <c r="A4538" s="2">
        <v>50471.0</v>
      </c>
      <c r="B4538" s="2" t="s">
        <v>647</v>
      </c>
      <c r="C4538" s="2" t="s">
        <v>9422</v>
      </c>
      <c r="D4538" s="2" t="s">
        <v>9423</v>
      </c>
      <c r="E4538" s="2" t="s">
        <v>20</v>
      </c>
      <c r="F4538" s="2" t="s">
        <v>13</v>
      </c>
      <c r="G4538" s="2">
        <v>262.0</v>
      </c>
      <c r="H4538" s="3" t="str">
        <f>HYPERLINK("http://ar.linkedin.com/pub/claudio-kiwowicz/27/228/38A","http://ar.linkedin.com/pub/claudio-kiwowicz/27/228/38A")</f>
        <v>http://ar.linkedin.com/pub/claudio-kiwowicz/27/228/38A</v>
      </c>
      <c r="I4538" s="2" t="s">
        <v>77</v>
      </c>
      <c r="J4538" s="2" t="s">
        <v>21</v>
      </c>
      <c r="K4538" s="2" t="s">
        <v>6342</v>
      </c>
    </row>
    <row r="4539" ht="15.75" customHeight="1">
      <c r="A4539" s="2">
        <v>50474.0</v>
      </c>
      <c r="B4539" s="2" t="s">
        <v>6531</v>
      </c>
      <c r="C4539" s="2" t="s">
        <v>9424</v>
      </c>
      <c r="D4539" s="2" t="s">
        <v>13</v>
      </c>
      <c r="E4539" s="2" t="s">
        <v>20</v>
      </c>
      <c r="F4539" s="2">
        <v>1.0</v>
      </c>
      <c r="G4539" s="2">
        <v>175.0</v>
      </c>
      <c r="H4539" s="3" t="str">
        <f>HYPERLINK("http://www.linkedin.com/pub/gerardo-barros-giusti/15/27a/87a","http://www.linkedin.com/pub/gerardo-barros-giusti/15/27a/87a")</f>
        <v>http://www.linkedin.com/pub/gerardo-barros-giusti/15/27a/87a</v>
      </c>
      <c r="I4539" s="2" t="s">
        <v>458</v>
      </c>
      <c r="J4539" s="2" t="s">
        <v>21</v>
      </c>
      <c r="K4539" s="2" t="s">
        <v>5734</v>
      </c>
    </row>
    <row r="4540" ht="15.75" customHeight="1">
      <c r="A4540" s="2">
        <v>50486.0</v>
      </c>
      <c r="B4540" s="2" t="s">
        <v>3692</v>
      </c>
      <c r="C4540" s="2" t="s">
        <v>9070</v>
      </c>
      <c r="D4540" s="2" t="s">
        <v>9425</v>
      </c>
      <c r="E4540" s="2" t="s">
        <v>20</v>
      </c>
      <c r="F4540" s="2" t="s">
        <v>13</v>
      </c>
      <c r="G4540" s="2">
        <v>500.0</v>
      </c>
      <c r="H4540" s="3" t="str">
        <f>HYPERLINK("http://ar.linkedin.com/pub/federico-gallo/8/446/BB3","http://ar.linkedin.com/pub/federico-gallo/8/446/BB3")</f>
        <v>http://ar.linkedin.com/pub/federico-gallo/8/446/BB3</v>
      </c>
      <c r="I4540" s="2" t="s">
        <v>579</v>
      </c>
      <c r="J4540" s="2" t="s">
        <v>21</v>
      </c>
      <c r="K4540" s="2" t="s">
        <v>5848</v>
      </c>
    </row>
    <row r="4541" ht="15.75" customHeight="1">
      <c r="A4541" s="2">
        <v>50513.0</v>
      </c>
      <c r="B4541" s="2" t="s">
        <v>7655</v>
      </c>
      <c r="C4541" s="2" t="s">
        <v>9426</v>
      </c>
      <c r="D4541" s="2" t="s">
        <v>289</v>
      </c>
      <c r="E4541" s="2" t="s">
        <v>20</v>
      </c>
      <c r="F4541" s="2">
        <v>3.0</v>
      </c>
      <c r="G4541" s="2">
        <v>500.0</v>
      </c>
      <c r="H4541" s="3" t="str">
        <f>HYPERLINK("http://ar.linkedin.com/in/motivacion","http://ar.linkedin.com/in/motivacion")</f>
        <v>http://ar.linkedin.com/in/motivacion</v>
      </c>
      <c r="I4541" s="2" t="s">
        <v>458</v>
      </c>
      <c r="J4541" s="2" t="s">
        <v>21</v>
      </c>
      <c r="K4541" s="2" t="s">
        <v>5727</v>
      </c>
    </row>
    <row r="4542" ht="15.75" customHeight="1">
      <c r="A4542" s="2">
        <v>50517.0</v>
      </c>
      <c r="B4542" s="2" t="s">
        <v>5915</v>
      </c>
      <c r="C4542" s="2" t="s">
        <v>9427</v>
      </c>
      <c r="D4542" s="2" t="s">
        <v>9428</v>
      </c>
      <c r="E4542" s="2" t="s">
        <v>20</v>
      </c>
      <c r="F4542" s="2">
        <v>1.0</v>
      </c>
      <c r="G4542" s="2">
        <v>500.0</v>
      </c>
      <c r="H4542" s="3" t="str">
        <f>HYPERLINK("http://ar.linkedin.com/pub/cecilia-ordano/11/B70/98B","http://ar.linkedin.com/pub/cecilia-ordano/11/B70/98B")</f>
        <v>http://ar.linkedin.com/pub/cecilia-ordano/11/B70/98B</v>
      </c>
      <c r="I4542" s="2" t="s">
        <v>458</v>
      </c>
      <c r="J4542" s="2" t="s">
        <v>21</v>
      </c>
      <c r="K4542" s="2" t="s">
        <v>5734</v>
      </c>
    </row>
    <row r="4543" ht="15.75" customHeight="1">
      <c r="A4543" s="2">
        <v>50555.0</v>
      </c>
      <c r="B4543" s="2" t="s">
        <v>431</v>
      </c>
      <c r="C4543" s="2" t="s">
        <v>9429</v>
      </c>
      <c r="D4543" s="2" t="s">
        <v>9430</v>
      </c>
      <c r="E4543" s="2" t="s">
        <v>33</v>
      </c>
      <c r="F4543" s="2">
        <v>4.0</v>
      </c>
      <c r="G4543" s="2">
        <v>500.0</v>
      </c>
      <c r="H4543" s="3" t="str">
        <f>HYPERLINK("http://br.linkedin.com/in/rodrigopementa","http://br.linkedin.com/in/rodrigopementa")</f>
        <v>http://br.linkedin.com/in/rodrigopementa</v>
      </c>
      <c r="I4543" s="2" t="s">
        <v>15</v>
      </c>
      <c r="J4543" s="2" t="s">
        <v>34</v>
      </c>
      <c r="K4543" s="2" t="s">
        <v>5785</v>
      </c>
    </row>
    <row r="4544" ht="15.75" customHeight="1">
      <c r="A4544" s="2">
        <v>50605.0</v>
      </c>
      <c r="B4544" s="2" t="s">
        <v>7592</v>
      </c>
      <c r="C4544" s="2" t="s">
        <v>9431</v>
      </c>
      <c r="D4544" s="2" t="s">
        <v>1750</v>
      </c>
      <c r="E4544" s="2" t="s">
        <v>20</v>
      </c>
      <c r="F4544" s="2">
        <v>14.0</v>
      </c>
      <c r="G4544" s="2">
        <v>500.0</v>
      </c>
      <c r="H4544" s="3" t="str">
        <f>HYPERLINK("http://ar.linkedin.com/in/mluvecce","http://ar.linkedin.com/in/mluvecce")</f>
        <v>http://ar.linkedin.com/in/mluvecce</v>
      </c>
      <c r="I4544" s="2" t="s">
        <v>252</v>
      </c>
      <c r="J4544" s="2" t="s">
        <v>21</v>
      </c>
      <c r="K4544" s="2" t="s">
        <v>5743</v>
      </c>
    </row>
    <row r="4545" ht="15.75" customHeight="1">
      <c r="A4545" s="2">
        <v>50612.0</v>
      </c>
      <c r="B4545" s="2" t="s">
        <v>418</v>
      </c>
      <c r="C4545" s="2" t="s">
        <v>9432</v>
      </c>
      <c r="D4545" s="2" t="s">
        <v>9433</v>
      </c>
      <c r="E4545" s="2" t="s">
        <v>20</v>
      </c>
      <c r="F4545" s="2">
        <v>6.0</v>
      </c>
      <c r="G4545" s="2">
        <v>178.0</v>
      </c>
      <c r="H4545" s="3" t="str">
        <f>HYPERLINK("http://ar.linkedin.com/pub/ivan-cordoba/24/568/981","http://ar.linkedin.com/pub/ivan-cordoba/24/568/981")</f>
        <v>http://ar.linkedin.com/pub/ivan-cordoba/24/568/981</v>
      </c>
      <c r="I4545" s="2" t="s">
        <v>15</v>
      </c>
      <c r="J4545" s="2" t="s">
        <v>21</v>
      </c>
      <c r="K4545" s="2" t="s">
        <v>6280</v>
      </c>
    </row>
    <row r="4546" ht="15.75" customHeight="1">
      <c r="A4546" s="2">
        <v>50615.0</v>
      </c>
      <c r="B4546" s="2" t="s">
        <v>9434</v>
      </c>
      <c r="C4546" s="2" t="s">
        <v>2727</v>
      </c>
      <c r="D4546" s="2" t="s">
        <v>9435</v>
      </c>
      <c r="E4546" s="2" t="s">
        <v>20</v>
      </c>
      <c r="F4546" s="2" t="s">
        <v>13</v>
      </c>
      <c r="G4546" s="2">
        <v>175.0</v>
      </c>
      <c r="H4546" s="3" t="str">
        <f>HYPERLINK("http://ar.linkedin.com/pub/campetella-monica/4/62A/136","http://ar.linkedin.com/pub/campetella-monica/4/62A/136")</f>
        <v>http://ar.linkedin.com/pub/campetella-monica/4/62A/136</v>
      </c>
      <c r="I4546" s="2" t="s">
        <v>77</v>
      </c>
      <c r="J4546" s="2" t="s">
        <v>21</v>
      </c>
      <c r="K4546" s="2" t="s">
        <v>5848</v>
      </c>
    </row>
    <row r="4547" ht="15.75" customHeight="1">
      <c r="A4547" s="2">
        <v>50628.0</v>
      </c>
      <c r="B4547" s="2" t="s">
        <v>5078</v>
      </c>
      <c r="C4547" s="2" t="s">
        <v>9436</v>
      </c>
      <c r="D4547" s="2" t="s">
        <v>9437</v>
      </c>
      <c r="E4547" s="2" t="s">
        <v>20</v>
      </c>
      <c r="F4547" s="2">
        <v>3.0</v>
      </c>
      <c r="G4547" s="2">
        <v>237.0</v>
      </c>
      <c r="H4547" s="3" t="str">
        <f>HYPERLINK("http://ar.linkedin.com/pub/diego-canosa/11/70B/768","http://ar.linkedin.com/pub/diego-canosa/11/70B/768")</f>
        <v>http://ar.linkedin.com/pub/diego-canosa/11/70B/768</v>
      </c>
      <c r="I4547" s="2" t="s">
        <v>77</v>
      </c>
      <c r="J4547" s="2" t="s">
        <v>21</v>
      </c>
      <c r="K4547" s="2" t="s">
        <v>5731</v>
      </c>
    </row>
    <row r="4548" ht="15.75" customHeight="1">
      <c r="A4548" s="2">
        <v>50646.0</v>
      </c>
      <c r="B4548" s="2" t="s">
        <v>657</v>
      </c>
      <c r="C4548" s="2" t="s">
        <v>9438</v>
      </c>
      <c r="D4548" s="2" t="s">
        <v>13</v>
      </c>
      <c r="E4548" s="2" t="s">
        <v>20</v>
      </c>
      <c r="F4548" s="2">
        <v>0.0</v>
      </c>
      <c r="G4548" s="2">
        <v>500.0</v>
      </c>
      <c r="H4548" s="3" t="str">
        <f>HYPERLINK("http://www.linkedin.com/pub/gisela-beloso/22/99b/410","http://www.linkedin.com/pub/gisela-beloso/22/99b/410")</f>
        <v>http://www.linkedin.com/pub/gisela-beloso/22/99b/410</v>
      </c>
      <c r="I4548" s="2" t="s">
        <v>77</v>
      </c>
      <c r="J4548" s="2" t="s">
        <v>21</v>
      </c>
      <c r="K4548" s="2" t="s">
        <v>5731</v>
      </c>
    </row>
    <row r="4549" ht="15.75" customHeight="1">
      <c r="A4549" s="2">
        <v>50647.0</v>
      </c>
      <c r="B4549" s="2" t="s">
        <v>9439</v>
      </c>
      <c r="C4549" s="2" t="s">
        <v>9440</v>
      </c>
      <c r="D4549" s="2" t="s">
        <v>13</v>
      </c>
      <c r="E4549" s="2" t="s">
        <v>20</v>
      </c>
      <c r="F4549" s="2">
        <v>1.0</v>
      </c>
      <c r="G4549" s="2">
        <v>238.0</v>
      </c>
      <c r="H4549" s="3" t="str">
        <f>HYPERLINK("http://www.linkedin.com/pub/alexia-mariana-cifre/26/a6b/367","http://www.linkedin.com/pub/alexia-mariana-cifre/26/a6b/367")</f>
        <v>http://www.linkedin.com/pub/alexia-mariana-cifre/26/a6b/367</v>
      </c>
      <c r="I4549" s="2" t="s">
        <v>458</v>
      </c>
      <c r="J4549" s="2" t="s">
        <v>21</v>
      </c>
      <c r="K4549" s="2" t="s">
        <v>5848</v>
      </c>
    </row>
    <row r="4550" ht="15.75" customHeight="1">
      <c r="A4550" s="2">
        <v>50662.0</v>
      </c>
      <c r="B4550" s="2" t="s">
        <v>253</v>
      </c>
      <c r="C4550" s="2" t="s">
        <v>6956</v>
      </c>
      <c r="D4550" s="2" t="s">
        <v>9441</v>
      </c>
      <c r="E4550" s="2" t="s">
        <v>20</v>
      </c>
      <c r="F4550" s="2">
        <v>1.0</v>
      </c>
      <c r="G4550" s="2">
        <v>297.0</v>
      </c>
      <c r="H4550" s="3" t="str">
        <f>HYPERLINK("http://ar.linkedin.com/in/farce","http://ar.linkedin.com/in/farce")</f>
        <v>http://ar.linkedin.com/in/farce</v>
      </c>
      <c r="I4550" s="2" t="s">
        <v>15</v>
      </c>
      <c r="J4550" s="2" t="s">
        <v>21</v>
      </c>
      <c r="K4550" s="2" t="s">
        <v>6124</v>
      </c>
    </row>
    <row r="4551" ht="15.75" customHeight="1">
      <c r="A4551" s="2">
        <v>50726.0</v>
      </c>
      <c r="B4551" s="2" t="s">
        <v>201</v>
      </c>
      <c r="C4551" s="2" t="s">
        <v>9442</v>
      </c>
      <c r="D4551" s="2" t="s">
        <v>7492</v>
      </c>
      <c r="E4551" s="2" t="s">
        <v>20</v>
      </c>
      <c r="F4551" s="2" t="s">
        <v>13</v>
      </c>
      <c r="G4551" s="2">
        <v>500.0</v>
      </c>
      <c r="H4551" s="3" t="str">
        <f>HYPERLINK("http://ar.linkedin.com/pub/natalia-grossetti/29/454/502","http://ar.linkedin.com/pub/natalia-grossetti/29/454/502")</f>
        <v>http://ar.linkedin.com/pub/natalia-grossetti/29/454/502</v>
      </c>
      <c r="I4551" s="2" t="s">
        <v>458</v>
      </c>
      <c r="J4551" s="2" t="s">
        <v>21</v>
      </c>
      <c r="K4551" s="2" t="s">
        <v>5734</v>
      </c>
    </row>
    <row r="4552" ht="15.75" customHeight="1">
      <c r="A4552" s="2">
        <v>50728.0</v>
      </c>
      <c r="B4552" s="2" t="s">
        <v>3299</v>
      </c>
      <c r="C4552" s="2" t="s">
        <v>9443</v>
      </c>
      <c r="D4552" s="2" t="s">
        <v>9444</v>
      </c>
      <c r="E4552" s="2" t="s">
        <v>20</v>
      </c>
      <c r="F4552" s="2">
        <v>1.0</v>
      </c>
      <c r="G4552" s="2">
        <v>109.0</v>
      </c>
      <c r="H4552" s="3" t="str">
        <f>HYPERLINK("http://ar.linkedin.com/pub/fabian-florentin/A/744/11B","http://ar.linkedin.com/pub/fabian-florentin/A/744/11B")</f>
        <v>http://ar.linkedin.com/pub/fabian-florentin/A/744/11B</v>
      </c>
      <c r="I4552" s="2" t="s">
        <v>77</v>
      </c>
      <c r="J4552" s="2" t="s">
        <v>21</v>
      </c>
      <c r="K4552" s="2" t="s">
        <v>5848</v>
      </c>
    </row>
    <row r="4553" ht="15.75" customHeight="1">
      <c r="A4553" s="2">
        <v>50753.0</v>
      </c>
      <c r="B4553" s="2" t="s">
        <v>523</v>
      </c>
      <c r="C4553" s="2" t="s">
        <v>9445</v>
      </c>
      <c r="D4553" s="2" t="s">
        <v>13</v>
      </c>
      <c r="E4553" s="2" t="s">
        <v>20</v>
      </c>
      <c r="F4553" s="2">
        <v>0.0</v>
      </c>
      <c r="G4553" s="2">
        <v>500.0</v>
      </c>
      <c r="H4553" s="3" t="str">
        <f>HYPERLINK("http://www.linkedin.com/pub/ignacio-de-carabassa/28/120/6b5","http://www.linkedin.com/pub/ignacio-de-carabassa/28/120/6b5")</f>
        <v>http://www.linkedin.com/pub/ignacio-de-carabassa/28/120/6b5</v>
      </c>
      <c r="I4553" s="2" t="s">
        <v>69</v>
      </c>
      <c r="J4553" s="2" t="s">
        <v>21</v>
      </c>
      <c r="K4553" s="2" t="s">
        <v>5725</v>
      </c>
    </row>
    <row r="4554" ht="15.75" customHeight="1">
      <c r="A4554" s="2">
        <v>50762.0</v>
      </c>
      <c r="B4554" s="2" t="s">
        <v>8084</v>
      </c>
      <c r="C4554" s="2" t="s">
        <v>6951</v>
      </c>
      <c r="D4554" s="2" t="s">
        <v>9446</v>
      </c>
      <c r="E4554" s="2" t="s">
        <v>20</v>
      </c>
      <c r="F4554" s="2" t="s">
        <v>13</v>
      </c>
      <c r="G4554" s="2">
        <v>10.0</v>
      </c>
      <c r="H4554" s="3" t="str">
        <f>HYPERLINK("http://ar.linkedin.com/pub/rocio-sabatini/23/747/874","http://ar.linkedin.com/pub/rocio-sabatini/23/747/874")</f>
        <v>http://ar.linkedin.com/pub/rocio-sabatini/23/747/874</v>
      </c>
      <c r="I4554" s="2" t="s">
        <v>15</v>
      </c>
      <c r="J4554" s="2" t="s">
        <v>21</v>
      </c>
      <c r="K4554" s="2" t="s">
        <v>5819</v>
      </c>
    </row>
    <row r="4555" ht="15.75" customHeight="1">
      <c r="A4555" s="2">
        <v>50770.0</v>
      </c>
      <c r="B4555" s="2" t="s">
        <v>671</v>
      </c>
      <c r="C4555" s="2" t="s">
        <v>9447</v>
      </c>
      <c r="D4555" s="2" t="s">
        <v>13</v>
      </c>
      <c r="E4555" s="2" t="s">
        <v>20</v>
      </c>
      <c r="F4555" s="2">
        <v>0.0</v>
      </c>
      <c r="G4555" s="2">
        <v>209.0</v>
      </c>
      <c r="H4555" s="3" t="str">
        <f>HYPERLINK("http://www.linkedin.com/pub/mariana-sarramea/11/352/a59","http://www.linkedin.com/pub/mariana-sarramea/11/352/a59")</f>
        <v>http://www.linkedin.com/pub/mariana-sarramea/11/352/a59</v>
      </c>
      <c r="I4555" s="2" t="s">
        <v>195</v>
      </c>
      <c r="J4555" s="2" t="s">
        <v>21</v>
      </c>
      <c r="K4555" s="2" t="s">
        <v>5865</v>
      </c>
    </row>
    <row r="4556" ht="15.75" customHeight="1">
      <c r="A4556" s="2">
        <v>50778.0</v>
      </c>
      <c r="B4556" s="2" t="s">
        <v>5389</v>
      </c>
      <c r="C4556" s="2" t="s">
        <v>9448</v>
      </c>
      <c r="D4556" s="2" t="s">
        <v>9449</v>
      </c>
      <c r="E4556" s="2" t="s">
        <v>20</v>
      </c>
      <c r="F4556" s="2" t="s">
        <v>13</v>
      </c>
      <c r="G4556" s="2">
        <v>500.0</v>
      </c>
      <c r="H4556" s="3" t="str">
        <f>HYPERLINK("http://ar.linkedin.com/pub/paula-mosca/26/475/581","http://ar.linkedin.com/pub/paula-mosca/26/475/581")</f>
        <v>http://ar.linkedin.com/pub/paula-mosca/26/475/581</v>
      </c>
      <c r="I4556" s="2" t="s">
        <v>458</v>
      </c>
      <c r="J4556" s="2" t="s">
        <v>21</v>
      </c>
      <c r="K4556" s="2" t="s">
        <v>5734</v>
      </c>
    </row>
    <row r="4557" ht="15.75" customHeight="1">
      <c r="A4557" s="2">
        <v>50790.0</v>
      </c>
      <c r="B4557" s="2" t="s">
        <v>5737</v>
      </c>
      <c r="C4557" s="2" t="s">
        <v>6581</v>
      </c>
      <c r="D4557" s="2" t="s">
        <v>9450</v>
      </c>
      <c r="E4557" s="2" t="s">
        <v>20</v>
      </c>
      <c r="F4557" s="2" t="s">
        <v>13</v>
      </c>
      <c r="G4557" s="2">
        <v>199.0</v>
      </c>
      <c r="H4557" s="3" t="str">
        <f>HYPERLINK("http://ar.linkedin.com/pub/magdalena-novoa/9/978/3B6","http://ar.linkedin.com/pub/magdalena-novoa/9/978/3B6")</f>
        <v>http://ar.linkedin.com/pub/magdalena-novoa/9/978/3B6</v>
      </c>
      <c r="I4557" s="2" t="s">
        <v>1452</v>
      </c>
      <c r="J4557" s="2" t="s">
        <v>21</v>
      </c>
      <c r="K4557" s="2" t="s">
        <v>5865</v>
      </c>
    </row>
    <row r="4558" ht="15.75" customHeight="1">
      <c r="A4558" s="2">
        <v>50841.0</v>
      </c>
      <c r="B4558" s="2" t="s">
        <v>9451</v>
      </c>
      <c r="C4558" s="2" t="s">
        <v>9452</v>
      </c>
      <c r="D4558" s="2" t="s">
        <v>9453</v>
      </c>
      <c r="E4558" s="2" t="s">
        <v>20</v>
      </c>
      <c r="F4558" s="2">
        <v>6.0</v>
      </c>
      <c r="G4558" s="2">
        <v>500.0</v>
      </c>
      <c r="H4558" s="3" t="str">
        <f>HYPERLINK("http://ar.linkedin.com/pub/ferm%C3%ADn-dom%C3%ADnguez/1A/36A/635","http://ar.linkedin.com/pub/ferm%C3%ADn-dom%C3%ADnguez/1A/36A/635")</f>
        <v>http://ar.linkedin.com/pub/ferm%C3%ADn-dom%C3%ADnguez/1A/36A/635</v>
      </c>
      <c r="I4558" s="2" t="s">
        <v>77</v>
      </c>
      <c r="J4558" s="2" t="s">
        <v>21</v>
      </c>
      <c r="K4558" s="2" t="s">
        <v>5731</v>
      </c>
    </row>
    <row r="4559" ht="15.75" customHeight="1">
      <c r="A4559" s="2">
        <v>50847.0</v>
      </c>
      <c r="B4559" s="2" t="s">
        <v>1206</v>
      </c>
      <c r="C4559" s="2" t="s">
        <v>9454</v>
      </c>
      <c r="D4559" s="2" t="s">
        <v>9455</v>
      </c>
      <c r="E4559" s="2" t="s">
        <v>255</v>
      </c>
      <c r="F4559" s="2">
        <v>0.0</v>
      </c>
      <c r="G4559" s="2">
        <v>310.0</v>
      </c>
      <c r="H4559" s="3" t="str">
        <f>HYPERLINK("http://www.linkedin.com/pub/marcel-tucciarelli/17/5AB/28B","http://www.linkedin.com/pub/marcel-tucciarelli/17/5AB/28B")</f>
        <v>http://www.linkedin.com/pub/marcel-tucciarelli/17/5AB/28B</v>
      </c>
      <c r="I4559" s="2" t="s">
        <v>865</v>
      </c>
      <c r="J4559" s="2" t="s">
        <v>102</v>
      </c>
      <c r="K4559" s="2" t="s">
        <v>6588</v>
      </c>
    </row>
    <row r="4560" ht="15.75" customHeight="1">
      <c r="A4560" s="2">
        <v>50861.0</v>
      </c>
      <c r="B4560" s="2" t="s">
        <v>5791</v>
      </c>
      <c r="C4560" s="2" t="s">
        <v>9456</v>
      </c>
      <c r="D4560" s="2" t="s">
        <v>9457</v>
      </c>
      <c r="E4560" s="2" t="s">
        <v>20</v>
      </c>
      <c r="F4560" s="2" t="s">
        <v>13</v>
      </c>
      <c r="G4560" s="2">
        <v>500.0</v>
      </c>
      <c r="H4560" s="3" t="str">
        <f>HYPERLINK("http://www.linkedin.com/pub/mat%C3%ADas-enr%C3%ADquez/25/4b0/a1b","http://www.linkedin.com/pub/mat%C3%ADas-enr%C3%ADquez/25/4b0/a1b")</f>
        <v>http://www.linkedin.com/pub/mat%C3%ADas-enr%C3%ADquez/25/4b0/a1b</v>
      </c>
      <c r="I4560" s="2" t="s">
        <v>326</v>
      </c>
      <c r="J4560" s="2" t="s">
        <v>21</v>
      </c>
      <c r="K4560" s="2" t="s">
        <v>6282</v>
      </c>
    </row>
    <row r="4561" ht="15.75" customHeight="1">
      <c r="A4561" s="2">
        <v>50867.0</v>
      </c>
      <c r="B4561" s="2" t="s">
        <v>9458</v>
      </c>
      <c r="C4561" s="2" t="s">
        <v>9459</v>
      </c>
      <c r="D4561" s="2" t="s">
        <v>13</v>
      </c>
      <c r="E4561" s="2" t="s">
        <v>20</v>
      </c>
      <c r="F4561" s="2">
        <v>2.0</v>
      </c>
      <c r="G4561" s="2">
        <v>198.0</v>
      </c>
      <c r="H4561" s="3" t="str">
        <f>HYPERLINK("http://www.linkedin.com/pub/agostina-guarnieri/28/52b/5ab","http://www.linkedin.com/pub/agostina-guarnieri/28/52b/5ab")</f>
        <v>http://www.linkedin.com/pub/agostina-guarnieri/28/52b/5ab</v>
      </c>
      <c r="I4561" s="2" t="s">
        <v>326</v>
      </c>
      <c r="J4561" s="2" t="s">
        <v>21</v>
      </c>
      <c r="K4561" s="2" t="s">
        <v>5727</v>
      </c>
    </row>
    <row r="4562" ht="15.75" customHeight="1">
      <c r="A4562" s="2">
        <v>50889.0</v>
      </c>
      <c r="B4562" s="2" t="s">
        <v>6496</v>
      </c>
      <c r="C4562" s="2" t="s">
        <v>9460</v>
      </c>
      <c r="D4562" s="2" t="s">
        <v>9461</v>
      </c>
      <c r="E4562" s="2" t="s">
        <v>20</v>
      </c>
      <c r="F4562" s="2" t="s">
        <v>13</v>
      </c>
      <c r="G4562" s="2">
        <v>500.0</v>
      </c>
      <c r="H4562" s="3" t="str">
        <f>HYPERLINK("http://ar.linkedin.com/in/karinapennino","http://ar.linkedin.com/in/karinapennino")</f>
        <v>http://ar.linkedin.com/in/karinapennino</v>
      </c>
      <c r="I4562" s="2" t="s">
        <v>458</v>
      </c>
      <c r="J4562" s="2" t="s">
        <v>21</v>
      </c>
      <c r="K4562" s="2" t="s">
        <v>5734</v>
      </c>
    </row>
    <row r="4563" ht="15.75" customHeight="1">
      <c r="A4563" s="2">
        <v>50891.0</v>
      </c>
      <c r="B4563" s="2" t="s">
        <v>9462</v>
      </c>
      <c r="C4563" s="2" t="s">
        <v>9463</v>
      </c>
      <c r="D4563" s="2" t="s">
        <v>13</v>
      </c>
      <c r="E4563" s="2" t="s">
        <v>20</v>
      </c>
      <c r="F4563" s="2">
        <v>0.0</v>
      </c>
      <c r="G4563" s="2">
        <v>500.0</v>
      </c>
      <c r="H4563" s="3" t="str">
        <f>HYPERLINK("http://www.linkedin.com/pub/maria-andrea-bonecco/0/a20/24a","http://www.linkedin.com/pub/maria-andrea-bonecco/0/a20/24a")</f>
        <v>http://www.linkedin.com/pub/maria-andrea-bonecco/0/a20/24a</v>
      </c>
      <c r="I4563" s="2" t="s">
        <v>458</v>
      </c>
      <c r="J4563" s="2" t="s">
        <v>21</v>
      </c>
      <c r="K4563" s="2" t="s">
        <v>5734</v>
      </c>
    </row>
    <row r="4564" ht="15.75" customHeight="1">
      <c r="A4564" s="2">
        <v>50894.0</v>
      </c>
      <c r="B4564" s="2" t="s">
        <v>59</v>
      </c>
      <c r="C4564" s="2" t="s">
        <v>9464</v>
      </c>
      <c r="D4564" s="2" t="s">
        <v>6449</v>
      </c>
      <c r="E4564" s="2" t="s">
        <v>20</v>
      </c>
      <c r="F4564" s="2" t="s">
        <v>13</v>
      </c>
      <c r="G4564" s="2">
        <v>336.0</v>
      </c>
      <c r="H4564" s="3" t="str">
        <f>HYPERLINK("http://ar.linkedin.com/pub/martin-buteler/2/412/A40","http://ar.linkedin.com/pub/martin-buteler/2/412/A40")</f>
        <v>http://ar.linkedin.com/pub/martin-buteler/2/412/A40</v>
      </c>
      <c r="I4564" s="2" t="s">
        <v>77</v>
      </c>
      <c r="J4564" s="2" t="s">
        <v>21</v>
      </c>
      <c r="K4564" s="2" t="s">
        <v>5785</v>
      </c>
    </row>
    <row r="4565" ht="15.75" customHeight="1">
      <c r="A4565" s="2">
        <v>50915.0</v>
      </c>
      <c r="B4565" s="2" t="s">
        <v>9458</v>
      </c>
      <c r="C4565" s="2" t="s">
        <v>9465</v>
      </c>
      <c r="D4565" s="2" t="s">
        <v>13</v>
      </c>
      <c r="E4565" s="2" t="s">
        <v>20</v>
      </c>
      <c r="F4565" s="2">
        <v>0.0</v>
      </c>
      <c r="G4565" s="2">
        <v>500.0</v>
      </c>
      <c r="H4565" s="3" t="str">
        <f>HYPERLINK("http://www.linkedin.com/pub/agostina-rapanelli/25/ab0/583","http://www.linkedin.com/pub/agostina-rapanelli/25/ab0/583")</f>
        <v>http://www.linkedin.com/pub/agostina-rapanelli/25/ab0/583</v>
      </c>
      <c r="I4565" s="2" t="s">
        <v>458</v>
      </c>
      <c r="J4565" s="2" t="s">
        <v>21</v>
      </c>
      <c r="K4565" s="2" t="s">
        <v>5734</v>
      </c>
    </row>
    <row r="4566" ht="15.75" customHeight="1">
      <c r="A4566" s="2">
        <v>50916.0</v>
      </c>
      <c r="B4566" s="2" t="s">
        <v>389</v>
      </c>
      <c r="C4566" s="2" t="s">
        <v>9466</v>
      </c>
      <c r="D4566" s="2" t="s">
        <v>13</v>
      </c>
      <c r="E4566" s="2" t="s">
        <v>20</v>
      </c>
      <c r="F4566" s="2">
        <v>1.0</v>
      </c>
      <c r="G4566" s="2">
        <v>500.0</v>
      </c>
      <c r="H4566" s="3" t="str">
        <f>HYPERLINK("http://www.linkedin.com/pub/jos%C3%A9-dos-santos-costa/1/5ba/11a","http://www.linkedin.com/pub/jos%C3%A9-dos-santos-costa/1/5ba/11a")</f>
        <v>http://www.linkedin.com/pub/jos%C3%A9-dos-santos-costa/1/5ba/11a</v>
      </c>
      <c r="I4566" s="2" t="s">
        <v>77</v>
      </c>
      <c r="J4566" s="2" t="s">
        <v>21</v>
      </c>
      <c r="K4566" s="2" t="s">
        <v>5785</v>
      </c>
    </row>
    <row r="4567" ht="15.75" customHeight="1">
      <c r="A4567" s="2">
        <v>50919.0</v>
      </c>
      <c r="B4567" s="2" t="s">
        <v>9467</v>
      </c>
      <c r="C4567" s="2" t="s">
        <v>373</v>
      </c>
      <c r="D4567" s="2" t="s">
        <v>9468</v>
      </c>
      <c r="E4567" s="2" t="s">
        <v>20</v>
      </c>
      <c r="F4567" s="2" t="s">
        <v>13</v>
      </c>
      <c r="G4567" s="2">
        <v>500.0</v>
      </c>
      <c r="H4567" s="3" t="str">
        <f>HYPERLINK("http://ar.linkedin.com/in/cymrecursoshumanos","http://ar.linkedin.com/in/cymrecursoshumanos")</f>
        <v>http://ar.linkedin.com/in/cymrecursoshumanos</v>
      </c>
      <c r="I4567" s="2" t="s">
        <v>458</v>
      </c>
      <c r="J4567" s="2" t="s">
        <v>21</v>
      </c>
      <c r="K4567" s="2" t="s">
        <v>5734</v>
      </c>
    </row>
    <row r="4568" ht="15.75" customHeight="1">
      <c r="A4568" s="2">
        <v>50924.0</v>
      </c>
      <c r="B4568" s="2" t="s">
        <v>537</v>
      </c>
      <c r="C4568" s="2" t="s">
        <v>9469</v>
      </c>
      <c r="D4568" s="2" t="s">
        <v>13</v>
      </c>
      <c r="E4568" s="2" t="s">
        <v>20</v>
      </c>
      <c r="F4568" s="2">
        <v>0.0</v>
      </c>
      <c r="G4568" s="2">
        <v>500.0</v>
      </c>
      <c r="H4568" s="3" t="str">
        <f>HYPERLINK("http://www.linkedin.com/pub/stella-goreico/a/432/137","http://www.linkedin.com/pub/stella-goreico/a/432/137")</f>
        <v>http://www.linkedin.com/pub/stella-goreico/a/432/137</v>
      </c>
      <c r="I4568" s="2" t="s">
        <v>15</v>
      </c>
      <c r="J4568" s="2" t="s">
        <v>21</v>
      </c>
      <c r="K4568" s="2" t="s">
        <v>5743</v>
      </c>
    </row>
    <row r="4569" ht="15.75" customHeight="1">
      <c r="A4569" s="2">
        <v>50944.0</v>
      </c>
      <c r="B4569" s="2" t="s">
        <v>6061</v>
      </c>
      <c r="C4569" s="2" t="s">
        <v>9470</v>
      </c>
      <c r="D4569" s="2" t="s">
        <v>13</v>
      </c>
      <c r="E4569" s="2" t="s">
        <v>20</v>
      </c>
      <c r="F4569" s="2">
        <v>0.0</v>
      </c>
      <c r="G4569" s="2">
        <v>500.0</v>
      </c>
      <c r="H4569" s="3" t="str">
        <f>HYPERLINK("http://www.linkedin.com/pub/agustin-perez-d-ambrosio/26/64/332","http://www.linkedin.com/pub/agustin-perez-d-ambrosio/26/64/332")</f>
        <v>http://www.linkedin.com/pub/agustin-perez-d-ambrosio/26/64/332</v>
      </c>
      <c r="I4569" s="2" t="s">
        <v>458</v>
      </c>
      <c r="J4569" s="2" t="s">
        <v>21</v>
      </c>
      <c r="K4569" s="2" t="s">
        <v>5865</v>
      </c>
    </row>
    <row r="4570" ht="15.75" customHeight="1">
      <c r="A4570" s="2">
        <v>50947.0</v>
      </c>
      <c r="B4570" s="2" t="s">
        <v>5723</v>
      </c>
      <c r="C4570" s="2" t="s">
        <v>9471</v>
      </c>
      <c r="D4570" s="2" t="s">
        <v>289</v>
      </c>
      <c r="E4570" s="2" t="s">
        <v>20</v>
      </c>
      <c r="F4570" s="2">
        <v>7.0</v>
      </c>
      <c r="G4570" s="2">
        <v>310.0</v>
      </c>
      <c r="H4570" s="3" t="str">
        <f>HYPERLINK("http://ar.linkedin.com/pub/pablo-caffe/26/989/154","http://ar.linkedin.com/pub/pablo-caffe/26/989/154")</f>
        <v>http://ar.linkedin.com/pub/pablo-caffe/26/989/154</v>
      </c>
      <c r="I4570" s="2" t="s">
        <v>458</v>
      </c>
      <c r="J4570" s="2" t="s">
        <v>21</v>
      </c>
      <c r="K4570" s="2" t="s">
        <v>5727</v>
      </c>
    </row>
    <row r="4571" ht="15.75" customHeight="1">
      <c r="A4571" s="2">
        <v>50953.0</v>
      </c>
      <c r="B4571" s="2" t="s">
        <v>862</v>
      </c>
      <c r="C4571" s="2" t="s">
        <v>5924</v>
      </c>
      <c r="D4571" s="2" t="s">
        <v>9472</v>
      </c>
      <c r="E4571" s="2" t="s">
        <v>20</v>
      </c>
      <c r="F4571" s="2">
        <v>3.0</v>
      </c>
      <c r="G4571" s="2">
        <v>198.0</v>
      </c>
      <c r="H4571" s="3" t="str">
        <f>HYPERLINK("http://ar.linkedin.com/pub/gabriel-alonso/10/5AB/891","http://ar.linkedin.com/pub/gabriel-alonso/10/5AB/891")</f>
        <v>http://ar.linkedin.com/pub/gabriel-alonso/10/5AB/891</v>
      </c>
      <c r="I4571" s="2" t="s">
        <v>77</v>
      </c>
      <c r="J4571" s="2" t="s">
        <v>21</v>
      </c>
      <c r="K4571" s="2" t="s">
        <v>5731</v>
      </c>
    </row>
    <row r="4572" ht="15.75" customHeight="1">
      <c r="A4572" s="2">
        <v>50954.0</v>
      </c>
      <c r="B4572" s="2" t="s">
        <v>5723</v>
      </c>
      <c r="C4572" s="2" t="s">
        <v>9473</v>
      </c>
      <c r="D4572" s="2" t="s">
        <v>9474</v>
      </c>
      <c r="E4572" s="2" t="s">
        <v>20</v>
      </c>
      <c r="F4572" s="2" t="s">
        <v>13</v>
      </c>
      <c r="G4572" s="2">
        <v>68.0</v>
      </c>
      <c r="H4572" s="3" t="str">
        <f>HYPERLINK("http://ar.linkedin.com/pub/pablo-antonini/10/877/961","http://ar.linkedin.com/pub/pablo-antonini/10/877/961")</f>
        <v>http://ar.linkedin.com/pub/pablo-antonini/10/877/961</v>
      </c>
      <c r="I4572" s="2" t="s">
        <v>77</v>
      </c>
      <c r="J4572" s="2" t="s">
        <v>21</v>
      </c>
      <c r="K4572" s="2" t="s">
        <v>5848</v>
      </c>
    </row>
    <row r="4573" ht="15.75" customHeight="1">
      <c r="A4573" s="2">
        <v>50963.0</v>
      </c>
      <c r="B4573" s="2" t="s">
        <v>677</v>
      </c>
      <c r="C4573" s="2" t="s">
        <v>9475</v>
      </c>
      <c r="D4573" s="2" t="s">
        <v>380</v>
      </c>
      <c r="E4573" s="2" t="s">
        <v>20</v>
      </c>
      <c r="F4573" s="2" t="s">
        <v>13</v>
      </c>
      <c r="G4573" s="2">
        <v>500.0</v>
      </c>
      <c r="H4573" s="3" t="str">
        <f>HYPERLINK("http://ar.linkedin.com/pub/daniel-lempert/0/1A1/AB9","http://ar.linkedin.com/pub/daniel-lempert/0/1A1/AB9")</f>
        <v>http://ar.linkedin.com/pub/daniel-lempert/0/1A1/AB9</v>
      </c>
      <c r="I4573" s="2" t="s">
        <v>15</v>
      </c>
      <c r="J4573" s="2" t="s">
        <v>21</v>
      </c>
      <c r="K4573" s="2" t="s">
        <v>5725</v>
      </c>
    </row>
    <row r="4574" ht="15.75" customHeight="1">
      <c r="A4574" s="2">
        <v>50988.0</v>
      </c>
      <c r="B4574" s="2" t="s">
        <v>6590</v>
      </c>
      <c r="C4574" s="2" t="s">
        <v>9476</v>
      </c>
      <c r="D4574" s="2" t="s">
        <v>9477</v>
      </c>
      <c r="E4574" s="2" t="s">
        <v>20</v>
      </c>
      <c r="F4574" s="2" t="s">
        <v>13</v>
      </c>
      <c r="G4574" s="2">
        <v>299.0</v>
      </c>
      <c r="H4574" s="3" t="str">
        <f>HYPERLINK("http://ar.linkedin.com/pub/aldo-fornasari/7/B36/825","http://ar.linkedin.com/pub/aldo-fornasari/7/B36/825")</f>
        <v>http://ar.linkedin.com/pub/aldo-fornasari/7/B36/825</v>
      </c>
      <c r="I4574" s="2" t="s">
        <v>77</v>
      </c>
      <c r="J4574" s="2" t="s">
        <v>21</v>
      </c>
      <c r="K4574" s="2" t="s">
        <v>5848</v>
      </c>
    </row>
    <row r="4575" ht="15.75" customHeight="1">
      <c r="A4575" s="2">
        <v>50995.0</v>
      </c>
      <c r="B4575" s="2" t="s">
        <v>70</v>
      </c>
      <c r="C4575" s="2" t="s">
        <v>4890</v>
      </c>
      <c r="D4575" s="2" t="s">
        <v>6826</v>
      </c>
      <c r="E4575" s="2" t="s">
        <v>20</v>
      </c>
      <c r="F4575" s="2">
        <v>1.0</v>
      </c>
      <c r="G4575" s="2">
        <v>275.0</v>
      </c>
      <c r="H4575" s="3" t="str">
        <f>HYPERLINK("http://ar.linkedin.com/pub/gustavo-novak/2/805/A11","http://ar.linkedin.com/pub/gustavo-novak/2/805/A11")</f>
        <v>http://ar.linkedin.com/pub/gustavo-novak/2/805/A11</v>
      </c>
      <c r="I4575" s="2" t="s">
        <v>77</v>
      </c>
      <c r="J4575" s="2" t="s">
        <v>21</v>
      </c>
      <c r="K4575" s="2" t="s">
        <v>5785</v>
      </c>
    </row>
    <row r="4576" ht="15.75" customHeight="1">
      <c r="A4576" s="2">
        <v>51007.0</v>
      </c>
      <c r="B4576" s="2" t="s">
        <v>9478</v>
      </c>
      <c r="C4576" s="2" t="s">
        <v>8886</v>
      </c>
      <c r="D4576" s="2" t="s">
        <v>9479</v>
      </c>
      <c r="E4576" s="2" t="s">
        <v>20</v>
      </c>
      <c r="F4576" s="2">
        <v>10.0</v>
      </c>
      <c r="G4576" s="2">
        <v>365.0</v>
      </c>
      <c r="H4576" s="3" t="str">
        <f>HYPERLINK("http://ar.linkedin.com/in/anabellaespindola","http://ar.linkedin.com/in/anabellaespindola")</f>
        <v>http://ar.linkedin.com/in/anabellaespindola</v>
      </c>
      <c r="I4576" s="2" t="s">
        <v>1361</v>
      </c>
      <c r="J4576" s="2" t="s">
        <v>21</v>
      </c>
      <c r="K4576" s="2" t="s">
        <v>5727</v>
      </c>
    </row>
    <row r="4577" ht="15.75" customHeight="1">
      <c r="A4577" s="2">
        <v>51026.0</v>
      </c>
      <c r="B4577" s="2" t="s">
        <v>6419</v>
      </c>
      <c r="C4577" s="2" t="s">
        <v>9480</v>
      </c>
      <c r="D4577" s="2" t="s">
        <v>9481</v>
      </c>
      <c r="E4577" s="2" t="s">
        <v>20</v>
      </c>
      <c r="F4577" s="2">
        <v>7.0</v>
      </c>
      <c r="G4577" s="2">
        <v>500.0</v>
      </c>
      <c r="H4577" s="3" t="str">
        <f>HYPERLINK("http://ar.linkedin.com/in/ximenagasparini","http://ar.linkedin.com/in/ximenagasparini")</f>
        <v>http://ar.linkedin.com/in/ximenagasparini</v>
      </c>
      <c r="I4577" s="2" t="s">
        <v>1679</v>
      </c>
      <c r="J4577" s="2" t="s">
        <v>21</v>
      </c>
      <c r="K4577" s="2" t="s">
        <v>5727</v>
      </c>
    </row>
    <row r="4578" ht="15.75" customHeight="1">
      <c r="A4578" s="2">
        <v>51030.0</v>
      </c>
      <c r="B4578" s="2" t="s">
        <v>5078</v>
      </c>
      <c r="C4578" s="2" t="s">
        <v>9482</v>
      </c>
      <c r="D4578" s="2" t="s">
        <v>9483</v>
      </c>
      <c r="E4578" s="2" t="s">
        <v>20</v>
      </c>
      <c r="F4578" s="2" t="s">
        <v>13</v>
      </c>
      <c r="G4578" s="2">
        <v>133.0</v>
      </c>
      <c r="H4578" s="3" t="str">
        <f>HYPERLINK("http://ar.linkedin.com/pub/diego-sueldo/23/613/B36","http://ar.linkedin.com/pub/diego-sueldo/23/613/B36")</f>
        <v>http://ar.linkedin.com/pub/diego-sueldo/23/613/B36</v>
      </c>
      <c r="I4578" s="2" t="s">
        <v>77</v>
      </c>
      <c r="J4578" s="2" t="s">
        <v>21</v>
      </c>
      <c r="K4578" s="2" t="s">
        <v>5848</v>
      </c>
    </row>
    <row r="4579" ht="15.75" customHeight="1">
      <c r="A4579" s="2">
        <v>51044.0</v>
      </c>
      <c r="B4579" s="2" t="s">
        <v>8668</v>
      </c>
      <c r="C4579" s="2" t="s">
        <v>9484</v>
      </c>
      <c r="D4579" s="2" t="s">
        <v>9485</v>
      </c>
      <c r="E4579" s="2" t="s">
        <v>20</v>
      </c>
      <c r="F4579" s="2" t="s">
        <v>13</v>
      </c>
      <c r="G4579" s="2">
        <v>233.0</v>
      </c>
      <c r="H4579" s="3" t="str">
        <f>HYPERLINK("http://ar.linkedin.com/in/mealbaytero","http://ar.linkedin.com/in/mealbaytero")</f>
        <v>http://ar.linkedin.com/in/mealbaytero</v>
      </c>
      <c r="I4579" s="2" t="s">
        <v>2268</v>
      </c>
      <c r="J4579" s="2" t="s">
        <v>21</v>
      </c>
      <c r="K4579" s="2" t="s">
        <v>5734</v>
      </c>
    </row>
    <row r="4580" ht="15.75" customHeight="1">
      <c r="A4580" s="2">
        <v>51047.0</v>
      </c>
      <c r="B4580" s="2" t="s">
        <v>3692</v>
      </c>
      <c r="C4580" s="2" t="s">
        <v>1309</v>
      </c>
      <c r="D4580" s="2" t="s">
        <v>8690</v>
      </c>
      <c r="E4580" s="2" t="s">
        <v>20</v>
      </c>
      <c r="F4580" s="2" t="s">
        <v>13</v>
      </c>
      <c r="G4580" s="2">
        <v>31.0</v>
      </c>
      <c r="H4580" s="3" t="str">
        <f>HYPERLINK("http://ar.linkedin.com/pub/federico-alfredo/6/170/874","http://ar.linkedin.com/pub/federico-alfredo/6/170/874")</f>
        <v>http://ar.linkedin.com/pub/federico-alfredo/6/170/874</v>
      </c>
      <c r="I4580" s="2" t="s">
        <v>599</v>
      </c>
      <c r="J4580" s="2" t="s">
        <v>21</v>
      </c>
      <c r="K4580" s="2" t="s">
        <v>5725</v>
      </c>
    </row>
    <row r="4581" ht="15.75" customHeight="1">
      <c r="A4581" s="2">
        <v>51053.0</v>
      </c>
      <c r="B4581" s="2" t="s">
        <v>9486</v>
      </c>
      <c r="C4581" s="2" t="s">
        <v>8637</v>
      </c>
      <c r="D4581" s="2" t="s">
        <v>9487</v>
      </c>
      <c r="E4581" s="2" t="s">
        <v>20</v>
      </c>
      <c r="F4581" s="2" t="s">
        <v>13</v>
      </c>
      <c r="G4581" s="2">
        <v>220.0</v>
      </c>
      <c r="H4581" s="3" t="str">
        <f>HYPERLINK("http://ar.linkedin.com/pub/claudio-belen/5/496/B10","http://ar.linkedin.com/pub/claudio-belen/5/496/B10")</f>
        <v>http://ar.linkedin.com/pub/claudio-belen/5/496/B10</v>
      </c>
      <c r="I4581" s="2" t="s">
        <v>599</v>
      </c>
      <c r="J4581" s="2" t="s">
        <v>21</v>
      </c>
      <c r="K4581" s="2" t="s">
        <v>6178</v>
      </c>
    </row>
    <row r="4582" ht="15.75" customHeight="1">
      <c r="A4582" s="2">
        <v>51056.0</v>
      </c>
      <c r="B4582" s="2" t="s">
        <v>6025</v>
      </c>
      <c r="C4582" s="2" t="s">
        <v>9488</v>
      </c>
      <c r="D4582" s="2" t="s">
        <v>9489</v>
      </c>
      <c r="E4582" s="2" t="s">
        <v>20</v>
      </c>
      <c r="F4582" s="2" t="s">
        <v>13</v>
      </c>
      <c r="G4582" s="2">
        <v>268.0</v>
      </c>
      <c r="H4582" s="3" t="str">
        <f>HYPERLINK("http://ar.linkedin.com/pub/hernan-santiso/0/7B1/696","http://ar.linkedin.com/pub/hernan-santiso/0/7B1/696")</f>
        <v>http://ar.linkedin.com/pub/hernan-santiso/0/7B1/696</v>
      </c>
      <c r="I4582" s="2" t="s">
        <v>77</v>
      </c>
      <c r="J4582" s="2" t="s">
        <v>21</v>
      </c>
      <c r="K4582" s="2" t="s">
        <v>5785</v>
      </c>
    </row>
    <row r="4583" ht="15.75" customHeight="1">
      <c r="A4583" s="2">
        <v>51062.0</v>
      </c>
      <c r="B4583" s="2" t="s">
        <v>677</v>
      </c>
      <c r="C4583" s="2" t="s">
        <v>6896</v>
      </c>
      <c r="D4583" s="2" t="s">
        <v>9490</v>
      </c>
      <c r="E4583" s="2" t="s">
        <v>20</v>
      </c>
      <c r="F4583" s="2" t="s">
        <v>13</v>
      </c>
      <c r="G4583" s="2">
        <v>500.0</v>
      </c>
      <c r="H4583" s="3" t="str">
        <f>HYPERLINK("http://ar.linkedin.com/pub/daniel-castro/9/12A/631","http://ar.linkedin.com/pub/daniel-castro/9/12A/631")</f>
        <v>http://ar.linkedin.com/pub/daniel-castro/9/12A/631</v>
      </c>
      <c r="I4583" s="2" t="s">
        <v>910</v>
      </c>
      <c r="J4583" s="2" t="s">
        <v>21</v>
      </c>
      <c r="K4583" s="2" t="s">
        <v>5734</v>
      </c>
    </row>
    <row r="4584" ht="15.75" customHeight="1">
      <c r="A4584" s="2">
        <v>51076.0</v>
      </c>
      <c r="B4584" s="2" t="s">
        <v>918</v>
      </c>
      <c r="C4584" s="2" t="s">
        <v>9491</v>
      </c>
      <c r="D4584" s="2" t="s">
        <v>9492</v>
      </c>
      <c r="E4584" s="2" t="s">
        <v>20</v>
      </c>
      <c r="F4584" s="2">
        <v>2.0</v>
      </c>
      <c r="G4584" s="2">
        <v>500.0</v>
      </c>
      <c r="H4584" s="3" t="str">
        <f>HYPERLINK("http://ar.linkedin.com/pub/mariel-benitez/1A/41B/6B0","http://ar.linkedin.com/pub/mariel-benitez/1A/41B/6B0")</f>
        <v>http://ar.linkedin.com/pub/mariel-benitez/1A/41B/6B0</v>
      </c>
      <c r="I4584" s="2" t="s">
        <v>844</v>
      </c>
      <c r="J4584" s="2" t="s">
        <v>21</v>
      </c>
      <c r="K4584" s="2" t="s">
        <v>5727</v>
      </c>
    </row>
    <row r="4585" ht="15.75" customHeight="1">
      <c r="A4585" s="2">
        <v>51099.0</v>
      </c>
      <c r="B4585" s="2" t="s">
        <v>6061</v>
      </c>
      <c r="C4585" s="2" t="s">
        <v>9493</v>
      </c>
      <c r="D4585" s="2" t="s">
        <v>9494</v>
      </c>
      <c r="E4585" s="2" t="s">
        <v>20</v>
      </c>
      <c r="F4585" s="2" t="s">
        <v>13</v>
      </c>
      <c r="G4585" s="2">
        <v>360.0</v>
      </c>
      <c r="H4585" s="3" t="str">
        <f>HYPERLINK("http://ar.linkedin.com/pub/agustin-zimmer/13/58A/B","http://ar.linkedin.com/pub/agustin-zimmer/13/58A/B")</f>
        <v>http://ar.linkedin.com/pub/agustin-zimmer/13/58A/B</v>
      </c>
      <c r="I4585" s="2" t="s">
        <v>105</v>
      </c>
      <c r="J4585" s="2" t="s">
        <v>21</v>
      </c>
      <c r="K4585" s="2" t="s">
        <v>5725</v>
      </c>
    </row>
    <row r="4586" ht="15.75" customHeight="1">
      <c r="A4586" s="2">
        <v>51110.0</v>
      </c>
      <c r="B4586" s="2" t="s">
        <v>9495</v>
      </c>
      <c r="C4586" s="2" t="s">
        <v>9496</v>
      </c>
      <c r="D4586" s="2" t="s">
        <v>13</v>
      </c>
      <c r="E4586" s="2" t="s">
        <v>20</v>
      </c>
      <c r="F4586" s="2">
        <v>4.0</v>
      </c>
      <c r="G4586" s="2">
        <v>500.0</v>
      </c>
      <c r="H4586" s="3" t="str">
        <f>HYPERLINK("http://www.linkedin.com/pub/mario-h-zelaray%C3%A1n/0/938/964","http://www.linkedin.com/pub/mario-h-zelaray%C3%A1n/0/938/964")</f>
        <v>http://www.linkedin.com/pub/mario-h-zelaray%C3%A1n/0/938/964</v>
      </c>
      <c r="I4586" s="2" t="s">
        <v>57</v>
      </c>
      <c r="J4586" s="2" t="s">
        <v>21</v>
      </c>
      <c r="K4586" s="2" t="s">
        <v>5727</v>
      </c>
    </row>
    <row r="4587" ht="15.75" customHeight="1">
      <c r="A4587" s="2">
        <v>51113.0</v>
      </c>
      <c r="B4587" s="2" t="s">
        <v>9497</v>
      </c>
      <c r="C4587" s="2" t="s">
        <v>9498</v>
      </c>
      <c r="D4587" s="2" t="s">
        <v>9499</v>
      </c>
      <c r="E4587" s="2" t="s">
        <v>20</v>
      </c>
      <c r="F4587" s="2">
        <v>3.0</v>
      </c>
      <c r="G4587" s="2">
        <v>500.0</v>
      </c>
      <c r="H4587" s="3" t="str">
        <f>HYPERLINK("http://ar.linkedin.com/pub/manolo-catalan/20/221/9A8","http://ar.linkedin.com/pub/manolo-catalan/20/221/9A8")</f>
        <v>http://ar.linkedin.com/pub/manolo-catalan/20/221/9A8</v>
      </c>
      <c r="I4587" s="2" t="s">
        <v>105</v>
      </c>
      <c r="J4587" s="2" t="s">
        <v>21</v>
      </c>
      <c r="K4587" s="2" t="s">
        <v>5727</v>
      </c>
    </row>
    <row r="4588" ht="15.75" customHeight="1">
      <c r="A4588" s="2">
        <v>51114.0</v>
      </c>
      <c r="B4588" s="2" t="s">
        <v>1230</v>
      </c>
      <c r="C4588" s="2" t="s">
        <v>4791</v>
      </c>
      <c r="D4588" s="2" t="s">
        <v>9500</v>
      </c>
      <c r="E4588" s="2" t="s">
        <v>20</v>
      </c>
      <c r="F4588" s="2" t="s">
        <v>13</v>
      </c>
      <c r="G4588" s="2">
        <v>296.0</v>
      </c>
      <c r="H4588" s="3" t="str">
        <f>HYPERLINK("http://ar.linkedin.com/pub/alberto-gomez/25/89/B82","http://ar.linkedin.com/pub/alberto-gomez/25/89/B82")</f>
        <v>http://ar.linkedin.com/pub/alberto-gomez/25/89/B82</v>
      </c>
      <c r="I4588" s="2" t="s">
        <v>77</v>
      </c>
      <c r="J4588" s="2" t="s">
        <v>21</v>
      </c>
      <c r="K4588" s="2" t="s">
        <v>5785</v>
      </c>
    </row>
    <row r="4589" ht="15.75" customHeight="1">
      <c r="A4589" s="2">
        <v>51115.0</v>
      </c>
      <c r="B4589" s="2" t="s">
        <v>5723</v>
      </c>
      <c r="C4589" s="2" t="s">
        <v>9501</v>
      </c>
      <c r="D4589" s="2" t="s">
        <v>9502</v>
      </c>
      <c r="E4589" s="2" t="s">
        <v>20</v>
      </c>
      <c r="F4589" s="2" t="s">
        <v>13</v>
      </c>
      <c r="G4589" s="2">
        <v>500.0</v>
      </c>
      <c r="H4589" s="3" t="str">
        <f>HYPERLINK("http://ar.linkedin.com/pub/pablo-minetti/2B/8B/B60","http://ar.linkedin.com/pub/pablo-minetti/2B/8B/B60")</f>
        <v>http://ar.linkedin.com/pub/pablo-minetti/2B/8B/B60</v>
      </c>
      <c r="I4589" s="2" t="s">
        <v>77</v>
      </c>
      <c r="J4589" s="2" t="s">
        <v>21</v>
      </c>
      <c r="K4589" s="2" t="s">
        <v>5848</v>
      </c>
    </row>
    <row r="4590" ht="15.75" customHeight="1">
      <c r="A4590" s="2">
        <v>51117.0</v>
      </c>
      <c r="B4590" s="2" t="s">
        <v>866</v>
      </c>
      <c r="C4590" s="2" t="s">
        <v>9503</v>
      </c>
      <c r="D4590" s="2" t="s">
        <v>9504</v>
      </c>
      <c r="E4590" s="2" t="s">
        <v>20</v>
      </c>
      <c r="F4590" s="2">
        <v>4.0</v>
      </c>
      <c r="G4590" s="2">
        <v>322.0</v>
      </c>
      <c r="H4590" s="3" t="str">
        <f>HYPERLINK("http://ar.linkedin.com/pub/nicole-m-ller/14/A1B/965","http://ar.linkedin.com/pub/nicole-m-ller/14/A1B/965")</f>
        <v>http://ar.linkedin.com/pub/nicole-m-ller/14/A1B/965</v>
      </c>
      <c r="I4590" s="2" t="s">
        <v>844</v>
      </c>
      <c r="J4590" s="2" t="s">
        <v>21</v>
      </c>
      <c r="K4590" s="2" t="s">
        <v>5727</v>
      </c>
    </row>
    <row r="4591" ht="15.75" customHeight="1">
      <c r="A4591" s="2">
        <v>51131.0</v>
      </c>
      <c r="B4591" s="2" t="s">
        <v>59</v>
      </c>
      <c r="C4591" s="2" t="s">
        <v>9505</v>
      </c>
      <c r="D4591" s="2" t="s">
        <v>9506</v>
      </c>
      <c r="E4591" s="2" t="s">
        <v>20</v>
      </c>
      <c r="F4591" s="2" t="s">
        <v>13</v>
      </c>
      <c r="G4591" s="2">
        <v>500.0</v>
      </c>
      <c r="H4591" s="3" t="str">
        <f>HYPERLINK("http://ar.linkedin.com/in/martinchazanavicius","http://ar.linkedin.com/in/martinchazanavicius")</f>
        <v>http://ar.linkedin.com/in/martinchazanavicius</v>
      </c>
      <c r="I4591" s="2" t="s">
        <v>105</v>
      </c>
      <c r="J4591" s="2" t="s">
        <v>21</v>
      </c>
      <c r="K4591" s="2" t="s">
        <v>5725</v>
      </c>
    </row>
    <row r="4592" ht="15.75" customHeight="1">
      <c r="A4592" s="2">
        <v>51133.0</v>
      </c>
      <c r="B4592" s="2" t="s">
        <v>253</v>
      </c>
      <c r="C4592" s="2" t="s">
        <v>9507</v>
      </c>
      <c r="D4592" s="2" t="s">
        <v>13</v>
      </c>
      <c r="E4592" s="2" t="s">
        <v>20</v>
      </c>
      <c r="F4592" s="2">
        <v>3.0</v>
      </c>
      <c r="G4592" s="2">
        <v>452.0</v>
      </c>
      <c r="H4592" s="3" t="str">
        <f>HYPERLINK("http://www.linkedin.com/pub/fernando-besano/a/5b4/714","http://www.linkedin.com/pub/fernando-besano/a/5b4/714")</f>
        <v>http://www.linkedin.com/pub/fernando-besano/a/5b4/714</v>
      </c>
      <c r="I4592" s="2" t="s">
        <v>77</v>
      </c>
      <c r="J4592" s="2" t="s">
        <v>21</v>
      </c>
      <c r="K4592" s="2" t="s">
        <v>5731</v>
      </c>
    </row>
    <row r="4593" ht="15.75" customHeight="1">
      <c r="A4593" s="2">
        <v>51137.0</v>
      </c>
      <c r="B4593" s="2" t="s">
        <v>362</v>
      </c>
      <c r="C4593" s="2" t="s">
        <v>9508</v>
      </c>
      <c r="D4593" s="2" t="s">
        <v>9509</v>
      </c>
      <c r="E4593" s="2" t="s">
        <v>20</v>
      </c>
      <c r="F4593" s="2">
        <v>2.0</v>
      </c>
      <c r="G4593" s="2">
        <v>239.0</v>
      </c>
      <c r="H4593" s="3" t="str">
        <f>HYPERLINK("http://ar.linkedin.com/pub/javier-lorenzo/0/773/844","http://ar.linkedin.com/pub/javier-lorenzo/0/773/844")</f>
        <v>http://ar.linkedin.com/pub/javier-lorenzo/0/773/844</v>
      </c>
      <c r="I4593" s="2" t="s">
        <v>195</v>
      </c>
      <c r="J4593" s="2" t="s">
        <v>21</v>
      </c>
      <c r="K4593" s="2" t="s">
        <v>5785</v>
      </c>
    </row>
    <row r="4594" ht="15.75" customHeight="1">
      <c r="A4594" s="2">
        <v>51139.0</v>
      </c>
      <c r="B4594" s="2" t="s">
        <v>5763</v>
      </c>
      <c r="C4594" s="2" t="s">
        <v>9510</v>
      </c>
      <c r="D4594" s="2" t="s">
        <v>7526</v>
      </c>
      <c r="E4594" s="2" t="s">
        <v>20</v>
      </c>
      <c r="F4594" s="2">
        <v>0.0</v>
      </c>
      <c r="G4594" s="2">
        <v>500.0</v>
      </c>
      <c r="H4594" s="3" t="str">
        <f>HYPERLINK("http://www.linkedin.com/pub/ezequiel-archenti/5/146/904","http://www.linkedin.com/pub/ezequiel-archenti/5/146/904")</f>
        <v>http://www.linkedin.com/pub/ezequiel-archenti/5/146/904</v>
      </c>
      <c r="I4594" s="2" t="s">
        <v>77</v>
      </c>
      <c r="J4594" s="2" t="s">
        <v>21</v>
      </c>
      <c r="K4594" s="2" t="s">
        <v>5848</v>
      </c>
    </row>
    <row r="4595" ht="15.75" customHeight="1">
      <c r="A4595" s="2">
        <v>51143.0</v>
      </c>
      <c r="B4595" s="2" t="s">
        <v>5794</v>
      </c>
      <c r="C4595" s="2" t="s">
        <v>9511</v>
      </c>
      <c r="D4595" s="2" t="s">
        <v>9512</v>
      </c>
      <c r="E4595" s="2" t="s">
        <v>20</v>
      </c>
      <c r="F4595" s="2">
        <v>6.0</v>
      </c>
      <c r="G4595" s="2">
        <v>209.0</v>
      </c>
      <c r="H4595" s="3" t="str">
        <f>HYPERLINK("http://ar.linkedin.com/in/silvinacoto","http://ar.linkedin.com/in/silvinacoto")</f>
        <v>http://ar.linkedin.com/in/silvinacoto</v>
      </c>
      <c r="I4595" s="2" t="s">
        <v>105</v>
      </c>
      <c r="J4595" s="2" t="s">
        <v>21</v>
      </c>
      <c r="K4595" s="2" t="s">
        <v>5727</v>
      </c>
    </row>
    <row r="4596" ht="15.75" customHeight="1">
      <c r="A4596" s="2">
        <v>51148.0</v>
      </c>
      <c r="B4596" s="2" t="s">
        <v>9513</v>
      </c>
      <c r="C4596" s="2" t="s">
        <v>7315</v>
      </c>
      <c r="D4596" s="2" t="s">
        <v>13</v>
      </c>
      <c r="E4596" s="2" t="s">
        <v>20</v>
      </c>
      <c r="F4596" s="2">
        <v>0.0</v>
      </c>
      <c r="G4596" s="2">
        <v>234.0</v>
      </c>
      <c r="H4596" s="3" t="str">
        <f>HYPERLINK("http://www.linkedin.com/pub/fidel-carril/4/206/a56","http://www.linkedin.com/pub/fidel-carril/4/206/a56")</f>
        <v>http://www.linkedin.com/pub/fidel-carril/4/206/a56</v>
      </c>
      <c r="I4596" s="2" t="s">
        <v>2023</v>
      </c>
      <c r="J4596" s="2" t="s">
        <v>21</v>
      </c>
      <c r="K4596" s="2" t="s">
        <v>5785</v>
      </c>
    </row>
    <row r="4597" ht="15.75" customHeight="1">
      <c r="A4597" s="2">
        <v>51165.0</v>
      </c>
      <c r="B4597" s="2" t="s">
        <v>5582</v>
      </c>
      <c r="C4597" s="2" t="s">
        <v>9514</v>
      </c>
      <c r="D4597" s="2" t="s">
        <v>8991</v>
      </c>
      <c r="E4597" s="2" t="s">
        <v>20</v>
      </c>
      <c r="F4597" s="2" t="s">
        <v>13</v>
      </c>
      <c r="G4597" s="2">
        <v>410.0</v>
      </c>
      <c r="H4597" s="3" t="str">
        <f>HYPERLINK("http://ar.linkedin.com/in/sandrabernachea","http://ar.linkedin.com/in/sandrabernachea")</f>
        <v>http://ar.linkedin.com/in/sandrabernachea</v>
      </c>
      <c r="I4597" s="2" t="s">
        <v>57</v>
      </c>
      <c r="J4597" s="2" t="s">
        <v>21</v>
      </c>
      <c r="K4597" s="2" t="s">
        <v>5725</v>
      </c>
    </row>
    <row r="4598" ht="15.75" customHeight="1">
      <c r="A4598" s="2">
        <v>51191.0</v>
      </c>
      <c r="B4598" s="2" t="s">
        <v>5803</v>
      </c>
      <c r="C4598" s="2" t="s">
        <v>9515</v>
      </c>
      <c r="D4598" s="2" t="s">
        <v>13</v>
      </c>
      <c r="E4598" s="2" t="s">
        <v>20</v>
      </c>
      <c r="F4598" s="2">
        <v>3.0</v>
      </c>
      <c r="G4598" s="2">
        <v>449.0</v>
      </c>
      <c r="H4598" s="3" t="str">
        <f>HYPERLINK("http://www.linkedin.com/pub/mariano-kruskevich/0/40b/31a","http://www.linkedin.com/pub/mariano-kruskevich/0/40b/31a")</f>
        <v>http://www.linkedin.com/pub/mariano-kruskevich/0/40b/31a</v>
      </c>
      <c r="I4598" s="2" t="s">
        <v>279</v>
      </c>
      <c r="J4598" s="2" t="s">
        <v>21</v>
      </c>
      <c r="K4598" s="2" t="s">
        <v>5727</v>
      </c>
    </row>
    <row r="4599" ht="15.75" customHeight="1">
      <c r="A4599" s="2">
        <v>51215.0</v>
      </c>
      <c r="B4599" s="2" t="s">
        <v>152</v>
      </c>
      <c r="C4599" s="2" t="s">
        <v>9516</v>
      </c>
      <c r="D4599" s="2" t="s">
        <v>1073</v>
      </c>
      <c r="E4599" s="2" t="s">
        <v>20</v>
      </c>
      <c r="F4599" s="2">
        <v>2.0</v>
      </c>
      <c r="G4599" s="2">
        <v>475.0</v>
      </c>
      <c r="H4599" s="3" t="str">
        <f>HYPERLINK("http://ar.linkedin.com/pub/eduardo-beker/2/15/497","http://ar.linkedin.com/pub/eduardo-beker/2/15/497")</f>
        <v>http://ar.linkedin.com/pub/eduardo-beker/2/15/497</v>
      </c>
      <c r="I4599" s="2" t="s">
        <v>77</v>
      </c>
      <c r="J4599" s="2" t="s">
        <v>21</v>
      </c>
      <c r="K4599" s="2" t="s">
        <v>5743</v>
      </c>
    </row>
    <row r="4600" ht="15.75" customHeight="1">
      <c r="A4600" s="2">
        <v>51255.0</v>
      </c>
      <c r="B4600" s="2" t="s">
        <v>5332</v>
      </c>
      <c r="C4600" s="2" t="s">
        <v>7545</v>
      </c>
      <c r="D4600" s="2" t="s">
        <v>8862</v>
      </c>
      <c r="E4600" s="2" t="s">
        <v>20</v>
      </c>
      <c r="F4600" s="2">
        <v>5.0</v>
      </c>
      <c r="G4600" s="2">
        <v>248.0</v>
      </c>
      <c r="H4600" s="3" t="str">
        <f>HYPERLINK("http://ar.linkedin.com/pub/mercedes-iglesias/2A/923/A0A","http://ar.linkedin.com/pub/mercedes-iglesias/2A/923/A0A")</f>
        <v>http://ar.linkedin.com/pub/mercedes-iglesias/2A/923/A0A</v>
      </c>
      <c r="I4600" s="2" t="s">
        <v>105</v>
      </c>
      <c r="J4600" s="2" t="s">
        <v>21</v>
      </c>
      <c r="K4600" s="2" t="s">
        <v>5743</v>
      </c>
    </row>
    <row r="4601" ht="15.75" customHeight="1">
      <c r="A4601" s="2">
        <v>51257.0</v>
      </c>
      <c r="B4601" s="2" t="s">
        <v>3684</v>
      </c>
      <c r="C4601" s="2" t="s">
        <v>9517</v>
      </c>
      <c r="D4601" s="2" t="s">
        <v>9518</v>
      </c>
      <c r="E4601" s="2" t="s">
        <v>20</v>
      </c>
      <c r="F4601" s="2">
        <v>1.0</v>
      </c>
      <c r="G4601" s="2">
        <v>379.0</v>
      </c>
      <c r="H4601" s="3" t="str">
        <f>HYPERLINK("http://ar.linkedin.com/in/walteruribe","http://ar.linkedin.com/in/walteruribe")</f>
        <v>http://ar.linkedin.com/in/walteruribe</v>
      </c>
      <c r="I4601" s="2" t="s">
        <v>48</v>
      </c>
      <c r="J4601" s="2" t="s">
        <v>21</v>
      </c>
      <c r="K4601" s="2" t="s">
        <v>5725</v>
      </c>
    </row>
    <row r="4602" ht="15.75" customHeight="1">
      <c r="A4602" s="2">
        <v>51259.0</v>
      </c>
      <c r="B4602" s="2" t="s">
        <v>2168</v>
      </c>
      <c r="C4602" s="2" t="s">
        <v>9519</v>
      </c>
      <c r="D4602" s="2" t="s">
        <v>9520</v>
      </c>
      <c r="E4602" s="2" t="s">
        <v>628</v>
      </c>
      <c r="F4602" s="2">
        <v>5.0</v>
      </c>
      <c r="G4602" s="2">
        <v>500.0</v>
      </c>
      <c r="H4602" s="3" t="str">
        <f>HYPERLINK("http://www.linkedin.com/in/louisblank","http://www.linkedin.com/in/louisblank")</f>
        <v>http://www.linkedin.com/in/louisblank</v>
      </c>
      <c r="I4602" s="2" t="s">
        <v>458</v>
      </c>
      <c r="J4602" s="2" t="s">
        <v>102</v>
      </c>
      <c r="K4602" s="2" t="s">
        <v>5977</v>
      </c>
    </row>
    <row r="4603" ht="15.75" customHeight="1">
      <c r="A4603" s="2">
        <v>51278.0</v>
      </c>
      <c r="B4603" s="2" t="s">
        <v>5803</v>
      </c>
      <c r="C4603" s="2" t="s">
        <v>9521</v>
      </c>
      <c r="D4603" s="2" t="s">
        <v>141</v>
      </c>
      <c r="E4603" s="2" t="s">
        <v>20</v>
      </c>
      <c r="F4603" s="2">
        <v>3.0</v>
      </c>
      <c r="G4603" s="2">
        <v>307.0</v>
      </c>
      <c r="H4603" s="3" t="str">
        <f>HYPERLINK("http://www.linkedin.com/in/marianokaseiri","http://www.linkedin.com/in/marianokaseiri")</f>
        <v>http://www.linkedin.com/in/marianokaseiri</v>
      </c>
      <c r="I4603" s="2" t="s">
        <v>2268</v>
      </c>
      <c r="J4603" s="2" t="s">
        <v>21</v>
      </c>
      <c r="K4603" s="2" t="s">
        <v>5734</v>
      </c>
    </row>
    <row r="4604" ht="15.75" customHeight="1">
      <c r="A4604" s="2">
        <v>51297.0</v>
      </c>
      <c r="B4604" s="2" t="s">
        <v>5874</v>
      </c>
      <c r="C4604" s="2" t="s">
        <v>9522</v>
      </c>
      <c r="D4604" s="2" t="s">
        <v>13</v>
      </c>
      <c r="E4604" s="2" t="s">
        <v>20</v>
      </c>
      <c r="F4604" s="2">
        <v>1.0</v>
      </c>
      <c r="G4604" s="2">
        <v>205.0</v>
      </c>
      <c r="H4604" s="3" t="str">
        <f>HYPERLINK("http://www.linkedin.com/pub/juan-carlos-fracas/3/42/4a7","http://www.linkedin.com/pub/juan-carlos-fracas/3/42/4a7")</f>
        <v>http://www.linkedin.com/pub/juan-carlos-fracas/3/42/4a7</v>
      </c>
      <c r="I4604" s="2" t="s">
        <v>77</v>
      </c>
      <c r="J4604" s="2" t="s">
        <v>21</v>
      </c>
      <c r="K4604" s="2" t="s">
        <v>5785</v>
      </c>
    </row>
    <row r="4605" ht="15.75" customHeight="1">
      <c r="A4605" s="2">
        <v>51300.0</v>
      </c>
      <c r="B4605" s="2" t="s">
        <v>9523</v>
      </c>
      <c r="C4605" s="2" t="s">
        <v>9524</v>
      </c>
      <c r="D4605" s="2" t="s">
        <v>9525</v>
      </c>
      <c r="E4605" s="2" t="s">
        <v>20</v>
      </c>
      <c r="F4605" s="2" t="s">
        <v>13</v>
      </c>
      <c r="G4605" s="2">
        <v>94.0</v>
      </c>
      <c r="H4605" s="3" t="str">
        <f>HYPERLINK("http://ar.linkedin.com/pub/ale-madeira/15/34B/514","http://ar.linkedin.com/pub/ale-madeira/15/34B/514")</f>
        <v>http://ar.linkedin.com/pub/ale-madeira/15/34B/514</v>
      </c>
      <c r="I4605" s="2" t="s">
        <v>105</v>
      </c>
      <c r="J4605" s="2" t="s">
        <v>21</v>
      </c>
      <c r="K4605" s="2" t="s">
        <v>5725</v>
      </c>
    </row>
    <row r="4606" ht="15.75" customHeight="1">
      <c r="A4606" s="2">
        <v>51334.0</v>
      </c>
      <c r="B4606" s="2" t="s">
        <v>5803</v>
      </c>
      <c r="C4606" s="2" t="s">
        <v>9526</v>
      </c>
      <c r="D4606" s="2" t="s">
        <v>9527</v>
      </c>
      <c r="E4606" s="2" t="s">
        <v>20</v>
      </c>
      <c r="F4606" s="2">
        <v>7.0</v>
      </c>
      <c r="G4606" s="2">
        <v>500.0</v>
      </c>
      <c r="H4606" s="3" t="str">
        <f>HYPERLINK("http://ar.linkedin.com/in/marianoblumenfeld","http://ar.linkedin.com/in/marianoblumenfeld")</f>
        <v>http://ar.linkedin.com/in/marianoblumenfeld</v>
      </c>
      <c r="I4606" s="2" t="s">
        <v>681</v>
      </c>
      <c r="J4606" s="2" t="s">
        <v>21</v>
      </c>
      <c r="K4606" s="2" t="s">
        <v>5727</v>
      </c>
    </row>
    <row r="4607" ht="15.75" customHeight="1">
      <c r="A4607" s="2">
        <v>51340.0</v>
      </c>
      <c r="B4607" s="2" t="s">
        <v>9528</v>
      </c>
      <c r="C4607" s="2" t="s">
        <v>9529</v>
      </c>
      <c r="D4607" s="2" t="s">
        <v>9530</v>
      </c>
      <c r="E4607" s="2" t="s">
        <v>20</v>
      </c>
      <c r="F4607" s="2" t="s">
        <v>13</v>
      </c>
      <c r="G4607" s="2">
        <v>184.0</v>
      </c>
      <c r="H4607" s="3" t="str">
        <f>HYPERLINK("http://ar.linkedin.com/pub/n%C3%A9lida-alfano/0/733/797","http://ar.linkedin.com/pub/n%C3%A9lida-alfano/0/733/797")</f>
        <v>http://ar.linkedin.com/pub/n%C3%A9lida-alfano/0/733/797</v>
      </c>
      <c r="I4607" s="2" t="s">
        <v>458</v>
      </c>
      <c r="J4607" s="2" t="s">
        <v>21</v>
      </c>
      <c r="K4607" s="2" t="s">
        <v>5734</v>
      </c>
    </row>
    <row r="4608" ht="15.75" customHeight="1">
      <c r="A4608" s="2">
        <v>51350.0</v>
      </c>
      <c r="B4608" s="2" t="s">
        <v>6432</v>
      </c>
      <c r="C4608" s="2" t="s">
        <v>9531</v>
      </c>
      <c r="D4608" s="2" t="s">
        <v>9532</v>
      </c>
      <c r="E4608" s="2" t="s">
        <v>1190</v>
      </c>
      <c r="F4608" s="2" t="s">
        <v>13</v>
      </c>
      <c r="G4608" s="2">
        <v>386.0</v>
      </c>
      <c r="H4608" s="3" t="str">
        <f>HYPERLINK("http://www.linkedin.com/in/marcelamaurer","http://www.linkedin.com/in/marcelamaurer")</f>
        <v>http://www.linkedin.com/in/marcelamaurer</v>
      </c>
      <c r="I4608" s="2" t="s">
        <v>105</v>
      </c>
      <c r="J4608" s="2" t="s">
        <v>102</v>
      </c>
      <c r="K4608" s="2" t="s">
        <v>6588</v>
      </c>
    </row>
    <row r="4609" ht="15.75" customHeight="1">
      <c r="A4609" s="2">
        <v>51355.0</v>
      </c>
      <c r="B4609" s="2" t="s">
        <v>431</v>
      </c>
      <c r="C4609" s="2" t="s">
        <v>9533</v>
      </c>
      <c r="D4609" s="2" t="s">
        <v>289</v>
      </c>
      <c r="E4609" s="2" t="s">
        <v>20</v>
      </c>
      <c r="F4609" s="2" t="s">
        <v>13</v>
      </c>
      <c r="G4609" s="2">
        <v>75.0</v>
      </c>
      <c r="H4609" s="3" t="str">
        <f>HYPERLINK("http://ar.linkedin.com/pub/rodrigo-barros/1/A82/BB","http://ar.linkedin.com/pub/rodrigo-barros/1/A82/BB")</f>
        <v>http://ar.linkedin.com/pub/rodrigo-barros/1/A82/BB</v>
      </c>
      <c r="I4609" s="2" t="s">
        <v>579</v>
      </c>
      <c r="J4609" s="2" t="s">
        <v>21</v>
      </c>
      <c r="K4609" s="2" t="s">
        <v>5785</v>
      </c>
    </row>
    <row r="4610" ht="15.75" customHeight="1">
      <c r="A4610" s="2">
        <v>51365.0</v>
      </c>
      <c r="B4610" s="2" t="s">
        <v>9534</v>
      </c>
      <c r="C4610" s="2" t="s">
        <v>9535</v>
      </c>
      <c r="D4610" s="2" t="s">
        <v>9536</v>
      </c>
      <c r="E4610" s="2" t="s">
        <v>20</v>
      </c>
      <c r="F4610" s="2">
        <v>14.0</v>
      </c>
      <c r="G4610" s="2">
        <v>349.0</v>
      </c>
      <c r="H4610" s="3" t="str">
        <f>HYPERLINK("http://ar.linkedin.com/pub/natalia-e-navarro-mugas/27/6A6/994","http://ar.linkedin.com/pub/natalia-e-navarro-mugas/27/6A6/994")</f>
        <v>http://ar.linkedin.com/pub/natalia-e-navarro-mugas/27/6A6/994</v>
      </c>
      <c r="I4610" s="2" t="s">
        <v>279</v>
      </c>
      <c r="J4610" s="2" t="s">
        <v>21</v>
      </c>
      <c r="K4610" s="2" t="s">
        <v>5727</v>
      </c>
    </row>
    <row r="4611" ht="15.75" customHeight="1">
      <c r="A4611" s="2">
        <v>51373.0</v>
      </c>
      <c r="B4611" s="2" t="s">
        <v>9537</v>
      </c>
      <c r="C4611" s="2" t="s">
        <v>9538</v>
      </c>
      <c r="D4611" s="2" t="s">
        <v>13</v>
      </c>
      <c r="E4611" s="2" t="s">
        <v>20</v>
      </c>
      <c r="F4611" s="2">
        <v>0.0</v>
      </c>
      <c r="G4611" s="2">
        <v>500.0</v>
      </c>
      <c r="H4611" s="3" t="str">
        <f>HYPERLINK("http://www.linkedin.com/pub/alberto-alejandro-brea/a/a30/18a","http://www.linkedin.com/pub/alberto-alejandro-brea/a/a30/18a")</f>
        <v>http://www.linkedin.com/pub/alberto-alejandro-brea/a/a30/18a</v>
      </c>
      <c r="I4611" s="2" t="s">
        <v>579</v>
      </c>
      <c r="J4611" s="2" t="s">
        <v>21</v>
      </c>
      <c r="K4611" s="2" t="s">
        <v>5734</v>
      </c>
    </row>
    <row r="4612" ht="15.75" customHeight="1">
      <c r="A4612" s="2">
        <v>51386.0</v>
      </c>
      <c r="B4612" s="2" t="s">
        <v>492</v>
      </c>
      <c r="C4612" s="2" t="s">
        <v>6068</v>
      </c>
      <c r="D4612" s="2" t="s">
        <v>42</v>
      </c>
      <c r="E4612" s="2" t="s">
        <v>20</v>
      </c>
      <c r="F4612" s="2" t="s">
        <v>13</v>
      </c>
      <c r="G4612" s="2">
        <v>168.0</v>
      </c>
      <c r="H4612" s="3" t="str">
        <f>HYPERLINK("http://ar.linkedin.com/pub/sergio-quinteros/2/9B7/800","http://ar.linkedin.com/pub/sergio-quinteros/2/9B7/800")</f>
        <v>http://ar.linkedin.com/pub/sergio-quinteros/2/9B7/800</v>
      </c>
      <c r="I4612" s="2" t="s">
        <v>15</v>
      </c>
      <c r="J4612" s="2" t="s">
        <v>21</v>
      </c>
      <c r="K4612" s="2" t="s">
        <v>5725</v>
      </c>
    </row>
    <row r="4613" ht="15.75" customHeight="1">
      <c r="A4613" s="2">
        <v>51395.0</v>
      </c>
      <c r="B4613" s="2" t="s">
        <v>7275</v>
      </c>
      <c r="C4613" s="2" t="s">
        <v>9539</v>
      </c>
      <c r="D4613" s="2" t="s">
        <v>9540</v>
      </c>
      <c r="E4613" s="2" t="s">
        <v>20</v>
      </c>
      <c r="F4613" s="2" t="s">
        <v>13</v>
      </c>
      <c r="G4613" s="2">
        <v>350.0</v>
      </c>
      <c r="H4613" s="3" t="str">
        <f>HYPERLINK("http://ar.linkedin.com/pub/maria-jose-paladino/20/594/94B","http://ar.linkedin.com/pub/maria-jose-paladino/20/594/94B")</f>
        <v>http://ar.linkedin.com/pub/maria-jose-paladino/20/594/94B</v>
      </c>
      <c r="I4613" s="2" t="s">
        <v>105</v>
      </c>
      <c r="J4613" s="2" t="s">
        <v>21</v>
      </c>
      <c r="K4613" s="2" t="s">
        <v>5725</v>
      </c>
    </row>
    <row r="4614" ht="15.75" customHeight="1">
      <c r="A4614" s="2">
        <v>51436.0</v>
      </c>
      <c r="B4614" s="2" t="s">
        <v>3223</v>
      </c>
      <c r="C4614" s="2" t="s">
        <v>9541</v>
      </c>
      <c r="D4614" s="2" t="s">
        <v>9542</v>
      </c>
      <c r="E4614" s="2" t="s">
        <v>20</v>
      </c>
      <c r="F4614" s="2">
        <v>2.0</v>
      </c>
      <c r="G4614" s="2">
        <v>290.0</v>
      </c>
      <c r="H4614" s="3" t="str">
        <f>HYPERLINK("http://ar.linkedin.com/in/lauralfaro","http://ar.linkedin.com/in/lauralfaro")</f>
        <v>http://ar.linkedin.com/in/lauralfaro</v>
      </c>
      <c r="I4614" s="2" t="s">
        <v>608</v>
      </c>
      <c r="J4614" s="2" t="s">
        <v>21</v>
      </c>
      <c r="K4614" s="2" t="s">
        <v>5743</v>
      </c>
    </row>
    <row r="4615" ht="15.75" customHeight="1">
      <c r="A4615" s="2">
        <v>51458.0</v>
      </c>
      <c r="B4615" s="2" t="s">
        <v>862</v>
      </c>
      <c r="C4615" s="2" t="s">
        <v>4791</v>
      </c>
      <c r="D4615" s="2" t="s">
        <v>9543</v>
      </c>
      <c r="E4615" s="2" t="s">
        <v>20</v>
      </c>
      <c r="F4615" s="2">
        <v>3.0</v>
      </c>
      <c r="G4615" s="2">
        <v>361.0</v>
      </c>
      <c r="H4615" s="3" t="str">
        <f>HYPERLINK("http://ar.linkedin.com/pub/gabriel-gomez/2/951/631","http://ar.linkedin.com/pub/gabriel-gomez/2/951/631")</f>
        <v>http://ar.linkedin.com/pub/gabriel-gomez/2/951/631</v>
      </c>
      <c r="I4615" s="2" t="s">
        <v>77</v>
      </c>
      <c r="J4615" s="2" t="s">
        <v>21</v>
      </c>
      <c r="K4615" s="2" t="s">
        <v>5743</v>
      </c>
    </row>
    <row r="4616" ht="15.75" customHeight="1">
      <c r="A4616" s="2">
        <v>51464.0</v>
      </c>
      <c r="B4616" s="2" t="s">
        <v>609</v>
      </c>
      <c r="C4616" s="2" t="s">
        <v>9544</v>
      </c>
      <c r="D4616" s="2" t="s">
        <v>9545</v>
      </c>
      <c r="E4616" s="2" t="s">
        <v>20</v>
      </c>
      <c r="F4616" s="2">
        <v>10.0</v>
      </c>
      <c r="G4616" s="2">
        <v>500.0</v>
      </c>
      <c r="H4616" s="3" t="str">
        <f>HYPERLINK("http://ar.linkedin.com/in/rsarti","http://ar.linkedin.com/in/rsarti")</f>
        <v>http://ar.linkedin.com/in/rsarti</v>
      </c>
      <c r="I4616" s="2" t="s">
        <v>663</v>
      </c>
      <c r="J4616" s="2" t="s">
        <v>21</v>
      </c>
      <c r="K4616" s="2" t="s">
        <v>5727</v>
      </c>
    </row>
    <row r="4617" ht="15.75" customHeight="1">
      <c r="A4617" s="2">
        <v>51477.0</v>
      </c>
      <c r="B4617" s="2" t="s">
        <v>9546</v>
      </c>
      <c r="C4617" s="2" t="s">
        <v>4264</v>
      </c>
      <c r="D4617" s="2" t="s">
        <v>42</v>
      </c>
      <c r="E4617" s="2" t="s">
        <v>20</v>
      </c>
      <c r="F4617" s="2" t="s">
        <v>13</v>
      </c>
      <c r="G4617" s="2">
        <v>500.0</v>
      </c>
      <c r="H4617" s="3" t="str">
        <f>HYPERLINK("http://ar.linkedin.com/in/federicogonzalez","http://ar.linkedin.com/in/federicogonzalez")</f>
        <v>http://ar.linkedin.com/in/federicogonzalez</v>
      </c>
      <c r="I4617" s="2" t="s">
        <v>69</v>
      </c>
      <c r="J4617" s="2" t="s">
        <v>21</v>
      </c>
      <c r="K4617" s="2" t="s">
        <v>5725</v>
      </c>
    </row>
    <row r="4618" ht="15.75" customHeight="1">
      <c r="A4618" s="2">
        <v>51494.0</v>
      </c>
      <c r="B4618" s="2" t="s">
        <v>431</v>
      </c>
      <c r="C4618" s="2" t="s">
        <v>8635</v>
      </c>
      <c r="D4618" s="2" t="s">
        <v>9547</v>
      </c>
      <c r="E4618" s="2" t="s">
        <v>20</v>
      </c>
      <c r="F4618" s="2" t="s">
        <v>13</v>
      </c>
      <c r="G4618" s="2">
        <v>84.0</v>
      </c>
      <c r="H4618" s="3" t="str">
        <f>HYPERLINK("http://ar.linkedin.com/pub/rodrigo-linares/7/2B4/B82","http://ar.linkedin.com/pub/rodrigo-linares/7/2B4/B82")</f>
        <v>http://ar.linkedin.com/pub/rodrigo-linares/7/2B4/B82</v>
      </c>
      <c r="I4618" s="2" t="s">
        <v>669</v>
      </c>
      <c r="J4618" s="2" t="s">
        <v>21</v>
      </c>
      <c r="K4618" s="2" t="s">
        <v>5785</v>
      </c>
    </row>
    <row r="4619" ht="15.75" customHeight="1">
      <c r="A4619" s="2">
        <v>51554.0</v>
      </c>
      <c r="B4619" s="2" t="s">
        <v>9548</v>
      </c>
      <c r="C4619" s="2" t="s">
        <v>9549</v>
      </c>
      <c r="D4619" s="2" t="s">
        <v>13</v>
      </c>
      <c r="E4619" s="2" t="s">
        <v>20</v>
      </c>
      <c r="F4619" s="2">
        <v>0.0</v>
      </c>
      <c r="G4619" s="2">
        <v>88.0</v>
      </c>
      <c r="H4619" s="3" t="str">
        <f>HYPERLINK("http://www.linkedin.com/pub/juan-andr%C3%A9s-mucic/27/1bb/bb","http://www.linkedin.com/pub/juan-andr%C3%A9s-mucic/27/1bb/bb")</f>
        <v>http://www.linkedin.com/pub/juan-andr%C3%A9s-mucic/27/1bb/bb</v>
      </c>
      <c r="I4619" s="2" t="s">
        <v>2081</v>
      </c>
      <c r="J4619" s="2" t="s">
        <v>21</v>
      </c>
      <c r="K4619" s="2" t="s">
        <v>5734</v>
      </c>
    </row>
    <row r="4620" ht="15.75" customHeight="1">
      <c r="A4620" s="2">
        <v>51555.0</v>
      </c>
      <c r="B4620" s="2" t="s">
        <v>5824</v>
      </c>
      <c r="C4620" s="2" t="s">
        <v>9550</v>
      </c>
      <c r="D4620" s="2" t="s">
        <v>8326</v>
      </c>
      <c r="E4620" s="2" t="s">
        <v>20</v>
      </c>
      <c r="F4620" s="2">
        <v>3.0</v>
      </c>
      <c r="G4620" s="2">
        <v>500.0</v>
      </c>
      <c r="H4620" s="3" t="str">
        <f>HYPERLINK("http://ar.linkedin.com/in/aledevescovi","http://ar.linkedin.com/in/aledevescovi")</f>
        <v>http://ar.linkedin.com/in/aledevescovi</v>
      </c>
      <c r="I4620" s="2" t="s">
        <v>1390</v>
      </c>
      <c r="J4620" s="2" t="s">
        <v>21</v>
      </c>
      <c r="K4620" s="2" t="s">
        <v>5727</v>
      </c>
    </row>
    <row r="4621" ht="15.75" customHeight="1">
      <c r="A4621" s="2">
        <v>51569.0</v>
      </c>
      <c r="B4621" s="2" t="s">
        <v>3776</v>
      </c>
      <c r="C4621" s="2" t="s">
        <v>9551</v>
      </c>
      <c r="D4621" s="2" t="s">
        <v>9552</v>
      </c>
      <c r="E4621" s="2" t="s">
        <v>20</v>
      </c>
      <c r="F4621" s="2">
        <v>2.0</v>
      </c>
      <c r="G4621" s="2">
        <v>392.0</v>
      </c>
      <c r="H4621" s="3" t="str">
        <f>HYPERLINK("http://ar.linkedin.com/pub/pedro-contartese/3/54B/95","http://ar.linkedin.com/pub/pedro-contartese/3/54B/95")</f>
        <v>http://ar.linkedin.com/pub/pedro-contartese/3/54B/95</v>
      </c>
      <c r="I4621" s="2" t="s">
        <v>77</v>
      </c>
      <c r="J4621" s="2" t="s">
        <v>21</v>
      </c>
      <c r="K4621" s="2" t="s">
        <v>5743</v>
      </c>
    </row>
    <row r="4622" ht="15.75" customHeight="1">
      <c r="A4622" s="2">
        <v>51576.0</v>
      </c>
      <c r="B4622" s="2" t="s">
        <v>9553</v>
      </c>
      <c r="C4622" s="2" t="s">
        <v>6556</v>
      </c>
      <c r="D4622" s="2" t="s">
        <v>9554</v>
      </c>
      <c r="E4622" s="2" t="s">
        <v>20</v>
      </c>
      <c r="F4622" s="2">
        <v>4.0</v>
      </c>
      <c r="G4622" s="2">
        <v>500.0</v>
      </c>
      <c r="H4622" s="3" t="str">
        <f>HYPERLINK("http://www.linkedin.com/in/luisvidald","http://www.linkedin.com/in/luisvidald")</f>
        <v>http://www.linkedin.com/in/luisvidald</v>
      </c>
      <c r="I4622" s="2" t="s">
        <v>279</v>
      </c>
      <c r="J4622" s="2" t="s">
        <v>21</v>
      </c>
      <c r="K4622" s="2" t="s">
        <v>5734</v>
      </c>
    </row>
    <row r="4623" ht="15.75" customHeight="1">
      <c r="A4623" s="2">
        <v>51590.0</v>
      </c>
      <c r="B4623" s="2" t="s">
        <v>6198</v>
      </c>
      <c r="C4623" s="2" t="s">
        <v>9555</v>
      </c>
      <c r="D4623" s="2" t="s">
        <v>8690</v>
      </c>
      <c r="E4623" s="2" t="s">
        <v>20</v>
      </c>
      <c r="F4623" s="2">
        <v>2.0</v>
      </c>
      <c r="G4623" s="2">
        <v>198.0</v>
      </c>
      <c r="H4623" s="3" t="str">
        <f>HYPERLINK("http://ar.linkedin.com/in/andresvisillac","http://ar.linkedin.com/in/andresvisillac")</f>
        <v>http://ar.linkedin.com/in/andresvisillac</v>
      </c>
      <c r="I4623" s="2" t="s">
        <v>326</v>
      </c>
      <c r="J4623" s="2" t="s">
        <v>21</v>
      </c>
      <c r="K4623" s="2" t="s">
        <v>5727</v>
      </c>
    </row>
    <row r="4624" ht="15.75" customHeight="1">
      <c r="A4624" s="2">
        <v>51592.0</v>
      </c>
      <c r="B4624" s="2" t="s">
        <v>5763</v>
      </c>
      <c r="C4624" s="2" t="s">
        <v>9556</v>
      </c>
      <c r="D4624" s="2" t="s">
        <v>9557</v>
      </c>
      <c r="E4624" s="2" t="s">
        <v>20</v>
      </c>
      <c r="F4624" s="2" t="s">
        <v>13</v>
      </c>
      <c r="G4624" s="2">
        <v>500.0</v>
      </c>
      <c r="H4624" s="3" t="str">
        <f>HYPERLINK("http://ar.linkedin.com/in/ezequielracioppi","http://ar.linkedin.com/in/ezequielracioppi")</f>
        <v>http://ar.linkedin.com/in/ezequielracioppi</v>
      </c>
      <c r="I4624" s="2" t="s">
        <v>2419</v>
      </c>
      <c r="J4624" s="2" t="s">
        <v>21</v>
      </c>
      <c r="K4624" s="2" t="s">
        <v>5734</v>
      </c>
    </row>
    <row r="4625" ht="15.75" customHeight="1">
      <c r="A4625" s="2">
        <v>51616.0</v>
      </c>
      <c r="B4625" s="2" t="s">
        <v>5846</v>
      </c>
      <c r="C4625" s="2" t="s">
        <v>9558</v>
      </c>
      <c r="D4625" s="2" t="s">
        <v>13</v>
      </c>
      <c r="E4625" s="2" t="s">
        <v>20</v>
      </c>
      <c r="F4625" s="2">
        <v>0.0</v>
      </c>
      <c r="G4625" s="2">
        <v>500.0</v>
      </c>
      <c r="H4625" s="3" t="str">
        <f>HYPERLINK("http://www.linkedin.com/pub/horacio-santcovsky/4/949/b28","http://www.linkedin.com/pub/horacio-santcovsky/4/949/b28")</f>
        <v>http://www.linkedin.com/pub/horacio-santcovsky/4/949/b28</v>
      </c>
      <c r="I4625" s="2" t="s">
        <v>681</v>
      </c>
      <c r="J4625" s="2" t="s">
        <v>21</v>
      </c>
      <c r="K4625" s="2" t="s">
        <v>5785</v>
      </c>
    </row>
    <row r="4626" ht="15.75" customHeight="1">
      <c r="A4626" s="2">
        <v>51623.0</v>
      </c>
      <c r="B4626" s="2" t="s">
        <v>3223</v>
      </c>
      <c r="C4626" s="2" t="s">
        <v>9559</v>
      </c>
      <c r="D4626" s="2" t="s">
        <v>6081</v>
      </c>
      <c r="E4626" s="2" t="s">
        <v>20</v>
      </c>
      <c r="F4626" s="2" t="s">
        <v>13</v>
      </c>
      <c r="G4626" s="2">
        <v>164.0</v>
      </c>
      <c r="H4626" s="3" t="str">
        <f>HYPERLINK("http://ar.linkedin.com/pub/laura-nistal/A/837/AB4","http://ar.linkedin.com/pub/laura-nistal/A/837/AB4")</f>
        <v>http://ar.linkedin.com/pub/laura-nistal/A/837/AB4</v>
      </c>
      <c r="I4626" s="2" t="s">
        <v>910</v>
      </c>
      <c r="J4626" s="2" t="s">
        <v>21</v>
      </c>
      <c r="K4626" s="2" t="s">
        <v>5734</v>
      </c>
    </row>
    <row r="4627" ht="15.75" customHeight="1">
      <c r="A4627" s="2">
        <v>51627.0</v>
      </c>
      <c r="B4627" s="2" t="s">
        <v>9560</v>
      </c>
      <c r="C4627" s="2" t="s">
        <v>9561</v>
      </c>
      <c r="D4627" s="2" t="s">
        <v>13</v>
      </c>
      <c r="E4627" s="2" t="s">
        <v>20</v>
      </c>
      <c r="F4627" s="2">
        <v>11.0</v>
      </c>
      <c r="G4627" s="2">
        <v>500.0</v>
      </c>
      <c r="H4627" s="3" t="str">
        <f>HYPERLINK("http://www.linkedin.com/pub/jos%C3%A9-mar%C3%ADa-falcioni/1/183/318","http://www.linkedin.com/pub/jos%C3%A9-mar%C3%ADa-falcioni/1/183/318")</f>
        <v>http://www.linkedin.com/pub/jos%C3%A9-mar%C3%ADa-falcioni/1/183/318</v>
      </c>
      <c r="I4627" s="2" t="s">
        <v>15</v>
      </c>
      <c r="J4627" s="2" t="s">
        <v>21</v>
      </c>
      <c r="K4627" s="2" t="s">
        <v>6588</v>
      </c>
    </row>
    <row r="4628" ht="15.75" customHeight="1">
      <c r="A4628" s="2">
        <v>51630.0</v>
      </c>
      <c r="B4628" s="2" t="s">
        <v>4503</v>
      </c>
      <c r="C4628" s="2" t="s">
        <v>9562</v>
      </c>
      <c r="D4628" s="2" t="s">
        <v>9563</v>
      </c>
      <c r="E4628" s="2" t="s">
        <v>20</v>
      </c>
      <c r="F4628" s="2">
        <v>1.0</v>
      </c>
      <c r="G4628" s="2">
        <v>305.0</v>
      </c>
      <c r="H4628" s="3" t="str">
        <f>HYPERLINK("http://ar.linkedin.com/in/fernandaravizzini","http://ar.linkedin.com/in/fernandaravizzini")</f>
        <v>http://ar.linkedin.com/in/fernandaravizzini</v>
      </c>
      <c r="I4628" s="2" t="s">
        <v>15</v>
      </c>
      <c r="J4628" s="2" t="s">
        <v>21</v>
      </c>
      <c r="K4628" s="2" t="s">
        <v>5725</v>
      </c>
    </row>
    <row r="4629" ht="15.75" customHeight="1">
      <c r="A4629" s="2">
        <v>51636.0</v>
      </c>
      <c r="B4629" s="2" t="s">
        <v>703</v>
      </c>
      <c r="C4629" s="2" t="s">
        <v>5189</v>
      </c>
      <c r="D4629" s="2" t="s">
        <v>289</v>
      </c>
      <c r="E4629" s="2" t="s">
        <v>20</v>
      </c>
      <c r="F4629" s="2" t="s">
        <v>13</v>
      </c>
      <c r="G4629" s="2">
        <v>500.0</v>
      </c>
      <c r="H4629" s="3" t="str">
        <f>HYPERLINK("http://ar.linkedin.com/pub/rafael-val/21/248/415","http://ar.linkedin.com/pub/rafael-val/21/248/415")</f>
        <v>http://ar.linkedin.com/pub/rafael-val/21/248/415</v>
      </c>
      <c r="I4629" s="2" t="s">
        <v>195</v>
      </c>
      <c r="J4629" s="2" t="s">
        <v>21</v>
      </c>
      <c r="K4629" s="2" t="s">
        <v>5865</v>
      </c>
    </row>
    <row r="4630" ht="15.75" customHeight="1">
      <c r="A4630" s="2">
        <v>51734.0</v>
      </c>
      <c r="B4630" s="2" t="s">
        <v>9564</v>
      </c>
      <c r="C4630" s="2" t="s">
        <v>9565</v>
      </c>
      <c r="D4630" s="2" t="s">
        <v>9566</v>
      </c>
      <c r="E4630" s="2" t="s">
        <v>2058</v>
      </c>
      <c r="F4630" s="2" t="s">
        <v>13</v>
      </c>
      <c r="G4630" s="2">
        <v>28.0</v>
      </c>
      <c r="H4630" s="3" t="str">
        <f>HYPERLINK("http://www.linkedin.com/pub/moogie-canazio/4/457/118","http://www.linkedin.com/pub/moogie-canazio/4/457/118")</f>
        <v>http://www.linkedin.com/pub/moogie-canazio/4/457/118</v>
      </c>
      <c r="I4630" s="2" t="s">
        <v>318</v>
      </c>
      <c r="J4630" s="2" t="s">
        <v>102</v>
      </c>
      <c r="K4630" s="2" t="s">
        <v>8143</v>
      </c>
    </row>
    <row r="4631" ht="15.75" customHeight="1">
      <c r="A4631" s="2">
        <v>51804.0</v>
      </c>
      <c r="B4631" s="2" t="s">
        <v>253</v>
      </c>
      <c r="C4631" s="2" t="s">
        <v>9567</v>
      </c>
      <c r="D4631" s="2" t="s">
        <v>8416</v>
      </c>
      <c r="E4631" s="2" t="s">
        <v>20</v>
      </c>
      <c r="F4631" s="2">
        <v>3.0</v>
      </c>
      <c r="G4631" s="2">
        <v>140.0</v>
      </c>
      <c r="H4631" s="3" t="str">
        <f>HYPERLINK("http://ar.linkedin.com/in/ftoledo","http://ar.linkedin.com/in/ftoledo")</f>
        <v>http://ar.linkedin.com/in/ftoledo</v>
      </c>
      <c r="I4631" s="2" t="s">
        <v>2603</v>
      </c>
      <c r="J4631" s="2" t="s">
        <v>21</v>
      </c>
      <c r="K4631" s="2" t="s">
        <v>6325</v>
      </c>
    </row>
    <row r="4632" ht="15.75" customHeight="1">
      <c r="A4632" s="2">
        <v>51816.0</v>
      </c>
      <c r="B4632" s="2" t="s">
        <v>9568</v>
      </c>
      <c r="C4632" s="2" t="s">
        <v>9569</v>
      </c>
      <c r="D4632" s="2" t="s">
        <v>6040</v>
      </c>
      <c r="E4632" s="2" t="s">
        <v>20</v>
      </c>
      <c r="F4632" s="2">
        <v>2.0</v>
      </c>
      <c r="G4632" s="2">
        <v>129.0</v>
      </c>
      <c r="H4632" s="3" t="str">
        <f>HYPERLINK("http://ar.linkedin.com/in/manuelignaciolealmarchena","http://ar.linkedin.com/in/manuelignaciolealmarchena")</f>
        <v>http://ar.linkedin.com/in/manuelignaciolealmarchena</v>
      </c>
      <c r="I4632" s="2" t="s">
        <v>77</v>
      </c>
      <c r="J4632" s="2" t="s">
        <v>21</v>
      </c>
      <c r="K4632" s="2" t="s">
        <v>5731</v>
      </c>
    </row>
    <row r="4633" ht="15.75" customHeight="1">
      <c r="A4633" s="2">
        <v>51940.0</v>
      </c>
      <c r="B4633" s="2" t="s">
        <v>8024</v>
      </c>
      <c r="C4633" s="2" t="s">
        <v>9570</v>
      </c>
      <c r="D4633" s="2" t="s">
        <v>13</v>
      </c>
      <c r="E4633" s="2" t="s">
        <v>20</v>
      </c>
      <c r="F4633" s="2">
        <v>8.0</v>
      </c>
      <c r="G4633" s="2">
        <v>500.0</v>
      </c>
      <c r="H4633" s="3" t="str">
        <f>HYPERLINK("http://www.linkedin.com/pub/jose-maria-garcia-casabal/4/394/8b0","http://www.linkedin.com/pub/jose-maria-garcia-casabal/4/394/8b0")</f>
        <v>http://www.linkedin.com/pub/jose-maria-garcia-casabal/4/394/8b0</v>
      </c>
      <c r="I4633" s="2" t="s">
        <v>69</v>
      </c>
      <c r="J4633" s="2" t="s">
        <v>21</v>
      </c>
      <c r="K4633" s="2" t="s">
        <v>5785</v>
      </c>
    </row>
    <row r="4634" ht="15.75" customHeight="1">
      <c r="A4634" s="2">
        <v>51955.0</v>
      </c>
      <c r="B4634" s="2" t="s">
        <v>540</v>
      </c>
      <c r="C4634" s="2" t="s">
        <v>9571</v>
      </c>
      <c r="D4634" s="2" t="s">
        <v>7197</v>
      </c>
      <c r="E4634" s="2" t="s">
        <v>20</v>
      </c>
      <c r="F4634" s="2">
        <v>2.0</v>
      </c>
      <c r="G4634" s="2">
        <v>445.0</v>
      </c>
      <c r="H4634" s="3" t="str">
        <f>HYPERLINK("http://ar.linkedin.com/pub/christian-pastor/A/5B/635","http://ar.linkedin.com/pub/christian-pastor/A/5B/635")</f>
        <v>http://ar.linkedin.com/pub/christian-pastor/A/5B/635</v>
      </c>
      <c r="I4634" s="2" t="s">
        <v>714</v>
      </c>
      <c r="J4634" s="2" t="s">
        <v>21</v>
      </c>
      <c r="K4634" s="2" t="s">
        <v>5727</v>
      </c>
    </row>
    <row r="4635" ht="15.75" customHeight="1">
      <c r="A4635" s="2">
        <v>51956.0</v>
      </c>
      <c r="B4635" s="2" t="s">
        <v>5723</v>
      </c>
      <c r="C4635" s="2" t="s">
        <v>9572</v>
      </c>
      <c r="D4635" s="2" t="s">
        <v>9573</v>
      </c>
      <c r="E4635" s="2" t="s">
        <v>20</v>
      </c>
      <c r="F4635" s="2">
        <v>11.0</v>
      </c>
      <c r="G4635" s="2">
        <v>421.0</v>
      </c>
      <c r="H4635" s="3" t="str">
        <f>HYPERLINK("http://ar.linkedin.com/pub/pablo-beriachetto/15/10B/850","http://ar.linkedin.com/pub/pablo-beriachetto/15/10B/850")</f>
        <v>http://ar.linkedin.com/pub/pablo-beriachetto/15/10B/850</v>
      </c>
      <c r="I4635" s="2" t="s">
        <v>77</v>
      </c>
      <c r="J4635" s="2" t="s">
        <v>21</v>
      </c>
      <c r="K4635" s="2" t="s">
        <v>5731</v>
      </c>
    </row>
    <row r="4636" ht="15.75" customHeight="1">
      <c r="A4636" s="2">
        <v>51975.0</v>
      </c>
      <c r="B4636" s="2" t="s">
        <v>862</v>
      </c>
      <c r="C4636" s="2" t="s">
        <v>9574</v>
      </c>
      <c r="D4636" s="2" t="s">
        <v>8416</v>
      </c>
      <c r="E4636" s="2" t="s">
        <v>20</v>
      </c>
      <c r="F4636" s="2">
        <v>2.0</v>
      </c>
      <c r="G4636" s="2">
        <v>105.0</v>
      </c>
      <c r="H4636" s="3" t="str">
        <f>HYPERLINK("http://ar.linkedin.com/in/gmarincola","http://ar.linkedin.com/in/gmarincola")</f>
        <v>http://ar.linkedin.com/in/gmarincola</v>
      </c>
      <c r="I4636" s="2" t="s">
        <v>105</v>
      </c>
      <c r="J4636" s="2" t="s">
        <v>21</v>
      </c>
      <c r="K4636" s="2" t="s">
        <v>5727</v>
      </c>
    </row>
    <row r="4637" ht="15.75" customHeight="1">
      <c r="A4637" s="2">
        <v>51982.0</v>
      </c>
      <c r="B4637" s="2" t="s">
        <v>5732</v>
      </c>
      <c r="C4637" s="2" t="s">
        <v>9575</v>
      </c>
      <c r="D4637" s="2" t="s">
        <v>9576</v>
      </c>
      <c r="E4637" s="2" t="s">
        <v>20</v>
      </c>
      <c r="F4637" s="2">
        <v>12.0</v>
      </c>
      <c r="G4637" s="2">
        <v>500.0</v>
      </c>
      <c r="H4637" s="3" t="str">
        <f>HYPERLINK("http://www.linkedin.com/in/martinponce","http://www.linkedin.com/in/martinponce")</f>
        <v>http://www.linkedin.com/in/martinponce</v>
      </c>
      <c r="I4637" s="2" t="s">
        <v>15</v>
      </c>
      <c r="J4637" s="2" t="s">
        <v>21</v>
      </c>
      <c r="K4637" s="2" t="s">
        <v>5777</v>
      </c>
    </row>
    <row r="4638" ht="15.75" customHeight="1">
      <c r="A4638" s="2">
        <v>51983.0</v>
      </c>
      <c r="B4638" s="2" t="s">
        <v>3684</v>
      </c>
      <c r="C4638" s="2" t="s">
        <v>9577</v>
      </c>
      <c r="D4638" s="2" t="s">
        <v>13</v>
      </c>
      <c r="E4638" s="2" t="s">
        <v>20</v>
      </c>
      <c r="F4638" s="2">
        <v>0.0</v>
      </c>
      <c r="G4638" s="2">
        <v>414.0</v>
      </c>
      <c r="H4638" s="3" t="str">
        <f>HYPERLINK("http://www.linkedin.com/pub/walter-vinitzca/4/6b1/aa2","http://www.linkedin.com/pub/walter-vinitzca/4/6b1/aa2")</f>
        <v>http://www.linkedin.com/pub/walter-vinitzca/4/6b1/aa2</v>
      </c>
      <c r="I4638" s="2" t="s">
        <v>96</v>
      </c>
      <c r="J4638" s="2" t="s">
        <v>21</v>
      </c>
      <c r="K4638" s="2" t="s">
        <v>5727</v>
      </c>
    </row>
    <row r="4639" ht="15.75" customHeight="1">
      <c r="A4639" s="2">
        <v>52004.0</v>
      </c>
      <c r="B4639" s="2" t="s">
        <v>2648</v>
      </c>
      <c r="C4639" s="2" t="s">
        <v>9578</v>
      </c>
      <c r="D4639" s="2" t="s">
        <v>5807</v>
      </c>
      <c r="E4639" s="2" t="s">
        <v>122</v>
      </c>
      <c r="F4639" s="2">
        <v>8.0</v>
      </c>
      <c r="G4639" s="2">
        <v>500.0</v>
      </c>
      <c r="H4639" s="3" t="str">
        <f>HYPERLINK("http://uk.linkedin.com/pub/norman-areh/21/269/395","http://uk.linkedin.com/pub/norman-areh/21/269/395")</f>
        <v>http://uk.linkedin.com/pub/norman-areh/21/269/395</v>
      </c>
      <c r="I4639" s="2" t="s">
        <v>248</v>
      </c>
      <c r="J4639" s="2" t="s">
        <v>53</v>
      </c>
      <c r="K4639" s="2" t="s">
        <v>8905</v>
      </c>
    </row>
    <row r="4640" ht="15.75" customHeight="1">
      <c r="A4640" s="2">
        <v>52028.0</v>
      </c>
      <c r="B4640" s="2" t="s">
        <v>275</v>
      </c>
      <c r="C4640" s="2" t="s">
        <v>9579</v>
      </c>
      <c r="D4640" s="2"/>
      <c r="E4640" s="2" t="s">
        <v>9580</v>
      </c>
      <c r="F4640" s="2">
        <v>19.0</v>
      </c>
      <c r="G4640" s="2">
        <v>500.0</v>
      </c>
      <c r="H4640" s="3" t="str">
        <f>HYPERLINK("http://www.linkedin.com/in/marksweeney1973","http://www.linkedin.com/in/marksweeney1973")</f>
        <v>http://www.linkedin.com/in/marksweeney1973</v>
      </c>
      <c r="I4640" s="2" t="s">
        <v>248</v>
      </c>
      <c r="J4640" s="2" t="s">
        <v>53</v>
      </c>
      <c r="K4640" s="2" t="s">
        <v>5734</v>
      </c>
    </row>
    <row r="4641" ht="15.75" customHeight="1">
      <c r="A4641" s="2">
        <v>52072.0</v>
      </c>
      <c r="B4641" s="2" t="s">
        <v>3165</v>
      </c>
      <c r="C4641" s="2" t="s">
        <v>9581</v>
      </c>
      <c r="D4641" s="2" t="s">
        <v>9582</v>
      </c>
      <c r="E4641" s="2" t="s">
        <v>20</v>
      </c>
      <c r="F4641" s="2">
        <v>12.0</v>
      </c>
      <c r="G4641" s="2">
        <v>140.0</v>
      </c>
      <c r="H4641" s="3" t="str">
        <f>HYPERLINK("http://ar.linkedin.com/in/lucianagodoy","http://ar.linkedin.com/in/lucianagodoy")</f>
        <v>http://ar.linkedin.com/in/lucianagodoy</v>
      </c>
      <c r="I4641" s="2" t="s">
        <v>2268</v>
      </c>
      <c r="J4641" s="2" t="s">
        <v>21</v>
      </c>
      <c r="K4641" s="2" t="s">
        <v>5727</v>
      </c>
    </row>
    <row r="4642" ht="15.75" customHeight="1">
      <c r="A4642" s="2">
        <v>52080.0</v>
      </c>
      <c r="B4642" s="2" t="s">
        <v>3692</v>
      </c>
      <c r="C4642" s="2" t="s">
        <v>9583</v>
      </c>
      <c r="D4642" s="2" t="s">
        <v>6081</v>
      </c>
      <c r="E4642" s="2" t="s">
        <v>20</v>
      </c>
      <c r="F4642" s="2" t="s">
        <v>13</v>
      </c>
      <c r="G4642" s="2">
        <v>129.0</v>
      </c>
      <c r="H4642" s="3" t="str">
        <f>HYPERLINK("http://ar.linkedin.com/pub/federico-salvetti/1A/999/837","http://ar.linkedin.com/pub/federico-salvetti/1A/999/837")</f>
        <v>http://ar.linkedin.com/pub/federico-salvetti/1A/999/837</v>
      </c>
      <c r="I4642" s="2" t="s">
        <v>2419</v>
      </c>
      <c r="J4642" s="2" t="s">
        <v>21</v>
      </c>
      <c r="K4642" s="2" t="s">
        <v>5734</v>
      </c>
    </row>
    <row r="4643" ht="15.75" customHeight="1">
      <c r="A4643" s="2">
        <v>52115.0</v>
      </c>
      <c r="B4643" s="2" t="s">
        <v>9584</v>
      </c>
      <c r="C4643" s="2" t="s">
        <v>9585</v>
      </c>
      <c r="D4643" s="2" t="s">
        <v>9586</v>
      </c>
      <c r="E4643" s="2" t="s">
        <v>20</v>
      </c>
      <c r="F4643" s="2" t="s">
        <v>13</v>
      </c>
      <c r="G4643" s="2">
        <v>383.0</v>
      </c>
      <c r="H4643" s="3" t="str">
        <f>HYPERLINK("http://ar.linkedin.com/pub/celeste-seibel/19/8B9/752","http://ar.linkedin.com/pub/celeste-seibel/19/8B9/752")</f>
        <v>http://ar.linkedin.com/pub/celeste-seibel/19/8B9/752</v>
      </c>
      <c r="I4643" s="2" t="s">
        <v>612</v>
      </c>
      <c r="J4643" s="2" t="s">
        <v>21</v>
      </c>
      <c r="K4643" s="2" t="s">
        <v>5725</v>
      </c>
    </row>
    <row r="4644" ht="15.75" customHeight="1">
      <c r="A4644" s="2">
        <v>52116.0</v>
      </c>
      <c r="B4644" s="2" t="s">
        <v>3692</v>
      </c>
      <c r="C4644" s="2" t="s">
        <v>5924</v>
      </c>
      <c r="D4644" s="2" t="s">
        <v>9587</v>
      </c>
      <c r="E4644" s="2" t="s">
        <v>20</v>
      </c>
      <c r="F4644" s="2">
        <v>5.0</v>
      </c>
      <c r="G4644" s="2">
        <v>500.0</v>
      </c>
      <c r="H4644" s="3" t="str">
        <f>HYPERLINK("http://ar.linkedin.com/in/federicoalonso","http://ar.linkedin.com/in/federicoalonso")</f>
        <v>http://ar.linkedin.com/in/federicoalonso</v>
      </c>
      <c r="I4644" s="2" t="s">
        <v>195</v>
      </c>
      <c r="J4644" s="2" t="s">
        <v>21</v>
      </c>
      <c r="K4644" s="2" t="s">
        <v>6046</v>
      </c>
    </row>
    <row r="4645" ht="15.75" customHeight="1">
      <c r="A4645" s="2">
        <v>52123.0</v>
      </c>
      <c r="B4645" s="2" t="s">
        <v>812</v>
      </c>
      <c r="C4645" s="2" t="s">
        <v>9588</v>
      </c>
      <c r="D4645" s="2" t="s">
        <v>9589</v>
      </c>
      <c r="E4645" s="2" t="s">
        <v>20</v>
      </c>
      <c r="F4645" s="2">
        <v>3.0</v>
      </c>
      <c r="G4645" s="2">
        <v>156.0</v>
      </c>
      <c r="H4645" s="3" t="str">
        <f>HYPERLINK("http://ar.linkedin.com/in/vangelini","http://ar.linkedin.com/in/vangelini")</f>
        <v>http://ar.linkedin.com/in/vangelini</v>
      </c>
      <c r="I4645" s="2" t="s">
        <v>77</v>
      </c>
      <c r="J4645" s="2" t="s">
        <v>21</v>
      </c>
      <c r="K4645" s="2" t="s">
        <v>5743</v>
      </c>
    </row>
    <row r="4646" ht="15.75" customHeight="1">
      <c r="A4646" s="2">
        <v>52130.0</v>
      </c>
      <c r="B4646" s="2" t="s">
        <v>9590</v>
      </c>
      <c r="C4646" s="2" t="s">
        <v>9591</v>
      </c>
      <c r="D4646" s="2" t="s">
        <v>13</v>
      </c>
      <c r="E4646" s="2" t="s">
        <v>20</v>
      </c>
      <c r="F4646" s="2">
        <v>0.0</v>
      </c>
      <c r="G4646" s="2">
        <v>448.0</v>
      </c>
      <c r="H4646" s="3" t="str">
        <f>HYPERLINK("http://www.linkedin.com/pub/luis-fernando-zepponi/11/965/127","http://www.linkedin.com/pub/luis-fernando-zepponi/11/965/127")</f>
        <v>http://www.linkedin.com/pub/luis-fernando-zepponi/11/965/127</v>
      </c>
      <c r="I4646" s="2" t="s">
        <v>365</v>
      </c>
      <c r="J4646" s="2" t="s">
        <v>21</v>
      </c>
      <c r="K4646" s="2" t="s">
        <v>5727</v>
      </c>
    </row>
    <row r="4647" ht="15.75" customHeight="1">
      <c r="A4647" s="2">
        <v>52160.0</v>
      </c>
      <c r="B4647" s="2" t="s">
        <v>5723</v>
      </c>
      <c r="C4647" s="2" t="s">
        <v>9592</v>
      </c>
      <c r="D4647" s="2" t="s">
        <v>13</v>
      </c>
      <c r="E4647" s="2" t="s">
        <v>20</v>
      </c>
      <c r="F4647" s="2">
        <v>0.0</v>
      </c>
      <c r="G4647" s="2">
        <v>500.0</v>
      </c>
      <c r="H4647" s="3" t="str">
        <f>HYPERLINK("http://www.linkedin.com/pub/pablo-bononi/20/899/567","http://www.linkedin.com/pub/pablo-bononi/20/899/567")</f>
        <v>http://www.linkedin.com/pub/pablo-bononi/20/899/567</v>
      </c>
      <c r="I4647" s="2" t="s">
        <v>77</v>
      </c>
      <c r="J4647" s="2" t="s">
        <v>21</v>
      </c>
      <c r="K4647" s="2" t="s">
        <v>5731</v>
      </c>
    </row>
    <row r="4648" ht="15.75" customHeight="1">
      <c r="A4648" s="2">
        <v>52196.0</v>
      </c>
      <c r="B4648" s="2" t="s">
        <v>9593</v>
      </c>
      <c r="C4648" s="2" t="s">
        <v>9594</v>
      </c>
      <c r="D4648" s="2" t="s">
        <v>9595</v>
      </c>
      <c r="E4648" s="2" t="s">
        <v>20</v>
      </c>
      <c r="F4648" s="2">
        <v>1.0</v>
      </c>
      <c r="G4648" s="2">
        <v>127.0</v>
      </c>
      <c r="H4648" s="3" t="str">
        <f>HYPERLINK("http://ar.linkedin.com/pub/licia-labate/7/ABA/838","http://ar.linkedin.com/pub/licia-labate/7/ABA/838")</f>
        <v>http://ar.linkedin.com/pub/licia-labate/7/ABA/838</v>
      </c>
      <c r="I4648" s="2" t="s">
        <v>48</v>
      </c>
      <c r="J4648" s="2" t="s">
        <v>21</v>
      </c>
      <c r="K4648" s="2" t="s">
        <v>5725</v>
      </c>
    </row>
    <row r="4649" ht="15.75" customHeight="1">
      <c r="A4649" s="2">
        <v>52208.0</v>
      </c>
      <c r="B4649" s="2" t="s">
        <v>5883</v>
      </c>
      <c r="C4649" s="2" t="s">
        <v>9596</v>
      </c>
      <c r="D4649" s="2" t="s">
        <v>9597</v>
      </c>
      <c r="E4649" s="2" t="s">
        <v>20</v>
      </c>
      <c r="F4649" s="2">
        <v>14.0</v>
      </c>
      <c r="G4649" s="2">
        <v>500.0</v>
      </c>
      <c r="H4649" s="3" t="str">
        <f>HYPERLINK("http://ar.linkedin.com/in/arielcalvo","http://ar.linkedin.com/in/arielcalvo")</f>
        <v>http://ar.linkedin.com/in/arielcalvo</v>
      </c>
      <c r="I4649" s="2" t="s">
        <v>167</v>
      </c>
      <c r="J4649" s="2" t="s">
        <v>21</v>
      </c>
      <c r="K4649" s="2" t="s">
        <v>5727</v>
      </c>
    </row>
    <row r="4650" ht="15.75" customHeight="1">
      <c r="A4650" s="2">
        <v>52247.0</v>
      </c>
      <c r="B4650" s="2" t="s">
        <v>492</v>
      </c>
      <c r="C4650" s="2" t="s">
        <v>9598</v>
      </c>
      <c r="D4650" s="2" t="s">
        <v>13</v>
      </c>
      <c r="E4650" s="2" t="s">
        <v>20</v>
      </c>
      <c r="F4650" s="2">
        <v>0.0</v>
      </c>
      <c r="G4650" s="2">
        <v>500.0</v>
      </c>
      <c r="H4650" s="3" t="str">
        <f>HYPERLINK("http://www.linkedin.com/pub/sergio-vekselman/0/845/3a4","http://www.linkedin.com/pub/sergio-vekselman/0/845/3a4")</f>
        <v>http://www.linkedin.com/pub/sergio-vekselman/0/845/3a4</v>
      </c>
      <c r="I4650" s="2" t="s">
        <v>48</v>
      </c>
      <c r="J4650" s="2" t="s">
        <v>21</v>
      </c>
      <c r="K4650" s="2" t="s">
        <v>5725</v>
      </c>
    </row>
    <row r="4651" ht="15.75" customHeight="1">
      <c r="A4651" s="2">
        <v>52271.0</v>
      </c>
      <c r="B4651" s="2" t="s">
        <v>9414</v>
      </c>
      <c r="C4651" s="2" t="s">
        <v>9599</v>
      </c>
      <c r="D4651" s="2" t="s">
        <v>9600</v>
      </c>
      <c r="E4651" s="2" t="s">
        <v>20</v>
      </c>
      <c r="F4651" s="2">
        <v>4.0</v>
      </c>
      <c r="G4651" s="2">
        <v>145.0</v>
      </c>
      <c r="H4651" s="3" t="str">
        <f>HYPERLINK("http://ar.linkedin.com/pub/diana-carolina-calderon/1A/143/8A6","http://ar.linkedin.com/pub/diana-carolina-calderon/1A/143/8A6")</f>
        <v>http://ar.linkedin.com/pub/diana-carolina-calderon/1A/143/8A6</v>
      </c>
      <c r="I4651" s="2" t="s">
        <v>279</v>
      </c>
      <c r="J4651" s="2" t="s">
        <v>21</v>
      </c>
      <c r="K4651" s="2" t="s">
        <v>5727</v>
      </c>
    </row>
    <row r="4652" ht="15.75" customHeight="1">
      <c r="A4652" s="2">
        <v>52275.0</v>
      </c>
      <c r="B4652" s="2" t="s">
        <v>371</v>
      </c>
      <c r="C4652" s="2" t="s">
        <v>9601</v>
      </c>
      <c r="D4652" s="2" t="s">
        <v>498</v>
      </c>
      <c r="E4652" s="2" t="s">
        <v>20</v>
      </c>
      <c r="F4652" s="2">
        <v>3.0</v>
      </c>
      <c r="G4652" s="2">
        <v>500.0</v>
      </c>
      <c r="H4652" s="3" t="str">
        <f>HYPERLINK("http://ar.linkedin.com/pub/cristina-kroll/2/580/56","http://ar.linkedin.com/pub/cristina-kroll/2/580/56")</f>
        <v>http://ar.linkedin.com/pub/cristina-kroll/2/580/56</v>
      </c>
      <c r="I4652" s="2" t="s">
        <v>2285</v>
      </c>
      <c r="J4652" s="2" t="s">
        <v>21</v>
      </c>
      <c r="K4652" s="2" t="s">
        <v>5743</v>
      </c>
    </row>
    <row r="4653" ht="15.75" customHeight="1">
      <c r="A4653" s="2">
        <v>52295.0</v>
      </c>
      <c r="B4653" s="2" t="s">
        <v>1230</v>
      </c>
      <c r="C4653" s="2" t="s">
        <v>9602</v>
      </c>
      <c r="D4653" s="2" t="s">
        <v>498</v>
      </c>
      <c r="E4653" s="2" t="s">
        <v>20</v>
      </c>
      <c r="F4653" s="2">
        <v>2.0</v>
      </c>
      <c r="G4653" s="2">
        <v>487.0</v>
      </c>
      <c r="H4653" s="3" t="str">
        <f>HYPERLINK("http://ar.linkedin.com/in/albertobelluschi","http://ar.linkedin.com/in/albertobelluschi")</f>
        <v>http://ar.linkedin.com/in/albertobelluschi</v>
      </c>
      <c r="I4653" s="2" t="s">
        <v>2023</v>
      </c>
      <c r="J4653" s="2" t="s">
        <v>21</v>
      </c>
      <c r="K4653" s="2" t="s">
        <v>5743</v>
      </c>
    </row>
    <row r="4654" ht="15.75" customHeight="1">
      <c r="A4654" s="2">
        <v>52307.0</v>
      </c>
      <c r="B4654" s="2" t="s">
        <v>9603</v>
      </c>
      <c r="C4654" s="2" t="s">
        <v>4233</v>
      </c>
      <c r="D4654" s="2" t="s">
        <v>9604</v>
      </c>
      <c r="E4654" s="2" t="s">
        <v>20</v>
      </c>
      <c r="F4654" s="2">
        <v>1.0</v>
      </c>
      <c r="G4654" s="2">
        <v>198.0</v>
      </c>
      <c r="H4654" s="3" t="str">
        <f>HYPERLINK("http://ar.linkedin.com/in/jsigonzalez","http://ar.linkedin.com/in/jsigonzalez")</f>
        <v>http://ar.linkedin.com/in/jsigonzalez</v>
      </c>
      <c r="I4654" s="2" t="s">
        <v>279</v>
      </c>
      <c r="J4654" s="2" t="s">
        <v>21</v>
      </c>
      <c r="K4654" s="2" t="s">
        <v>5734</v>
      </c>
    </row>
    <row r="4655" ht="15.75" customHeight="1">
      <c r="A4655" s="2">
        <v>52343.0</v>
      </c>
      <c r="B4655" s="2" t="s">
        <v>9605</v>
      </c>
      <c r="C4655" s="2" t="s">
        <v>9606</v>
      </c>
      <c r="D4655" s="2" t="s">
        <v>9607</v>
      </c>
      <c r="E4655" s="2" t="s">
        <v>20</v>
      </c>
      <c r="F4655" s="2" t="s">
        <v>13</v>
      </c>
      <c r="G4655" s="2">
        <v>500.0</v>
      </c>
      <c r="H4655" s="3" t="str">
        <f>HYPERLINK("http://ar.linkedin.com/pub/mar%C3%ADa-vanina-cali/22/7A8/50","http://ar.linkedin.com/pub/mar%C3%ADa-vanina-cali/22/7A8/50")</f>
        <v>http://ar.linkedin.com/pub/mar%C3%ADa-vanina-cali/22/7A8/50</v>
      </c>
      <c r="I4655" s="2" t="s">
        <v>458</v>
      </c>
      <c r="J4655" s="2" t="s">
        <v>21</v>
      </c>
      <c r="K4655" s="2" t="s">
        <v>5734</v>
      </c>
    </row>
    <row r="4656" ht="15.75" customHeight="1">
      <c r="A4656" s="2">
        <v>52374.0</v>
      </c>
      <c r="B4656" s="2" t="s">
        <v>5039</v>
      </c>
      <c r="C4656" s="2" t="s">
        <v>9608</v>
      </c>
      <c r="D4656" s="2" t="s">
        <v>9609</v>
      </c>
      <c r="E4656" s="2" t="s">
        <v>20</v>
      </c>
      <c r="F4656" s="2">
        <v>2.0</v>
      </c>
      <c r="G4656" s="2">
        <v>315.0</v>
      </c>
      <c r="H4656" s="3" t="str">
        <f>HYPERLINK("http://ar.linkedin.com/in/rodolfozapata","http://ar.linkedin.com/in/rodolfozapata")</f>
        <v>http://ar.linkedin.com/in/rodolfozapata</v>
      </c>
      <c r="I4656" s="2" t="s">
        <v>608</v>
      </c>
      <c r="J4656" s="2" t="s">
        <v>21</v>
      </c>
      <c r="K4656" s="2" t="s">
        <v>6075</v>
      </c>
    </row>
    <row r="4657" ht="15.75" customHeight="1">
      <c r="A4657" s="2">
        <v>52392.0</v>
      </c>
      <c r="B4657" s="2" t="s">
        <v>9610</v>
      </c>
      <c r="C4657" s="2" t="s">
        <v>9611</v>
      </c>
      <c r="D4657" s="2" t="s">
        <v>9612</v>
      </c>
      <c r="E4657" s="2" t="s">
        <v>20</v>
      </c>
      <c r="F4657" s="2" t="s">
        <v>13</v>
      </c>
      <c r="G4657" s="2">
        <v>500.0</v>
      </c>
      <c r="H4657" s="3" t="str">
        <f>HYPERLINK("http://ar.linkedin.com/pub/diego-avila/16/106/824","http://ar.linkedin.com/pub/diego-avila/16/106/824")</f>
        <v>http://ar.linkedin.com/pub/diego-avila/16/106/824</v>
      </c>
      <c r="I4657" s="2" t="s">
        <v>3187</v>
      </c>
      <c r="J4657" s="2" t="s">
        <v>21</v>
      </c>
      <c r="K4657" s="2" t="s">
        <v>9613</v>
      </c>
    </row>
    <row r="4658" ht="15.75" customHeight="1">
      <c r="A4658" s="2">
        <v>52407.0</v>
      </c>
      <c r="B4658" s="2" t="s">
        <v>253</v>
      </c>
      <c r="C4658" s="2" t="s">
        <v>9614</v>
      </c>
      <c r="D4658" s="2" t="s">
        <v>9615</v>
      </c>
      <c r="E4658" s="2" t="s">
        <v>20</v>
      </c>
      <c r="F4658" s="2" t="s">
        <v>13</v>
      </c>
      <c r="G4658" s="2">
        <v>131.0</v>
      </c>
      <c r="H4658" s="3" t="str">
        <f>HYPERLINK("http://ar.linkedin.com/pub/fernando-solanes/0/B16/6B8","http://ar.linkedin.com/pub/fernando-solanes/0/B16/6B8")</f>
        <v>http://ar.linkedin.com/pub/fernando-solanes/0/B16/6B8</v>
      </c>
      <c r="I4658" s="2" t="s">
        <v>77</v>
      </c>
      <c r="J4658" s="2" t="s">
        <v>21</v>
      </c>
      <c r="K4658" s="2" t="s">
        <v>5785</v>
      </c>
    </row>
    <row r="4659" ht="15.75" customHeight="1">
      <c r="A4659" s="2">
        <v>52453.0</v>
      </c>
      <c r="B4659" s="2" t="s">
        <v>3692</v>
      </c>
      <c r="C4659" s="2" t="s">
        <v>9616</v>
      </c>
      <c r="D4659" s="2" t="s">
        <v>9617</v>
      </c>
      <c r="E4659" s="2" t="s">
        <v>20</v>
      </c>
      <c r="F4659" s="2" t="s">
        <v>13</v>
      </c>
      <c r="G4659" s="2">
        <v>190.0</v>
      </c>
      <c r="H4659" s="3" t="str">
        <f>HYPERLINK("http://ar.linkedin.com/pub/federico-d-onofrio/A/4BB/1A8","http://ar.linkedin.com/pub/federico-d-onofrio/A/4BB/1A8")</f>
        <v>http://ar.linkedin.com/pub/federico-d-onofrio/A/4BB/1A8</v>
      </c>
      <c r="I4659" s="2" t="s">
        <v>279</v>
      </c>
      <c r="J4659" s="2" t="s">
        <v>21</v>
      </c>
      <c r="K4659" s="2" t="s">
        <v>5785</v>
      </c>
    </row>
    <row r="4660" ht="15.75" customHeight="1">
      <c r="A4660" s="2">
        <v>52473.0</v>
      </c>
      <c r="B4660" s="2" t="s">
        <v>7086</v>
      </c>
      <c r="C4660" s="2" t="s">
        <v>9618</v>
      </c>
      <c r="D4660" s="2" t="s">
        <v>9619</v>
      </c>
      <c r="E4660" s="2" t="s">
        <v>20</v>
      </c>
      <c r="F4660" s="2">
        <v>26.0</v>
      </c>
      <c r="G4660" s="2">
        <v>500.0</v>
      </c>
      <c r="H4660" s="3" t="str">
        <f>HYPERLINK("http://www.linkedin.com/in/mantoniazzi","http://www.linkedin.com/in/mantoniazzi")</f>
        <v>http://www.linkedin.com/in/mantoniazzi</v>
      </c>
      <c r="I4660" s="2" t="s">
        <v>15</v>
      </c>
      <c r="J4660" s="2" t="s">
        <v>21</v>
      </c>
      <c r="K4660" s="2" t="s">
        <v>5727</v>
      </c>
    </row>
    <row r="4661" ht="15.75" customHeight="1">
      <c r="A4661" s="2">
        <v>52524.0</v>
      </c>
      <c r="B4661" s="2" t="s">
        <v>9620</v>
      </c>
      <c r="C4661" s="2" t="s">
        <v>9621</v>
      </c>
      <c r="D4661" s="2" t="s">
        <v>9622</v>
      </c>
      <c r="E4661" s="2" t="s">
        <v>20</v>
      </c>
      <c r="F4661" s="2">
        <v>3.0</v>
      </c>
      <c r="G4661" s="2">
        <v>257.0</v>
      </c>
      <c r="H4661" s="3" t="str">
        <f>HYPERLINK("http://ar.linkedin.com/pub/juli%C3%A1n-filippini/7/343/46B","http://ar.linkedin.com/pub/juli%C3%A1n-filippini/7/343/46B")</f>
        <v>http://ar.linkedin.com/pub/juli%C3%A1n-filippini/7/343/46B</v>
      </c>
      <c r="I4661" s="2" t="s">
        <v>77</v>
      </c>
      <c r="J4661" s="2" t="s">
        <v>21</v>
      </c>
      <c r="K4661" s="2" t="s">
        <v>5731</v>
      </c>
    </row>
    <row r="4662" ht="15.75" customHeight="1">
      <c r="A4662" s="2">
        <v>52560.0</v>
      </c>
      <c r="B4662" s="2" t="s">
        <v>5803</v>
      </c>
      <c r="C4662" s="2" t="s">
        <v>9623</v>
      </c>
      <c r="D4662" s="2" t="s">
        <v>9624</v>
      </c>
      <c r="E4662" s="2" t="s">
        <v>20</v>
      </c>
      <c r="F4662" s="2">
        <v>13.0</v>
      </c>
      <c r="G4662" s="2">
        <v>500.0</v>
      </c>
      <c r="H4662" s="3" t="str">
        <f>HYPERLINK("http://ar.linkedin.com/in/marianoulanovsky","http://ar.linkedin.com/in/marianoulanovsky")</f>
        <v>http://ar.linkedin.com/in/marianoulanovsky</v>
      </c>
      <c r="I4662" s="2" t="s">
        <v>57</v>
      </c>
      <c r="J4662" s="2" t="s">
        <v>21</v>
      </c>
      <c r="K4662" s="2" t="s">
        <v>5727</v>
      </c>
    </row>
    <row r="4663" ht="15.75" customHeight="1">
      <c r="A4663" s="2">
        <v>52575.0</v>
      </c>
      <c r="B4663" s="2" t="s">
        <v>6083</v>
      </c>
      <c r="C4663" s="2" t="s">
        <v>8650</v>
      </c>
      <c r="D4663" s="2" t="s">
        <v>9625</v>
      </c>
      <c r="E4663" s="2" t="s">
        <v>20</v>
      </c>
      <c r="F4663" s="2" t="s">
        <v>13</v>
      </c>
      <c r="G4663" s="2">
        <v>168.0</v>
      </c>
      <c r="H4663" s="3" t="str">
        <f>HYPERLINK("http://ar.linkedin.com/pub/mariela-gimenez/18/44B/AB7","http://ar.linkedin.com/pub/mariela-gimenez/18/44B/AB7")</f>
        <v>http://ar.linkedin.com/pub/mariela-gimenez/18/44B/AB7</v>
      </c>
      <c r="I4663" s="2" t="s">
        <v>77</v>
      </c>
      <c r="J4663" s="2" t="s">
        <v>21</v>
      </c>
      <c r="K4663" s="2" t="s">
        <v>5848</v>
      </c>
    </row>
    <row r="4664" ht="15.75" customHeight="1">
      <c r="A4664" s="2">
        <v>52588.0</v>
      </c>
      <c r="B4664" s="2" t="s">
        <v>677</v>
      </c>
      <c r="C4664" s="2" t="s">
        <v>7533</v>
      </c>
      <c r="D4664" s="2" t="s">
        <v>6149</v>
      </c>
      <c r="E4664" s="2" t="s">
        <v>20</v>
      </c>
      <c r="F4664" s="2" t="s">
        <v>13</v>
      </c>
      <c r="G4664" s="2">
        <v>249.0</v>
      </c>
      <c r="H4664" s="3" t="str">
        <f>HYPERLINK("http://ar.linkedin.com/pub/daniel-arzamendia/A/590/4AB","http://ar.linkedin.com/pub/daniel-arzamendia/A/590/4AB")</f>
        <v>http://ar.linkedin.com/pub/daniel-arzamendia/A/590/4AB</v>
      </c>
      <c r="I4664" s="2" t="s">
        <v>279</v>
      </c>
      <c r="J4664" s="2" t="s">
        <v>21</v>
      </c>
      <c r="K4664" s="2" t="s">
        <v>5734</v>
      </c>
    </row>
    <row r="4665" ht="15.75" customHeight="1">
      <c r="A4665" s="2">
        <v>52589.0</v>
      </c>
      <c r="B4665" s="2" t="s">
        <v>9626</v>
      </c>
      <c r="C4665" s="2" t="s">
        <v>9627</v>
      </c>
      <c r="D4665" s="2" t="s">
        <v>9628</v>
      </c>
      <c r="E4665" s="2" t="s">
        <v>20</v>
      </c>
      <c r="F4665" s="2">
        <v>7.0</v>
      </c>
      <c r="G4665" s="2">
        <v>500.0</v>
      </c>
      <c r="H4665" s="3" t="str">
        <f>HYPERLINK("http://www.linkedin.com/in/danielamato","http://www.linkedin.com/in/danielamato")</f>
        <v>http://www.linkedin.com/in/danielamato</v>
      </c>
      <c r="I4665" s="2" t="s">
        <v>77</v>
      </c>
      <c r="J4665" s="2" t="s">
        <v>21</v>
      </c>
      <c r="K4665" s="2" t="s">
        <v>9629</v>
      </c>
    </row>
    <row r="4666" ht="15.75" customHeight="1">
      <c r="A4666" s="2">
        <v>52591.0</v>
      </c>
      <c r="B4666" s="2" t="s">
        <v>45</v>
      </c>
      <c r="C4666" s="2" t="s">
        <v>9630</v>
      </c>
      <c r="D4666" s="2" t="s">
        <v>13</v>
      </c>
      <c r="E4666" s="2" t="s">
        <v>20</v>
      </c>
      <c r="F4666" s="2">
        <v>0.0</v>
      </c>
      <c r="G4666" s="2">
        <v>150.0</v>
      </c>
      <c r="H4666" s="3" t="str">
        <f>HYPERLINK("http://www.linkedin.com/pub/carlos-salvini/0/836/381","http://www.linkedin.com/pub/carlos-salvini/0/836/381")</f>
        <v>http://www.linkedin.com/pub/carlos-salvini/0/836/381</v>
      </c>
      <c r="I4666" s="2" t="s">
        <v>57</v>
      </c>
      <c r="J4666" s="2" t="s">
        <v>21</v>
      </c>
      <c r="K4666" s="2" t="s">
        <v>5725</v>
      </c>
    </row>
    <row r="4667" ht="15.75" customHeight="1">
      <c r="A4667" s="2">
        <v>52599.0</v>
      </c>
      <c r="B4667" s="2" t="s">
        <v>9631</v>
      </c>
      <c r="C4667" s="2" t="s">
        <v>9632</v>
      </c>
      <c r="D4667" s="2" t="s">
        <v>9633</v>
      </c>
      <c r="E4667" s="2" t="s">
        <v>20</v>
      </c>
      <c r="F4667" s="2">
        <v>1.0</v>
      </c>
      <c r="G4667" s="2">
        <v>146.0</v>
      </c>
      <c r="H4667" s="3" t="str">
        <f>HYPERLINK("http://ar.linkedin.com/pub/armando-silvio-rojkin/27/4A0/BB0","http://ar.linkedin.com/pub/armando-silvio-rojkin/27/4A0/BB0")</f>
        <v>http://ar.linkedin.com/pub/armando-silvio-rojkin/27/4A0/BB0</v>
      </c>
      <c r="I4667" s="2" t="s">
        <v>612</v>
      </c>
      <c r="J4667" s="2" t="s">
        <v>21</v>
      </c>
      <c r="K4667" s="2" t="s">
        <v>5734</v>
      </c>
    </row>
    <row r="4668" ht="15.75" customHeight="1">
      <c r="A4668" s="2">
        <v>52618.0</v>
      </c>
      <c r="B4668" s="2" t="s">
        <v>9634</v>
      </c>
      <c r="C4668" s="2" t="s">
        <v>9635</v>
      </c>
      <c r="D4668" s="2" t="s">
        <v>13</v>
      </c>
      <c r="E4668" s="2" t="s">
        <v>1370</v>
      </c>
      <c r="F4668" s="2">
        <v>0.0</v>
      </c>
      <c r="G4668" s="2">
        <v>134.0</v>
      </c>
      <c r="H4668" s="3" t="str">
        <f>HYPERLINK("http://www.linkedin.com/pub/anal%C3%ADa-canevelli/21/b69/a35","http://www.linkedin.com/pub/anal%C3%ADa-canevelli/21/b69/a35")</f>
        <v>http://www.linkedin.com/pub/anal%C3%ADa-canevelli/21/b69/a35</v>
      </c>
      <c r="I4668" s="2" t="s">
        <v>1452</v>
      </c>
      <c r="J4668" s="2" t="s">
        <v>1371</v>
      </c>
      <c r="K4668" s="2" t="s">
        <v>5848</v>
      </c>
    </row>
    <row r="4669" ht="15.75" customHeight="1">
      <c r="A4669" s="2">
        <v>52651.0</v>
      </c>
      <c r="B4669" s="2" t="s">
        <v>193</v>
      </c>
      <c r="C4669" s="2" t="s">
        <v>9636</v>
      </c>
      <c r="D4669" s="2" t="s">
        <v>9637</v>
      </c>
      <c r="E4669" s="2" t="s">
        <v>20</v>
      </c>
      <c r="F4669" s="2">
        <v>15.0</v>
      </c>
      <c r="G4669" s="2">
        <v>430.0</v>
      </c>
      <c r="H4669" s="3" t="str">
        <f>HYPERLINK("http://ar.linkedin.com/in/guillerdv","http://ar.linkedin.com/in/guillerdv")</f>
        <v>http://ar.linkedin.com/in/guillerdv</v>
      </c>
      <c r="I4669" s="2" t="s">
        <v>77</v>
      </c>
      <c r="J4669" s="2" t="s">
        <v>21</v>
      </c>
      <c r="K4669" s="2" t="s">
        <v>5731</v>
      </c>
    </row>
    <row r="4670" ht="15.75" customHeight="1">
      <c r="A4670" s="2">
        <v>52662.0</v>
      </c>
      <c r="B4670" s="2" t="s">
        <v>5803</v>
      </c>
      <c r="C4670" s="2" t="s">
        <v>9638</v>
      </c>
      <c r="D4670" s="2" t="s">
        <v>13</v>
      </c>
      <c r="E4670" s="2" t="s">
        <v>20</v>
      </c>
      <c r="F4670" s="2">
        <v>7.0</v>
      </c>
      <c r="G4670" s="2">
        <v>500.0</v>
      </c>
      <c r="H4670" s="3" t="str">
        <f>HYPERLINK("http://www.linkedin.com/pub/mariano-mandelbaum/2b/3b7/906","http://www.linkedin.com/pub/mariano-mandelbaum/2b/3b7/906")</f>
        <v>http://www.linkedin.com/pub/mariano-mandelbaum/2b/3b7/906</v>
      </c>
      <c r="I4670" s="2" t="s">
        <v>470</v>
      </c>
      <c r="J4670" s="2" t="s">
        <v>21</v>
      </c>
      <c r="K4670" s="2" t="s">
        <v>5727</v>
      </c>
    </row>
    <row r="4671" ht="15.75" customHeight="1">
      <c r="A4671" s="2">
        <v>52697.0</v>
      </c>
      <c r="B4671" s="2" t="s">
        <v>9639</v>
      </c>
      <c r="C4671" s="2" t="s">
        <v>9640</v>
      </c>
      <c r="D4671" s="2" t="s">
        <v>13</v>
      </c>
      <c r="E4671" s="2" t="s">
        <v>20</v>
      </c>
      <c r="F4671" s="2">
        <v>0.0</v>
      </c>
      <c r="G4671" s="2">
        <v>140.0</v>
      </c>
      <c r="H4671" s="3" t="str">
        <f>HYPERLINK("http://www.linkedin.com/pub/stella-maris-beraldi/13/44b/6a9","http://www.linkedin.com/pub/stella-maris-beraldi/13/44b/6a9")</f>
        <v>http://www.linkedin.com/pub/stella-maris-beraldi/13/44b/6a9</v>
      </c>
      <c r="I4671" s="2" t="s">
        <v>458</v>
      </c>
      <c r="J4671" s="2" t="s">
        <v>21</v>
      </c>
      <c r="K4671" s="2" t="s">
        <v>6096</v>
      </c>
    </row>
    <row r="4672" ht="15.75" customHeight="1">
      <c r="A4672" s="2">
        <v>52710.0</v>
      </c>
      <c r="B4672" s="2" t="s">
        <v>8726</v>
      </c>
      <c r="C4672" s="2" t="s">
        <v>9641</v>
      </c>
      <c r="D4672" s="2" t="s">
        <v>13</v>
      </c>
      <c r="E4672" s="2" t="s">
        <v>20</v>
      </c>
      <c r="F4672" s="2">
        <v>0.0</v>
      </c>
      <c r="G4672" s="2">
        <v>500.0</v>
      </c>
      <c r="H4672" s="3" t="str">
        <f>HYPERLINK("http://www.linkedin.com/pub/graciela-heidenreich/b/914/269","http://www.linkedin.com/pub/graciela-heidenreich/b/914/269")</f>
        <v>http://www.linkedin.com/pub/graciela-heidenreich/b/914/269</v>
      </c>
      <c r="I4672" s="2" t="s">
        <v>458</v>
      </c>
      <c r="J4672" s="2" t="s">
        <v>21</v>
      </c>
      <c r="K4672" s="2" t="s">
        <v>5727</v>
      </c>
    </row>
    <row r="4673" ht="15.75" customHeight="1">
      <c r="A4673" s="2">
        <v>52743.0</v>
      </c>
      <c r="B4673" s="2" t="s">
        <v>5078</v>
      </c>
      <c r="C4673" s="2" t="s">
        <v>9642</v>
      </c>
      <c r="D4673" s="2" t="s">
        <v>13</v>
      </c>
      <c r="E4673" s="2" t="s">
        <v>20</v>
      </c>
      <c r="F4673" s="2">
        <v>2.0</v>
      </c>
      <c r="G4673" s="2">
        <v>500.0</v>
      </c>
      <c r="H4673" s="3" t="str">
        <f>HYPERLINK("http://www.linkedin.com/pub/diego-sciarrotta/7/aa7/b17","http://www.linkedin.com/pub/diego-sciarrotta/7/aa7/b17")</f>
        <v>http://www.linkedin.com/pub/diego-sciarrotta/7/aa7/b17</v>
      </c>
      <c r="I4673" s="2" t="s">
        <v>15</v>
      </c>
      <c r="J4673" s="2" t="s">
        <v>21</v>
      </c>
      <c r="K4673" s="2" t="s">
        <v>5913</v>
      </c>
    </row>
    <row r="4674" ht="15.75" customHeight="1">
      <c r="A4674" s="2">
        <v>52744.0</v>
      </c>
      <c r="B4674" s="2" t="s">
        <v>329</v>
      </c>
      <c r="C4674" s="2" t="s">
        <v>9643</v>
      </c>
      <c r="D4674" s="2" t="s">
        <v>9644</v>
      </c>
      <c r="E4674" s="2" t="s">
        <v>20</v>
      </c>
      <c r="F4674" s="2">
        <v>4.0</v>
      </c>
      <c r="G4674" s="2">
        <v>500.0</v>
      </c>
      <c r="H4674" s="3" t="str">
        <f>HYPERLINK("http://ar.linkedin.com/in/jpyahyah","http://ar.linkedin.com/in/jpyahyah")</f>
        <v>http://ar.linkedin.com/in/jpyahyah</v>
      </c>
      <c r="I4674" s="2" t="s">
        <v>2561</v>
      </c>
      <c r="J4674" s="2" t="s">
        <v>21</v>
      </c>
      <c r="K4674" s="2" t="s">
        <v>5727</v>
      </c>
    </row>
    <row r="4675" ht="15.75" customHeight="1">
      <c r="A4675" s="2">
        <v>52750.0</v>
      </c>
      <c r="B4675" s="2" t="s">
        <v>6198</v>
      </c>
      <c r="C4675" s="2" t="s">
        <v>9645</v>
      </c>
      <c r="D4675" s="2" t="s">
        <v>13</v>
      </c>
      <c r="E4675" s="2" t="s">
        <v>20</v>
      </c>
      <c r="F4675" s="2">
        <v>0.0</v>
      </c>
      <c r="G4675" s="2">
        <v>113.0</v>
      </c>
      <c r="H4675" s="3" t="str">
        <f>HYPERLINK("http://www.linkedin.com/pub/andr%C3%A9s-mikelj/0/306/440","http://www.linkedin.com/pub/andr%C3%A9s-mikelj/0/306/440")</f>
        <v>http://www.linkedin.com/pub/andr%C3%A9s-mikelj/0/306/440</v>
      </c>
      <c r="I4675" s="2" t="s">
        <v>77</v>
      </c>
      <c r="J4675" s="2" t="s">
        <v>21</v>
      </c>
      <c r="K4675" s="2" t="s">
        <v>5785</v>
      </c>
    </row>
    <row r="4676" ht="15.75" customHeight="1">
      <c r="A4676" s="2">
        <v>52756.0</v>
      </c>
      <c r="B4676" s="2" t="s">
        <v>5824</v>
      </c>
      <c r="C4676" s="2" t="s">
        <v>6885</v>
      </c>
      <c r="D4676" s="2" t="s">
        <v>42</v>
      </c>
      <c r="E4676" s="2" t="s">
        <v>20</v>
      </c>
      <c r="F4676" s="2" t="s">
        <v>13</v>
      </c>
      <c r="G4676" s="2">
        <v>396.0</v>
      </c>
      <c r="H4676" s="3" t="str">
        <f>HYPERLINK("http://ar.linkedin.com/pub/alejandra-traverso/0/27B/823","http://ar.linkedin.com/pub/alejandra-traverso/0/27B/823")</f>
        <v>http://ar.linkedin.com/pub/alejandra-traverso/0/27B/823</v>
      </c>
      <c r="I4676" s="2" t="s">
        <v>15</v>
      </c>
      <c r="J4676" s="2" t="s">
        <v>21</v>
      </c>
      <c r="K4676" s="2" t="s">
        <v>5725</v>
      </c>
    </row>
    <row r="4677" ht="15.75" customHeight="1">
      <c r="A4677" s="2">
        <v>52773.0</v>
      </c>
      <c r="B4677" s="2" t="s">
        <v>1296</v>
      </c>
      <c r="C4677" s="2" t="s">
        <v>9646</v>
      </c>
      <c r="D4677" s="2" t="s">
        <v>9647</v>
      </c>
      <c r="E4677" s="2" t="s">
        <v>20</v>
      </c>
      <c r="F4677" s="2" t="s">
        <v>13</v>
      </c>
      <c r="G4677" s="2">
        <v>157.0</v>
      </c>
      <c r="H4677" s="3" t="str">
        <f>HYPERLINK("http://ar.linkedin.com/in/andreagabilan","http://ar.linkedin.com/in/andreagabilan")</f>
        <v>http://ar.linkedin.com/in/andreagabilan</v>
      </c>
      <c r="I4677" s="2" t="s">
        <v>579</v>
      </c>
      <c r="J4677" s="2" t="s">
        <v>21</v>
      </c>
      <c r="K4677" s="2" t="s">
        <v>5848</v>
      </c>
    </row>
    <row r="4678" ht="15.75" customHeight="1">
      <c r="A4678" s="2">
        <v>52786.0</v>
      </c>
      <c r="B4678" s="2" t="s">
        <v>9648</v>
      </c>
      <c r="C4678" s="2" t="s">
        <v>9649</v>
      </c>
      <c r="D4678" s="2" t="s">
        <v>13</v>
      </c>
      <c r="E4678" s="2" t="s">
        <v>20</v>
      </c>
      <c r="F4678" s="2">
        <v>0.0</v>
      </c>
      <c r="G4678" s="2">
        <v>224.0</v>
      </c>
      <c r="H4678" s="3" t="str">
        <f>HYPERLINK("http://www.linkedin.com/pub/andres-mariano-bellero/a/8a3/b03","http://www.linkedin.com/pub/andres-mariano-bellero/a/8a3/b03")</f>
        <v>http://www.linkedin.com/pub/andres-mariano-bellero/a/8a3/b03</v>
      </c>
      <c r="I4678" s="2" t="s">
        <v>1237</v>
      </c>
      <c r="J4678" s="2" t="s">
        <v>21</v>
      </c>
      <c r="K4678" s="2" t="s">
        <v>5848</v>
      </c>
    </row>
    <row r="4679" ht="15.75" customHeight="1">
      <c r="A4679" s="2">
        <v>52811.0</v>
      </c>
      <c r="B4679" s="2" t="s">
        <v>6232</v>
      </c>
      <c r="C4679" s="2" t="s">
        <v>9650</v>
      </c>
      <c r="D4679" s="2" t="s">
        <v>13</v>
      </c>
      <c r="E4679" s="2" t="s">
        <v>20</v>
      </c>
      <c r="F4679" s="2">
        <v>0.0</v>
      </c>
      <c r="G4679" s="2">
        <v>500.0</v>
      </c>
      <c r="H4679" s="3" t="str">
        <f>HYPERLINK("http://www.linkedin.com/pub/emiliano-osores/4/48/851","http://www.linkedin.com/pub/emiliano-osores/4/48/851")</f>
        <v>http://www.linkedin.com/pub/emiliano-osores/4/48/851</v>
      </c>
      <c r="I4679" s="2" t="s">
        <v>518</v>
      </c>
      <c r="J4679" s="2" t="s">
        <v>21</v>
      </c>
      <c r="K4679" s="2" t="s">
        <v>5743</v>
      </c>
    </row>
    <row r="4680" ht="15.75" customHeight="1">
      <c r="A4680" s="2">
        <v>52822.0</v>
      </c>
      <c r="B4680" s="2" t="s">
        <v>9651</v>
      </c>
      <c r="C4680" s="2" t="s">
        <v>9652</v>
      </c>
      <c r="D4680" s="2" t="s">
        <v>6081</v>
      </c>
      <c r="E4680" s="2" t="s">
        <v>20</v>
      </c>
      <c r="F4680" s="2">
        <v>4.0</v>
      </c>
      <c r="G4680" s="2">
        <v>149.0</v>
      </c>
      <c r="H4680" s="3" t="str">
        <f>HYPERLINK("http://ar.linkedin.com/in/nestorabalo","http://ar.linkedin.com/in/nestorabalo")</f>
        <v>http://ar.linkedin.com/in/nestorabalo</v>
      </c>
      <c r="I4680" s="2" t="s">
        <v>77</v>
      </c>
      <c r="J4680" s="2" t="s">
        <v>21</v>
      </c>
      <c r="K4680" s="2" t="s">
        <v>5731</v>
      </c>
    </row>
    <row r="4681" ht="15.75" customHeight="1">
      <c r="A4681" s="2">
        <v>52863.0</v>
      </c>
      <c r="B4681" s="2" t="s">
        <v>9653</v>
      </c>
      <c r="C4681" s="2" t="s">
        <v>7018</v>
      </c>
      <c r="D4681" s="2" t="s">
        <v>5127</v>
      </c>
      <c r="E4681" s="2" t="s">
        <v>20</v>
      </c>
      <c r="F4681" s="2" t="s">
        <v>13</v>
      </c>
      <c r="G4681" s="2">
        <v>97.0</v>
      </c>
      <c r="H4681" s="3" t="str">
        <f>HYPERLINK("http://ar.linkedin.com/pub/gustavo-mauricio-morales/22/930/771","http://ar.linkedin.com/pub/gustavo-mauricio-morales/22/930/771")</f>
        <v>http://ar.linkedin.com/pub/gustavo-mauricio-morales/22/930/771</v>
      </c>
      <c r="I4681" s="2" t="s">
        <v>77</v>
      </c>
      <c r="J4681" s="2" t="s">
        <v>21</v>
      </c>
      <c r="K4681" s="2" t="s">
        <v>5848</v>
      </c>
    </row>
    <row r="4682" ht="15.75" customHeight="1">
      <c r="A4682" s="2">
        <v>52872.0</v>
      </c>
      <c r="B4682" s="2" t="s">
        <v>9654</v>
      </c>
      <c r="C4682" s="2" t="s">
        <v>9655</v>
      </c>
      <c r="D4682" s="2" t="s">
        <v>9656</v>
      </c>
      <c r="E4682" s="2" t="s">
        <v>20</v>
      </c>
      <c r="F4682" s="2">
        <v>4.0</v>
      </c>
      <c r="G4682" s="2">
        <v>187.0</v>
      </c>
      <c r="H4682" s="3" t="str">
        <f>HYPERLINK("http://ar.linkedin.com/in/leandrofoggia","http://ar.linkedin.com/in/leandrofoggia")</f>
        <v>http://ar.linkedin.com/in/leandrofoggia</v>
      </c>
      <c r="I4682" s="2" t="s">
        <v>77</v>
      </c>
      <c r="J4682" s="2" t="s">
        <v>21</v>
      </c>
      <c r="K4682" s="2" t="s">
        <v>5731</v>
      </c>
    </row>
    <row r="4683" ht="15.75" customHeight="1">
      <c r="A4683" s="2">
        <v>52886.0</v>
      </c>
      <c r="B4683" s="2" t="s">
        <v>6252</v>
      </c>
      <c r="C4683" s="2" t="s">
        <v>9657</v>
      </c>
      <c r="D4683" s="2" t="s">
        <v>9658</v>
      </c>
      <c r="E4683" s="2" t="s">
        <v>20</v>
      </c>
      <c r="F4683" s="2" t="s">
        <v>13</v>
      </c>
      <c r="G4683" s="2">
        <v>126.0</v>
      </c>
      <c r="H4683" s="3" t="str">
        <f>HYPERLINK("http://ar.linkedin.com/pub/santiago-beni/1/813/179","http://ar.linkedin.com/pub/santiago-beni/1/813/179")</f>
        <v>http://ar.linkedin.com/pub/santiago-beni/1/813/179</v>
      </c>
      <c r="I4683" s="2" t="s">
        <v>48</v>
      </c>
      <c r="J4683" s="2" t="s">
        <v>21</v>
      </c>
      <c r="K4683" s="2" t="s">
        <v>5725</v>
      </c>
    </row>
    <row r="4684" ht="15.75" customHeight="1">
      <c r="A4684" s="2">
        <v>52897.0</v>
      </c>
      <c r="B4684" s="2" t="s">
        <v>3776</v>
      </c>
      <c r="C4684" s="2" t="s">
        <v>9659</v>
      </c>
      <c r="D4684" s="2" t="s">
        <v>13</v>
      </c>
      <c r="E4684" s="2" t="s">
        <v>20</v>
      </c>
      <c r="F4684" s="2">
        <v>0.0</v>
      </c>
      <c r="G4684" s="2">
        <v>500.0</v>
      </c>
      <c r="H4684" s="3" t="str">
        <f>HYPERLINK("http://www.linkedin.com/pub/pedro-filipuzzi/a/7a0/200","http://www.linkedin.com/pub/pedro-filipuzzi/a/7a0/200")</f>
        <v>http://www.linkedin.com/pub/pedro-filipuzzi/a/7a0/200</v>
      </c>
      <c r="I4684" s="2" t="s">
        <v>77</v>
      </c>
      <c r="J4684" s="2" t="s">
        <v>21</v>
      </c>
      <c r="K4684" s="2" t="s">
        <v>5848</v>
      </c>
    </row>
    <row r="4685" ht="15.75" customHeight="1">
      <c r="A4685" s="2">
        <v>52914.0</v>
      </c>
      <c r="B4685" s="2" t="s">
        <v>253</v>
      </c>
      <c r="C4685" s="2" t="s">
        <v>9660</v>
      </c>
      <c r="D4685" s="2" t="s">
        <v>9661</v>
      </c>
      <c r="E4685" s="2" t="s">
        <v>20</v>
      </c>
      <c r="F4685" s="2">
        <v>6.0</v>
      </c>
      <c r="G4685" s="2">
        <v>83.0</v>
      </c>
      <c r="H4685" s="3" t="str">
        <f>HYPERLINK("http://ar.linkedin.com/pub/fernando-peralta/16/860/371","http://ar.linkedin.com/pub/fernando-peralta/16/860/371")</f>
        <v>http://ar.linkedin.com/pub/fernando-peralta/16/860/371</v>
      </c>
      <c r="I4685" s="2" t="s">
        <v>1679</v>
      </c>
      <c r="J4685" s="2" t="s">
        <v>21</v>
      </c>
      <c r="K4685" s="2" t="s">
        <v>5727</v>
      </c>
    </row>
    <row r="4686" ht="15.75" customHeight="1">
      <c r="A4686" s="2">
        <v>52922.0</v>
      </c>
      <c r="B4686" s="2" t="s">
        <v>9662</v>
      </c>
      <c r="C4686" s="2" t="s">
        <v>6430</v>
      </c>
      <c r="D4686" s="2" t="s">
        <v>9663</v>
      </c>
      <c r="E4686" s="2" t="s">
        <v>20</v>
      </c>
      <c r="F4686" s="2">
        <v>13.0</v>
      </c>
      <c r="G4686" s="2">
        <v>500.0</v>
      </c>
      <c r="H4686" s="3" t="str">
        <f>HYPERLINK("http://ar.linkedin.com/pub/mabel-lencina/5/656/303","http://ar.linkedin.com/pub/mabel-lencina/5/656/303")</f>
        <v>http://ar.linkedin.com/pub/mabel-lencina/5/656/303</v>
      </c>
      <c r="I4686" s="2" t="s">
        <v>248</v>
      </c>
      <c r="J4686" s="2" t="s">
        <v>21</v>
      </c>
      <c r="K4686" s="2" t="s">
        <v>5785</v>
      </c>
    </row>
    <row r="4687" ht="15.75" customHeight="1">
      <c r="A4687" s="2">
        <v>52928.0</v>
      </c>
      <c r="B4687" s="2" t="s">
        <v>3563</v>
      </c>
      <c r="C4687" s="2" t="s">
        <v>9664</v>
      </c>
      <c r="D4687" s="2" t="s">
        <v>9665</v>
      </c>
      <c r="E4687" s="2" t="s">
        <v>20</v>
      </c>
      <c r="F4687" s="2">
        <v>1.0</v>
      </c>
      <c r="G4687" s="2">
        <v>140.0</v>
      </c>
      <c r="H4687" s="3" t="str">
        <f>HYPERLINK("http://ar.linkedin.com/pub/manuel-garc%C3%ADa-prieto/13/A65/449","http://ar.linkedin.com/pub/manuel-garc%C3%ADa-prieto/13/A65/449")</f>
        <v>http://ar.linkedin.com/pub/manuel-garc%C3%ADa-prieto/13/A65/449</v>
      </c>
      <c r="I4687" s="2" t="s">
        <v>579</v>
      </c>
      <c r="J4687" s="2" t="s">
        <v>21</v>
      </c>
      <c r="K4687" s="2" t="s">
        <v>5848</v>
      </c>
    </row>
    <row r="4688" ht="15.75" customHeight="1">
      <c r="A4688" s="2">
        <v>52945.0</v>
      </c>
      <c r="B4688" s="2" t="s">
        <v>492</v>
      </c>
      <c r="C4688" s="2" t="s">
        <v>9142</v>
      </c>
      <c r="D4688" s="2" t="s">
        <v>9666</v>
      </c>
      <c r="E4688" s="2" t="s">
        <v>20</v>
      </c>
      <c r="F4688" s="2" t="s">
        <v>13</v>
      </c>
      <c r="G4688" s="2">
        <v>356.0</v>
      </c>
      <c r="H4688" s="3" t="str">
        <f>HYPERLINK("http://ar.linkedin.com/pub/sergio-moyano/1/19/B31","http://ar.linkedin.com/pub/sergio-moyano/1/19/B31")</f>
        <v>http://ar.linkedin.com/pub/sergio-moyano/1/19/B31</v>
      </c>
      <c r="I4688" s="2" t="s">
        <v>252</v>
      </c>
      <c r="J4688" s="2" t="s">
        <v>21</v>
      </c>
      <c r="K4688" s="2" t="s">
        <v>5734</v>
      </c>
    </row>
    <row r="4689" ht="15.75" customHeight="1">
      <c r="A4689" s="2">
        <v>52957.0</v>
      </c>
      <c r="B4689" s="2" t="s">
        <v>3943</v>
      </c>
      <c r="C4689" s="2" t="s">
        <v>5723</v>
      </c>
      <c r="D4689" s="2" t="s">
        <v>13</v>
      </c>
      <c r="E4689" s="2" t="s">
        <v>20</v>
      </c>
      <c r="F4689" s="2">
        <v>0.0</v>
      </c>
      <c r="G4689" s="2">
        <v>500.0</v>
      </c>
      <c r="H4689" s="3" t="str">
        <f>HYPERLINK("http://www.linkedin.com/pub/rodriguez-pablo/0/47a/48?trk=pub-pbmap","http://www.linkedin.com/pub/rodriguez-pablo/0/47a/48?trk=pub-pbmap")</f>
        <v>http://www.linkedin.com/pub/rodriguez-pablo/0/47a/48?trk=pub-pbmap</v>
      </c>
      <c r="I4689" s="2" t="s">
        <v>15</v>
      </c>
      <c r="J4689" s="2" t="s">
        <v>21</v>
      </c>
      <c r="K4689" s="2" t="s">
        <v>5725</v>
      </c>
    </row>
    <row r="4690" ht="15.75" customHeight="1">
      <c r="A4690" s="2">
        <v>52969.0</v>
      </c>
      <c r="B4690" s="2" t="s">
        <v>3550</v>
      </c>
      <c r="C4690" s="2" t="s">
        <v>9667</v>
      </c>
      <c r="D4690" s="2" t="s">
        <v>9668</v>
      </c>
      <c r="E4690" s="2" t="s">
        <v>20</v>
      </c>
      <c r="F4690" s="2">
        <v>3.0</v>
      </c>
      <c r="G4690" s="2">
        <v>153.0</v>
      </c>
      <c r="H4690" s="3" t="str">
        <f>HYPERLINK("http://ar.linkedin.com/pub/nicolas-eliaschev/8/724/9A2","http://ar.linkedin.com/pub/nicolas-eliaschev/8/724/9A2")</f>
        <v>http://ar.linkedin.com/pub/nicolas-eliaschev/8/724/9A2</v>
      </c>
      <c r="I4690" s="2" t="s">
        <v>77</v>
      </c>
      <c r="J4690" s="2" t="s">
        <v>21</v>
      </c>
      <c r="K4690" s="2" t="s">
        <v>5731</v>
      </c>
    </row>
    <row r="4691" ht="15.75" customHeight="1">
      <c r="A4691" s="2">
        <v>52973.0</v>
      </c>
      <c r="B4691" s="2" t="s">
        <v>523</v>
      </c>
      <c r="C4691" s="2" t="s">
        <v>7731</v>
      </c>
      <c r="D4691" s="2" t="s">
        <v>9669</v>
      </c>
      <c r="E4691" s="2" t="s">
        <v>20</v>
      </c>
      <c r="F4691" s="2" t="s">
        <v>13</v>
      </c>
      <c r="G4691" s="2">
        <v>146.0</v>
      </c>
      <c r="H4691" s="3" t="str">
        <f>HYPERLINK("http://ar.linkedin.com/in/ignacioloizaga","http://ar.linkedin.com/in/ignacioloizaga")</f>
        <v>http://ar.linkedin.com/in/ignacioloizaga</v>
      </c>
      <c r="I4691" s="2" t="s">
        <v>105</v>
      </c>
      <c r="J4691" s="2" t="s">
        <v>21</v>
      </c>
      <c r="K4691" s="2" t="s">
        <v>5785</v>
      </c>
    </row>
    <row r="4692" ht="15.75" customHeight="1">
      <c r="A4692" s="2">
        <v>52981.0</v>
      </c>
      <c r="B4692" s="2" t="s">
        <v>5723</v>
      </c>
      <c r="C4692" s="2" t="s">
        <v>6370</v>
      </c>
      <c r="D4692" s="2" t="s">
        <v>9670</v>
      </c>
      <c r="E4692" s="2" t="s">
        <v>20</v>
      </c>
      <c r="F4692" s="2" t="s">
        <v>13</v>
      </c>
      <c r="G4692" s="2">
        <v>364.0</v>
      </c>
      <c r="H4692" s="3" t="str">
        <f>HYPERLINK("http://ar.linkedin.com/pub/pablo-vitale/9/358/1B7","http://ar.linkedin.com/pub/pablo-vitale/9/358/1B7")</f>
        <v>http://ar.linkedin.com/pub/pablo-vitale/9/358/1B7</v>
      </c>
      <c r="I4692" s="2" t="s">
        <v>105</v>
      </c>
      <c r="J4692" s="2" t="s">
        <v>21</v>
      </c>
      <c r="K4692" s="2" t="s">
        <v>5725</v>
      </c>
    </row>
    <row r="4693" ht="15.75" customHeight="1">
      <c r="A4693" s="2">
        <v>52987.0</v>
      </c>
      <c r="B4693" s="2" t="s">
        <v>9671</v>
      </c>
      <c r="C4693" s="2" t="s">
        <v>9672</v>
      </c>
      <c r="D4693" s="2" t="s">
        <v>9673</v>
      </c>
      <c r="E4693" s="2" t="s">
        <v>20</v>
      </c>
      <c r="F4693" s="2" t="s">
        <v>13</v>
      </c>
      <c r="G4693" s="2">
        <v>381.0</v>
      </c>
      <c r="H4693" s="3" t="str">
        <f>HYPERLINK("http://ar.linkedin.com/in/francoaceruti","http://ar.linkedin.com/in/francoaceruti")</f>
        <v>http://ar.linkedin.com/in/francoaceruti</v>
      </c>
      <c r="I4693" s="2" t="s">
        <v>279</v>
      </c>
      <c r="J4693" s="2" t="s">
        <v>21</v>
      </c>
      <c r="K4693" s="2" t="s">
        <v>5785</v>
      </c>
    </row>
    <row r="4694" ht="15.75" customHeight="1">
      <c r="A4694" s="2">
        <v>53011.0</v>
      </c>
      <c r="B4694" s="2" t="s">
        <v>6793</v>
      </c>
      <c r="C4694" s="2" t="s">
        <v>9674</v>
      </c>
      <c r="D4694" s="2" t="s">
        <v>9675</v>
      </c>
      <c r="E4694" s="2" t="s">
        <v>20</v>
      </c>
      <c r="F4694" s="2">
        <v>6.0</v>
      </c>
      <c r="G4694" s="2">
        <v>285.0</v>
      </c>
      <c r="H4694" s="3" t="str">
        <f>HYPERLINK("http://ar.linkedin.com/pub/augusto-garc%C3%ADa-ju%C3%A1rez-matorras/1/119/94A","http://ar.linkedin.com/pub/augusto-garc%C3%ADa-ju%C3%A1rez-matorras/1/119/94A")</f>
        <v>http://ar.linkedin.com/pub/augusto-garc%C3%ADa-ju%C3%A1rez-matorras/1/119/94A</v>
      </c>
      <c r="I4694" s="2" t="s">
        <v>1679</v>
      </c>
      <c r="J4694" s="2" t="s">
        <v>21</v>
      </c>
      <c r="K4694" s="2" t="s">
        <v>5727</v>
      </c>
    </row>
    <row r="4695" ht="15.75" customHeight="1">
      <c r="A4695" s="2">
        <v>53012.0</v>
      </c>
      <c r="B4695" s="2" t="s">
        <v>7096</v>
      </c>
      <c r="C4695" s="2" t="s">
        <v>9676</v>
      </c>
      <c r="D4695" s="2" t="s">
        <v>9677</v>
      </c>
      <c r="E4695" s="2" t="s">
        <v>20</v>
      </c>
      <c r="F4695" s="2">
        <v>3.0</v>
      </c>
      <c r="G4695" s="2">
        <v>358.0</v>
      </c>
      <c r="H4695" s="3" t="str">
        <f>HYPERLINK("http://ar.linkedin.com/pub/valeria-de-santis/3/559/271","http://ar.linkedin.com/pub/valeria-de-santis/3/559/271")</f>
        <v>http://ar.linkedin.com/pub/valeria-de-santis/3/559/271</v>
      </c>
      <c r="I4695" s="2" t="s">
        <v>2268</v>
      </c>
      <c r="J4695" s="2" t="s">
        <v>21</v>
      </c>
      <c r="K4695" s="2" t="s">
        <v>5727</v>
      </c>
    </row>
    <row r="4696" ht="15.75" customHeight="1">
      <c r="A4696" s="2">
        <v>53027.0</v>
      </c>
      <c r="B4696" s="2" t="s">
        <v>3550</v>
      </c>
      <c r="C4696" s="2" t="s">
        <v>9678</v>
      </c>
      <c r="D4696" s="2" t="s">
        <v>6702</v>
      </c>
      <c r="E4696" s="2" t="s">
        <v>20</v>
      </c>
      <c r="F4696" s="2">
        <v>1.0</v>
      </c>
      <c r="G4696" s="2">
        <v>203.0</v>
      </c>
      <c r="H4696" s="3" t="str">
        <f>HYPERLINK("http://ar.linkedin.com/pub/nicolas-sankovic/1/6BB/74B","http://ar.linkedin.com/pub/nicolas-sankovic/1/6BB/74B")</f>
        <v>http://ar.linkedin.com/pub/nicolas-sankovic/1/6BB/74B</v>
      </c>
      <c r="I4696" s="2" t="s">
        <v>77</v>
      </c>
      <c r="J4696" s="2" t="s">
        <v>21</v>
      </c>
      <c r="K4696" s="2" t="s">
        <v>5785</v>
      </c>
    </row>
    <row r="4697" ht="15.75" customHeight="1">
      <c r="A4697" s="2">
        <v>53029.0</v>
      </c>
      <c r="B4697" s="2" t="s">
        <v>152</v>
      </c>
      <c r="C4697" s="2" t="s">
        <v>1502</v>
      </c>
      <c r="D4697" s="2" t="s">
        <v>9679</v>
      </c>
      <c r="E4697" s="2" t="s">
        <v>20</v>
      </c>
      <c r="F4697" s="2">
        <v>8.0</v>
      </c>
      <c r="G4697" s="2">
        <v>343.0</v>
      </c>
      <c r="H4697" s="3" t="str">
        <f>HYPERLINK("http://ar.linkedin.com/pub/eduardo-cohen/2A/A96/248","http://ar.linkedin.com/pub/eduardo-cohen/2A/A96/248")</f>
        <v>http://ar.linkedin.com/pub/eduardo-cohen/2A/A96/248</v>
      </c>
      <c r="I4697" s="2" t="s">
        <v>2268</v>
      </c>
      <c r="J4697" s="2" t="s">
        <v>21</v>
      </c>
      <c r="K4697" s="2" t="s">
        <v>5727</v>
      </c>
    </row>
    <row r="4698" ht="15.75" customHeight="1">
      <c r="A4698" s="2">
        <v>53030.0</v>
      </c>
      <c r="B4698" s="2" t="s">
        <v>5824</v>
      </c>
      <c r="C4698" s="2" t="s">
        <v>9680</v>
      </c>
      <c r="D4698" s="2" t="s">
        <v>9681</v>
      </c>
      <c r="E4698" s="2" t="s">
        <v>20</v>
      </c>
      <c r="F4698" s="2" t="s">
        <v>13</v>
      </c>
      <c r="G4698" s="2">
        <v>154.0</v>
      </c>
      <c r="H4698" s="3" t="str">
        <f>HYPERLINK("http://ar.linkedin.com/in/alecompagni","http://ar.linkedin.com/in/alecompagni")</f>
        <v>http://ar.linkedin.com/in/alecompagni</v>
      </c>
      <c r="I4698" s="2" t="s">
        <v>105</v>
      </c>
      <c r="J4698" s="2" t="s">
        <v>21</v>
      </c>
      <c r="K4698" s="2" t="s">
        <v>5725</v>
      </c>
    </row>
    <row r="4699" ht="15.75" customHeight="1">
      <c r="A4699" s="2">
        <v>53037.0</v>
      </c>
      <c r="B4699" s="2" t="s">
        <v>6145</v>
      </c>
      <c r="C4699" s="2" t="s">
        <v>9682</v>
      </c>
      <c r="D4699" s="2" t="s">
        <v>9683</v>
      </c>
      <c r="E4699" s="2" t="s">
        <v>20</v>
      </c>
      <c r="F4699" s="2">
        <v>2.0</v>
      </c>
      <c r="G4699" s="2">
        <v>429.0</v>
      </c>
      <c r="H4699" s="3" t="str">
        <f>HYPERLINK("http://ar.linkedin.com/pub/guadalupe-terres-vidal/24/134/913","http://ar.linkedin.com/pub/guadalupe-terres-vidal/24/134/913")</f>
        <v>http://ar.linkedin.com/pub/guadalupe-terres-vidal/24/134/913</v>
      </c>
      <c r="I4699" s="2" t="s">
        <v>105</v>
      </c>
      <c r="J4699" s="2" t="s">
        <v>21</v>
      </c>
      <c r="K4699" s="2" t="s">
        <v>5727</v>
      </c>
    </row>
    <row r="4700" ht="15.75" customHeight="1">
      <c r="A4700" s="2">
        <v>53047.0</v>
      </c>
      <c r="B4700" s="2" t="s">
        <v>609</v>
      </c>
      <c r="C4700" s="2" t="s">
        <v>9684</v>
      </c>
      <c r="D4700" s="2" t="s">
        <v>9685</v>
      </c>
      <c r="E4700" s="2" t="s">
        <v>20</v>
      </c>
      <c r="F4700" s="2" t="s">
        <v>13</v>
      </c>
      <c r="G4700" s="2">
        <v>61.0</v>
      </c>
      <c r="H4700" s="3" t="str">
        <f>HYPERLINK("http://ar.linkedin.com/pub/ricardo-angrisani/16/187/497","http://ar.linkedin.com/pub/ricardo-angrisani/16/187/497")</f>
        <v>http://ar.linkedin.com/pub/ricardo-angrisani/16/187/497</v>
      </c>
      <c r="I4700" s="2" t="s">
        <v>579</v>
      </c>
      <c r="J4700" s="2" t="s">
        <v>21</v>
      </c>
      <c r="K4700" s="2" t="s">
        <v>5848</v>
      </c>
    </row>
    <row r="4701" ht="15.75" customHeight="1">
      <c r="A4701" s="2">
        <v>53068.0</v>
      </c>
      <c r="B4701" s="2" t="s">
        <v>9686</v>
      </c>
      <c r="C4701" s="2" t="s">
        <v>9687</v>
      </c>
      <c r="D4701" s="2" t="s">
        <v>9688</v>
      </c>
      <c r="E4701" s="2" t="s">
        <v>20</v>
      </c>
      <c r="F4701" s="2">
        <v>7.0</v>
      </c>
      <c r="G4701" s="2">
        <v>388.0</v>
      </c>
      <c r="H4701" s="3" t="str">
        <f>HYPERLINK("http://ar.linkedin.com/in/cesarorsi","http://ar.linkedin.com/in/cesarorsi")</f>
        <v>http://ar.linkedin.com/in/cesarorsi</v>
      </c>
      <c r="I4701" s="2" t="s">
        <v>669</v>
      </c>
      <c r="J4701" s="2" t="s">
        <v>21</v>
      </c>
      <c r="K4701" s="2" t="s">
        <v>5727</v>
      </c>
    </row>
    <row r="4702" ht="15.75" customHeight="1">
      <c r="A4702" s="2">
        <v>53089.0</v>
      </c>
      <c r="B4702" s="2" t="s">
        <v>3550</v>
      </c>
      <c r="C4702" s="2" t="s">
        <v>9689</v>
      </c>
      <c r="D4702" s="2" t="s">
        <v>9690</v>
      </c>
      <c r="E4702" s="2" t="s">
        <v>20</v>
      </c>
      <c r="F4702" s="2" t="s">
        <v>13</v>
      </c>
      <c r="G4702" s="2">
        <v>209.0</v>
      </c>
      <c r="H4702" s="3" t="str">
        <f>HYPERLINK("http://ar.linkedin.com/pub/nicolas-kilidjian/2/188/949","http://ar.linkedin.com/pub/nicolas-kilidjian/2/188/949")</f>
        <v>http://ar.linkedin.com/pub/nicolas-kilidjian/2/188/949</v>
      </c>
      <c r="I4702" s="2" t="s">
        <v>48</v>
      </c>
      <c r="J4702" s="2" t="s">
        <v>21</v>
      </c>
      <c r="K4702" s="2" t="s">
        <v>5725</v>
      </c>
    </row>
    <row r="4703" ht="15.75" customHeight="1">
      <c r="A4703" s="2">
        <v>53090.0</v>
      </c>
      <c r="B4703" s="2" t="s">
        <v>9651</v>
      </c>
      <c r="C4703" s="2" t="s">
        <v>9691</v>
      </c>
      <c r="D4703" s="2" t="s">
        <v>9692</v>
      </c>
      <c r="E4703" s="2" t="s">
        <v>20</v>
      </c>
      <c r="F4703" s="2" t="s">
        <v>13</v>
      </c>
      <c r="G4703" s="2">
        <v>176.0</v>
      </c>
      <c r="H4703" s="3" t="str">
        <f>HYPERLINK("http://ar.linkedin.com/pub/nestor-osorio/3/836/770","http://ar.linkedin.com/pub/nestor-osorio/3/836/770")</f>
        <v>http://ar.linkedin.com/pub/nestor-osorio/3/836/770</v>
      </c>
      <c r="I4703" s="2" t="s">
        <v>48</v>
      </c>
      <c r="J4703" s="2" t="s">
        <v>21</v>
      </c>
      <c r="K4703" s="2" t="s">
        <v>5725</v>
      </c>
    </row>
    <row r="4704" ht="15.75" customHeight="1">
      <c r="A4704" s="2">
        <v>53092.0</v>
      </c>
      <c r="B4704" s="2" t="s">
        <v>8056</v>
      </c>
      <c r="C4704" s="2" t="s">
        <v>9693</v>
      </c>
      <c r="D4704" s="2" t="s">
        <v>9694</v>
      </c>
      <c r="E4704" s="2" t="s">
        <v>20</v>
      </c>
      <c r="F4704" s="2" t="s">
        <v>13</v>
      </c>
      <c r="G4704" s="2">
        <v>500.0</v>
      </c>
      <c r="H4704" s="3" t="str">
        <f>HYPERLINK("http://ar.linkedin.com/pub/maria-marta-porrone/2/888/2B2","http://ar.linkedin.com/pub/maria-marta-porrone/2/888/2B2")</f>
        <v>http://ar.linkedin.com/pub/maria-marta-porrone/2/888/2B2</v>
      </c>
      <c r="I4704" s="2" t="s">
        <v>15</v>
      </c>
      <c r="J4704" s="2" t="s">
        <v>21</v>
      </c>
      <c r="K4704" s="2" t="s">
        <v>5725</v>
      </c>
    </row>
    <row r="4705" ht="15.75" customHeight="1">
      <c r="A4705" s="2">
        <v>53104.0</v>
      </c>
      <c r="B4705" s="2" t="s">
        <v>5846</v>
      </c>
      <c r="C4705" s="2" t="s">
        <v>9695</v>
      </c>
      <c r="D4705" s="2" t="s">
        <v>13</v>
      </c>
      <c r="E4705" s="2" t="s">
        <v>20</v>
      </c>
      <c r="F4705" s="2">
        <v>0.0</v>
      </c>
      <c r="G4705" s="2">
        <v>364.0</v>
      </c>
      <c r="H4705" s="3" t="str">
        <f>HYPERLINK("http://www.linkedin.com/pub/horacio-laurens/3/698/ab0","http://www.linkedin.com/pub/horacio-laurens/3/698/ab0")</f>
        <v>http://www.linkedin.com/pub/horacio-laurens/3/698/ab0</v>
      </c>
      <c r="I4705" s="2" t="s">
        <v>48</v>
      </c>
      <c r="J4705" s="2" t="s">
        <v>21</v>
      </c>
      <c r="K4705" s="2" t="s">
        <v>5725</v>
      </c>
    </row>
    <row r="4706" ht="15.75" customHeight="1">
      <c r="A4706" s="2">
        <v>53119.0</v>
      </c>
      <c r="B4706" s="2" t="s">
        <v>647</v>
      </c>
      <c r="C4706" s="2" t="s">
        <v>9696</v>
      </c>
      <c r="D4706" s="2" t="s">
        <v>5776</v>
      </c>
      <c r="E4706" s="2" t="s">
        <v>20</v>
      </c>
      <c r="F4706" s="2">
        <v>1.0</v>
      </c>
      <c r="G4706" s="2">
        <v>500.0</v>
      </c>
      <c r="H4706" s="3" t="str">
        <f>HYPERLINK("http://ar.linkedin.com/pub/claudio-marin/B/465/B69","http://ar.linkedin.com/pub/claudio-marin/B/465/B69")</f>
        <v>http://ar.linkedin.com/pub/claudio-marin/B/465/B69</v>
      </c>
      <c r="I4706" s="2" t="s">
        <v>48</v>
      </c>
      <c r="J4706" s="2" t="s">
        <v>21</v>
      </c>
      <c r="K4706" s="2" t="s">
        <v>6124</v>
      </c>
    </row>
    <row r="4707" ht="15.75" customHeight="1">
      <c r="A4707" s="2">
        <v>53145.0</v>
      </c>
      <c r="B4707" s="2" t="s">
        <v>5735</v>
      </c>
      <c r="C4707" s="2" t="s">
        <v>9697</v>
      </c>
      <c r="D4707" s="2" t="s">
        <v>9698</v>
      </c>
      <c r="E4707" s="2" t="s">
        <v>20</v>
      </c>
      <c r="F4707" s="2" t="s">
        <v>13</v>
      </c>
      <c r="G4707" s="2">
        <v>190.0</v>
      </c>
      <c r="H4707" s="3" t="str">
        <f>HYPERLINK("http://ar.linkedin.com/in/gblejman","http://ar.linkedin.com/in/gblejman")</f>
        <v>http://ar.linkedin.com/in/gblejman</v>
      </c>
      <c r="I4707" s="2" t="s">
        <v>15</v>
      </c>
      <c r="J4707" s="2" t="s">
        <v>21</v>
      </c>
      <c r="K4707" s="2" t="s">
        <v>5725</v>
      </c>
    </row>
    <row r="4708" ht="15.75" customHeight="1">
      <c r="A4708" s="2">
        <v>53147.0</v>
      </c>
      <c r="B4708" s="2" t="s">
        <v>5078</v>
      </c>
      <c r="C4708" s="2" t="s">
        <v>9699</v>
      </c>
      <c r="D4708" s="2" t="s">
        <v>9700</v>
      </c>
      <c r="E4708" s="2" t="s">
        <v>20</v>
      </c>
      <c r="F4708" s="2">
        <v>5.0</v>
      </c>
      <c r="G4708" s="2">
        <v>500.0</v>
      </c>
      <c r="H4708" s="3" t="str">
        <f>HYPERLINK("http://www.linkedin.com/in/diegopazos","http://www.linkedin.com/in/diegopazos")</f>
        <v>http://www.linkedin.com/in/diegopazos</v>
      </c>
      <c r="I4708" s="2" t="s">
        <v>77</v>
      </c>
      <c r="J4708" s="2" t="s">
        <v>21</v>
      </c>
      <c r="K4708" s="2" t="s">
        <v>5743</v>
      </c>
    </row>
    <row r="4709" ht="15.75" customHeight="1">
      <c r="A4709" s="2">
        <v>53161.0</v>
      </c>
      <c r="B4709" s="2" t="s">
        <v>9701</v>
      </c>
      <c r="C4709" s="2" t="s">
        <v>638</v>
      </c>
      <c r="D4709" s="2" t="s">
        <v>13</v>
      </c>
      <c r="E4709" s="2" t="s">
        <v>20</v>
      </c>
      <c r="F4709" s="2">
        <v>3.0</v>
      </c>
      <c r="G4709" s="2">
        <v>111.0</v>
      </c>
      <c r="H4709" s="3" t="str">
        <f>HYPERLINK("http://www.linkedin.com/pub/rodrigo-nicol%C3%A1s-avila/27/a9b/491","http://www.linkedin.com/pub/rodrigo-nicol%C3%A1s-avila/27/a9b/491")</f>
        <v>http://www.linkedin.com/pub/rodrigo-nicol%C3%A1s-avila/27/a9b/491</v>
      </c>
      <c r="I4709" s="2" t="s">
        <v>77</v>
      </c>
      <c r="J4709" s="2" t="s">
        <v>21</v>
      </c>
      <c r="K4709" s="2" t="s">
        <v>5731</v>
      </c>
    </row>
    <row r="4710" ht="15.75" customHeight="1">
      <c r="A4710" s="2">
        <v>53177.0</v>
      </c>
      <c r="B4710" s="2" t="s">
        <v>9702</v>
      </c>
      <c r="C4710" s="2" t="s">
        <v>9703</v>
      </c>
      <c r="D4710" s="2" t="s">
        <v>13</v>
      </c>
      <c r="E4710" s="2" t="s">
        <v>20</v>
      </c>
      <c r="F4710" s="2">
        <v>0.0</v>
      </c>
      <c r="G4710" s="2">
        <v>500.0</v>
      </c>
      <c r="H4710" s="3" t="str">
        <f>HYPERLINK("http://www.linkedin.com/pub/m-valeria-maffioly/21/9b1/688","http://www.linkedin.com/pub/m-valeria-maffioly/21/9b1/688")</f>
        <v>http://www.linkedin.com/pub/m-valeria-maffioly/21/9b1/688</v>
      </c>
      <c r="I4710" s="2" t="s">
        <v>77</v>
      </c>
      <c r="J4710" s="2" t="s">
        <v>21</v>
      </c>
      <c r="K4710" s="2" t="s">
        <v>6342</v>
      </c>
    </row>
    <row r="4711" ht="15.75" customHeight="1">
      <c r="A4711" s="2">
        <v>53179.0</v>
      </c>
      <c r="B4711" s="2" t="s">
        <v>506</v>
      </c>
      <c r="C4711" s="2" t="s">
        <v>9704</v>
      </c>
      <c r="D4711" s="2" t="s">
        <v>9705</v>
      </c>
      <c r="E4711" s="2" t="s">
        <v>20</v>
      </c>
      <c r="F4711" s="2" t="s">
        <v>13</v>
      </c>
      <c r="G4711" s="2">
        <v>219.0</v>
      </c>
      <c r="H4711" s="3" t="str">
        <f>HYPERLINK("http://ar.linkedin.com/pub/jose-andina-silva/7/61/15","http://ar.linkedin.com/pub/jose-andina-silva/7/61/15")</f>
        <v>http://ar.linkedin.com/pub/jose-andina-silva/7/61/15</v>
      </c>
      <c r="I4711" s="2" t="s">
        <v>873</v>
      </c>
      <c r="J4711" s="2" t="s">
        <v>21</v>
      </c>
      <c r="K4711" s="2" t="s">
        <v>5734</v>
      </c>
    </row>
    <row r="4712" ht="15.75" customHeight="1">
      <c r="A4712" s="2">
        <v>53187.0</v>
      </c>
      <c r="B4712" s="2" t="s">
        <v>9706</v>
      </c>
      <c r="C4712" s="2" t="s">
        <v>9707</v>
      </c>
      <c r="D4712" s="2" t="s">
        <v>2861</v>
      </c>
      <c r="E4712" s="2" t="s">
        <v>20</v>
      </c>
      <c r="F4712" s="2" t="s">
        <v>13</v>
      </c>
      <c r="G4712" s="2">
        <v>321.0</v>
      </c>
      <c r="H4712" s="3" t="str">
        <f>HYPERLINK("http://ar.linkedin.com/pub/fabi%C3%A1n-benzoni/1/B50/683","http://ar.linkedin.com/pub/fabi%C3%A1n-benzoni/1/B50/683")</f>
        <v>http://ar.linkedin.com/pub/fabi%C3%A1n-benzoni/1/B50/683</v>
      </c>
      <c r="I4712" s="2" t="s">
        <v>77</v>
      </c>
      <c r="J4712" s="2" t="s">
        <v>21</v>
      </c>
      <c r="K4712" s="2" t="s">
        <v>5785</v>
      </c>
    </row>
    <row r="4713" ht="15.75" customHeight="1">
      <c r="A4713" s="2">
        <v>53190.0</v>
      </c>
      <c r="B4713" s="2" t="s">
        <v>3178</v>
      </c>
      <c r="C4713" s="2" t="s">
        <v>9708</v>
      </c>
      <c r="D4713" s="2" t="s">
        <v>13</v>
      </c>
      <c r="E4713" s="2" t="s">
        <v>20</v>
      </c>
      <c r="F4713" s="2">
        <v>0.0</v>
      </c>
      <c r="G4713" s="2">
        <v>338.0</v>
      </c>
      <c r="H4713" s="3" t="str">
        <f>HYPERLINK("http://www.linkedin.com/pub/lucas-massicot/2a/843/b2","http://www.linkedin.com/pub/lucas-massicot/2a/843/b2")</f>
        <v>http://www.linkedin.com/pub/lucas-massicot/2a/843/b2</v>
      </c>
      <c r="I4713" s="2" t="s">
        <v>15</v>
      </c>
      <c r="J4713" s="2" t="s">
        <v>21</v>
      </c>
      <c r="K4713" s="2" t="s">
        <v>5727</v>
      </c>
    </row>
    <row r="4714" ht="15.75" customHeight="1">
      <c r="A4714" s="2">
        <v>53209.0</v>
      </c>
      <c r="B4714" s="2" t="s">
        <v>9709</v>
      </c>
      <c r="C4714" s="2" t="s">
        <v>4486</v>
      </c>
      <c r="D4714" s="2" t="s">
        <v>9710</v>
      </c>
      <c r="E4714" s="2" t="s">
        <v>20</v>
      </c>
      <c r="F4714" s="2">
        <v>3.0</v>
      </c>
      <c r="G4714" s="2">
        <v>114.0</v>
      </c>
      <c r="H4714" s="3" t="str">
        <f>HYPERLINK("http://ar.linkedin.com/pub/juan-esteban-fernandez/2B/69/BB8","http://ar.linkedin.com/pub/juan-esteban-fernandez/2B/69/BB8")</f>
        <v>http://ar.linkedin.com/pub/juan-esteban-fernandez/2B/69/BB8</v>
      </c>
      <c r="I4714" s="2" t="s">
        <v>57</v>
      </c>
      <c r="J4714" s="2" t="s">
        <v>21</v>
      </c>
      <c r="K4714" s="2" t="s">
        <v>5727</v>
      </c>
    </row>
    <row r="4715" ht="15.75" customHeight="1">
      <c r="A4715" s="2">
        <v>53266.0</v>
      </c>
      <c r="B4715" s="2" t="s">
        <v>9711</v>
      </c>
      <c r="C4715" s="2" t="s">
        <v>9712</v>
      </c>
      <c r="D4715" s="2" t="s">
        <v>6069</v>
      </c>
      <c r="E4715" s="2" t="s">
        <v>20</v>
      </c>
      <c r="F4715" s="2">
        <v>2.0</v>
      </c>
      <c r="G4715" s="2">
        <v>121.0</v>
      </c>
      <c r="H4715" s="3" t="str">
        <f>HYPERLINK("http://ar.linkedin.com/pub/eduardo-gustavo-simes/B/1/45B","http://ar.linkedin.com/pub/eduardo-gustavo-simes/B/1/45B")</f>
        <v>http://ar.linkedin.com/pub/eduardo-gustavo-simes/B/1/45B</v>
      </c>
      <c r="I4715" s="2" t="s">
        <v>2000</v>
      </c>
      <c r="J4715" s="2" t="s">
        <v>21</v>
      </c>
      <c r="K4715" s="2" t="s">
        <v>5727</v>
      </c>
    </row>
    <row r="4716" ht="15.75" customHeight="1">
      <c r="A4716" s="2">
        <v>53306.0</v>
      </c>
      <c r="B4716" s="2" t="s">
        <v>9713</v>
      </c>
      <c r="C4716" s="2" t="s">
        <v>9714</v>
      </c>
      <c r="D4716" s="2" t="s">
        <v>42</v>
      </c>
      <c r="E4716" s="2" t="s">
        <v>20</v>
      </c>
      <c r="F4716" s="2">
        <v>2.0</v>
      </c>
      <c r="G4716" s="2">
        <v>500.0</v>
      </c>
      <c r="H4716" s="3" t="str">
        <f>HYPERLINK("http://ar.linkedin.com/in/angelesz","http://ar.linkedin.com/in/angelesz")</f>
        <v>http://ar.linkedin.com/in/angelesz</v>
      </c>
      <c r="I4716" s="2" t="s">
        <v>2443</v>
      </c>
      <c r="J4716" s="2" t="s">
        <v>21</v>
      </c>
      <c r="K4716" s="2" t="s">
        <v>5727</v>
      </c>
    </row>
    <row r="4717" ht="15.75" customHeight="1">
      <c r="A4717" s="2">
        <v>53309.0</v>
      </c>
      <c r="B4717" s="2" t="s">
        <v>6064</v>
      </c>
      <c r="C4717" s="2" t="s">
        <v>9715</v>
      </c>
      <c r="D4717" s="2" t="s">
        <v>13</v>
      </c>
      <c r="E4717" s="2" t="s">
        <v>20</v>
      </c>
      <c r="F4717" s="2">
        <v>0.0</v>
      </c>
      <c r="G4717" s="2">
        <v>351.0</v>
      </c>
      <c r="H4717" s="3" t="str">
        <f>HYPERLINK("http://www.linkedin.com/pub/romina-savor%C3%A9/18/704/24a","http://www.linkedin.com/pub/romina-savor%C3%A9/18/704/24a")</f>
        <v>http://www.linkedin.com/pub/romina-savor%C3%A9/18/704/24a</v>
      </c>
      <c r="I4717" s="2" t="s">
        <v>105</v>
      </c>
      <c r="J4717" s="2" t="s">
        <v>21</v>
      </c>
      <c r="K4717" s="2" t="s">
        <v>5725</v>
      </c>
    </row>
    <row r="4718" ht="15.75" customHeight="1">
      <c r="A4718" s="2">
        <v>53317.0</v>
      </c>
      <c r="B4718" s="2" t="s">
        <v>862</v>
      </c>
      <c r="C4718" s="2" t="s">
        <v>9716</v>
      </c>
      <c r="D4718" s="2" t="s">
        <v>7238</v>
      </c>
      <c r="E4718" s="2" t="s">
        <v>20</v>
      </c>
      <c r="F4718" s="2">
        <v>1.0</v>
      </c>
      <c r="G4718" s="2">
        <v>415.0</v>
      </c>
      <c r="H4718" s="3" t="str">
        <f>HYPERLINK("http://ar.linkedin.com/in/gabrielpuig","http://ar.linkedin.com/in/gabrielpuig")</f>
        <v>http://ar.linkedin.com/in/gabrielpuig</v>
      </c>
      <c r="I4718" s="2" t="s">
        <v>57</v>
      </c>
      <c r="J4718" s="2" t="s">
        <v>21</v>
      </c>
      <c r="K4718" s="2" t="s">
        <v>6178</v>
      </c>
    </row>
    <row r="4719" ht="15.75" customHeight="1">
      <c r="A4719" s="2">
        <v>53326.0</v>
      </c>
      <c r="B4719" s="2" t="s">
        <v>3201</v>
      </c>
      <c r="C4719" s="2" t="s">
        <v>9717</v>
      </c>
      <c r="D4719" s="2" t="s">
        <v>9718</v>
      </c>
      <c r="E4719" s="2" t="s">
        <v>20</v>
      </c>
      <c r="F4719" s="2">
        <v>2.0</v>
      </c>
      <c r="G4719" s="2">
        <v>156.0</v>
      </c>
      <c r="H4719" s="3" t="str">
        <f>HYPERLINK("http://ar.linkedin.com/pub/sebastian-villamarin/15/565/5B6","http://ar.linkedin.com/pub/sebastian-villamarin/15/565/5B6")</f>
        <v>http://ar.linkedin.com/pub/sebastian-villamarin/15/565/5B6</v>
      </c>
      <c r="I4719" s="2" t="s">
        <v>48</v>
      </c>
      <c r="J4719" s="2" t="s">
        <v>21</v>
      </c>
      <c r="K4719" s="2" t="s">
        <v>5777</v>
      </c>
    </row>
    <row r="4720" ht="15.75" customHeight="1">
      <c r="A4720" s="2">
        <v>53352.0</v>
      </c>
      <c r="B4720" s="2" t="s">
        <v>1042</v>
      </c>
      <c r="C4720" s="2" t="s">
        <v>9719</v>
      </c>
      <c r="D4720" s="2" t="s">
        <v>9720</v>
      </c>
      <c r="E4720" s="2" t="s">
        <v>20</v>
      </c>
      <c r="F4720" s="2">
        <v>5.0</v>
      </c>
      <c r="G4720" s="2">
        <v>500.0</v>
      </c>
      <c r="H4720" s="3" t="str">
        <f>HYPERLINK("http://ar.linkedin.com/in/marinapla","http://ar.linkedin.com/in/marinapla")</f>
        <v>http://ar.linkedin.com/in/marinapla</v>
      </c>
      <c r="I4720" s="2" t="s">
        <v>105</v>
      </c>
      <c r="J4720" s="2" t="s">
        <v>21</v>
      </c>
      <c r="K4720" s="2" t="s">
        <v>5727</v>
      </c>
    </row>
    <row r="4721" ht="15.75" customHeight="1">
      <c r="A4721" s="2">
        <v>53355.0</v>
      </c>
      <c r="B4721" s="2" t="s">
        <v>6580</v>
      </c>
      <c r="C4721" s="2" t="s">
        <v>9721</v>
      </c>
      <c r="D4721" s="2" t="s">
        <v>9722</v>
      </c>
      <c r="E4721" s="2" t="s">
        <v>20</v>
      </c>
      <c r="F4721" s="2">
        <v>1.0</v>
      </c>
      <c r="G4721" s="2">
        <v>284.0</v>
      </c>
      <c r="H4721" s="3" t="str">
        <f>HYPERLINK("http://ar.linkedin.com/pub/rosana-damasco/2A/A79/603","http://ar.linkedin.com/pub/rosana-damasco/2A/A79/603")</f>
        <v>http://ar.linkedin.com/pub/rosana-damasco/2A/A79/603</v>
      </c>
      <c r="I4721" s="2" t="s">
        <v>57</v>
      </c>
      <c r="J4721" s="2" t="s">
        <v>21</v>
      </c>
      <c r="K4721" s="2" t="s">
        <v>5785</v>
      </c>
    </row>
    <row r="4722" ht="15.75" customHeight="1">
      <c r="A4722" s="2">
        <v>53358.0</v>
      </c>
      <c r="B4722" s="2" t="s">
        <v>5922</v>
      </c>
      <c r="C4722" s="2" t="s">
        <v>9723</v>
      </c>
      <c r="D4722" s="2" t="s">
        <v>9724</v>
      </c>
      <c r="E4722" s="2" t="s">
        <v>20</v>
      </c>
      <c r="F4722" s="2" t="s">
        <v>13</v>
      </c>
      <c r="G4722" s="2">
        <v>308.0</v>
      </c>
      <c r="H4722" s="3" t="str">
        <f>HYPERLINK("http://ar.linkedin.com/pub/gabriela-cirigliano/9/818/222","http://ar.linkedin.com/pub/gabriela-cirigliano/9/818/222")</f>
        <v>http://ar.linkedin.com/pub/gabriela-cirigliano/9/818/222</v>
      </c>
      <c r="I4722" s="2" t="s">
        <v>195</v>
      </c>
      <c r="J4722" s="2" t="s">
        <v>21</v>
      </c>
      <c r="K4722" s="2" t="s">
        <v>5865</v>
      </c>
    </row>
    <row r="4723" ht="15.75" customHeight="1">
      <c r="A4723" s="2">
        <v>53370.0</v>
      </c>
      <c r="B4723" s="2" t="s">
        <v>862</v>
      </c>
      <c r="C4723" s="2" t="s">
        <v>9725</v>
      </c>
      <c r="D4723" s="2" t="s">
        <v>13</v>
      </c>
      <c r="E4723" s="2" t="s">
        <v>20</v>
      </c>
      <c r="F4723" s="2">
        <v>0.0</v>
      </c>
      <c r="G4723" s="2">
        <v>500.0</v>
      </c>
      <c r="H4723" s="3" t="str">
        <f>HYPERLINK("http://www.linkedin.com/pub/gabriel-venturino/0/244/a14","http://www.linkedin.com/pub/gabriel-venturino/0/244/a14")</f>
        <v>http://www.linkedin.com/pub/gabriel-venturino/0/244/a14</v>
      </c>
      <c r="I4723" s="2" t="s">
        <v>77</v>
      </c>
      <c r="J4723" s="2" t="s">
        <v>21</v>
      </c>
      <c r="K4723" s="2" t="s">
        <v>5743</v>
      </c>
    </row>
    <row r="4724" ht="15.75" customHeight="1">
      <c r="A4724" s="2">
        <v>53386.0</v>
      </c>
      <c r="B4724" s="2" t="s">
        <v>398</v>
      </c>
      <c r="C4724" s="2" t="s">
        <v>9726</v>
      </c>
      <c r="D4724" s="2" t="s">
        <v>9727</v>
      </c>
      <c r="E4724" s="2" t="s">
        <v>9728</v>
      </c>
      <c r="F4724" s="2">
        <v>0.0</v>
      </c>
      <c r="G4724" s="2">
        <v>194.0</v>
      </c>
      <c r="H4724" s="3" t="str">
        <f>HYPERLINK("http://www.linkedin.com/pub/colin-wetherbee/0/785/A5","http://www.linkedin.com/pub/colin-wetherbee/0/785/A5")</f>
        <v>http://www.linkedin.com/pub/colin-wetherbee/0/785/A5</v>
      </c>
      <c r="I4724" s="2" t="s">
        <v>96</v>
      </c>
      <c r="J4724" s="2" t="s">
        <v>102</v>
      </c>
      <c r="K4724" s="2" t="s">
        <v>6075</v>
      </c>
    </row>
    <row r="4725" ht="15.75" customHeight="1">
      <c r="A4725" s="2">
        <v>53387.0</v>
      </c>
      <c r="B4725" s="2" t="s">
        <v>189</v>
      </c>
      <c r="C4725" s="2" t="s">
        <v>9729</v>
      </c>
      <c r="D4725" s="2" t="s">
        <v>9730</v>
      </c>
      <c r="E4725" s="2" t="s">
        <v>914</v>
      </c>
      <c r="F4725" s="2">
        <v>58.0</v>
      </c>
      <c r="G4725" s="2">
        <v>500.0</v>
      </c>
      <c r="H4725" s="3" t="str">
        <f>HYPERLINK("http://www.linkedin.com/in/deandacosta","http://www.linkedin.com/in/deandacosta")</f>
        <v>http://www.linkedin.com/in/deandacosta</v>
      </c>
      <c r="I4725" s="2" t="s">
        <v>458</v>
      </c>
      <c r="J4725" s="2" t="s">
        <v>102</v>
      </c>
      <c r="K4725" s="2" t="s">
        <v>5823</v>
      </c>
    </row>
    <row r="4726" ht="15.75" customHeight="1">
      <c r="A4726" s="2">
        <v>53425.0</v>
      </c>
      <c r="B4726" s="2" t="s">
        <v>9731</v>
      </c>
      <c r="C4726" s="2" t="s">
        <v>9732</v>
      </c>
      <c r="D4726" s="2" t="s">
        <v>6411</v>
      </c>
      <c r="E4726" s="2" t="s">
        <v>701</v>
      </c>
      <c r="F4726" s="2" t="s">
        <v>13</v>
      </c>
      <c r="G4726" s="2">
        <v>500.0</v>
      </c>
      <c r="H4726" s="3" t="str">
        <f>HYPERLINK("http://ar.linkedin.com/pub/raquel-miara/7/A82/12","http://ar.linkedin.com/pub/raquel-miara/7/A82/12")</f>
        <v>http://ar.linkedin.com/pub/raquel-miara/7/A82/12</v>
      </c>
      <c r="I4726" s="2" t="s">
        <v>105</v>
      </c>
      <c r="J4726" s="2" t="s">
        <v>702</v>
      </c>
      <c r="K4726" s="2" t="s">
        <v>5734</v>
      </c>
    </row>
    <row r="4727" ht="15.75" customHeight="1">
      <c r="A4727" s="2">
        <v>53446.0</v>
      </c>
      <c r="B4727" s="2" t="s">
        <v>9733</v>
      </c>
      <c r="C4727" s="2" t="s">
        <v>9734</v>
      </c>
      <c r="D4727" s="2" t="s">
        <v>9735</v>
      </c>
      <c r="E4727" s="2" t="s">
        <v>20</v>
      </c>
      <c r="F4727" s="2">
        <v>3.0</v>
      </c>
      <c r="G4727" s="2">
        <v>139.0</v>
      </c>
      <c r="H4727" s="3" t="str">
        <f>HYPERLINK("http://ar.linkedin.com/pub/lucila-monfort/5/31/B92","http://ar.linkedin.com/pub/lucila-monfort/5/31/B92")</f>
        <v>http://ar.linkedin.com/pub/lucila-monfort/5/31/B92</v>
      </c>
      <c r="I4727" s="2" t="s">
        <v>77</v>
      </c>
      <c r="J4727" s="2" t="s">
        <v>21</v>
      </c>
      <c r="K4727" s="2" t="s">
        <v>9736</v>
      </c>
    </row>
    <row r="4728" ht="15.75" customHeight="1">
      <c r="A4728" s="2">
        <v>53454.0</v>
      </c>
      <c r="B4728" s="2" t="s">
        <v>6947</v>
      </c>
      <c r="C4728" s="2" t="s">
        <v>9737</v>
      </c>
      <c r="D4728" s="2" t="s">
        <v>9738</v>
      </c>
      <c r="E4728" s="2" t="s">
        <v>20</v>
      </c>
      <c r="F4728" s="2">
        <v>7.0</v>
      </c>
      <c r="G4728" s="2">
        <v>400.0</v>
      </c>
      <c r="H4728" s="3" t="str">
        <f>HYPERLINK("http://ar.linkedin.com/pub/miranda-urquiola-serrano/0/6B6/792","http://ar.linkedin.com/pub/miranda-urquiola-serrano/0/6B6/792")</f>
        <v>http://ar.linkedin.com/pub/miranda-urquiola-serrano/0/6B6/792</v>
      </c>
      <c r="I4728" s="2" t="s">
        <v>252</v>
      </c>
      <c r="J4728" s="2" t="s">
        <v>21</v>
      </c>
      <c r="K4728" s="2" t="s">
        <v>5727</v>
      </c>
    </row>
    <row r="4729" ht="15.75" customHeight="1">
      <c r="A4729" s="2">
        <v>53456.0</v>
      </c>
      <c r="B4729" s="2" t="s">
        <v>7598</v>
      </c>
      <c r="C4729" s="2" t="s">
        <v>9739</v>
      </c>
      <c r="D4729" s="2" t="s">
        <v>2331</v>
      </c>
      <c r="E4729" s="2" t="s">
        <v>20</v>
      </c>
      <c r="F4729" s="2" t="s">
        <v>13</v>
      </c>
      <c r="G4729" s="2">
        <v>206.0</v>
      </c>
      <c r="H4729" s="3" t="str">
        <f>HYPERLINK("http://ar.linkedin.com/pub/ver%C3%B3nica-arga%C3%B1araz/1/39/A04","http://ar.linkedin.com/pub/ver%C3%B3nica-arga%C3%B1araz/1/39/A04")</f>
        <v>http://ar.linkedin.com/pub/ver%C3%B3nica-arga%C3%B1araz/1/39/A04</v>
      </c>
      <c r="I4729" s="2" t="s">
        <v>48</v>
      </c>
      <c r="J4729" s="2" t="s">
        <v>21</v>
      </c>
      <c r="K4729" s="2" t="s">
        <v>5725</v>
      </c>
    </row>
    <row r="4730" ht="15.75" customHeight="1">
      <c r="A4730" s="2">
        <v>53465.0</v>
      </c>
      <c r="B4730" s="2" t="s">
        <v>5959</v>
      </c>
      <c r="C4730" s="2" t="s">
        <v>9740</v>
      </c>
      <c r="D4730" s="2" t="s">
        <v>8586</v>
      </c>
      <c r="E4730" s="2" t="s">
        <v>20</v>
      </c>
      <c r="F4730" s="2" t="s">
        <v>13</v>
      </c>
      <c r="G4730" s="2">
        <v>316.0</v>
      </c>
      <c r="H4730" s="3" t="str">
        <f>HYPERLINK("http://ar.linkedin.com/pub/clara-terren/14/19/902","http://ar.linkedin.com/pub/clara-terren/14/19/902")</f>
        <v>http://ar.linkedin.com/pub/clara-terren/14/19/902</v>
      </c>
      <c r="I4730" s="2" t="s">
        <v>279</v>
      </c>
      <c r="J4730" s="2" t="s">
        <v>21</v>
      </c>
      <c r="K4730" s="2" t="s">
        <v>5734</v>
      </c>
    </row>
    <row r="4731" ht="15.75" customHeight="1">
      <c r="A4731" s="2">
        <v>53466.0</v>
      </c>
      <c r="B4731" s="2" t="s">
        <v>8665</v>
      </c>
      <c r="C4731" s="2" t="s">
        <v>9741</v>
      </c>
      <c r="D4731" s="2" t="s">
        <v>9742</v>
      </c>
      <c r="E4731" s="2" t="s">
        <v>20</v>
      </c>
      <c r="F4731" s="2" t="s">
        <v>13</v>
      </c>
      <c r="G4731" s="2">
        <v>349.0</v>
      </c>
      <c r="H4731" s="3" t="str">
        <f>HYPERLINK("http://ar.linkedin.com/pub/in-s-bernardi/6/199/612","http://ar.linkedin.com/pub/in-s-bernardi/6/199/612")</f>
        <v>http://ar.linkedin.com/pub/in-s-bernardi/6/199/612</v>
      </c>
      <c r="I4731" s="2" t="s">
        <v>279</v>
      </c>
      <c r="J4731" s="2" t="s">
        <v>21</v>
      </c>
      <c r="K4731" s="2" t="s">
        <v>5734</v>
      </c>
    </row>
    <row r="4732" ht="15.75" customHeight="1">
      <c r="A4732" s="2">
        <v>53467.0</v>
      </c>
      <c r="B4732" s="2" t="s">
        <v>9743</v>
      </c>
      <c r="C4732" s="2" t="s">
        <v>9744</v>
      </c>
      <c r="D4732" s="2" t="s">
        <v>9745</v>
      </c>
      <c r="E4732" s="2" t="s">
        <v>20</v>
      </c>
      <c r="F4732" s="2">
        <v>0.0</v>
      </c>
      <c r="G4732" s="2">
        <v>500.0</v>
      </c>
      <c r="H4732" s="3" t="str">
        <f>HYPERLINK("http://www.linkedin.com/in/annmariechantal","http://www.linkedin.com/in/annmariechantal")</f>
        <v>http://www.linkedin.com/in/annmariechantal</v>
      </c>
      <c r="I4732" s="2" t="s">
        <v>195</v>
      </c>
      <c r="J4732" s="2" t="s">
        <v>21</v>
      </c>
      <c r="K4732" s="2" t="s">
        <v>5785</v>
      </c>
    </row>
    <row r="4733" ht="15.75" customHeight="1">
      <c r="A4733" s="2">
        <v>53475.0</v>
      </c>
      <c r="B4733" s="2" t="s">
        <v>5389</v>
      </c>
      <c r="C4733" s="2" t="s">
        <v>9746</v>
      </c>
      <c r="D4733" s="2" t="s">
        <v>9747</v>
      </c>
      <c r="E4733" s="2" t="s">
        <v>20</v>
      </c>
      <c r="F4733" s="2">
        <v>2.0</v>
      </c>
      <c r="G4733" s="2">
        <v>500.0</v>
      </c>
      <c r="H4733" s="3" t="str">
        <f>HYPERLINK("http://ar.linkedin.com/pub/paula-tomassini/26/BA8/92B","http://ar.linkedin.com/pub/paula-tomassini/26/BA8/92B")</f>
        <v>http://ar.linkedin.com/pub/paula-tomassini/26/BA8/92B</v>
      </c>
      <c r="I4733" s="2" t="s">
        <v>195</v>
      </c>
      <c r="J4733" s="2" t="s">
        <v>21</v>
      </c>
      <c r="K4733" s="2" t="s">
        <v>6046</v>
      </c>
    </row>
    <row r="4734" ht="15.75" customHeight="1">
      <c r="A4734" s="2">
        <v>53499.0</v>
      </c>
      <c r="B4734" s="2" t="s">
        <v>329</v>
      </c>
      <c r="C4734" s="2" t="s">
        <v>9748</v>
      </c>
      <c r="D4734" s="2" t="s">
        <v>9749</v>
      </c>
      <c r="E4734" s="2" t="s">
        <v>20</v>
      </c>
      <c r="F4734" s="2">
        <v>10.0</v>
      </c>
      <c r="G4734" s="2">
        <v>500.0</v>
      </c>
      <c r="H4734" s="3" t="str">
        <f>HYPERLINK("http://ar.linkedin.com/in/juanpabloparadelo","http://ar.linkedin.com/in/juanpabloparadelo")</f>
        <v>http://ar.linkedin.com/in/juanpabloparadelo</v>
      </c>
      <c r="I4734" s="2" t="s">
        <v>1421</v>
      </c>
      <c r="J4734" s="2" t="s">
        <v>21</v>
      </c>
      <c r="K4734" s="2" t="s">
        <v>5727</v>
      </c>
    </row>
    <row r="4735" ht="15.75" customHeight="1">
      <c r="A4735" s="2">
        <v>53503.0</v>
      </c>
      <c r="B4735" s="2" t="s">
        <v>9152</v>
      </c>
      <c r="C4735" s="2" t="s">
        <v>1729</v>
      </c>
      <c r="D4735" s="2" t="s">
        <v>9750</v>
      </c>
      <c r="E4735" s="2" t="s">
        <v>20</v>
      </c>
      <c r="F4735" s="2">
        <v>2.0</v>
      </c>
      <c r="G4735" s="2">
        <v>480.0</v>
      </c>
      <c r="H4735" s="3" t="str">
        <f>HYPERLINK("http://ar.linkedin.com/pub/mayra-martinez/1/715/671","http://ar.linkedin.com/pub/mayra-martinez/1/715/671")</f>
        <v>http://ar.linkedin.com/pub/mayra-martinez/1/715/671</v>
      </c>
      <c r="I4735" s="2" t="s">
        <v>1237</v>
      </c>
      <c r="J4735" s="2" t="s">
        <v>21</v>
      </c>
      <c r="K4735" s="2" t="s">
        <v>5734</v>
      </c>
    </row>
    <row r="4736" ht="15.75" customHeight="1">
      <c r="A4736" s="2">
        <v>53512.0</v>
      </c>
      <c r="B4736" s="2" t="s">
        <v>1163</v>
      </c>
      <c r="C4736" s="2" t="s">
        <v>9751</v>
      </c>
      <c r="D4736" s="2" t="s">
        <v>9752</v>
      </c>
      <c r="E4736" s="2" t="s">
        <v>20</v>
      </c>
      <c r="F4736" s="2" t="s">
        <v>13</v>
      </c>
      <c r="G4736" s="2">
        <v>500.0</v>
      </c>
      <c r="H4736" s="3" t="str">
        <f>HYPERLINK("http://ar.linkedin.com/pub/maria-de-nevares/27/841/477","http://ar.linkedin.com/pub/maria-de-nevares/27/841/477")</f>
        <v>http://ar.linkedin.com/pub/maria-de-nevares/27/841/477</v>
      </c>
      <c r="I4736" s="2" t="s">
        <v>458</v>
      </c>
      <c r="J4736" s="2" t="s">
        <v>21</v>
      </c>
      <c r="K4736" s="2" t="s">
        <v>5734</v>
      </c>
    </row>
    <row r="4737" ht="15.75" customHeight="1">
      <c r="A4737" s="2">
        <v>53514.0</v>
      </c>
      <c r="B4737" s="2" t="s">
        <v>9753</v>
      </c>
      <c r="C4737" s="2" t="s">
        <v>9754</v>
      </c>
      <c r="D4737" s="2" t="s">
        <v>9755</v>
      </c>
      <c r="E4737" s="2" t="s">
        <v>20</v>
      </c>
      <c r="F4737" s="2">
        <v>1.0</v>
      </c>
      <c r="G4737" s="2">
        <v>500.0</v>
      </c>
      <c r="H4737" s="3" t="str">
        <f>HYPERLINK("http://ar.linkedin.com/pub/nurit-weitz/9/866/A07","http://ar.linkedin.com/pub/nurit-weitz/9/866/A07")</f>
        <v>http://ar.linkedin.com/pub/nurit-weitz/9/866/A07</v>
      </c>
      <c r="I4737" s="2" t="s">
        <v>579</v>
      </c>
      <c r="J4737" s="2" t="s">
        <v>21</v>
      </c>
      <c r="K4737" s="2" t="s">
        <v>5848</v>
      </c>
    </row>
    <row r="4738" ht="15.75" customHeight="1">
      <c r="A4738" s="2">
        <v>53590.0</v>
      </c>
      <c r="B4738" s="2" t="s">
        <v>314</v>
      </c>
      <c r="C4738" s="2" t="s">
        <v>9756</v>
      </c>
      <c r="D4738" s="2" t="s">
        <v>13</v>
      </c>
      <c r="E4738" s="2" t="s">
        <v>20</v>
      </c>
      <c r="F4738" s="2">
        <v>3.0</v>
      </c>
      <c r="G4738" s="2">
        <v>500.0</v>
      </c>
      <c r="H4738" s="3" t="str">
        <f>HYPERLINK("http://www.linkedin.com/pub/marcos-beverina/2b/2b9/655","http://www.linkedin.com/pub/marcos-beverina/2b/2b9/655")</f>
        <v>http://www.linkedin.com/pub/marcos-beverina/2b/2b9/655</v>
      </c>
      <c r="I4738" s="2" t="s">
        <v>105</v>
      </c>
      <c r="J4738" s="2" t="s">
        <v>21</v>
      </c>
      <c r="K4738" s="2" t="s">
        <v>5727</v>
      </c>
    </row>
    <row r="4739" ht="15.75" customHeight="1">
      <c r="A4739" s="2">
        <v>53591.0</v>
      </c>
      <c r="B4739" s="2" t="s">
        <v>5803</v>
      </c>
      <c r="C4739" s="2" t="s">
        <v>9757</v>
      </c>
      <c r="D4739" s="2" t="s">
        <v>13</v>
      </c>
      <c r="E4739" s="2" t="s">
        <v>20</v>
      </c>
      <c r="F4739" s="2">
        <v>6.0</v>
      </c>
      <c r="G4739" s="2">
        <v>371.0</v>
      </c>
      <c r="H4739" s="3" t="str">
        <f>HYPERLINK("http://www.linkedin.com/pub/mariano-albertolli/0/424/1b3","http://www.linkedin.com/pub/mariano-albertolli/0/424/1b3")</f>
        <v>http://www.linkedin.com/pub/mariano-albertolli/0/424/1b3</v>
      </c>
      <c r="I4739" s="2" t="s">
        <v>15</v>
      </c>
      <c r="J4739" s="2" t="s">
        <v>21</v>
      </c>
      <c r="K4739" s="2" t="s">
        <v>5727</v>
      </c>
    </row>
    <row r="4740" ht="15.75" customHeight="1">
      <c r="A4740" s="2">
        <v>53603.0</v>
      </c>
      <c r="B4740" s="2" t="s">
        <v>362</v>
      </c>
      <c r="C4740" s="2" t="s">
        <v>9758</v>
      </c>
      <c r="D4740" s="2" t="s">
        <v>9759</v>
      </c>
      <c r="E4740" s="2" t="s">
        <v>20</v>
      </c>
      <c r="F4740" s="2">
        <v>1.0</v>
      </c>
      <c r="G4740" s="2">
        <v>278.0</v>
      </c>
      <c r="H4740" s="3" t="str">
        <f>HYPERLINK("http://ar.linkedin.com/in/jtouceda","http://ar.linkedin.com/in/jtouceda")</f>
        <v>http://ar.linkedin.com/in/jtouceda</v>
      </c>
      <c r="I4740" s="2" t="s">
        <v>77</v>
      </c>
      <c r="J4740" s="2" t="s">
        <v>21</v>
      </c>
      <c r="K4740" s="2" t="s">
        <v>6342</v>
      </c>
    </row>
    <row r="4741" ht="15.75" customHeight="1">
      <c r="A4741" s="2">
        <v>53616.0</v>
      </c>
      <c r="B4741" s="2" t="s">
        <v>7719</v>
      </c>
      <c r="C4741" s="2" t="s">
        <v>9760</v>
      </c>
      <c r="D4741" s="2" t="s">
        <v>9761</v>
      </c>
      <c r="E4741" s="2" t="s">
        <v>20</v>
      </c>
      <c r="F4741" s="2" t="s">
        <v>13</v>
      </c>
      <c r="G4741" s="2">
        <v>158.0</v>
      </c>
      <c r="H4741" s="3" t="str">
        <f>HYPERLINK("http://ar.linkedin.com/pub/eliana-teplisky/18/70B/132","http://ar.linkedin.com/pub/eliana-teplisky/18/70B/132")</f>
        <v>http://ar.linkedin.com/pub/eliana-teplisky/18/70B/132</v>
      </c>
      <c r="I4741" s="2" t="s">
        <v>57</v>
      </c>
      <c r="J4741" s="2" t="s">
        <v>21</v>
      </c>
      <c r="K4741" s="2" t="s">
        <v>5725</v>
      </c>
    </row>
    <row r="4742" ht="15.75" customHeight="1">
      <c r="A4742" s="2">
        <v>53621.0</v>
      </c>
      <c r="B4742" s="2" t="s">
        <v>5332</v>
      </c>
      <c r="C4742" s="2" t="s">
        <v>9762</v>
      </c>
      <c r="D4742" s="2" t="s">
        <v>13</v>
      </c>
      <c r="E4742" s="2" t="s">
        <v>20</v>
      </c>
      <c r="F4742" s="2">
        <v>6.0</v>
      </c>
      <c r="G4742" s="2">
        <v>500.0</v>
      </c>
      <c r="H4742" s="3" t="str">
        <f>HYPERLINK("http://ar.linkedin.com/in/mbazterrica","http://ar.linkedin.com/in/mbazterrica")</f>
        <v>http://ar.linkedin.com/in/mbazterrica</v>
      </c>
      <c r="I4742" s="2" t="s">
        <v>458</v>
      </c>
      <c r="J4742" s="2" t="s">
        <v>21</v>
      </c>
      <c r="K4742" s="2" t="s">
        <v>5727</v>
      </c>
    </row>
    <row r="4743" ht="15.75" customHeight="1">
      <c r="A4743" s="2">
        <v>53627.0</v>
      </c>
      <c r="B4743" s="2" t="s">
        <v>3072</v>
      </c>
      <c r="C4743" s="2" t="s">
        <v>9763</v>
      </c>
      <c r="D4743" s="2" t="s">
        <v>13</v>
      </c>
      <c r="E4743" s="2" t="s">
        <v>20</v>
      </c>
      <c r="F4743" s="2">
        <v>0.0</v>
      </c>
      <c r="G4743" s="2">
        <v>500.0</v>
      </c>
      <c r="H4743" s="3" t="str">
        <f>HYPERLINK("http://www.linkedin.com/pub/luis-robbio/1/380/48a","http://www.linkedin.com/pub/luis-robbio/1/380/48a")</f>
        <v>http://www.linkedin.com/pub/luis-robbio/1/380/48a</v>
      </c>
      <c r="I4743" s="2" t="s">
        <v>252</v>
      </c>
      <c r="J4743" s="2" t="s">
        <v>21</v>
      </c>
      <c r="K4743" s="2" t="s">
        <v>5734</v>
      </c>
    </row>
    <row r="4744" ht="15.75" customHeight="1">
      <c r="A4744" s="2">
        <v>53635.0</v>
      </c>
      <c r="B4744" s="2" t="s">
        <v>3441</v>
      </c>
      <c r="C4744" s="2" t="s">
        <v>9764</v>
      </c>
      <c r="D4744" s="2" t="s">
        <v>9765</v>
      </c>
      <c r="E4744" s="2" t="s">
        <v>20</v>
      </c>
      <c r="F4744" s="2">
        <v>11.0</v>
      </c>
      <c r="G4744" s="2">
        <v>168.0</v>
      </c>
      <c r="H4744" s="3" t="str">
        <f>HYPERLINK("http://ar.linkedin.com/pub/elizabeth-albornoz/5/9B3/696","http://ar.linkedin.com/pub/elizabeth-albornoz/5/9B3/696")</f>
        <v>http://ar.linkedin.com/pub/elizabeth-albornoz/5/9B3/696</v>
      </c>
      <c r="I4744" s="2" t="s">
        <v>374</v>
      </c>
      <c r="J4744" s="2" t="s">
        <v>21</v>
      </c>
      <c r="K4744" s="2" t="s">
        <v>5727</v>
      </c>
    </row>
    <row r="4745" ht="15.75" customHeight="1">
      <c r="A4745" s="2">
        <v>53647.0</v>
      </c>
      <c r="B4745" s="2" t="s">
        <v>3299</v>
      </c>
      <c r="C4745" s="2" t="s">
        <v>9766</v>
      </c>
      <c r="D4745" s="2" t="s">
        <v>9767</v>
      </c>
      <c r="E4745" s="2" t="s">
        <v>20</v>
      </c>
      <c r="F4745" s="2">
        <v>8.0</v>
      </c>
      <c r="G4745" s="2">
        <v>500.0</v>
      </c>
      <c r="H4745" s="3" t="str">
        <f>HYPERLINK("http://ar.linkedin.com/pub/fabian-costallat/0/256/918","http://ar.linkedin.com/pub/fabian-costallat/0/256/918")</f>
        <v>http://ar.linkedin.com/pub/fabian-costallat/0/256/918</v>
      </c>
      <c r="I4745" s="2" t="s">
        <v>873</v>
      </c>
      <c r="J4745" s="2" t="s">
        <v>21</v>
      </c>
      <c r="K4745" s="2" t="s">
        <v>5731</v>
      </c>
    </row>
    <row r="4746" ht="15.75" customHeight="1">
      <c r="A4746" s="2">
        <v>53654.0</v>
      </c>
      <c r="B4746" s="2" t="s">
        <v>152</v>
      </c>
      <c r="C4746" s="2" t="s">
        <v>9768</v>
      </c>
      <c r="D4746" s="2" t="s">
        <v>9769</v>
      </c>
      <c r="E4746" s="2" t="s">
        <v>20</v>
      </c>
      <c r="F4746" s="2">
        <v>2.0</v>
      </c>
      <c r="G4746" s="2">
        <v>389.0</v>
      </c>
      <c r="H4746" s="3" t="str">
        <f>HYPERLINK("http://ar.linkedin.com/in/eduardogalindo","http://ar.linkedin.com/in/eduardogalindo")</f>
        <v>http://ar.linkedin.com/in/eduardogalindo</v>
      </c>
      <c r="I4746" s="2" t="s">
        <v>248</v>
      </c>
      <c r="J4746" s="2" t="s">
        <v>21</v>
      </c>
      <c r="K4746" s="2" t="s">
        <v>6046</v>
      </c>
    </row>
    <row r="4747" ht="15.75" customHeight="1">
      <c r="A4747" s="2">
        <v>53663.0</v>
      </c>
      <c r="B4747" s="2" t="s">
        <v>253</v>
      </c>
      <c r="C4747" s="2" t="s">
        <v>8439</v>
      </c>
      <c r="D4747" s="2" t="s">
        <v>9770</v>
      </c>
      <c r="E4747" s="2" t="s">
        <v>20</v>
      </c>
      <c r="F4747" s="2">
        <v>12.0</v>
      </c>
      <c r="G4747" s="2">
        <v>410.0</v>
      </c>
      <c r="H4747" s="3" t="str">
        <f>HYPERLINK("http://ar.linkedin.com/in/fernandododino","http://ar.linkedin.com/in/fernandododino")</f>
        <v>http://ar.linkedin.com/in/fernandododino</v>
      </c>
      <c r="I4747" s="2" t="s">
        <v>2443</v>
      </c>
      <c r="J4747" s="2" t="s">
        <v>21</v>
      </c>
      <c r="K4747" s="2" t="s">
        <v>5727</v>
      </c>
    </row>
    <row r="4748" ht="15.75" customHeight="1">
      <c r="A4748" s="2">
        <v>53683.0</v>
      </c>
      <c r="B4748" s="2" t="s">
        <v>5948</v>
      </c>
      <c r="C4748" s="2" t="s">
        <v>9771</v>
      </c>
      <c r="D4748" s="2" t="s">
        <v>9772</v>
      </c>
      <c r="E4748" s="2" t="s">
        <v>20</v>
      </c>
      <c r="F4748" s="2">
        <v>14.0</v>
      </c>
      <c r="G4748" s="2">
        <v>175.0</v>
      </c>
      <c r="H4748" s="3" t="str">
        <f>HYPERLINK("http://ar.linkedin.com/pub/ines-chemello/A/A40/968","http://ar.linkedin.com/pub/ines-chemello/A/A40/968")</f>
        <v>http://ar.linkedin.com/pub/ines-chemello/A/A40/968</v>
      </c>
      <c r="I4748" s="2" t="s">
        <v>560</v>
      </c>
      <c r="J4748" s="2" t="s">
        <v>21</v>
      </c>
      <c r="K4748" s="2" t="s">
        <v>5727</v>
      </c>
    </row>
    <row r="4749" ht="15.75" customHeight="1">
      <c r="A4749" s="2">
        <v>53704.0</v>
      </c>
      <c r="B4749" s="2" t="s">
        <v>9773</v>
      </c>
      <c r="C4749" s="2" t="s">
        <v>6148</v>
      </c>
      <c r="D4749" s="2" t="s">
        <v>9774</v>
      </c>
      <c r="E4749" s="2" t="s">
        <v>20</v>
      </c>
      <c r="F4749" s="2">
        <v>26.0</v>
      </c>
      <c r="G4749" s="2">
        <v>500.0</v>
      </c>
      <c r="H4749" s="3" t="str">
        <f>HYPERLINK("http://ar.linkedin.com/in/sandraromerovanguardia","http://ar.linkedin.com/in/sandraromerovanguardia")</f>
        <v>http://ar.linkedin.com/in/sandraromerovanguardia</v>
      </c>
      <c r="I4749" s="2" t="s">
        <v>458</v>
      </c>
      <c r="J4749" s="2" t="s">
        <v>21</v>
      </c>
      <c r="K4749" s="2" t="s">
        <v>5727</v>
      </c>
    </row>
    <row r="4750" ht="15.75" customHeight="1">
      <c r="A4750" s="2">
        <v>53722.0</v>
      </c>
      <c r="B4750" s="2" t="s">
        <v>253</v>
      </c>
      <c r="C4750" s="2" t="s">
        <v>9775</v>
      </c>
      <c r="D4750" s="2" t="s">
        <v>9776</v>
      </c>
      <c r="E4750" s="2" t="s">
        <v>20</v>
      </c>
      <c r="F4750" s="2">
        <v>6.0</v>
      </c>
      <c r="G4750" s="2">
        <v>500.0</v>
      </c>
      <c r="H4750" s="3" t="str">
        <f>HYPERLINK("http://ar.linkedin.com/pub/fernando-forti/10/73B/757","http://ar.linkedin.com/pub/fernando-forti/10/73B/757")</f>
        <v>http://ar.linkedin.com/pub/fernando-forti/10/73B/757</v>
      </c>
      <c r="I4750" s="2" t="s">
        <v>608</v>
      </c>
      <c r="J4750" s="2" t="s">
        <v>21</v>
      </c>
      <c r="K4750" s="2" t="s">
        <v>5727</v>
      </c>
    </row>
    <row r="4751" ht="15.75" customHeight="1">
      <c r="A4751" s="2">
        <v>53729.0</v>
      </c>
      <c r="B4751" s="2" t="s">
        <v>7403</v>
      </c>
      <c r="C4751" s="2" t="s">
        <v>9777</v>
      </c>
      <c r="D4751" s="2" t="s">
        <v>8548</v>
      </c>
      <c r="E4751" s="2" t="s">
        <v>20</v>
      </c>
      <c r="F4751" s="2">
        <v>1.0</v>
      </c>
      <c r="G4751" s="2">
        <v>500.0</v>
      </c>
      <c r="H4751" s="3" t="str">
        <f>HYPERLINK("http://ar.linkedin.com/pub/lorena-nanni/15/792/656","http://ar.linkedin.com/pub/lorena-nanni/15/792/656")</f>
        <v>http://ar.linkedin.com/pub/lorena-nanni/15/792/656</v>
      </c>
      <c r="I4751" s="2" t="s">
        <v>1452</v>
      </c>
      <c r="J4751" s="2" t="s">
        <v>21</v>
      </c>
      <c r="K4751" s="2" t="s">
        <v>5727</v>
      </c>
    </row>
    <row r="4752" ht="15.75" customHeight="1">
      <c r="A4752" s="2">
        <v>53731.0</v>
      </c>
      <c r="B4752" s="2" t="s">
        <v>358</v>
      </c>
      <c r="C4752" s="2" t="s">
        <v>9778</v>
      </c>
      <c r="D4752" s="2" t="s">
        <v>9779</v>
      </c>
      <c r="E4752" s="2" t="s">
        <v>20</v>
      </c>
      <c r="F4752" s="2" t="s">
        <v>13</v>
      </c>
      <c r="G4752" s="2">
        <v>449.0</v>
      </c>
      <c r="H4752" s="3" t="str">
        <f>HYPERLINK("http://ar.linkedin.com/pub/marcelo-abate/1/91A/8B8","http://ar.linkedin.com/pub/marcelo-abate/1/91A/8B8")</f>
        <v>http://ar.linkedin.com/pub/marcelo-abate/1/91A/8B8</v>
      </c>
      <c r="I4752" s="2" t="s">
        <v>77</v>
      </c>
      <c r="J4752" s="2" t="s">
        <v>21</v>
      </c>
      <c r="K4752" s="2" t="s">
        <v>5848</v>
      </c>
    </row>
    <row r="4753" ht="15.75" customHeight="1">
      <c r="A4753" s="2">
        <v>53737.0</v>
      </c>
      <c r="B4753" s="2" t="s">
        <v>6846</v>
      </c>
      <c r="C4753" s="2" t="s">
        <v>9780</v>
      </c>
      <c r="D4753" s="2" t="s">
        <v>8962</v>
      </c>
      <c r="E4753" s="2" t="s">
        <v>20</v>
      </c>
      <c r="F4753" s="2" t="s">
        <v>13</v>
      </c>
      <c r="G4753" s="2">
        <v>47.0</v>
      </c>
      <c r="H4753" s="3" t="str">
        <f>HYPERLINK("http://ar.linkedin.com/in/mariaines","http://ar.linkedin.com/in/mariaines")</f>
        <v>http://ar.linkedin.com/in/mariaines</v>
      </c>
      <c r="I4753" s="2" t="s">
        <v>77</v>
      </c>
      <c r="J4753" s="2" t="s">
        <v>21</v>
      </c>
      <c r="K4753" s="2" t="s">
        <v>6342</v>
      </c>
    </row>
    <row r="4754" ht="15.75" customHeight="1">
      <c r="A4754" s="2">
        <v>53740.0</v>
      </c>
      <c r="B4754" s="2" t="s">
        <v>9781</v>
      </c>
      <c r="C4754" s="2" t="s">
        <v>9782</v>
      </c>
      <c r="D4754" s="2" t="s">
        <v>9783</v>
      </c>
      <c r="E4754" s="2" t="s">
        <v>20</v>
      </c>
      <c r="F4754" s="2">
        <v>1.0</v>
      </c>
      <c r="G4754" s="2">
        <v>439.0</v>
      </c>
      <c r="H4754" s="3" t="str">
        <f>HYPERLINK("http://ar.linkedin.com/pub/mariano-andres-llanos-tomasini/12/5A3/AA4","http://ar.linkedin.com/pub/mariano-andres-llanos-tomasini/12/5A3/AA4")</f>
        <v>http://ar.linkedin.com/pub/mariano-andres-llanos-tomasini/12/5A3/AA4</v>
      </c>
      <c r="I4754" s="2" t="s">
        <v>910</v>
      </c>
      <c r="J4754" s="2" t="s">
        <v>21</v>
      </c>
      <c r="K4754" s="2" t="s">
        <v>5734</v>
      </c>
    </row>
    <row r="4755" ht="15.75" customHeight="1">
      <c r="A4755" s="2">
        <v>53752.0</v>
      </c>
      <c r="B4755" s="2" t="s">
        <v>9784</v>
      </c>
      <c r="C4755" s="2" t="s">
        <v>759</v>
      </c>
      <c r="D4755" s="2" t="s">
        <v>13</v>
      </c>
      <c r="E4755" s="2" t="s">
        <v>20</v>
      </c>
      <c r="F4755" s="2">
        <v>0.0</v>
      </c>
      <c r="G4755" s="2">
        <v>500.0</v>
      </c>
      <c r="H4755" s="3" t="str">
        <f>HYPERLINK("http://www.linkedin.com/pub/limoncelli-barbara/14/429/882","http://www.linkedin.com/pub/limoncelli-barbara/14/429/882")</f>
        <v>http://www.linkedin.com/pub/limoncelli-barbara/14/429/882</v>
      </c>
      <c r="I4755" s="2" t="s">
        <v>195</v>
      </c>
      <c r="J4755" s="2" t="s">
        <v>21</v>
      </c>
      <c r="K4755" s="2" t="s">
        <v>6865</v>
      </c>
    </row>
    <row r="4756" ht="15.75" customHeight="1">
      <c r="A4756" s="2">
        <v>53760.0</v>
      </c>
      <c r="B4756" s="2" t="s">
        <v>9785</v>
      </c>
      <c r="C4756" s="2" t="s">
        <v>9378</v>
      </c>
      <c r="D4756" s="2" t="s">
        <v>13</v>
      </c>
      <c r="E4756" s="2" t="s">
        <v>20</v>
      </c>
      <c r="F4756" s="2">
        <v>1.0</v>
      </c>
      <c r="G4756" s="2">
        <v>500.0</v>
      </c>
      <c r="H4756" s="3" t="str">
        <f>HYPERLINK("http://www.linkedin.com/pub/ana-clara-fari%C3%B1a/25/3a6/a32","http://www.linkedin.com/pub/ana-clara-fari%C3%B1a/25/3a6/a32")</f>
        <v>http://www.linkedin.com/pub/ana-clara-fari%C3%B1a/25/3a6/a32</v>
      </c>
      <c r="I4756" s="2" t="s">
        <v>105</v>
      </c>
      <c r="J4756" s="2" t="s">
        <v>21</v>
      </c>
      <c r="K4756" s="2" t="s">
        <v>5725</v>
      </c>
    </row>
    <row r="4757" ht="15.75" customHeight="1">
      <c r="A4757" s="2">
        <v>53786.0</v>
      </c>
      <c r="B4757" s="2" t="s">
        <v>358</v>
      </c>
      <c r="C4757" s="2" t="s">
        <v>9786</v>
      </c>
      <c r="D4757" s="2" t="s">
        <v>9787</v>
      </c>
      <c r="E4757" s="2" t="s">
        <v>20</v>
      </c>
      <c r="F4757" s="2">
        <v>1.0</v>
      </c>
      <c r="G4757" s="2">
        <v>500.0</v>
      </c>
      <c r="H4757" s="3" t="str">
        <f>HYPERLINK("http://ar.linkedin.com/in/marcelocapurro","http://ar.linkedin.com/in/marcelocapurro")</f>
        <v>http://ar.linkedin.com/in/marcelocapurro</v>
      </c>
      <c r="I4757" s="2" t="s">
        <v>195</v>
      </c>
      <c r="J4757" s="2" t="s">
        <v>21</v>
      </c>
      <c r="K4757" s="2" t="s">
        <v>5865</v>
      </c>
    </row>
    <row r="4758" ht="15.75" customHeight="1">
      <c r="A4758" s="2">
        <v>53789.0</v>
      </c>
      <c r="B4758" s="2" t="s">
        <v>5332</v>
      </c>
      <c r="C4758" s="2" t="s">
        <v>9788</v>
      </c>
      <c r="D4758" s="2" t="s">
        <v>9362</v>
      </c>
      <c r="E4758" s="2" t="s">
        <v>20</v>
      </c>
      <c r="F4758" s="2" t="s">
        <v>13</v>
      </c>
      <c r="G4758" s="2">
        <v>209.0</v>
      </c>
      <c r="H4758" s="3" t="str">
        <f>HYPERLINK("http://ar.linkedin.com/pub/mercedes-miletti/26/473/86B","http://ar.linkedin.com/pub/mercedes-miletti/26/473/86B")</f>
        <v>http://ar.linkedin.com/pub/mercedes-miletti/26/473/86B</v>
      </c>
      <c r="I4758" s="2" t="s">
        <v>458</v>
      </c>
      <c r="J4758" s="2" t="s">
        <v>21</v>
      </c>
      <c r="K4758" s="2" t="s">
        <v>5734</v>
      </c>
    </row>
    <row r="4759" ht="15.75" customHeight="1">
      <c r="A4759" s="2">
        <v>53791.0</v>
      </c>
      <c r="B4759" s="2" t="s">
        <v>918</v>
      </c>
      <c r="C4759" s="2" t="s">
        <v>9789</v>
      </c>
      <c r="D4759" s="2" t="s">
        <v>6603</v>
      </c>
      <c r="E4759" s="2" t="s">
        <v>20</v>
      </c>
      <c r="F4759" s="2">
        <v>2.0</v>
      </c>
      <c r="G4759" s="2">
        <v>500.0</v>
      </c>
      <c r="H4759" s="3" t="str">
        <f>HYPERLINK("http://www.linkedin.com/in/marielsalasbort","http://www.linkedin.com/in/marielsalasbort")</f>
        <v>http://www.linkedin.com/in/marielsalasbort</v>
      </c>
      <c r="I4759" s="2" t="s">
        <v>458</v>
      </c>
      <c r="J4759" s="2" t="s">
        <v>21</v>
      </c>
      <c r="K4759" s="2" t="s">
        <v>5727</v>
      </c>
    </row>
    <row r="4760" ht="15.75" customHeight="1">
      <c r="A4760" s="2">
        <v>53799.0</v>
      </c>
      <c r="B4760" s="2" t="s">
        <v>6198</v>
      </c>
      <c r="C4760" s="2" t="s">
        <v>9790</v>
      </c>
      <c r="D4760" s="2" t="s">
        <v>9791</v>
      </c>
      <c r="E4760" s="2" t="s">
        <v>20</v>
      </c>
      <c r="F4760" s="2" t="s">
        <v>13</v>
      </c>
      <c r="G4760" s="2">
        <v>500.0</v>
      </c>
      <c r="H4760" s="3" t="str">
        <f>HYPERLINK("http://ar.linkedin.com/in/agandara","http://ar.linkedin.com/in/agandara")</f>
        <v>http://ar.linkedin.com/in/agandara</v>
      </c>
      <c r="I4760" s="2" t="s">
        <v>2046</v>
      </c>
      <c r="J4760" s="2" t="s">
        <v>21</v>
      </c>
      <c r="K4760" s="2" t="s">
        <v>5785</v>
      </c>
    </row>
    <row r="4761" ht="15.75" customHeight="1">
      <c r="A4761" s="2">
        <v>53811.0</v>
      </c>
      <c r="B4761" s="2" t="s">
        <v>9792</v>
      </c>
      <c r="C4761" s="2" t="s">
        <v>9793</v>
      </c>
      <c r="D4761" s="2" t="s">
        <v>9794</v>
      </c>
      <c r="E4761" s="2" t="s">
        <v>20</v>
      </c>
      <c r="F4761" s="2" t="s">
        <v>13</v>
      </c>
      <c r="G4761" s="2">
        <v>198.0</v>
      </c>
      <c r="H4761" s="3" t="str">
        <f>HYPERLINK("http://ar.linkedin.com/pub/mar%C3%ADa-paz-del-rio/A/12B/891","http://ar.linkedin.com/pub/mar%C3%ADa-paz-del-rio/A/12B/891")</f>
        <v>http://ar.linkedin.com/pub/mar%C3%ADa-paz-del-rio/A/12B/891</v>
      </c>
      <c r="I4761" s="2" t="s">
        <v>77</v>
      </c>
      <c r="J4761" s="2" t="s">
        <v>21</v>
      </c>
      <c r="K4761" s="2" t="s">
        <v>5848</v>
      </c>
    </row>
    <row r="4762" ht="15.75" customHeight="1">
      <c r="A4762" s="2">
        <v>53815.0</v>
      </c>
      <c r="B4762" s="2" t="s">
        <v>3015</v>
      </c>
      <c r="C4762" s="2" t="s">
        <v>9795</v>
      </c>
      <c r="D4762" s="2" t="s">
        <v>13</v>
      </c>
      <c r="E4762" s="2" t="s">
        <v>20</v>
      </c>
      <c r="F4762" s="2">
        <v>0.0</v>
      </c>
      <c r="G4762" s="2">
        <v>500.0</v>
      </c>
      <c r="H4762" s="3" t="str">
        <f>HYPERLINK("http://www.linkedin.com/pub/luciano-paluci/14/b3b/aa0","http://www.linkedin.com/pub/luciano-paluci/14/b3b/aa0")</f>
        <v>http://www.linkedin.com/pub/luciano-paluci/14/b3b/aa0</v>
      </c>
      <c r="I4762" s="2" t="s">
        <v>579</v>
      </c>
      <c r="J4762" s="2" t="s">
        <v>21</v>
      </c>
      <c r="K4762" s="2" t="s">
        <v>5734</v>
      </c>
    </row>
    <row r="4763" ht="15.75" customHeight="1">
      <c r="A4763" s="2">
        <v>53818.0</v>
      </c>
      <c r="B4763" s="2" t="s">
        <v>9796</v>
      </c>
      <c r="C4763" s="2" t="s">
        <v>9797</v>
      </c>
      <c r="D4763" s="2" t="s">
        <v>13</v>
      </c>
      <c r="E4763" s="2" t="s">
        <v>20</v>
      </c>
      <c r="F4763" s="2">
        <v>7.0</v>
      </c>
      <c r="G4763" s="2">
        <v>500.0</v>
      </c>
      <c r="H4763" s="3" t="str">
        <f>HYPERLINK("http://www.linkedin.com/pub/anabel-spataro/13/9a0/a16","http://www.linkedin.com/pub/anabel-spataro/13/9a0/a16")</f>
        <v>http://www.linkedin.com/pub/anabel-spataro/13/9a0/a16</v>
      </c>
      <c r="I4763" s="2" t="s">
        <v>326</v>
      </c>
      <c r="J4763" s="2" t="s">
        <v>21</v>
      </c>
      <c r="K4763" s="2" t="s">
        <v>5727</v>
      </c>
    </row>
    <row r="4764" ht="15.75" customHeight="1">
      <c r="A4764" s="2">
        <v>53826.0</v>
      </c>
      <c r="B4764" s="2" t="s">
        <v>7086</v>
      </c>
      <c r="C4764" s="2" t="s">
        <v>9798</v>
      </c>
      <c r="D4764" s="2" t="s">
        <v>1647</v>
      </c>
      <c r="E4764" s="2" t="s">
        <v>20</v>
      </c>
      <c r="F4764" s="2" t="s">
        <v>13</v>
      </c>
      <c r="G4764" s="2">
        <v>244.0</v>
      </c>
      <c r="H4764" s="3" t="str">
        <f>HYPERLINK("http://ar.linkedin.com/pub/mauro-riso/5/724/574","http://ar.linkedin.com/pub/mauro-riso/5/724/574")</f>
        <v>http://ar.linkedin.com/pub/mauro-riso/5/724/574</v>
      </c>
      <c r="I4764" s="2" t="s">
        <v>15</v>
      </c>
      <c r="J4764" s="2" t="s">
        <v>21</v>
      </c>
      <c r="K4764" s="2" t="s">
        <v>6124</v>
      </c>
    </row>
    <row r="4765" ht="15.75" customHeight="1">
      <c r="A4765" s="2">
        <v>53843.0</v>
      </c>
      <c r="B4765" s="2" t="s">
        <v>9799</v>
      </c>
      <c r="C4765" s="2" t="s">
        <v>9800</v>
      </c>
      <c r="D4765" s="2" t="s">
        <v>13</v>
      </c>
      <c r="E4765" s="2" t="s">
        <v>20</v>
      </c>
      <c r="F4765" s="2">
        <v>3.0</v>
      </c>
      <c r="G4765" s="2">
        <v>500.0</v>
      </c>
      <c r="H4765" s="3" t="str">
        <f>HYPERLINK("http://www.linkedin.com/pub/rodrigo-jose-bonfante/30/30/a55","http://www.linkedin.com/pub/rodrigo-jose-bonfante/30/30/a55")</f>
        <v>http://www.linkedin.com/pub/rodrigo-jose-bonfante/30/30/a55</v>
      </c>
      <c r="I4765" s="2" t="s">
        <v>105</v>
      </c>
      <c r="J4765" s="2" t="s">
        <v>21</v>
      </c>
      <c r="K4765" s="2" t="s">
        <v>5727</v>
      </c>
    </row>
    <row r="4766" ht="15.75" customHeight="1">
      <c r="A4766" s="2">
        <v>53895.0</v>
      </c>
      <c r="B4766" s="2" t="s">
        <v>523</v>
      </c>
      <c r="C4766" s="2" t="s">
        <v>9801</v>
      </c>
      <c r="D4766" s="2" t="s">
        <v>6982</v>
      </c>
      <c r="E4766" s="2" t="s">
        <v>20</v>
      </c>
      <c r="F4766" s="2">
        <v>9.0</v>
      </c>
      <c r="G4766" s="2">
        <v>500.0</v>
      </c>
      <c r="H4766" s="3" t="str">
        <f>HYPERLINK("http://www.linkedin.com/pub/ignacio-varangot/17/62a/9b1","http://www.linkedin.com/pub/ignacio-varangot/17/62a/9b1")</f>
        <v>http://www.linkedin.com/pub/ignacio-varangot/17/62a/9b1</v>
      </c>
      <c r="I4766" s="2" t="s">
        <v>77</v>
      </c>
      <c r="J4766" s="2" t="s">
        <v>21</v>
      </c>
      <c r="K4766" s="2" t="s">
        <v>5727</v>
      </c>
    </row>
    <row r="4767" ht="15.75" customHeight="1">
      <c r="A4767" s="2">
        <v>53906.0</v>
      </c>
      <c r="B4767" s="2" t="s">
        <v>8519</v>
      </c>
      <c r="C4767" s="2" t="s">
        <v>9802</v>
      </c>
      <c r="D4767" s="2" t="s">
        <v>9803</v>
      </c>
      <c r="E4767" s="2" t="s">
        <v>20</v>
      </c>
      <c r="F4767" s="2">
        <v>4.0</v>
      </c>
      <c r="G4767" s="2">
        <v>500.0</v>
      </c>
      <c r="H4767" s="3" t="str">
        <f>HYPERLINK("http://ar.linkedin.com/pub/jose-luis-palacio/14/59A/3B3","http://ar.linkedin.com/pub/jose-luis-palacio/14/59A/3B3")</f>
        <v>http://ar.linkedin.com/pub/jose-luis-palacio/14/59A/3B3</v>
      </c>
      <c r="I4767" s="2" t="s">
        <v>579</v>
      </c>
      <c r="J4767" s="2" t="s">
        <v>21</v>
      </c>
      <c r="K4767" s="2" t="s">
        <v>5731</v>
      </c>
    </row>
    <row r="4768" ht="15.75" customHeight="1">
      <c r="A4768" s="2">
        <v>53910.0</v>
      </c>
      <c r="B4768" s="2" t="s">
        <v>358</v>
      </c>
      <c r="C4768" s="2" t="s">
        <v>9804</v>
      </c>
      <c r="D4768" s="2" t="s">
        <v>8962</v>
      </c>
      <c r="E4768" s="2" t="s">
        <v>20</v>
      </c>
      <c r="F4768" s="2">
        <v>7.0</v>
      </c>
      <c r="G4768" s="2">
        <v>500.0</v>
      </c>
      <c r="H4768" s="3" t="str">
        <f>HYPERLINK("http://ar.linkedin.com/in/marceloswitach","http://ar.linkedin.com/in/marceloswitach")</f>
        <v>http://ar.linkedin.com/in/marceloswitach</v>
      </c>
      <c r="I4768" s="2" t="s">
        <v>77</v>
      </c>
      <c r="J4768" s="2" t="s">
        <v>21</v>
      </c>
      <c r="K4768" s="2" t="s">
        <v>5743</v>
      </c>
    </row>
    <row r="4769" ht="15.75" customHeight="1">
      <c r="A4769" s="2">
        <v>53912.0</v>
      </c>
      <c r="B4769" s="2" t="s">
        <v>3692</v>
      </c>
      <c r="C4769" s="2" t="s">
        <v>9805</v>
      </c>
      <c r="D4769" s="2" t="s">
        <v>6524</v>
      </c>
      <c r="E4769" s="2" t="s">
        <v>20</v>
      </c>
      <c r="F4769" s="2" t="s">
        <v>13</v>
      </c>
      <c r="G4769" s="2">
        <v>164.0</v>
      </c>
      <c r="H4769" s="3" t="str">
        <f>HYPERLINK("http://ar.linkedin.com/pub/federico-de-armas/16/78/637","http://ar.linkedin.com/pub/federico-de-armas/16/78/637")</f>
        <v>http://ar.linkedin.com/pub/federico-de-armas/16/78/637</v>
      </c>
      <c r="I4769" s="2" t="s">
        <v>15</v>
      </c>
      <c r="J4769" s="2" t="s">
        <v>21</v>
      </c>
      <c r="K4769" s="2" t="s">
        <v>6124</v>
      </c>
    </row>
    <row r="4770" ht="15.75" customHeight="1">
      <c r="A4770" s="2">
        <v>53928.0</v>
      </c>
      <c r="B4770" s="2" t="s">
        <v>6061</v>
      </c>
      <c r="C4770" s="2" t="s">
        <v>6168</v>
      </c>
      <c r="D4770" s="2" t="s">
        <v>9806</v>
      </c>
      <c r="E4770" s="2" t="s">
        <v>20</v>
      </c>
      <c r="F4770" s="2">
        <v>4.0</v>
      </c>
      <c r="G4770" s="2">
        <v>383.0</v>
      </c>
      <c r="H4770" s="3" t="str">
        <f>HYPERLINK("http://ar.linkedin.com/in/agustinvidal","http://ar.linkedin.com/in/agustinvidal")</f>
        <v>http://ar.linkedin.com/in/agustinvidal</v>
      </c>
      <c r="I4770" s="2" t="s">
        <v>612</v>
      </c>
      <c r="J4770" s="2" t="s">
        <v>21</v>
      </c>
      <c r="K4770" s="2" t="s">
        <v>5743</v>
      </c>
    </row>
    <row r="4771" ht="15.75" customHeight="1">
      <c r="A4771" s="2">
        <v>53947.0</v>
      </c>
      <c r="B4771" s="2" t="s">
        <v>3201</v>
      </c>
      <c r="C4771" s="2" t="s">
        <v>9807</v>
      </c>
      <c r="D4771" s="2" t="s">
        <v>47</v>
      </c>
      <c r="E4771" s="2" t="s">
        <v>20</v>
      </c>
      <c r="F4771" s="2">
        <v>9.0</v>
      </c>
      <c r="G4771" s="2">
        <v>500.0</v>
      </c>
      <c r="H4771" s="3" t="str">
        <f>HYPERLINK("http://ar.linkedin.com/in/sebalorenzatti","http://ar.linkedin.com/in/sebalorenzatti")</f>
        <v>http://ar.linkedin.com/in/sebalorenzatti</v>
      </c>
      <c r="I4771" s="2" t="s">
        <v>105</v>
      </c>
      <c r="J4771" s="2" t="s">
        <v>21</v>
      </c>
      <c r="K4771" s="2" t="s">
        <v>5725</v>
      </c>
    </row>
    <row r="4772" ht="15.75" customHeight="1">
      <c r="A4772" s="2">
        <v>53950.0</v>
      </c>
      <c r="B4772" s="2" t="s">
        <v>6432</v>
      </c>
      <c r="C4772" s="2" t="s">
        <v>9808</v>
      </c>
      <c r="D4772" s="2" t="s">
        <v>9809</v>
      </c>
      <c r="E4772" s="2" t="s">
        <v>20</v>
      </c>
      <c r="F4772" s="2">
        <v>3.0</v>
      </c>
      <c r="G4772" s="2">
        <v>500.0</v>
      </c>
      <c r="H4772" s="3" t="str">
        <f>HYPERLINK("http://ar.linkedin.com/pub/marcela-salzberg/9/5A1/744","http://ar.linkedin.com/pub/marcela-salzberg/9/5A1/744")</f>
        <v>http://ar.linkedin.com/pub/marcela-salzberg/9/5A1/744</v>
      </c>
      <c r="I4772" s="2" t="s">
        <v>470</v>
      </c>
      <c r="J4772" s="2" t="s">
        <v>21</v>
      </c>
      <c r="K4772" s="2" t="s">
        <v>5727</v>
      </c>
    </row>
    <row r="4773" ht="15.75" customHeight="1">
      <c r="A4773" s="2">
        <v>53969.0</v>
      </c>
      <c r="B4773" s="2" t="s">
        <v>7096</v>
      </c>
      <c r="C4773" s="2" t="s">
        <v>9810</v>
      </c>
      <c r="D4773" s="2" t="s">
        <v>13</v>
      </c>
      <c r="E4773" s="2" t="s">
        <v>20</v>
      </c>
      <c r="F4773" s="2">
        <v>0.0</v>
      </c>
      <c r="G4773" s="2">
        <v>500.0</v>
      </c>
      <c r="H4773" s="3" t="str">
        <f>HYPERLINK("http://ar.linkedin.com/pub/valeria-rodr%C3%ADguez-pardal/3/958/233","http://ar.linkedin.com/pub/valeria-rodr%C3%ADguez-pardal/3/958/233")</f>
        <v>http://ar.linkedin.com/pub/valeria-rodr%C3%ADguez-pardal/3/958/233</v>
      </c>
      <c r="I4773" s="2" t="s">
        <v>470</v>
      </c>
      <c r="J4773" s="2" t="s">
        <v>21</v>
      </c>
      <c r="K4773" s="2" t="s">
        <v>5743</v>
      </c>
    </row>
    <row r="4774" ht="15.75" customHeight="1">
      <c r="A4774" s="2">
        <v>53974.0</v>
      </c>
      <c r="B4774" s="2" t="s">
        <v>329</v>
      </c>
      <c r="C4774" s="2" t="s">
        <v>9811</v>
      </c>
      <c r="D4774" s="2" t="s">
        <v>9812</v>
      </c>
      <c r="E4774" s="2" t="s">
        <v>20</v>
      </c>
      <c r="F4774" s="2">
        <v>3.0</v>
      </c>
      <c r="G4774" s="2">
        <v>173.0</v>
      </c>
      <c r="H4774" s="3" t="str">
        <f>HYPERLINK("http://ar.linkedin.com/pub/juan-pablo-arag%C3%B3n/25/18A/12","http://ar.linkedin.com/pub/juan-pablo-arag%C3%B3n/25/18A/12")</f>
        <v>http://ar.linkedin.com/pub/juan-pablo-arag%C3%B3n/25/18A/12</v>
      </c>
      <c r="I4774" s="2" t="s">
        <v>15</v>
      </c>
      <c r="J4774" s="2" t="s">
        <v>21</v>
      </c>
      <c r="K4774" s="2" t="s">
        <v>5777</v>
      </c>
    </row>
    <row r="4775" ht="15.75" customHeight="1">
      <c r="A4775" s="2">
        <v>53989.0</v>
      </c>
      <c r="B4775" s="2" t="s">
        <v>9813</v>
      </c>
      <c r="C4775" s="2" t="s">
        <v>8673</v>
      </c>
      <c r="D4775" s="2" t="s">
        <v>9814</v>
      </c>
      <c r="E4775" s="2" t="s">
        <v>20</v>
      </c>
      <c r="F4775" s="2" t="s">
        <v>13</v>
      </c>
      <c r="G4775" s="2">
        <v>17.0</v>
      </c>
      <c r="H4775" s="3" t="str">
        <f>HYPERLINK("http://ar.linkedin.com/in/marcos7amoroso","http://ar.linkedin.com/in/marcos7amoroso")</f>
        <v>http://ar.linkedin.com/in/marcos7amoroso</v>
      </c>
      <c r="I4775" s="2" t="s">
        <v>143</v>
      </c>
      <c r="J4775" s="2" t="s">
        <v>21</v>
      </c>
      <c r="K4775" s="2" t="s">
        <v>5785</v>
      </c>
    </row>
    <row r="4776" ht="15.75" customHeight="1">
      <c r="A4776" s="2">
        <v>54000.0</v>
      </c>
      <c r="B4776" s="2" t="s">
        <v>9815</v>
      </c>
      <c r="C4776" s="2" t="s">
        <v>9816</v>
      </c>
      <c r="D4776" s="2" t="s">
        <v>13</v>
      </c>
      <c r="E4776" s="2" t="s">
        <v>8498</v>
      </c>
      <c r="F4776" s="2">
        <v>2.0</v>
      </c>
      <c r="G4776" s="2">
        <v>436.0</v>
      </c>
      <c r="H4776" s="3" t="str">
        <f>HYPERLINK("http://www.linkedin.com/pub/torcuato-mur/5/483/48a","http://www.linkedin.com/pub/torcuato-mur/5/483/48a")</f>
        <v>http://www.linkedin.com/pub/torcuato-mur/5/483/48a</v>
      </c>
      <c r="I4776" s="2" t="s">
        <v>470</v>
      </c>
      <c r="J4776" s="2" t="s">
        <v>8499</v>
      </c>
      <c r="K4776" s="2" t="s">
        <v>5743</v>
      </c>
    </row>
    <row r="4777" ht="15.75" customHeight="1">
      <c r="A4777" s="2">
        <v>54004.0</v>
      </c>
      <c r="B4777" s="2" t="s">
        <v>7987</v>
      </c>
      <c r="C4777" s="2" t="s">
        <v>9817</v>
      </c>
      <c r="D4777" s="2" t="s">
        <v>8338</v>
      </c>
      <c r="E4777" s="2" t="s">
        <v>20</v>
      </c>
      <c r="F4777" s="2">
        <v>8.0</v>
      </c>
      <c r="G4777" s="2">
        <v>479.0</v>
      </c>
      <c r="H4777" s="3" t="str">
        <f>HYPERLINK("http://ar.linkedin.com/in/emiliomallia","http://ar.linkedin.com/in/emiliomallia")</f>
        <v>http://ar.linkedin.com/in/emiliomallia</v>
      </c>
      <c r="I4777" s="2" t="s">
        <v>105</v>
      </c>
      <c r="J4777" s="2" t="s">
        <v>21</v>
      </c>
      <c r="K4777" s="2" t="s">
        <v>5727</v>
      </c>
    </row>
    <row r="4778" ht="15.75" customHeight="1">
      <c r="A4778" s="2">
        <v>54026.0</v>
      </c>
      <c r="B4778" s="2" t="s">
        <v>9818</v>
      </c>
      <c r="C4778" s="2" t="s">
        <v>9819</v>
      </c>
      <c r="D4778" s="2" t="s">
        <v>9820</v>
      </c>
      <c r="E4778" s="2" t="s">
        <v>20</v>
      </c>
      <c r="F4778" s="2">
        <v>1.0</v>
      </c>
      <c r="G4778" s="2">
        <v>139.0</v>
      </c>
      <c r="H4778" s="3" t="str">
        <f>HYPERLINK("http://ar.linkedin.com/pub/helio-carneiro/22/130/641","http://ar.linkedin.com/pub/helio-carneiro/22/130/641")</f>
        <v>http://ar.linkedin.com/pub/helio-carneiro/22/130/641</v>
      </c>
      <c r="I4778" s="2" t="s">
        <v>579</v>
      </c>
      <c r="J4778" s="2" t="s">
        <v>21</v>
      </c>
      <c r="K4778" s="2" t="s">
        <v>5848</v>
      </c>
    </row>
    <row r="4779" ht="15.75" customHeight="1">
      <c r="A4779" s="2">
        <v>54062.0</v>
      </c>
      <c r="B4779" s="2" t="s">
        <v>634</v>
      </c>
      <c r="C4779" s="2" t="s">
        <v>9821</v>
      </c>
      <c r="D4779" s="2" t="s">
        <v>13</v>
      </c>
      <c r="E4779" s="2" t="s">
        <v>20</v>
      </c>
      <c r="F4779" s="2">
        <v>4.0</v>
      </c>
      <c r="G4779" s="2">
        <v>315.0</v>
      </c>
      <c r="H4779" s="3" t="str">
        <f>HYPERLINK("http://www.linkedin.com/pub/flavio-derito/1/24/92","http://www.linkedin.com/pub/flavio-derito/1/24/92")</f>
        <v>http://www.linkedin.com/pub/flavio-derito/1/24/92</v>
      </c>
      <c r="I4779" s="2" t="s">
        <v>77</v>
      </c>
      <c r="J4779" s="2" t="s">
        <v>21</v>
      </c>
      <c r="K4779" s="2" t="s">
        <v>5743</v>
      </c>
    </row>
    <row r="4780" ht="15.75" customHeight="1">
      <c r="A4780" s="2">
        <v>54084.0</v>
      </c>
      <c r="B4780" s="2" t="s">
        <v>3165</v>
      </c>
      <c r="C4780" s="2" t="s">
        <v>6617</v>
      </c>
      <c r="D4780" s="2" t="s">
        <v>9822</v>
      </c>
      <c r="E4780" s="2" t="s">
        <v>20</v>
      </c>
      <c r="F4780" s="2" t="s">
        <v>13</v>
      </c>
      <c r="G4780" s="2">
        <v>461.0</v>
      </c>
      <c r="H4780" s="3" t="str">
        <f>HYPERLINK("http://ar.linkedin.com/in/lucianajuarez","http://ar.linkedin.com/in/lucianajuarez")</f>
        <v>http://ar.linkedin.com/in/lucianajuarez</v>
      </c>
      <c r="I4780" s="2" t="s">
        <v>195</v>
      </c>
      <c r="J4780" s="2" t="s">
        <v>21</v>
      </c>
      <c r="K4780" s="2" t="s">
        <v>5865</v>
      </c>
    </row>
    <row r="4781" ht="15.75" customHeight="1">
      <c r="A4781" s="2">
        <v>54090.0</v>
      </c>
      <c r="B4781" s="2" t="s">
        <v>6038</v>
      </c>
      <c r="C4781" s="2" t="s">
        <v>9823</v>
      </c>
      <c r="D4781" s="2" t="s">
        <v>9824</v>
      </c>
      <c r="E4781" s="2" t="s">
        <v>20</v>
      </c>
      <c r="F4781" s="2">
        <v>2.0</v>
      </c>
      <c r="G4781" s="2">
        <v>441.0</v>
      </c>
      <c r="H4781" s="3" t="str">
        <f>HYPERLINK("http://ar.linkedin.com/pub/joaquin-mantoni/7/397/674","http://ar.linkedin.com/pub/joaquin-mantoni/7/397/674")</f>
        <v>http://ar.linkedin.com/pub/joaquin-mantoni/7/397/674</v>
      </c>
      <c r="I4781" s="2" t="s">
        <v>77</v>
      </c>
      <c r="J4781" s="2" t="s">
        <v>21</v>
      </c>
      <c r="K4781" s="2" t="s">
        <v>5731</v>
      </c>
    </row>
    <row r="4782" ht="15.75" customHeight="1">
      <c r="A4782" s="2">
        <v>54113.0</v>
      </c>
      <c r="B4782" s="2" t="s">
        <v>6765</v>
      </c>
      <c r="C4782" s="2" t="s">
        <v>9825</v>
      </c>
      <c r="D4782" s="2" t="s">
        <v>13</v>
      </c>
      <c r="E4782" s="2" t="s">
        <v>20</v>
      </c>
      <c r="F4782" s="2">
        <v>3.0</v>
      </c>
      <c r="G4782" s="2">
        <v>500.0</v>
      </c>
      <c r="H4782" s="3" t="str">
        <f>HYPERLINK("http://www.linkedin.com/pub/gaston-bluvol/22/832/326","http://www.linkedin.com/pub/gaston-bluvol/22/832/326")</f>
        <v>http://www.linkedin.com/pub/gaston-bluvol/22/832/326</v>
      </c>
      <c r="I4782" s="2" t="s">
        <v>470</v>
      </c>
      <c r="J4782" s="2" t="s">
        <v>21</v>
      </c>
      <c r="K4782" s="2" t="s">
        <v>5727</v>
      </c>
    </row>
    <row r="4783" ht="15.75" customHeight="1">
      <c r="A4783" s="2">
        <v>54124.0</v>
      </c>
      <c r="B4783" s="2" t="s">
        <v>59</v>
      </c>
      <c r="C4783" s="2" t="s">
        <v>9826</v>
      </c>
      <c r="D4783" s="2" t="s">
        <v>9827</v>
      </c>
      <c r="E4783" s="2" t="s">
        <v>20</v>
      </c>
      <c r="F4783" s="2" t="s">
        <v>13</v>
      </c>
      <c r="G4783" s="2">
        <v>94.0</v>
      </c>
      <c r="H4783" s="3" t="str">
        <f>HYPERLINK("http://ar.linkedin.com/pub/martin-chanampa/A/5A6/41","http://ar.linkedin.com/pub/martin-chanampa/A/5A6/41")</f>
        <v>http://ar.linkedin.com/pub/martin-chanampa/A/5A6/41</v>
      </c>
      <c r="I4783" s="2" t="s">
        <v>105</v>
      </c>
      <c r="J4783" s="2" t="s">
        <v>21</v>
      </c>
      <c r="K4783" s="2" t="s">
        <v>5725</v>
      </c>
    </row>
    <row r="4784" ht="15.75" customHeight="1">
      <c r="A4784" s="2">
        <v>54128.0</v>
      </c>
      <c r="B4784" s="2" t="s">
        <v>9828</v>
      </c>
      <c r="C4784" s="2" t="s">
        <v>8765</v>
      </c>
      <c r="D4784" s="2" t="s">
        <v>9829</v>
      </c>
      <c r="E4784" s="2" t="s">
        <v>20</v>
      </c>
      <c r="F4784" s="2">
        <v>1.0</v>
      </c>
      <c r="G4784" s="2">
        <v>114.0</v>
      </c>
      <c r="H4784" s="3" t="str">
        <f>HYPERLINK("http://ar.linkedin.com/pub/elias-vicente/21/505/5A5","http://ar.linkedin.com/pub/elias-vicente/21/505/5A5")</f>
        <v>http://ar.linkedin.com/pub/elias-vicente/21/505/5A5</v>
      </c>
      <c r="I4784" s="2" t="s">
        <v>105</v>
      </c>
      <c r="J4784" s="2" t="s">
        <v>21</v>
      </c>
      <c r="K4784" s="2" t="s">
        <v>5725</v>
      </c>
    </row>
    <row r="4785" ht="15.75" customHeight="1">
      <c r="A4785" s="2">
        <v>54132.0</v>
      </c>
      <c r="B4785" s="2" t="s">
        <v>9830</v>
      </c>
      <c r="C4785" s="2" t="s">
        <v>9831</v>
      </c>
      <c r="D4785" s="2" t="s">
        <v>13</v>
      </c>
      <c r="E4785" s="2" t="s">
        <v>20</v>
      </c>
      <c r="F4785" s="2">
        <v>9.0</v>
      </c>
      <c r="G4785" s="2">
        <v>291.0</v>
      </c>
      <c r="H4785" s="3" t="str">
        <f>HYPERLINK("http://www.linkedin.com/pub/pepo-bianciotto/11/a43/b32","http://www.linkedin.com/pub/pepo-bianciotto/11/a43/b32")</f>
        <v>http://www.linkedin.com/pub/pepo-bianciotto/11/a43/b32</v>
      </c>
      <c r="I4785" s="2" t="s">
        <v>195</v>
      </c>
      <c r="J4785" s="2" t="s">
        <v>21</v>
      </c>
      <c r="K4785" s="2" t="s">
        <v>6046</v>
      </c>
    </row>
    <row r="4786" ht="15.75" customHeight="1">
      <c r="A4786" s="2">
        <v>54137.0</v>
      </c>
      <c r="B4786" s="2" t="s">
        <v>314</v>
      </c>
      <c r="C4786" s="2" t="s">
        <v>9832</v>
      </c>
      <c r="D4786" s="2" t="s">
        <v>9833</v>
      </c>
      <c r="E4786" s="2" t="s">
        <v>20</v>
      </c>
      <c r="F4786" s="2">
        <v>2.0</v>
      </c>
      <c r="G4786" s="2">
        <v>287.0</v>
      </c>
      <c r="H4786" s="3" t="str">
        <f>HYPERLINK("http://ar.linkedin.com/in/marcosr","http://ar.linkedin.com/in/marcosr")</f>
        <v>http://ar.linkedin.com/in/marcosr</v>
      </c>
      <c r="I4786" s="2" t="s">
        <v>105</v>
      </c>
      <c r="J4786" s="2" t="s">
        <v>21</v>
      </c>
      <c r="K4786" s="2" t="s">
        <v>5727</v>
      </c>
    </row>
    <row r="4787" ht="15.75" customHeight="1">
      <c r="A4787" s="2">
        <v>54146.0</v>
      </c>
      <c r="B4787" s="2" t="s">
        <v>6225</v>
      </c>
      <c r="C4787" s="2" t="s">
        <v>9834</v>
      </c>
      <c r="D4787" s="2" t="s">
        <v>9835</v>
      </c>
      <c r="E4787" s="2" t="s">
        <v>20</v>
      </c>
      <c r="F4787" s="2">
        <v>1.0</v>
      </c>
      <c r="G4787" s="2">
        <v>500.0</v>
      </c>
      <c r="H4787" s="3" t="str">
        <f>HYPERLINK("http://ar.linkedin.com/in/paolabraier","http://ar.linkedin.com/in/paolabraier")</f>
        <v>http://ar.linkedin.com/in/paolabraier</v>
      </c>
      <c r="I4787" s="2" t="s">
        <v>69</v>
      </c>
      <c r="J4787" s="2" t="s">
        <v>21</v>
      </c>
      <c r="K4787" s="2" t="s">
        <v>5725</v>
      </c>
    </row>
    <row r="4788" ht="15.75" customHeight="1">
      <c r="A4788" s="2">
        <v>54148.0</v>
      </c>
      <c r="B4788" s="2" t="s">
        <v>9836</v>
      </c>
      <c r="C4788" s="2" t="s">
        <v>9837</v>
      </c>
      <c r="D4788" s="2" t="s">
        <v>9838</v>
      </c>
      <c r="E4788" s="2" t="s">
        <v>20</v>
      </c>
      <c r="F4788" s="2">
        <v>14.0</v>
      </c>
      <c r="G4788" s="2">
        <v>500.0</v>
      </c>
      <c r="H4788" s="3" t="str">
        <f>HYPERLINK("http://ar.linkedin.com/in/rafaelgiovagnoli","http://ar.linkedin.com/in/rafaelgiovagnoli")</f>
        <v>http://ar.linkedin.com/in/rafaelgiovagnoli</v>
      </c>
      <c r="I4788" s="2" t="s">
        <v>2443</v>
      </c>
      <c r="J4788" s="2" t="s">
        <v>21</v>
      </c>
      <c r="K4788" s="2" t="s">
        <v>5727</v>
      </c>
    </row>
    <row r="4789" ht="15.75" customHeight="1">
      <c r="A4789" s="2">
        <v>54163.0</v>
      </c>
      <c r="B4789" s="2" t="s">
        <v>6012</v>
      </c>
      <c r="C4789" s="2" t="s">
        <v>2547</v>
      </c>
      <c r="D4789" s="2" t="s">
        <v>6081</v>
      </c>
      <c r="E4789" s="2" t="s">
        <v>20</v>
      </c>
      <c r="F4789" s="2" t="s">
        <v>13</v>
      </c>
      <c r="G4789" s="2">
        <v>500.0</v>
      </c>
      <c r="H4789" s="3" t="str">
        <f>HYPERLINK("http://ar.linkedin.com/pub/hern-n-franco/3/215/A73","http://ar.linkedin.com/pub/hern-n-franco/3/215/A73")</f>
        <v>http://ar.linkedin.com/pub/hern-n-franco/3/215/A73</v>
      </c>
      <c r="I4789" s="2" t="s">
        <v>910</v>
      </c>
      <c r="J4789" s="2" t="s">
        <v>21</v>
      </c>
      <c r="K4789" s="2" t="s">
        <v>5734</v>
      </c>
    </row>
    <row r="4790" ht="15.75" customHeight="1">
      <c r="A4790" s="2">
        <v>54165.0</v>
      </c>
      <c r="B4790" s="2" t="s">
        <v>7581</v>
      </c>
      <c r="C4790" s="2" t="s">
        <v>9839</v>
      </c>
      <c r="D4790" s="2" t="s">
        <v>13</v>
      </c>
      <c r="E4790" s="2" t="s">
        <v>20</v>
      </c>
      <c r="F4790" s="2">
        <v>0.0</v>
      </c>
      <c r="G4790" s="2">
        <v>160.0</v>
      </c>
      <c r="H4790" s="3" t="str">
        <f>HYPERLINK("http://www.linkedin.com/pub/teresita-bellesi/23/619/969","http://www.linkedin.com/pub/teresita-bellesi/23/619/969")</f>
        <v>http://www.linkedin.com/pub/teresita-bellesi/23/619/969</v>
      </c>
      <c r="I4790" s="2" t="s">
        <v>105</v>
      </c>
      <c r="J4790" s="2" t="s">
        <v>21</v>
      </c>
      <c r="K4790" s="2" t="s">
        <v>5725</v>
      </c>
    </row>
    <row r="4791" ht="15.75" customHeight="1">
      <c r="A4791" s="2">
        <v>54179.0</v>
      </c>
      <c r="B4791" s="2" t="s">
        <v>193</v>
      </c>
      <c r="C4791" s="2" t="s">
        <v>9840</v>
      </c>
      <c r="D4791" s="2" t="s">
        <v>7661</v>
      </c>
      <c r="E4791" s="2" t="s">
        <v>20</v>
      </c>
      <c r="F4791" s="2">
        <v>2.0</v>
      </c>
      <c r="G4791" s="2">
        <v>226.0</v>
      </c>
      <c r="H4791" s="3" t="str">
        <f>HYPERLINK("http://ar.linkedin.com/pub/guillermo-compumundo/1A/840/195","http://ar.linkedin.com/pub/guillermo-compumundo/1A/840/195")</f>
        <v>http://ar.linkedin.com/pub/guillermo-compumundo/1A/840/195</v>
      </c>
      <c r="I4791" s="2" t="s">
        <v>1452</v>
      </c>
      <c r="J4791" s="2" t="s">
        <v>21</v>
      </c>
      <c r="K4791" s="2" t="s">
        <v>6046</v>
      </c>
    </row>
    <row r="4792" ht="15.75" customHeight="1">
      <c r="A4792" s="2">
        <v>54181.0</v>
      </c>
      <c r="B4792" s="2" t="s">
        <v>3178</v>
      </c>
      <c r="C4792" s="2" t="s">
        <v>9841</v>
      </c>
      <c r="D4792" s="2" t="s">
        <v>13</v>
      </c>
      <c r="E4792" s="2" t="s">
        <v>20</v>
      </c>
      <c r="F4792" s="2">
        <v>0.0</v>
      </c>
      <c r="G4792" s="2">
        <v>465.0</v>
      </c>
      <c r="H4792" s="3" t="str">
        <f>HYPERLINK("https://www.linkedin.com/in/lucasbarrientos","https://www.linkedin.com/in/lucasbarrientos")</f>
        <v>https://www.linkedin.com/in/lucasbarrientos</v>
      </c>
      <c r="I4792" s="2" t="s">
        <v>69</v>
      </c>
      <c r="J4792" s="2" t="s">
        <v>21</v>
      </c>
      <c r="K4792" s="2" t="s">
        <v>5725</v>
      </c>
    </row>
    <row r="4793" ht="15.75" customHeight="1">
      <c r="A4793" s="2">
        <v>54187.0</v>
      </c>
      <c r="B4793" s="2" t="s">
        <v>9842</v>
      </c>
      <c r="C4793" s="2" t="s">
        <v>8340</v>
      </c>
      <c r="D4793" s="2" t="s">
        <v>13</v>
      </c>
      <c r="E4793" s="2" t="s">
        <v>20</v>
      </c>
      <c r="F4793" s="2">
        <v>0.0</v>
      </c>
      <c r="G4793" s="2">
        <v>500.0</v>
      </c>
      <c r="H4793" s="3" t="str">
        <f>HYPERLINK("http://www.linkedin.com/pub/gaston-daniel-de-angelis/30/675/b3b","http://www.linkedin.com/pub/gaston-daniel-de-angelis/30/675/b3b")</f>
        <v>http://www.linkedin.com/pub/gaston-daniel-de-angelis/30/675/b3b</v>
      </c>
      <c r="I4793" s="2" t="s">
        <v>1452</v>
      </c>
      <c r="J4793" s="2" t="s">
        <v>21</v>
      </c>
      <c r="K4793" s="2" t="s">
        <v>5865</v>
      </c>
    </row>
    <row r="4794" ht="15.75" customHeight="1">
      <c r="A4794" s="2">
        <v>54196.0</v>
      </c>
      <c r="B4794" s="2" t="s">
        <v>358</v>
      </c>
      <c r="C4794" s="2" t="s">
        <v>9843</v>
      </c>
      <c r="D4794" s="2" t="s">
        <v>289</v>
      </c>
      <c r="E4794" s="2" t="s">
        <v>20</v>
      </c>
      <c r="F4794" s="2">
        <v>2.0</v>
      </c>
      <c r="G4794" s="2">
        <v>500.0</v>
      </c>
      <c r="H4794" s="3" t="str">
        <f>HYPERLINK("http://ar.linkedin.com/in/marcelofedele","http://ar.linkedin.com/in/marcelofedele")</f>
        <v>http://ar.linkedin.com/in/marcelofedele</v>
      </c>
      <c r="I4794" s="2" t="s">
        <v>105</v>
      </c>
      <c r="J4794" s="2" t="s">
        <v>21</v>
      </c>
      <c r="K4794" s="2" t="s">
        <v>5727</v>
      </c>
    </row>
    <row r="4795" ht="15.75" customHeight="1">
      <c r="A4795" s="2">
        <v>54218.0</v>
      </c>
      <c r="B4795" s="2" t="s">
        <v>5728</v>
      </c>
      <c r="C4795" s="2" t="s">
        <v>9844</v>
      </c>
      <c r="D4795" s="2" t="s">
        <v>9845</v>
      </c>
      <c r="E4795" s="2" t="s">
        <v>20</v>
      </c>
      <c r="F4795" s="2">
        <v>1.0</v>
      </c>
      <c r="G4795" s="2">
        <v>430.0</v>
      </c>
      <c r="H4795" s="3" t="str">
        <f>HYPERLINK("http://ar.linkedin.com/pub/maximiliano-saba/10/177/62","http://ar.linkedin.com/pub/maximiliano-saba/10/177/62")</f>
        <v>http://ar.linkedin.com/pub/maximiliano-saba/10/177/62</v>
      </c>
      <c r="I4795" s="2" t="s">
        <v>1679</v>
      </c>
      <c r="J4795" s="2" t="s">
        <v>21</v>
      </c>
      <c r="K4795" s="2" t="s">
        <v>9846</v>
      </c>
    </row>
    <row r="4796" ht="15.75" customHeight="1">
      <c r="A4796" s="2">
        <v>54220.0</v>
      </c>
      <c r="B4796" s="2" t="s">
        <v>3378</v>
      </c>
      <c r="C4796" s="2" t="s">
        <v>9847</v>
      </c>
      <c r="D4796" s="2" t="s">
        <v>9848</v>
      </c>
      <c r="E4796" s="2" t="s">
        <v>20</v>
      </c>
      <c r="F4796" s="2" t="s">
        <v>13</v>
      </c>
      <c r="G4796" s="2">
        <v>500.0</v>
      </c>
      <c r="H4796" s="3" t="str">
        <f>HYPERLINK("http://ar.linkedin.com/in/juliabujan","http://ar.linkedin.com/in/juliabujan")</f>
        <v>http://ar.linkedin.com/in/juliabujan</v>
      </c>
      <c r="I4796" s="2" t="s">
        <v>105</v>
      </c>
      <c r="J4796" s="2" t="s">
        <v>21</v>
      </c>
      <c r="K4796" s="2" t="s">
        <v>5725</v>
      </c>
    </row>
    <row r="4797" ht="15.75" customHeight="1">
      <c r="A4797" s="2">
        <v>54238.0</v>
      </c>
      <c r="B4797" s="2" t="s">
        <v>6467</v>
      </c>
      <c r="C4797" s="2" t="s">
        <v>9849</v>
      </c>
      <c r="D4797" s="2" t="s">
        <v>13</v>
      </c>
      <c r="E4797" s="2" t="s">
        <v>20</v>
      </c>
      <c r="F4797" s="2">
        <v>0.0</v>
      </c>
      <c r="G4797" s="2">
        <v>500.0</v>
      </c>
      <c r="H4797" s="3" t="str">
        <f>HYPERLINK("http://www.linkedin.com/pub/florencia-caccavo/8/261/11a","http://www.linkedin.com/pub/florencia-caccavo/8/261/11a")</f>
        <v>http://www.linkedin.com/pub/florencia-caccavo/8/261/11a</v>
      </c>
      <c r="I4797" s="2" t="s">
        <v>458</v>
      </c>
      <c r="J4797" s="2" t="s">
        <v>21</v>
      </c>
      <c r="K4797" s="2" t="s">
        <v>6046</v>
      </c>
    </row>
    <row r="4798" ht="15.75" customHeight="1">
      <c r="A4798" s="2">
        <v>54240.0</v>
      </c>
      <c r="B4798" s="2" t="s">
        <v>362</v>
      </c>
      <c r="C4798" s="2" t="s">
        <v>8336</v>
      </c>
      <c r="D4798" s="2" t="s">
        <v>9850</v>
      </c>
      <c r="E4798" s="2" t="s">
        <v>20</v>
      </c>
      <c r="F4798" s="2">
        <v>2.0</v>
      </c>
      <c r="G4798" s="2">
        <v>500.0</v>
      </c>
      <c r="H4798" s="3" t="str">
        <f>HYPERLINK("http://ar.linkedin.com/pub/javier-rivas/1B/441/17B","http://ar.linkedin.com/pub/javier-rivas/1B/441/17B")</f>
        <v>http://ar.linkedin.com/pub/javier-rivas/1B/441/17B</v>
      </c>
      <c r="I4798" s="2" t="s">
        <v>105</v>
      </c>
      <c r="J4798" s="2" t="s">
        <v>21</v>
      </c>
      <c r="K4798" s="2" t="s">
        <v>5727</v>
      </c>
    </row>
    <row r="4799" ht="15.75" customHeight="1">
      <c r="A4799" s="2">
        <v>54272.0</v>
      </c>
      <c r="B4799" s="2" t="s">
        <v>671</v>
      </c>
      <c r="C4799" s="2" t="s">
        <v>9851</v>
      </c>
      <c r="D4799" s="2" t="s">
        <v>9852</v>
      </c>
      <c r="E4799" s="2" t="s">
        <v>7035</v>
      </c>
      <c r="F4799" s="2">
        <v>5.0</v>
      </c>
      <c r="G4799" s="2">
        <v>429.0</v>
      </c>
      <c r="H4799" s="3" t="str">
        <f>HYPERLINK("http://www.linkedin.com/in/marianaariasduval","http://www.linkedin.com/in/marianaariasduval")</f>
        <v>http://www.linkedin.com/in/marianaariasduval</v>
      </c>
      <c r="I4799" s="2" t="s">
        <v>105</v>
      </c>
      <c r="J4799" s="2" t="s">
        <v>102</v>
      </c>
      <c r="K4799" s="2" t="s">
        <v>5727</v>
      </c>
    </row>
    <row r="4800" ht="15.75" customHeight="1">
      <c r="A4800" s="2">
        <v>54282.0</v>
      </c>
      <c r="B4800" s="2" t="s">
        <v>7403</v>
      </c>
      <c r="C4800" s="2" t="s">
        <v>9853</v>
      </c>
      <c r="D4800" s="2" t="s">
        <v>9854</v>
      </c>
      <c r="E4800" s="2" t="s">
        <v>20</v>
      </c>
      <c r="F4800" s="2" t="s">
        <v>13</v>
      </c>
      <c r="G4800" s="2">
        <v>127.0</v>
      </c>
      <c r="H4800" s="3" t="str">
        <f>HYPERLINK("http://ar.linkedin.com/pub/lorena-limardo/26/620/A41","http://ar.linkedin.com/pub/lorena-limardo/26/620/A41")</f>
        <v>http://ar.linkedin.com/pub/lorena-limardo/26/620/A41</v>
      </c>
      <c r="I4800" s="2" t="s">
        <v>105</v>
      </c>
      <c r="J4800" s="2" t="s">
        <v>21</v>
      </c>
      <c r="K4800" s="2" t="s">
        <v>5725</v>
      </c>
    </row>
    <row r="4801" ht="15.75" customHeight="1">
      <c r="A4801" s="2">
        <v>54284.0</v>
      </c>
      <c r="B4801" s="2" t="s">
        <v>3550</v>
      </c>
      <c r="C4801" s="2" t="s">
        <v>9855</v>
      </c>
      <c r="D4801" s="2" t="s">
        <v>9856</v>
      </c>
      <c r="E4801" s="2" t="s">
        <v>882</v>
      </c>
      <c r="F4801" s="2">
        <v>1.0</v>
      </c>
      <c r="G4801" s="2">
        <v>500.0</v>
      </c>
      <c r="H4801" s="3" t="str">
        <f>HYPERLINK("http://www.linkedin.com/pub/nicolas-stier/0/283/B37","http://www.linkedin.com/pub/nicolas-stier/0/283/B37")</f>
        <v>http://www.linkedin.com/pub/nicolas-stier/0/283/B37</v>
      </c>
      <c r="I4801" s="2" t="s">
        <v>240</v>
      </c>
      <c r="J4801" s="2" t="s">
        <v>102</v>
      </c>
      <c r="K4801" s="2" t="s">
        <v>5734</v>
      </c>
    </row>
    <row r="4802" ht="15.75" customHeight="1">
      <c r="A4802" s="2">
        <v>54290.0</v>
      </c>
      <c r="B4802" s="2" t="s">
        <v>9857</v>
      </c>
      <c r="C4802" s="2" t="s">
        <v>5988</v>
      </c>
      <c r="D4802" s="2" t="s">
        <v>9858</v>
      </c>
      <c r="E4802" s="2" t="s">
        <v>20</v>
      </c>
      <c r="F4802" s="2">
        <v>5.0</v>
      </c>
      <c r="G4802" s="2">
        <v>281.0</v>
      </c>
      <c r="H4802" s="3" t="str">
        <f>HYPERLINK("http://ar.linkedin.com/in/ericamicaelavega","http://ar.linkedin.com/in/ericamicaelavega")</f>
        <v>http://ar.linkedin.com/in/ericamicaelavega</v>
      </c>
      <c r="I4802" s="2" t="s">
        <v>3168</v>
      </c>
      <c r="J4802" s="2" t="s">
        <v>21</v>
      </c>
      <c r="K4802" s="2" t="s">
        <v>5731</v>
      </c>
    </row>
    <row r="4803" ht="15.75" customHeight="1">
      <c r="A4803" s="2">
        <v>54305.0</v>
      </c>
      <c r="B4803" s="2" t="s">
        <v>9859</v>
      </c>
      <c r="C4803" s="2" t="s">
        <v>9860</v>
      </c>
      <c r="D4803" s="2" t="s">
        <v>13</v>
      </c>
      <c r="E4803" s="2" t="s">
        <v>20</v>
      </c>
      <c r="F4803" s="2">
        <v>0.0</v>
      </c>
      <c r="G4803" s="2">
        <v>284.0</v>
      </c>
      <c r="H4803" s="3" t="str">
        <f>HYPERLINK("http://www.linkedin.com/pub/leonardo-javier-do-pazo/24/226/515","http://www.linkedin.com/pub/leonardo-javier-do-pazo/24/226/515")</f>
        <v>http://www.linkedin.com/pub/leonardo-javier-do-pazo/24/226/515</v>
      </c>
      <c r="I4803" s="2" t="s">
        <v>579</v>
      </c>
      <c r="J4803" s="2" t="s">
        <v>21</v>
      </c>
      <c r="K4803" s="2" t="s">
        <v>5731</v>
      </c>
    </row>
    <row r="4804" ht="15.75" customHeight="1">
      <c r="A4804" s="2">
        <v>54312.0</v>
      </c>
      <c r="B4804" s="2" t="s">
        <v>3178</v>
      </c>
      <c r="C4804" s="2" t="s">
        <v>6016</v>
      </c>
      <c r="D4804" s="2" t="s">
        <v>9861</v>
      </c>
      <c r="E4804" s="2" t="s">
        <v>20</v>
      </c>
      <c r="F4804" s="2" t="s">
        <v>13</v>
      </c>
      <c r="G4804" s="2">
        <v>149.0</v>
      </c>
      <c r="H4804" s="3" t="str">
        <f>HYPERLINK("http://ar.linkedin.com/pub/lucas-garc%C3%ADa/18/63B/B51","http://ar.linkedin.com/pub/lucas-garc%C3%ADa/18/63B/B51")</f>
        <v>http://ar.linkedin.com/pub/lucas-garc%C3%ADa/18/63B/B51</v>
      </c>
      <c r="I4804" s="2" t="s">
        <v>279</v>
      </c>
      <c r="J4804" s="2" t="s">
        <v>21</v>
      </c>
      <c r="K4804" s="2" t="s">
        <v>5734</v>
      </c>
    </row>
    <row r="4805" ht="15.75" customHeight="1">
      <c r="A4805" s="2">
        <v>54318.0</v>
      </c>
      <c r="B4805" s="2" t="s">
        <v>8084</v>
      </c>
      <c r="C4805" s="2" t="s">
        <v>9862</v>
      </c>
      <c r="D4805" s="2" t="s">
        <v>9863</v>
      </c>
      <c r="E4805" s="2" t="s">
        <v>20</v>
      </c>
      <c r="F4805" s="2">
        <v>2.0</v>
      </c>
      <c r="G4805" s="2">
        <v>158.0</v>
      </c>
      <c r="H4805" s="3" t="str">
        <f>HYPERLINK("http://ar.linkedin.com/pub/rocio-pons/20/A12/B24","http://ar.linkedin.com/pub/rocio-pons/20/A12/B24")</f>
        <v>http://ar.linkedin.com/pub/rocio-pons/20/A12/B24</v>
      </c>
      <c r="I4805" s="2" t="s">
        <v>2831</v>
      </c>
      <c r="J4805" s="2" t="s">
        <v>21</v>
      </c>
      <c r="K4805" s="2" t="s">
        <v>5727</v>
      </c>
    </row>
    <row r="4806" ht="15.75" customHeight="1">
      <c r="A4806" s="2">
        <v>54349.0</v>
      </c>
      <c r="B4806" s="2" t="s">
        <v>9864</v>
      </c>
      <c r="C4806" s="2" t="s">
        <v>2854</v>
      </c>
      <c r="D4806" s="2" t="s">
        <v>9865</v>
      </c>
      <c r="E4806" s="2" t="s">
        <v>20</v>
      </c>
      <c r="F4806" s="2" t="s">
        <v>13</v>
      </c>
      <c r="G4806" s="2">
        <v>370.0</v>
      </c>
      <c r="H4806" s="3" t="str">
        <f>HYPERLINK("http://ar.linkedin.com/pub/francisco-martin-delgado/9/539/451","http://ar.linkedin.com/pub/francisco-martin-delgado/9/539/451")</f>
        <v>http://ar.linkedin.com/pub/francisco-martin-delgado/9/539/451</v>
      </c>
      <c r="I4806" s="2" t="s">
        <v>105</v>
      </c>
      <c r="J4806" s="2" t="s">
        <v>21</v>
      </c>
      <c r="K4806" s="2" t="s">
        <v>5725</v>
      </c>
    </row>
    <row r="4807" ht="15.75" customHeight="1">
      <c r="A4807" s="2">
        <v>54396.0</v>
      </c>
      <c r="B4807" s="2" t="s">
        <v>6653</v>
      </c>
      <c r="C4807" s="2" t="s">
        <v>9866</v>
      </c>
      <c r="D4807" s="2" t="s">
        <v>9867</v>
      </c>
      <c r="E4807" s="2" t="s">
        <v>20</v>
      </c>
      <c r="F4807" s="2">
        <v>7.0</v>
      </c>
      <c r="G4807" s="2">
        <v>295.0</v>
      </c>
      <c r="H4807" s="3" t="str">
        <f>HYPERLINK("http://ar.linkedin.com/in/tatianabaigorria","http://ar.linkedin.com/in/tatianabaigorria")</f>
        <v>http://ar.linkedin.com/in/tatianabaigorria</v>
      </c>
      <c r="I4807" s="2" t="s">
        <v>105</v>
      </c>
      <c r="J4807" s="2" t="s">
        <v>21</v>
      </c>
      <c r="K4807" s="2" t="s">
        <v>5727</v>
      </c>
    </row>
    <row r="4808" ht="15.75" customHeight="1">
      <c r="A4808" s="2">
        <v>54434.0</v>
      </c>
      <c r="B4808" s="2" t="s">
        <v>9868</v>
      </c>
      <c r="C4808" s="2" t="s">
        <v>9869</v>
      </c>
      <c r="D4808" s="2" t="s">
        <v>9231</v>
      </c>
      <c r="E4808" s="2" t="s">
        <v>20</v>
      </c>
      <c r="F4808" s="2" t="s">
        <v>13</v>
      </c>
      <c r="G4808" s="2">
        <v>120.0</v>
      </c>
      <c r="H4808" s="3" t="str">
        <f>HYPERLINK("http://ar.linkedin.com/in/cscheinkman","http://ar.linkedin.com/in/cscheinkman")</f>
        <v>http://ar.linkedin.com/in/cscheinkman</v>
      </c>
      <c r="I4808" s="2" t="s">
        <v>57</v>
      </c>
      <c r="J4808" s="2" t="s">
        <v>21</v>
      </c>
      <c r="K4808" s="2" t="s">
        <v>5725</v>
      </c>
    </row>
    <row r="4809" ht="15.75" customHeight="1">
      <c r="A4809" s="2">
        <v>54435.0</v>
      </c>
      <c r="B4809" s="2" t="s">
        <v>1528</v>
      </c>
      <c r="C4809" s="2" t="s">
        <v>9870</v>
      </c>
      <c r="D4809" s="2" t="s">
        <v>9871</v>
      </c>
      <c r="E4809" s="2" t="s">
        <v>20</v>
      </c>
      <c r="F4809" s="2">
        <v>10.0</v>
      </c>
      <c r="G4809" s="2">
        <v>295.0</v>
      </c>
      <c r="H4809" s="3" t="str">
        <f>HYPERLINK("http://ar.linkedin.com/in/guidoguarino","http://ar.linkedin.com/in/guidoguarino")</f>
        <v>http://ar.linkedin.com/in/guidoguarino</v>
      </c>
      <c r="I4809" s="2" t="s">
        <v>470</v>
      </c>
      <c r="J4809" s="2" t="s">
        <v>21</v>
      </c>
      <c r="K4809" s="2" t="s">
        <v>5727</v>
      </c>
    </row>
    <row r="4810" ht="15.75" customHeight="1">
      <c r="A4810" s="2">
        <v>54446.0</v>
      </c>
      <c r="B4810" s="2" t="s">
        <v>8597</v>
      </c>
      <c r="C4810" s="2" t="s">
        <v>9872</v>
      </c>
      <c r="D4810" s="2" t="s">
        <v>9873</v>
      </c>
      <c r="E4810" s="2" t="s">
        <v>20</v>
      </c>
      <c r="F4810" s="2">
        <v>1.0</v>
      </c>
      <c r="G4810" s="2">
        <v>145.0</v>
      </c>
      <c r="H4810" s="3" t="str">
        <f>HYPERLINK("http://ar.linkedin.com/pub/felipe-cordeyro-equiza/8/9B0/B41","http://ar.linkedin.com/pub/felipe-cordeyro-equiza/8/9B0/B41")</f>
        <v>http://ar.linkedin.com/pub/felipe-cordeyro-equiza/8/9B0/B41</v>
      </c>
      <c r="I4810" s="2" t="s">
        <v>470</v>
      </c>
      <c r="J4810" s="2" t="s">
        <v>21</v>
      </c>
      <c r="K4810" s="2" t="s">
        <v>5785</v>
      </c>
    </row>
    <row r="4811" ht="15.75" customHeight="1">
      <c r="A4811" s="2">
        <v>54459.0</v>
      </c>
      <c r="B4811" s="2" t="s">
        <v>329</v>
      </c>
      <c r="C4811" s="2" t="s">
        <v>9874</v>
      </c>
      <c r="D4811" s="2" t="s">
        <v>9875</v>
      </c>
      <c r="E4811" s="2" t="s">
        <v>20</v>
      </c>
      <c r="F4811" s="2" t="s">
        <v>13</v>
      </c>
      <c r="G4811" s="2">
        <v>500.0</v>
      </c>
      <c r="H4811" s="3" t="str">
        <f>HYPERLINK("http://ar.linkedin.com/pub/juan-pablo-mon/22/91/367","http://ar.linkedin.com/pub/juan-pablo-mon/22/91/367")</f>
        <v>http://ar.linkedin.com/pub/juan-pablo-mon/22/91/367</v>
      </c>
      <c r="I4811" s="2" t="s">
        <v>279</v>
      </c>
      <c r="J4811" s="2" t="s">
        <v>21</v>
      </c>
      <c r="K4811" s="2" t="s">
        <v>5734</v>
      </c>
    </row>
    <row r="4812" ht="15.75" customHeight="1">
      <c r="A4812" s="2">
        <v>54479.0</v>
      </c>
      <c r="B4812" s="2" t="s">
        <v>5820</v>
      </c>
      <c r="C4812" s="2" t="s">
        <v>4043</v>
      </c>
      <c r="D4812" s="2" t="s">
        <v>9876</v>
      </c>
      <c r="E4812" s="2" t="s">
        <v>20</v>
      </c>
      <c r="F4812" s="2">
        <v>8.0</v>
      </c>
      <c r="G4812" s="2">
        <v>135.0</v>
      </c>
      <c r="H4812" s="3" t="str">
        <f>HYPERLINK("http://ar.linkedin.com/pub/elena-guerra/4/927/A46","http://ar.linkedin.com/pub/elena-guerra/4/927/A46")</f>
        <v>http://ar.linkedin.com/pub/elena-guerra/4/927/A46</v>
      </c>
      <c r="I4812" s="2" t="s">
        <v>873</v>
      </c>
      <c r="J4812" s="2" t="s">
        <v>21</v>
      </c>
      <c r="K4812" s="2" t="s">
        <v>5727</v>
      </c>
    </row>
    <row r="4813" ht="15.75" customHeight="1">
      <c r="A4813" s="2">
        <v>54483.0</v>
      </c>
      <c r="B4813" s="2" t="s">
        <v>201</v>
      </c>
      <c r="C4813" s="2" t="s">
        <v>9877</v>
      </c>
      <c r="D4813" s="2" t="s">
        <v>9878</v>
      </c>
      <c r="E4813" s="2" t="s">
        <v>20</v>
      </c>
      <c r="F4813" s="2">
        <v>5.0</v>
      </c>
      <c r="G4813" s="2">
        <v>500.0</v>
      </c>
      <c r="H4813" s="3" t="str">
        <f>HYPERLINK("http://ar.linkedin.com/pub/natalia-crosinelli/7/3AA/489","http://ar.linkedin.com/pub/natalia-crosinelli/7/3AA/489")</f>
        <v>http://ar.linkedin.com/pub/natalia-crosinelli/7/3AA/489</v>
      </c>
      <c r="I4813" s="2" t="s">
        <v>612</v>
      </c>
      <c r="J4813" s="2" t="s">
        <v>21</v>
      </c>
      <c r="K4813" s="2" t="s">
        <v>5743</v>
      </c>
    </row>
    <row r="4814" ht="15.75" customHeight="1">
      <c r="A4814" s="2">
        <v>54498.0</v>
      </c>
      <c r="B4814" s="2" t="s">
        <v>6666</v>
      </c>
      <c r="C4814" s="2" t="s">
        <v>9879</v>
      </c>
      <c r="D4814" s="2" t="s">
        <v>13</v>
      </c>
      <c r="E4814" s="2" t="s">
        <v>20</v>
      </c>
      <c r="F4814" s="2">
        <v>4.0</v>
      </c>
      <c r="G4814" s="2">
        <v>500.0</v>
      </c>
      <c r="H4814" s="3" t="str">
        <f>HYPERLINK("http://www.linkedin.com/pub/sebasti%C3%A1n-rodr%C3%ADguez-viudez/b/878/1b5","http://www.linkedin.com/pub/sebasti%C3%A1n-rodr%C3%ADguez-viudez/b/878/1b5")</f>
        <v>http://www.linkedin.com/pub/sebasti%C3%A1n-rodr%C3%ADguez-viudez/b/878/1b5</v>
      </c>
      <c r="I4814" s="2" t="s">
        <v>2443</v>
      </c>
      <c r="J4814" s="2" t="s">
        <v>21</v>
      </c>
      <c r="K4814" s="2" t="s">
        <v>5743</v>
      </c>
    </row>
    <row r="4815" ht="15.75" customHeight="1">
      <c r="A4815" s="2">
        <v>54528.0</v>
      </c>
      <c r="B4815" s="2" t="s">
        <v>59</v>
      </c>
      <c r="C4815" s="2" t="s">
        <v>9880</v>
      </c>
      <c r="D4815" s="2" t="s">
        <v>13</v>
      </c>
      <c r="E4815" s="2" t="s">
        <v>20</v>
      </c>
      <c r="F4815" s="2">
        <v>0.0</v>
      </c>
      <c r="G4815" s="2">
        <v>500.0</v>
      </c>
      <c r="H4815" s="3" t="str">
        <f>HYPERLINK("http://www.linkedin.com/pub/martin-stigliano/1/177/26b","http://www.linkedin.com/pub/martin-stigliano/1/177/26b")</f>
        <v>http://www.linkedin.com/pub/martin-stigliano/1/177/26b</v>
      </c>
      <c r="I4815" s="2" t="s">
        <v>77</v>
      </c>
      <c r="J4815" s="2" t="s">
        <v>21</v>
      </c>
      <c r="K4815" s="2" t="s">
        <v>5743</v>
      </c>
    </row>
    <row r="4816" ht="15.75" customHeight="1">
      <c r="A4816" s="2">
        <v>54549.0</v>
      </c>
      <c r="B4816" s="2" t="s">
        <v>6442</v>
      </c>
      <c r="C4816" s="2" t="s">
        <v>9881</v>
      </c>
      <c r="D4816" s="2" t="s">
        <v>13</v>
      </c>
      <c r="E4816" s="2" t="s">
        <v>20</v>
      </c>
      <c r="F4816" s="2">
        <v>9.0</v>
      </c>
      <c r="G4816" s="2">
        <v>500.0</v>
      </c>
      <c r="H4816" s="3" t="str">
        <f>HYPERLINK("http://www.linkedin.com/pub/juan-mart%C3%ADn-giachino-ch%C3%A1vez/11/303/6","http://www.linkedin.com/pub/juan-mart%C3%ADn-giachino-ch%C3%A1vez/11/303/6")</f>
        <v>http://www.linkedin.com/pub/juan-mart%C3%ADn-giachino-ch%C3%A1vez/11/303/6</v>
      </c>
      <c r="I4816" s="2" t="s">
        <v>458</v>
      </c>
      <c r="J4816" s="2" t="s">
        <v>21</v>
      </c>
      <c r="K4816" s="2" t="s">
        <v>5727</v>
      </c>
    </row>
    <row r="4817" ht="15.75" customHeight="1">
      <c r="A4817" s="2">
        <v>54571.0</v>
      </c>
      <c r="B4817" s="2" t="s">
        <v>9882</v>
      </c>
      <c r="C4817" s="2" t="s">
        <v>9883</v>
      </c>
      <c r="D4817" s="2" t="s">
        <v>9884</v>
      </c>
      <c r="E4817" s="2" t="s">
        <v>20</v>
      </c>
      <c r="F4817" s="2">
        <v>11.0</v>
      </c>
      <c r="G4817" s="2">
        <v>500.0</v>
      </c>
      <c r="H4817" s="3" t="str">
        <f>HYPERLINK("http://ar.linkedin.com/pub/eduardo-j-martin-eyras/0/315/121","http://ar.linkedin.com/pub/eduardo-j-martin-eyras/0/315/121")</f>
        <v>http://ar.linkedin.com/pub/eduardo-j-martin-eyras/0/315/121</v>
      </c>
      <c r="I4817" s="2" t="s">
        <v>27</v>
      </c>
      <c r="J4817" s="2" t="s">
        <v>21</v>
      </c>
      <c r="K4817" s="2" t="s">
        <v>5727</v>
      </c>
    </row>
    <row r="4818" ht="15.75" customHeight="1">
      <c r="A4818" s="2">
        <v>54578.0</v>
      </c>
      <c r="B4818" s="2" t="s">
        <v>59</v>
      </c>
      <c r="C4818" s="2" t="s">
        <v>9885</v>
      </c>
      <c r="D4818" s="2" t="s">
        <v>13</v>
      </c>
      <c r="E4818" s="2" t="s">
        <v>20</v>
      </c>
      <c r="F4818" s="2">
        <v>6.0</v>
      </c>
      <c r="G4818" s="2">
        <v>500.0</v>
      </c>
      <c r="H4818" s="3" t="str">
        <f>HYPERLINK("http://www.linkedin.com/pub/martin-tomasella/29/227/228","http://www.linkedin.com/pub/martin-tomasella/29/227/228")</f>
        <v>http://www.linkedin.com/pub/martin-tomasella/29/227/228</v>
      </c>
      <c r="I4818" s="2" t="s">
        <v>57</v>
      </c>
      <c r="J4818" s="2" t="s">
        <v>21</v>
      </c>
      <c r="K4818" s="2" t="s">
        <v>5734</v>
      </c>
    </row>
    <row r="4819" ht="15.75" customHeight="1">
      <c r="A4819" s="2">
        <v>54579.0</v>
      </c>
      <c r="B4819" s="2" t="s">
        <v>5732</v>
      </c>
      <c r="C4819" s="2" t="s">
        <v>9886</v>
      </c>
      <c r="D4819" s="2" t="s">
        <v>7102</v>
      </c>
      <c r="E4819" s="2" t="s">
        <v>20</v>
      </c>
      <c r="F4819" s="2">
        <v>1.0</v>
      </c>
      <c r="G4819" s="2">
        <v>129.0</v>
      </c>
      <c r="H4819" s="3" t="str">
        <f>HYPERLINK("http://ar.linkedin.com/in/martinbien","http://ar.linkedin.com/in/martinbien")</f>
        <v>http://ar.linkedin.com/in/martinbien</v>
      </c>
      <c r="I4819" s="2" t="s">
        <v>15</v>
      </c>
      <c r="J4819" s="2" t="s">
        <v>21</v>
      </c>
      <c r="K4819" s="2" t="s">
        <v>5725</v>
      </c>
    </row>
    <row r="4820" ht="15.75" customHeight="1">
      <c r="A4820" s="2">
        <v>54620.0</v>
      </c>
      <c r="B4820" s="2" t="s">
        <v>6666</v>
      </c>
      <c r="C4820" s="2" t="s">
        <v>9887</v>
      </c>
      <c r="D4820" s="2" t="s">
        <v>13</v>
      </c>
      <c r="E4820" s="2" t="s">
        <v>20</v>
      </c>
      <c r="F4820" s="2">
        <v>13.0</v>
      </c>
      <c r="G4820" s="2">
        <v>500.0</v>
      </c>
      <c r="H4820" s="3" t="str">
        <f>HYPERLINK("http://www.linkedin.com/pub/sebasti%C3%A1n-zimmermann/11/2b1/b04","http://www.linkedin.com/pub/sebasti%C3%A1n-zimmermann/11/2b1/b04")</f>
        <v>http://www.linkedin.com/pub/sebasti%C3%A1n-zimmermann/11/2b1/b04</v>
      </c>
      <c r="I4820" s="2" t="s">
        <v>1452</v>
      </c>
      <c r="J4820" s="2" t="s">
        <v>21</v>
      </c>
      <c r="K4820" s="2" t="s">
        <v>5727</v>
      </c>
    </row>
    <row r="4821" ht="15.75" customHeight="1">
      <c r="A4821" s="2">
        <v>54628.0</v>
      </c>
      <c r="B4821" s="2" t="s">
        <v>6930</v>
      </c>
      <c r="C4821" s="2" t="s">
        <v>9888</v>
      </c>
      <c r="D4821" s="2" t="s">
        <v>47</v>
      </c>
      <c r="E4821" s="2" t="s">
        <v>20</v>
      </c>
      <c r="F4821" s="2">
        <v>1.0</v>
      </c>
      <c r="G4821" s="2">
        <v>500.0</v>
      </c>
      <c r="H4821" s="3" t="str">
        <f>HYPERLINK("http://www.linkedin.com/pub/dario-pettina/0/315/76a","http://www.linkedin.com/pub/dario-pettina/0/315/76a")</f>
        <v>http://www.linkedin.com/pub/dario-pettina/0/315/76a</v>
      </c>
      <c r="I4821" s="2" t="s">
        <v>15</v>
      </c>
      <c r="J4821" s="2" t="s">
        <v>21</v>
      </c>
      <c r="K4821" s="2" t="s">
        <v>5725</v>
      </c>
    </row>
    <row r="4822" ht="15.75" customHeight="1">
      <c r="A4822" s="2">
        <v>54649.0</v>
      </c>
      <c r="B4822" s="2" t="s">
        <v>9889</v>
      </c>
      <c r="C4822" s="2" t="s">
        <v>3392</v>
      </c>
      <c r="D4822" s="2" t="s">
        <v>9890</v>
      </c>
      <c r="E4822" s="2" t="s">
        <v>20</v>
      </c>
      <c r="F4822" s="2" t="s">
        <v>13</v>
      </c>
      <c r="G4822" s="2">
        <v>164.0</v>
      </c>
      <c r="H4822" s="3" t="str">
        <f>HYPERLINK("http://ar.linkedin.com/in/jorgerafaellopez","http://ar.linkedin.com/in/jorgerafaellopez")</f>
        <v>http://ar.linkedin.com/in/jorgerafaellopez</v>
      </c>
      <c r="I4822" s="2" t="s">
        <v>252</v>
      </c>
      <c r="J4822" s="2" t="s">
        <v>21</v>
      </c>
      <c r="K4822" s="2" t="s">
        <v>5994</v>
      </c>
    </row>
    <row r="4823" ht="15.75" customHeight="1">
      <c r="A4823" s="2">
        <v>54657.0</v>
      </c>
      <c r="B4823" s="2" t="s">
        <v>5803</v>
      </c>
      <c r="C4823" s="2" t="s">
        <v>9891</v>
      </c>
      <c r="D4823" s="2" t="s">
        <v>13</v>
      </c>
      <c r="E4823" s="2" t="s">
        <v>20</v>
      </c>
      <c r="F4823" s="2">
        <v>0.0</v>
      </c>
      <c r="G4823" s="2">
        <v>500.0</v>
      </c>
      <c r="H4823" s="3" t="str">
        <f>HYPERLINK("http://www.linkedin.com/pub/mariano-muniagorri/1b/316/a8b","http://www.linkedin.com/pub/mariano-muniagorri/1b/316/a8b")</f>
        <v>http://www.linkedin.com/pub/mariano-muniagorri/1b/316/a8b</v>
      </c>
      <c r="I4823" s="2" t="s">
        <v>105</v>
      </c>
      <c r="J4823" s="2" t="s">
        <v>21</v>
      </c>
      <c r="K4823" s="2" t="s">
        <v>5725</v>
      </c>
    </row>
    <row r="4824" ht="15.75" customHeight="1">
      <c r="A4824" s="2">
        <v>54668.0</v>
      </c>
      <c r="B4824" s="2" t="s">
        <v>5681</v>
      </c>
      <c r="C4824" s="2" t="s">
        <v>9892</v>
      </c>
      <c r="D4824" s="2" t="s">
        <v>8100</v>
      </c>
      <c r="E4824" s="2" t="s">
        <v>20</v>
      </c>
      <c r="F4824" s="2">
        <v>3.0</v>
      </c>
      <c r="G4824" s="2">
        <v>236.0</v>
      </c>
      <c r="H4824" s="3" t="str">
        <f>HYPERLINK("http://ar.linkedin.com/in/damianguntin","http://ar.linkedin.com/in/damianguntin")</f>
        <v>http://ar.linkedin.com/in/damianguntin</v>
      </c>
      <c r="I4824" s="2" t="s">
        <v>279</v>
      </c>
      <c r="J4824" s="2" t="s">
        <v>21</v>
      </c>
      <c r="K4824" s="2" t="s">
        <v>5727</v>
      </c>
    </row>
    <row r="4825" ht="15.75" customHeight="1">
      <c r="A4825" s="2">
        <v>54678.0</v>
      </c>
      <c r="B4825" s="2" t="s">
        <v>8754</v>
      </c>
      <c r="C4825" s="2" t="s">
        <v>9893</v>
      </c>
      <c r="D4825" s="2" t="s">
        <v>9894</v>
      </c>
      <c r="E4825" s="2" t="s">
        <v>20</v>
      </c>
      <c r="F4825" s="2">
        <v>1.0</v>
      </c>
      <c r="G4825" s="2">
        <v>349.0</v>
      </c>
      <c r="H4825" s="3" t="str">
        <f>HYPERLINK("http://ar.linkedin.com/in/jesicagregorio","http://ar.linkedin.com/in/jesicagregorio")</f>
        <v>http://ar.linkedin.com/in/jesicagregorio</v>
      </c>
      <c r="I4825" s="2" t="s">
        <v>279</v>
      </c>
      <c r="J4825" s="2" t="s">
        <v>21</v>
      </c>
      <c r="K4825" s="2" t="s">
        <v>5734</v>
      </c>
    </row>
    <row r="4826" ht="15.75" customHeight="1">
      <c r="A4826" s="2">
        <v>54683.0</v>
      </c>
      <c r="B4826" s="2" t="s">
        <v>9895</v>
      </c>
      <c r="C4826" s="2" t="s">
        <v>9896</v>
      </c>
      <c r="D4826" s="2" t="s">
        <v>13</v>
      </c>
      <c r="E4826" s="2" t="s">
        <v>20</v>
      </c>
      <c r="F4826" s="2">
        <v>2.0</v>
      </c>
      <c r="G4826" s="2">
        <v>500.0</v>
      </c>
      <c r="H4826" s="3" t="str">
        <f>HYPERLINK("http://www.linkedin.com/pub/jos%C3%A9-ignacio-bano/16/880/834","http://www.linkedin.com/pub/jos%C3%A9-ignacio-bano/16/880/834")</f>
        <v>http://www.linkedin.com/pub/jos%C3%A9-ignacio-bano/16/880/834</v>
      </c>
      <c r="I4826" s="2" t="s">
        <v>279</v>
      </c>
      <c r="J4826" s="2" t="s">
        <v>21</v>
      </c>
      <c r="K4826" s="2" t="s">
        <v>5727</v>
      </c>
    </row>
    <row r="4827" ht="15.75" customHeight="1">
      <c r="A4827" s="2">
        <v>54686.0</v>
      </c>
      <c r="B4827" s="2" t="s">
        <v>9897</v>
      </c>
      <c r="C4827" s="2" t="s">
        <v>9898</v>
      </c>
      <c r="D4827" s="2"/>
      <c r="E4827" s="2" t="s">
        <v>9899</v>
      </c>
      <c r="F4827" s="2">
        <v>30.0</v>
      </c>
      <c r="G4827" s="2">
        <v>500.0</v>
      </c>
      <c r="H4827" s="3" t="str">
        <f>HYPERLINK("http://www.linkedin.com/pub/mario-j-vargas-valles/0/687/4A0","http://www.linkedin.com/pub/mario-j-vargas-valles/0/687/4A0")</f>
        <v>http://www.linkedin.com/pub/mario-j-vargas-valles/0/687/4A0</v>
      </c>
      <c r="I4827" s="2" t="s">
        <v>15</v>
      </c>
      <c r="J4827" s="2" t="s">
        <v>28</v>
      </c>
      <c r="K4827" s="2" t="s">
        <v>5812</v>
      </c>
    </row>
    <row r="4828" ht="15.75" customHeight="1">
      <c r="A4828" s="2">
        <v>54708.0</v>
      </c>
      <c r="B4828" s="2" t="s">
        <v>1071</v>
      </c>
      <c r="C4828" s="2" t="s">
        <v>9251</v>
      </c>
      <c r="D4828" s="2" t="s">
        <v>42</v>
      </c>
      <c r="E4828" s="2" t="s">
        <v>20</v>
      </c>
      <c r="F4828" s="2" t="s">
        <v>13</v>
      </c>
      <c r="G4828" s="2">
        <v>98.0</v>
      </c>
      <c r="H4828" s="3" t="str">
        <f>HYPERLINK("http://ar.linkedin.com/pub/eric-lang/6/6AB/B1A","http://ar.linkedin.com/pub/eric-lang/6/6AB/B1A")</f>
        <v>http://ar.linkedin.com/pub/eric-lang/6/6AB/B1A</v>
      </c>
      <c r="I4828" s="2" t="s">
        <v>77</v>
      </c>
      <c r="J4828" s="2" t="s">
        <v>21</v>
      </c>
      <c r="K4828" s="2" t="s">
        <v>5848</v>
      </c>
    </row>
    <row r="4829" ht="15.75" customHeight="1">
      <c r="A4829" s="2">
        <v>54709.0</v>
      </c>
      <c r="B4829" s="2" t="s">
        <v>6417</v>
      </c>
      <c r="C4829" s="2" t="s">
        <v>9900</v>
      </c>
      <c r="D4829" s="2" t="s">
        <v>9901</v>
      </c>
      <c r="E4829" s="2" t="s">
        <v>20</v>
      </c>
      <c r="F4829" s="2" t="s">
        <v>13</v>
      </c>
      <c r="G4829" s="2">
        <v>409.0</v>
      </c>
      <c r="H4829" s="3" t="str">
        <f>HYPERLINK("http://ar.linkedin.com/pub/gonzalo-pag-s/30/810/B03","http://ar.linkedin.com/pub/gonzalo-pag-s/30/810/B03")</f>
        <v>http://ar.linkedin.com/pub/gonzalo-pag-s/30/810/B03</v>
      </c>
      <c r="I4829" s="2" t="s">
        <v>279</v>
      </c>
      <c r="J4829" s="2" t="s">
        <v>21</v>
      </c>
      <c r="K4829" s="2" t="s">
        <v>5734</v>
      </c>
    </row>
    <row r="4830" ht="15.75" customHeight="1">
      <c r="A4830" s="2">
        <v>54729.0</v>
      </c>
      <c r="B4830" s="2" t="s">
        <v>362</v>
      </c>
      <c r="C4830" s="2" t="s">
        <v>9902</v>
      </c>
      <c r="D4830" s="2" t="s">
        <v>9903</v>
      </c>
      <c r="E4830" s="2" t="s">
        <v>20</v>
      </c>
      <c r="F4830" s="2" t="s">
        <v>13</v>
      </c>
      <c r="G4830" s="2">
        <v>162.0</v>
      </c>
      <c r="H4830" s="3" t="str">
        <f>HYPERLINK("http://ar.linkedin.com/pub/javier-zajaczkowski/13/685/356","http://ar.linkedin.com/pub/javier-zajaczkowski/13/685/356")</f>
        <v>http://ar.linkedin.com/pub/javier-zajaczkowski/13/685/356</v>
      </c>
      <c r="I4830" s="2" t="s">
        <v>15</v>
      </c>
      <c r="J4830" s="2" t="s">
        <v>21</v>
      </c>
      <c r="K4830" s="2" t="s">
        <v>5725</v>
      </c>
    </row>
    <row r="4831" ht="15.75" customHeight="1">
      <c r="A4831" s="2">
        <v>54742.0</v>
      </c>
      <c r="B4831" s="2" t="s">
        <v>677</v>
      </c>
      <c r="C4831" s="2" t="s">
        <v>9904</v>
      </c>
      <c r="D4831" s="2" t="s">
        <v>42</v>
      </c>
      <c r="E4831" s="2" t="s">
        <v>20</v>
      </c>
      <c r="F4831" s="2">
        <v>2.0</v>
      </c>
      <c r="G4831" s="2">
        <v>500.0</v>
      </c>
      <c r="H4831" s="3" t="str">
        <f>HYPERLINK("http://ar.linkedin.com/in/luzadaniel","http://ar.linkedin.com/in/luzadaniel")</f>
        <v>http://ar.linkedin.com/in/luzadaniel</v>
      </c>
      <c r="I4831" s="2" t="s">
        <v>105</v>
      </c>
      <c r="J4831" s="2" t="s">
        <v>21</v>
      </c>
      <c r="K4831" s="2" t="s">
        <v>5725</v>
      </c>
    </row>
    <row r="4832" ht="15.75" customHeight="1">
      <c r="A4832" s="2">
        <v>54762.0</v>
      </c>
      <c r="B4832" s="2" t="s">
        <v>8565</v>
      </c>
      <c r="C4832" s="2" t="s">
        <v>9905</v>
      </c>
      <c r="D4832" s="2" t="s">
        <v>6406</v>
      </c>
      <c r="E4832" s="2" t="s">
        <v>20</v>
      </c>
      <c r="F4832" s="2">
        <v>1.0</v>
      </c>
      <c r="G4832" s="2">
        <v>149.0</v>
      </c>
      <c r="H4832" s="3" t="str">
        <f>HYPERLINK("http://ar.linkedin.com/in/renatapica","http://ar.linkedin.com/in/renatapica")</f>
        <v>http://ar.linkedin.com/in/renatapica</v>
      </c>
      <c r="I4832" s="2" t="s">
        <v>105</v>
      </c>
      <c r="J4832" s="2" t="s">
        <v>21</v>
      </c>
      <c r="K4832" s="2" t="s">
        <v>5725</v>
      </c>
    </row>
    <row r="4833" ht="15.75" customHeight="1">
      <c r="A4833" s="2">
        <v>54795.0</v>
      </c>
      <c r="B4833" s="2" t="s">
        <v>8881</v>
      </c>
      <c r="C4833" s="2" t="s">
        <v>9906</v>
      </c>
      <c r="D4833" s="2" t="s">
        <v>9907</v>
      </c>
      <c r="E4833" s="2" t="s">
        <v>20</v>
      </c>
      <c r="F4833" s="2" t="s">
        <v>13</v>
      </c>
      <c r="G4833" s="2">
        <v>332.0</v>
      </c>
      <c r="H4833" s="3" t="str">
        <f>HYPERLINK("http://ar.linkedin.com/in/tferronatto","http://ar.linkedin.com/in/tferronatto")</f>
        <v>http://ar.linkedin.com/in/tferronatto</v>
      </c>
      <c r="I4833" s="2" t="s">
        <v>143</v>
      </c>
      <c r="J4833" s="2" t="s">
        <v>21</v>
      </c>
      <c r="K4833" s="2" t="s">
        <v>5725</v>
      </c>
    </row>
    <row r="4834" ht="15.75" customHeight="1">
      <c r="A4834" s="2">
        <v>54810.0</v>
      </c>
      <c r="B4834" s="2" t="s">
        <v>839</v>
      </c>
      <c r="C4834" s="2" t="s">
        <v>288</v>
      </c>
      <c r="D4834" s="2" t="s">
        <v>9908</v>
      </c>
      <c r="E4834" s="2" t="s">
        <v>9909</v>
      </c>
      <c r="F4834" s="2">
        <v>55.0</v>
      </c>
      <c r="G4834" s="2">
        <v>500.0</v>
      </c>
      <c r="H4834" s="3" t="str">
        <f>HYPERLINK("http://www.linkedin.com/in/dldavispmp","http://www.linkedin.com/in/dldavispmp")</f>
        <v>http://www.linkedin.com/in/dldavispmp</v>
      </c>
      <c r="I4834" s="2" t="s">
        <v>422</v>
      </c>
      <c r="J4834" s="2" t="s">
        <v>102</v>
      </c>
      <c r="K4834" s="2" t="s">
        <v>5734</v>
      </c>
    </row>
    <row r="4835" ht="15.75" customHeight="1">
      <c r="A4835" s="2">
        <v>54826.0</v>
      </c>
      <c r="B4835" s="2" t="s">
        <v>9910</v>
      </c>
      <c r="C4835" s="2" t="s">
        <v>9911</v>
      </c>
      <c r="D4835" s="2" t="s">
        <v>9912</v>
      </c>
      <c r="E4835" s="2" t="s">
        <v>20</v>
      </c>
      <c r="F4835" s="2">
        <v>11.0</v>
      </c>
      <c r="G4835" s="2">
        <v>500.0</v>
      </c>
      <c r="H4835" s="3" t="str">
        <f>HYPERLINK("http://ar.linkedin.com/in/marinamiro","http://ar.linkedin.com/in/marinamiro")</f>
        <v>http://ar.linkedin.com/in/marinamiro</v>
      </c>
      <c r="I4835" s="2" t="s">
        <v>6777</v>
      </c>
      <c r="J4835" s="2" t="s">
        <v>21</v>
      </c>
      <c r="K4835" s="2" t="s">
        <v>5743</v>
      </c>
    </row>
    <row r="4836" ht="15.75" customHeight="1">
      <c r="A4836" s="2">
        <v>54827.0</v>
      </c>
      <c r="B4836" s="2" t="s">
        <v>6018</v>
      </c>
      <c r="C4836" s="2" t="s">
        <v>9913</v>
      </c>
      <c r="D4836" s="2"/>
      <c r="E4836" s="2" t="s">
        <v>20</v>
      </c>
      <c r="F4836" s="2">
        <v>19.0</v>
      </c>
      <c r="G4836" s="2">
        <v>500.0</v>
      </c>
      <c r="H4836" s="3" t="str">
        <f>HYPERLINK("http://ar.linkedin.com/in/juegoserio","http://ar.linkedin.com/in/juegoserio")</f>
        <v>http://ar.linkedin.com/in/juegoserio</v>
      </c>
      <c r="I4836" s="2" t="s">
        <v>57</v>
      </c>
      <c r="J4836" s="2" t="s">
        <v>21</v>
      </c>
      <c r="K4836" s="2" t="s">
        <v>9914</v>
      </c>
    </row>
    <row r="4837" ht="15.75" customHeight="1">
      <c r="A4837" s="2">
        <v>54860.0</v>
      </c>
      <c r="B4837" s="2" t="s">
        <v>9915</v>
      </c>
      <c r="C4837" s="2" t="s">
        <v>9916</v>
      </c>
      <c r="D4837" s="2" t="s">
        <v>9917</v>
      </c>
      <c r="E4837" s="2" t="s">
        <v>20</v>
      </c>
      <c r="F4837" s="2">
        <v>6.0</v>
      </c>
      <c r="G4837" s="2">
        <v>332.0</v>
      </c>
      <c r="H4837" s="3" t="str">
        <f>HYPERLINK("http://ar.linkedin.com/in/mirtaoldrini","http://ar.linkedin.com/in/mirtaoldrini")</f>
        <v>http://ar.linkedin.com/in/mirtaoldrini</v>
      </c>
      <c r="I4837" s="2" t="s">
        <v>579</v>
      </c>
      <c r="J4837" s="2" t="s">
        <v>21</v>
      </c>
      <c r="K4837" s="2" t="s">
        <v>5743</v>
      </c>
    </row>
    <row r="4838" ht="15.75" customHeight="1">
      <c r="A4838" s="2">
        <v>54864.0</v>
      </c>
      <c r="B4838" s="2" t="s">
        <v>671</v>
      </c>
      <c r="C4838" s="2" t="s">
        <v>9918</v>
      </c>
      <c r="D4838" s="2" t="s">
        <v>6081</v>
      </c>
      <c r="E4838" s="2" t="s">
        <v>20</v>
      </c>
      <c r="F4838" s="2" t="s">
        <v>13</v>
      </c>
      <c r="G4838" s="2">
        <v>80.0</v>
      </c>
      <c r="H4838" s="3" t="str">
        <f>HYPERLINK("http://ar.linkedin.com/pub/mariana-de-los-santos/24/676/334","http://ar.linkedin.com/pub/mariana-de-los-santos/24/676/334")</f>
        <v>http://ar.linkedin.com/pub/mariana-de-los-santos/24/676/334</v>
      </c>
      <c r="I4838" s="2" t="s">
        <v>1841</v>
      </c>
      <c r="J4838" s="2" t="s">
        <v>21</v>
      </c>
      <c r="K4838" s="2" t="s">
        <v>8111</v>
      </c>
    </row>
    <row r="4839" ht="15.75" customHeight="1">
      <c r="A4839" s="2">
        <v>54870.0</v>
      </c>
      <c r="B4839" s="2" t="s">
        <v>9919</v>
      </c>
      <c r="C4839" s="2" t="s">
        <v>2335</v>
      </c>
      <c r="D4839" s="2" t="s">
        <v>9920</v>
      </c>
      <c r="E4839" s="2" t="s">
        <v>20</v>
      </c>
      <c r="F4839" s="2">
        <v>1.0</v>
      </c>
      <c r="G4839" s="2">
        <v>110.0</v>
      </c>
      <c r="H4839" s="3" t="str">
        <f>HYPERLINK("http://ar.linkedin.com/in/arielalbertobruno","http://ar.linkedin.com/in/arielalbertobruno")</f>
        <v>http://ar.linkedin.com/in/arielalbertobruno</v>
      </c>
      <c r="I4839" s="2" t="s">
        <v>57</v>
      </c>
      <c r="J4839" s="2" t="s">
        <v>21</v>
      </c>
      <c r="K4839" s="2" t="s">
        <v>5725</v>
      </c>
    </row>
    <row r="4840" ht="15.75" customHeight="1">
      <c r="A4840" s="2">
        <v>54871.0</v>
      </c>
      <c r="B4840" s="2" t="s">
        <v>506</v>
      </c>
      <c r="C4840" s="2" t="s">
        <v>9921</v>
      </c>
      <c r="D4840" s="2" t="s">
        <v>13</v>
      </c>
      <c r="E4840" s="2" t="s">
        <v>20</v>
      </c>
      <c r="F4840" s="2">
        <v>0.0</v>
      </c>
      <c r="G4840" s="2">
        <v>500.0</v>
      </c>
      <c r="H4840" s="3" t="str">
        <f>HYPERLINK("https://www.linkedin.com/in/jazanza","https://www.linkedin.com/in/jazanza")</f>
        <v>https://www.linkedin.com/in/jazanza</v>
      </c>
      <c r="I4840" s="2" t="s">
        <v>105</v>
      </c>
      <c r="J4840" s="2" t="s">
        <v>21</v>
      </c>
      <c r="K4840" s="2" t="s">
        <v>5727</v>
      </c>
    </row>
    <row r="4841" ht="15.75" customHeight="1">
      <c r="A4841" s="2">
        <v>54902.0</v>
      </c>
      <c r="B4841" s="2" t="s">
        <v>9922</v>
      </c>
      <c r="C4841" s="2" t="s">
        <v>4729</v>
      </c>
      <c r="D4841" s="2" t="s">
        <v>9923</v>
      </c>
      <c r="E4841" s="2" t="s">
        <v>20</v>
      </c>
      <c r="F4841" s="2">
        <v>9.0</v>
      </c>
      <c r="G4841" s="2">
        <v>343.0</v>
      </c>
      <c r="H4841" s="3" t="str">
        <f>HYPERLINK("http://ar.linkedin.com/in/bienvenidoperez","http://ar.linkedin.com/in/bienvenidoperez")</f>
        <v>http://ar.linkedin.com/in/bienvenidoperez</v>
      </c>
      <c r="I4841" s="2" t="s">
        <v>195</v>
      </c>
      <c r="J4841" s="2" t="s">
        <v>21</v>
      </c>
      <c r="K4841" s="2" t="s">
        <v>6046</v>
      </c>
    </row>
    <row r="4842" ht="15.75" customHeight="1">
      <c r="A4842" s="2">
        <v>54921.0</v>
      </c>
      <c r="B4842" s="2" t="s">
        <v>4503</v>
      </c>
      <c r="C4842" s="2" t="s">
        <v>9924</v>
      </c>
      <c r="D4842" s="2" t="s">
        <v>9925</v>
      </c>
      <c r="E4842" s="2" t="s">
        <v>20</v>
      </c>
      <c r="F4842" s="2" t="s">
        <v>13</v>
      </c>
      <c r="G4842" s="2">
        <v>49.0</v>
      </c>
      <c r="H4842" s="3" t="str">
        <f>HYPERLINK("http://ar.linkedin.com/pub/fernanda-tapia/9/8BA/517","http://ar.linkedin.com/pub/fernanda-tapia/9/8BA/517")</f>
        <v>http://ar.linkedin.com/pub/fernanda-tapia/9/8BA/517</v>
      </c>
      <c r="I4842" s="2" t="s">
        <v>105</v>
      </c>
      <c r="J4842" s="2" t="s">
        <v>21</v>
      </c>
      <c r="K4842" s="2" t="s">
        <v>5725</v>
      </c>
    </row>
    <row r="4843" ht="15.75" customHeight="1">
      <c r="A4843" s="2">
        <v>54942.0</v>
      </c>
      <c r="B4843" s="2" t="s">
        <v>9926</v>
      </c>
      <c r="C4843" s="2" t="s">
        <v>2644</v>
      </c>
      <c r="D4843" s="2" t="s">
        <v>9927</v>
      </c>
      <c r="E4843" s="2" t="s">
        <v>20</v>
      </c>
      <c r="F4843" s="2">
        <v>3.0</v>
      </c>
      <c r="G4843" s="2">
        <v>500.0</v>
      </c>
      <c r="H4843" s="3" t="str">
        <f>HYPERLINK("http://ar.linkedin.com/pub/antonela-coco/28/756/7A2","http://ar.linkedin.com/pub/antonela-coco/28/756/7A2")</f>
        <v>http://ar.linkedin.com/pub/antonela-coco/28/756/7A2</v>
      </c>
      <c r="I4843" s="2" t="s">
        <v>105</v>
      </c>
      <c r="J4843" s="2" t="s">
        <v>21</v>
      </c>
      <c r="K4843" s="2" t="s">
        <v>5743</v>
      </c>
    </row>
    <row r="4844" ht="15.75" customHeight="1">
      <c r="A4844" s="2">
        <v>54947.0</v>
      </c>
      <c r="B4844" s="2" t="s">
        <v>3201</v>
      </c>
      <c r="C4844" s="2" t="s">
        <v>9928</v>
      </c>
      <c r="D4844" s="2" t="s">
        <v>9929</v>
      </c>
      <c r="E4844" s="2" t="s">
        <v>20</v>
      </c>
      <c r="F4844" s="2" t="s">
        <v>13</v>
      </c>
      <c r="G4844" s="2">
        <v>353.0</v>
      </c>
      <c r="H4844" s="3" t="str">
        <f>HYPERLINK("http://ar.linkedin.com/pub/sebastian-fillmann/3/342/287","http://ar.linkedin.com/pub/sebastian-fillmann/3/342/287")</f>
        <v>http://ar.linkedin.com/pub/sebastian-fillmann/3/342/287</v>
      </c>
      <c r="I4844" s="2" t="s">
        <v>15</v>
      </c>
      <c r="J4844" s="2" t="s">
        <v>21</v>
      </c>
      <c r="K4844" s="2" t="s">
        <v>5725</v>
      </c>
    </row>
    <row r="4845" ht="15.75" customHeight="1">
      <c r="A4845" s="2">
        <v>54948.0</v>
      </c>
      <c r="B4845" s="2" t="s">
        <v>5078</v>
      </c>
      <c r="C4845" s="2" t="s">
        <v>3943</v>
      </c>
      <c r="D4845" s="2" t="s">
        <v>9930</v>
      </c>
      <c r="E4845" s="2" t="s">
        <v>20</v>
      </c>
      <c r="F4845" s="2">
        <v>3.0</v>
      </c>
      <c r="G4845" s="2">
        <v>282.0</v>
      </c>
      <c r="H4845" s="3" t="str">
        <f>HYPERLINK("http://ar.linkedin.com/in/diegodariorodriguez","http://ar.linkedin.com/in/diegodariorodriguez")</f>
        <v>http://ar.linkedin.com/in/diegodariorodriguez</v>
      </c>
      <c r="I4845" s="2" t="s">
        <v>696</v>
      </c>
      <c r="J4845" s="2" t="s">
        <v>21</v>
      </c>
      <c r="K4845" s="2" t="s">
        <v>5731</v>
      </c>
    </row>
    <row r="4846" ht="15.75" customHeight="1">
      <c r="A4846" s="2">
        <v>54989.0</v>
      </c>
      <c r="B4846" s="2" t="s">
        <v>3550</v>
      </c>
      <c r="C4846" s="2" t="s">
        <v>9931</v>
      </c>
      <c r="D4846" s="2" t="s">
        <v>9932</v>
      </c>
      <c r="E4846" s="2" t="s">
        <v>20</v>
      </c>
      <c r="F4846" s="2">
        <v>24.0</v>
      </c>
      <c r="G4846" s="2">
        <v>500.0</v>
      </c>
      <c r="H4846" s="3" t="str">
        <f>HYPERLINK("http://ar.linkedin.com/pub/nicolas-andelman/7/984/B28","http://ar.linkedin.com/pub/nicolas-andelman/7/984/B28")</f>
        <v>http://ar.linkedin.com/pub/nicolas-andelman/7/984/B28</v>
      </c>
      <c r="I4846" s="2" t="s">
        <v>96</v>
      </c>
      <c r="J4846" s="2" t="s">
        <v>21</v>
      </c>
      <c r="K4846" s="2" t="s">
        <v>5743</v>
      </c>
    </row>
    <row r="4847" ht="15.75" customHeight="1">
      <c r="A4847" s="2">
        <v>55050.0</v>
      </c>
      <c r="B4847" s="2" t="s">
        <v>221</v>
      </c>
      <c r="C4847" s="2" t="s">
        <v>9933</v>
      </c>
      <c r="D4847" s="2" t="s">
        <v>13</v>
      </c>
      <c r="E4847" s="2" t="s">
        <v>20</v>
      </c>
      <c r="F4847" s="2">
        <v>0.0</v>
      </c>
      <c r="G4847" s="2">
        <v>142.0</v>
      </c>
      <c r="H4847" s="3" t="str">
        <f>HYPERLINK("http://www.linkedin.com/pub/miguel-queimali%C3%B1os/14/2a3/56","http://www.linkedin.com/pub/miguel-queimali%C3%B1os/14/2a3/56")</f>
        <v>http://www.linkedin.com/pub/miguel-queimali%C3%B1os/14/2a3/56</v>
      </c>
      <c r="I4847" s="2" t="s">
        <v>579</v>
      </c>
      <c r="J4847" s="2" t="s">
        <v>21</v>
      </c>
      <c r="K4847" s="2" t="s">
        <v>5848</v>
      </c>
    </row>
    <row r="4848" ht="15.75" customHeight="1">
      <c r="A4848" s="2">
        <v>55061.0</v>
      </c>
      <c r="B4848" s="2" t="s">
        <v>264</v>
      </c>
      <c r="C4848" s="2" t="s">
        <v>9934</v>
      </c>
      <c r="D4848" s="2" t="s">
        <v>9935</v>
      </c>
      <c r="E4848" s="2" t="s">
        <v>20</v>
      </c>
      <c r="F4848" s="2" t="s">
        <v>13</v>
      </c>
      <c r="G4848" s="2">
        <v>321.0</v>
      </c>
      <c r="H4848" s="3" t="str">
        <f>HYPERLINK("http://ar.linkedin.com/pub/andres-vela/25/A58/405","http://ar.linkedin.com/pub/andres-vela/25/A58/405")</f>
        <v>http://ar.linkedin.com/pub/andres-vela/25/A58/405</v>
      </c>
      <c r="I4848" s="2" t="s">
        <v>57</v>
      </c>
      <c r="J4848" s="2" t="s">
        <v>21</v>
      </c>
      <c r="K4848" s="2" t="s">
        <v>5725</v>
      </c>
    </row>
    <row r="4849" ht="15.75" customHeight="1">
      <c r="A4849" s="2">
        <v>55104.0</v>
      </c>
      <c r="B4849" s="2" t="s">
        <v>423</v>
      </c>
      <c r="C4849" s="2" t="s">
        <v>3533</v>
      </c>
      <c r="D4849" s="2" t="s">
        <v>9936</v>
      </c>
      <c r="E4849" s="2" t="s">
        <v>64</v>
      </c>
      <c r="F4849" s="2">
        <v>5.0</v>
      </c>
      <c r="G4849" s="2">
        <v>173.0</v>
      </c>
      <c r="H4849" s="3" t="str">
        <f>HYPERLINK("http://uk.linkedin.com/pub/carolina-giordano/16/537/933","http://uk.linkedin.com/pub/carolina-giordano/16/537/933")</f>
        <v>http://uk.linkedin.com/pub/carolina-giordano/16/537/933</v>
      </c>
      <c r="I4849" s="2" t="s">
        <v>844</v>
      </c>
      <c r="J4849" s="2" t="s">
        <v>65</v>
      </c>
      <c r="K4849" s="2" t="s">
        <v>5727</v>
      </c>
    </row>
    <row r="4850" ht="15.75" customHeight="1">
      <c r="A4850" s="2">
        <v>55128.0</v>
      </c>
      <c r="B4850" s="2" t="s">
        <v>3223</v>
      </c>
      <c r="C4850" s="2" t="s">
        <v>9937</v>
      </c>
      <c r="D4850" s="2" t="s">
        <v>13</v>
      </c>
      <c r="E4850" s="2" t="s">
        <v>20</v>
      </c>
      <c r="F4850" s="2">
        <v>0.0</v>
      </c>
      <c r="G4850" s="2">
        <v>500.0</v>
      </c>
      <c r="H4850" s="3" t="str">
        <f>HYPERLINK("http://www.linkedin.com/pub/laura-bitocco/9/2b0/646","http://www.linkedin.com/pub/laura-bitocco/9/2b0/646")</f>
        <v>http://www.linkedin.com/pub/laura-bitocco/9/2b0/646</v>
      </c>
      <c r="I4850" s="2" t="s">
        <v>458</v>
      </c>
      <c r="J4850" s="2" t="s">
        <v>21</v>
      </c>
      <c r="K4850" s="2" t="s">
        <v>5734</v>
      </c>
    </row>
    <row r="4851" ht="15.75" customHeight="1">
      <c r="A4851" s="2">
        <v>55144.0</v>
      </c>
      <c r="B4851" s="2" t="s">
        <v>253</v>
      </c>
      <c r="C4851" s="2" t="s">
        <v>9938</v>
      </c>
      <c r="D4851" s="2" t="s">
        <v>13</v>
      </c>
      <c r="E4851" s="2" t="s">
        <v>20</v>
      </c>
      <c r="F4851" s="2">
        <v>0.0</v>
      </c>
      <c r="G4851" s="2">
        <v>500.0</v>
      </c>
      <c r="H4851" s="3" t="str">
        <f>HYPERLINK("http://www.linkedin.com/pub/fernando-tchechenistky/13/2a7/b9a","http://www.linkedin.com/pub/fernando-tchechenistky/13/2a7/b9a")</f>
        <v>http://www.linkedin.com/pub/fernando-tchechenistky/13/2a7/b9a</v>
      </c>
      <c r="I4851" s="2" t="s">
        <v>105</v>
      </c>
      <c r="J4851" s="2" t="s">
        <v>21</v>
      </c>
      <c r="K4851" s="2" t="s">
        <v>5725</v>
      </c>
    </row>
    <row r="4852" ht="15.75" customHeight="1">
      <c r="A4852" s="2">
        <v>55166.0</v>
      </c>
      <c r="B4852" s="2" t="s">
        <v>9939</v>
      </c>
      <c r="C4852" s="2" t="s">
        <v>1729</v>
      </c>
      <c r="D4852" s="2" t="s">
        <v>9940</v>
      </c>
      <c r="E4852" s="2" t="s">
        <v>20</v>
      </c>
      <c r="F4852" s="2">
        <v>6.0</v>
      </c>
      <c r="G4852" s="2">
        <v>500.0</v>
      </c>
      <c r="H4852" s="3" t="str">
        <f>HYPERLINK("http://ar.linkedin.com/pub/nora-martinez/5/831/152","http://ar.linkedin.com/pub/nora-martinez/5/831/152")</f>
        <v>http://ar.linkedin.com/pub/nora-martinez/5/831/152</v>
      </c>
      <c r="I4852" s="2" t="s">
        <v>458</v>
      </c>
      <c r="J4852" s="2" t="s">
        <v>21</v>
      </c>
      <c r="K4852" s="2" t="s">
        <v>5727</v>
      </c>
    </row>
    <row r="4853" ht="15.75" customHeight="1">
      <c r="A4853" s="2">
        <v>55169.0</v>
      </c>
      <c r="B4853" s="2" t="s">
        <v>5824</v>
      </c>
      <c r="C4853" s="2" t="s">
        <v>568</v>
      </c>
      <c r="D4853" s="2" t="s">
        <v>9941</v>
      </c>
      <c r="E4853" s="2" t="s">
        <v>20</v>
      </c>
      <c r="F4853" s="2" t="s">
        <v>13</v>
      </c>
      <c r="G4853" s="2">
        <v>50.0</v>
      </c>
      <c r="H4853" s="3" t="str">
        <f>HYPERLINK("http://ar.linkedin.com/pub/alejandra-rojas/26/246/4B8","http://ar.linkedin.com/pub/alejandra-rojas/26/246/4B8")</f>
        <v>http://ar.linkedin.com/pub/alejandra-rojas/26/246/4B8</v>
      </c>
      <c r="I4853" s="2" t="s">
        <v>15</v>
      </c>
      <c r="J4853" s="2" t="s">
        <v>21</v>
      </c>
      <c r="K4853" s="2" t="s">
        <v>5725</v>
      </c>
    </row>
    <row r="4854" ht="15.75" customHeight="1">
      <c r="A4854" s="2">
        <v>55173.0</v>
      </c>
      <c r="B4854" s="2" t="s">
        <v>9326</v>
      </c>
      <c r="C4854" s="2" t="s">
        <v>9942</v>
      </c>
      <c r="D4854" s="2" t="s">
        <v>9943</v>
      </c>
      <c r="E4854" s="2" t="s">
        <v>20</v>
      </c>
      <c r="F4854" s="2">
        <v>11.0</v>
      </c>
      <c r="G4854" s="2">
        <v>500.0</v>
      </c>
      <c r="H4854" s="3" t="str">
        <f>HYPERLINK("http://www.linkedin.com/in/mariacelestebritos","http://www.linkedin.com/in/mariacelestebritos")</f>
        <v>http://www.linkedin.com/in/mariacelestebritos</v>
      </c>
      <c r="I4854" s="2" t="s">
        <v>105</v>
      </c>
      <c r="J4854" s="2" t="s">
        <v>21</v>
      </c>
      <c r="K4854" s="2" t="s">
        <v>5727</v>
      </c>
    </row>
    <row r="4855" ht="15.75" customHeight="1">
      <c r="A4855" s="2">
        <v>55180.0</v>
      </c>
      <c r="B4855" s="2" t="s">
        <v>9944</v>
      </c>
      <c r="C4855" s="2" t="s">
        <v>3714</v>
      </c>
      <c r="D4855" s="2"/>
      <c r="E4855" s="2" t="s">
        <v>1190</v>
      </c>
      <c r="F4855" s="2">
        <v>2.0</v>
      </c>
      <c r="G4855" s="2">
        <v>500.0</v>
      </c>
      <c r="H4855" s="3" t="str">
        <f>HYPERLINK("http://www.linkedin.com/pub/luis-arturo-diaz/0/167/AB1","http://www.linkedin.com/pub/luis-arturo-diaz/0/167/AB1")</f>
        <v>http://www.linkedin.com/pub/luis-arturo-diaz/0/167/AB1</v>
      </c>
      <c r="I4855" s="2" t="s">
        <v>1679</v>
      </c>
      <c r="J4855" s="2" t="s">
        <v>102</v>
      </c>
      <c r="K4855" s="2" t="s">
        <v>5727</v>
      </c>
    </row>
    <row r="4856" ht="15.75" customHeight="1">
      <c r="A4856" s="2">
        <v>55187.0</v>
      </c>
      <c r="B4856" s="2" t="s">
        <v>9945</v>
      </c>
      <c r="C4856" s="2" t="s">
        <v>9946</v>
      </c>
      <c r="D4856" s="2" t="s">
        <v>9947</v>
      </c>
      <c r="E4856" s="2" t="s">
        <v>20</v>
      </c>
      <c r="F4856" s="2">
        <v>0.0</v>
      </c>
      <c r="G4856" s="2">
        <v>500.0</v>
      </c>
      <c r="H4856" s="3" t="str">
        <f>HYPERLINK("http://www.linkedin.com/in/revistaergo","http://www.linkedin.com/in/revistaergo")</f>
        <v>http://www.linkedin.com/in/revistaergo</v>
      </c>
      <c r="I4856" s="2" t="s">
        <v>458</v>
      </c>
      <c r="J4856" s="2" t="s">
        <v>21</v>
      </c>
      <c r="K4856" s="2" t="s">
        <v>5734</v>
      </c>
    </row>
    <row r="4857" ht="15.75" customHeight="1">
      <c r="A4857" s="2">
        <v>55216.0</v>
      </c>
      <c r="B4857" s="2" t="s">
        <v>193</v>
      </c>
      <c r="C4857" s="2" t="s">
        <v>9948</v>
      </c>
      <c r="D4857" s="2" t="s">
        <v>9949</v>
      </c>
      <c r="E4857" s="2" t="s">
        <v>20</v>
      </c>
      <c r="F4857" s="2">
        <v>2.0</v>
      </c>
      <c r="G4857" s="2">
        <v>379.0</v>
      </c>
      <c r="H4857" s="3" t="str">
        <f>HYPERLINK("http://ar.linkedin.com/pub/guillermo-bray/6/B44/579","http://ar.linkedin.com/pub/guillermo-bray/6/B44/579")</f>
        <v>http://ar.linkedin.com/pub/guillermo-bray/6/B44/579</v>
      </c>
      <c r="I4857" s="2" t="s">
        <v>195</v>
      </c>
      <c r="J4857" s="2" t="s">
        <v>21</v>
      </c>
      <c r="K4857" s="2" t="s">
        <v>5785</v>
      </c>
    </row>
    <row r="4858" ht="15.75" customHeight="1">
      <c r="A4858" s="2">
        <v>55258.0</v>
      </c>
      <c r="B4858" s="2" t="s">
        <v>362</v>
      </c>
      <c r="C4858" s="2" t="s">
        <v>9950</v>
      </c>
      <c r="D4858" s="2" t="s">
        <v>9951</v>
      </c>
      <c r="E4858" s="2" t="s">
        <v>20</v>
      </c>
      <c r="F4858" s="2">
        <v>3.0</v>
      </c>
      <c r="G4858" s="2">
        <v>114.0</v>
      </c>
      <c r="H4858" s="3" t="str">
        <f>HYPERLINK("http://ar.linkedin.com/pub/javier-bavaro/23/948/655","http://ar.linkedin.com/pub/javier-bavaro/23/948/655")</f>
        <v>http://ar.linkedin.com/pub/javier-bavaro/23/948/655</v>
      </c>
      <c r="I4858" s="2" t="s">
        <v>356</v>
      </c>
      <c r="J4858" s="2" t="s">
        <v>21</v>
      </c>
      <c r="K4858" s="2" t="s">
        <v>6973</v>
      </c>
    </row>
    <row r="4859" ht="15.75" customHeight="1">
      <c r="A4859" s="2">
        <v>55259.0</v>
      </c>
      <c r="B4859" s="2" t="s">
        <v>1499</v>
      </c>
      <c r="C4859" s="2" t="s">
        <v>9952</v>
      </c>
      <c r="D4859" s="2" t="s">
        <v>5847</v>
      </c>
      <c r="E4859" s="2" t="s">
        <v>20</v>
      </c>
      <c r="F4859" s="2">
        <v>4.0</v>
      </c>
      <c r="G4859" s="2">
        <v>348.0</v>
      </c>
      <c r="H4859" s="3" t="str">
        <f>HYPERLINK("http://www.linkedin.com/pub/adrian-ghelman/6/a10/2a7","http://www.linkedin.com/pub/adrian-ghelman/6/a10/2a7")</f>
        <v>http://www.linkedin.com/pub/adrian-ghelman/6/a10/2a7</v>
      </c>
      <c r="I4859" s="2" t="s">
        <v>579</v>
      </c>
      <c r="J4859" s="2" t="s">
        <v>21</v>
      </c>
      <c r="K4859" s="2" t="s">
        <v>5734</v>
      </c>
    </row>
    <row r="4860" ht="15.75" customHeight="1">
      <c r="A4860" s="2">
        <v>55291.0</v>
      </c>
      <c r="B4860" s="2" t="s">
        <v>8163</v>
      </c>
      <c r="C4860" s="2" t="s">
        <v>9953</v>
      </c>
      <c r="D4860" s="2" t="s">
        <v>9954</v>
      </c>
      <c r="E4860" s="2" t="s">
        <v>20</v>
      </c>
      <c r="F4860" s="2" t="s">
        <v>13</v>
      </c>
      <c r="G4860" s="2">
        <v>500.0</v>
      </c>
      <c r="H4860" s="3" t="str">
        <f>HYPERLINK("http://ar.linkedin.com/pub/bernardo-hidalgo/1/408/A79","http://ar.linkedin.com/pub/bernardo-hidalgo/1/408/A79")</f>
        <v>http://ar.linkedin.com/pub/bernardo-hidalgo/1/408/A79</v>
      </c>
      <c r="I4860" s="2" t="s">
        <v>458</v>
      </c>
      <c r="J4860" s="2" t="s">
        <v>21</v>
      </c>
      <c r="K4860" s="2" t="s">
        <v>5734</v>
      </c>
    </row>
    <row r="4861" ht="15.75" customHeight="1">
      <c r="A4861" s="2">
        <v>55296.0</v>
      </c>
      <c r="B4861" s="2" t="s">
        <v>70</v>
      </c>
      <c r="C4861" s="2" t="s">
        <v>9955</v>
      </c>
      <c r="D4861" s="2" t="s">
        <v>7526</v>
      </c>
      <c r="E4861" s="2" t="s">
        <v>20</v>
      </c>
      <c r="F4861" s="2" t="s">
        <v>13</v>
      </c>
      <c r="G4861" s="2">
        <v>373.0</v>
      </c>
      <c r="H4861" s="3" t="str">
        <f>HYPERLINK("http://ar.linkedin.com/in/gustavoghirardi","http://ar.linkedin.com/in/gustavoghirardi")</f>
        <v>http://ar.linkedin.com/in/gustavoghirardi</v>
      </c>
      <c r="I4861" s="2" t="s">
        <v>77</v>
      </c>
      <c r="J4861" s="2" t="s">
        <v>21</v>
      </c>
      <c r="K4861" s="2" t="s">
        <v>5848</v>
      </c>
    </row>
    <row r="4862" ht="15.75" customHeight="1">
      <c r="A4862" s="2">
        <v>55305.0</v>
      </c>
      <c r="B4862" s="2" t="s">
        <v>5723</v>
      </c>
      <c r="C4862" s="2" t="s">
        <v>8007</v>
      </c>
      <c r="D4862" s="2" t="s">
        <v>9956</v>
      </c>
      <c r="E4862" s="2" t="s">
        <v>20</v>
      </c>
      <c r="F4862" s="2">
        <v>34.0</v>
      </c>
      <c r="G4862" s="2">
        <v>500.0</v>
      </c>
      <c r="H4862" s="3" t="str">
        <f>HYPERLINK("http://ar.linkedin.com/in/pablodevoto","http://ar.linkedin.com/in/pablodevoto")</f>
        <v>http://ar.linkedin.com/in/pablodevoto</v>
      </c>
      <c r="I4862" s="2" t="s">
        <v>172</v>
      </c>
      <c r="J4862" s="2" t="s">
        <v>21</v>
      </c>
      <c r="K4862" s="2" t="s">
        <v>5727</v>
      </c>
    </row>
    <row r="4863" ht="15.75" customHeight="1">
      <c r="A4863" s="2">
        <v>55327.0</v>
      </c>
      <c r="B4863" s="2" t="s">
        <v>193</v>
      </c>
      <c r="C4863" s="2" t="s">
        <v>9957</v>
      </c>
      <c r="D4863" s="2" t="s">
        <v>13</v>
      </c>
      <c r="E4863" s="2" t="s">
        <v>20</v>
      </c>
      <c r="F4863" s="2">
        <v>0.0</v>
      </c>
      <c r="G4863" s="2">
        <v>500.0</v>
      </c>
      <c r="H4863" s="3" t="str">
        <f>HYPERLINK("http://www.linkedin.com/pub/guillermo-gonzalez-taboada/0/208/b28","http://www.linkedin.com/pub/guillermo-gonzalez-taboada/0/208/b28")</f>
        <v>http://www.linkedin.com/pub/guillermo-gonzalez-taboada/0/208/b28</v>
      </c>
      <c r="I4863" s="2" t="s">
        <v>105</v>
      </c>
      <c r="J4863" s="2" t="s">
        <v>21</v>
      </c>
      <c r="K4863" s="2" t="s">
        <v>5725</v>
      </c>
    </row>
    <row r="4864" ht="15.75" customHeight="1">
      <c r="A4864" s="2">
        <v>55348.0</v>
      </c>
      <c r="B4864" s="2" t="s">
        <v>7267</v>
      </c>
      <c r="C4864" s="2" t="s">
        <v>9958</v>
      </c>
      <c r="D4864" s="2" t="s">
        <v>9959</v>
      </c>
      <c r="E4864" s="2" t="s">
        <v>20</v>
      </c>
      <c r="F4864" s="2" t="s">
        <v>13</v>
      </c>
      <c r="G4864" s="2">
        <v>500.0</v>
      </c>
      <c r="H4864" s="3" t="str">
        <f>HYPERLINK("http://ar.linkedin.com/pub/eugenia-fontana/24/B79/173","http://ar.linkedin.com/pub/eugenia-fontana/24/B79/173")</f>
        <v>http://ar.linkedin.com/pub/eugenia-fontana/24/B79/173</v>
      </c>
      <c r="I4864" s="2" t="s">
        <v>105</v>
      </c>
      <c r="J4864" s="2" t="s">
        <v>21</v>
      </c>
      <c r="K4864" s="2" t="s">
        <v>5725</v>
      </c>
    </row>
    <row r="4865" ht="15.75" customHeight="1">
      <c r="A4865" s="2">
        <v>55382.0</v>
      </c>
      <c r="B4865" s="2" t="s">
        <v>423</v>
      </c>
      <c r="C4865" s="2" t="s">
        <v>9960</v>
      </c>
      <c r="D4865" s="2" t="s">
        <v>13</v>
      </c>
      <c r="E4865" s="2" t="s">
        <v>122</v>
      </c>
      <c r="F4865" s="2">
        <v>0.0</v>
      </c>
      <c r="G4865" s="2">
        <v>500.0</v>
      </c>
      <c r="H4865" s="3" t="str">
        <f>HYPERLINK("https://www.linkedin.com/in/carolinaboeridollberg","https://www.linkedin.com/in/carolinaboeridollberg")</f>
        <v>https://www.linkedin.com/in/carolinaboeridollberg</v>
      </c>
      <c r="I4865" s="2" t="s">
        <v>105</v>
      </c>
      <c r="J4865" s="2" t="s">
        <v>53</v>
      </c>
      <c r="K4865" s="2" t="s">
        <v>5725</v>
      </c>
    </row>
    <row r="4866" ht="15.75" customHeight="1">
      <c r="A4866" s="2">
        <v>55384.0</v>
      </c>
      <c r="B4866" s="2" t="s">
        <v>5945</v>
      </c>
      <c r="C4866" s="2" t="s">
        <v>9961</v>
      </c>
      <c r="D4866" s="2" t="s">
        <v>9962</v>
      </c>
      <c r="E4866" s="2" t="s">
        <v>20</v>
      </c>
      <c r="F4866" s="2">
        <v>14.0</v>
      </c>
      <c r="G4866" s="2">
        <v>500.0</v>
      </c>
      <c r="H4866" s="3" t="str">
        <f>HYPERLINK("http://ar.linkedin.com/pub/roxana-santillan/22/920/900","http://ar.linkedin.com/pub/roxana-santillan/22/920/900")</f>
        <v>http://ar.linkedin.com/pub/roxana-santillan/22/920/900</v>
      </c>
      <c r="I4866" s="2" t="s">
        <v>195</v>
      </c>
      <c r="J4866" s="2" t="s">
        <v>21</v>
      </c>
      <c r="K4866" s="2" t="s">
        <v>6046</v>
      </c>
    </row>
    <row r="4867" ht="15.75" customHeight="1">
      <c r="A4867" s="2">
        <v>55401.0</v>
      </c>
      <c r="B4867" s="2" t="s">
        <v>152</v>
      </c>
      <c r="C4867" s="2" t="s">
        <v>7309</v>
      </c>
      <c r="D4867" s="2" t="s">
        <v>42</v>
      </c>
      <c r="E4867" s="2" t="s">
        <v>20</v>
      </c>
      <c r="F4867" s="2">
        <v>42.0</v>
      </c>
      <c r="G4867" s="2">
        <v>316.0</v>
      </c>
      <c r="H4867" s="3" t="str">
        <f>HYPERLINK("http://ar.linkedin.com/pub/eduardo-arrocha/1/B85/65","http://ar.linkedin.com/pub/eduardo-arrocha/1/B85/65")</f>
        <v>http://ar.linkedin.com/pub/eduardo-arrocha/1/B85/65</v>
      </c>
      <c r="I4867" s="2" t="s">
        <v>105</v>
      </c>
      <c r="J4867" s="2" t="s">
        <v>21</v>
      </c>
      <c r="K4867" s="2" t="s">
        <v>5727</v>
      </c>
    </row>
    <row r="4868" ht="15.75" customHeight="1">
      <c r="A4868" s="2">
        <v>55420.0</v>
      </c>
      <c r="B4868" s="2" t="s">
        <v>9963</v>
      </c>
      <c r="C4868" s="2" t="s">
        <v>9964</v>
      </c>
      <c r="D4868" s="2" t="s">
        <v>9965</v>
      </c>
      <c r="E4868" s="2" t="s">
        <v>20</v>
      </c>
      <c r="F4868" s="2" t="s">
        <v>13</v>
      </c>
      <c r="G4868" s="2">
        <v>165.0</v>
      </c>
      <c r="H4868" s="3" t="str">
        <f>HYPERLINK("http://ar.linkedin.com/pub/irene-meleg/10/661/671","http://ar.linkedin.com/pub/irene-meleg/10/661/671")</f>
        <v>http://ar.linkedin.com/pub/irene-meleg/10/661/671</v>
      </c>
      <c r="I4868" s="2" t="s">
        <v>458</v>
      </c>
      <c r="J4868" s="2" t="s">
        <v>21</v>
      </c>
      <c r="K4868" s="2" t="s">
        <v>5734</v>
      </c>
    </row>
    <row r="4869" ht="15.75" customHeight="1">
      <c r="A4869" s="2">
        <v>55433.0</v>
      </c>
      <c r="B4869" s="2" t="s">
        <v>9966</v>
      </c>
      <c r="C4869" s="2" t="s">
        <v>9967</v>
      </c>
      <c r="D4869" s="2" t="s">
        <v>13</v>
      </c>
      <c r="E4869" s="2" t="s">
        <v>20</v>
      </c>
      <c r="F4869" s="2">
        <v>0.0</v>
      </c>
      <c r="G4869" s="2">
        <v>207.0</v>
      </c>
      <c r="H4869" s="3" t="str">
        <f>HYPERLINK("http://www.linkedin.com/pub/feil-gast%C3%B3n-ariel/8/345/695","http://www.linkedin.com/pub/feil-gast%C3%B3n-ariel/8/345/695")</f>
        <v>http://www.linkedin.com/pub/feil-gast%C3%B3n-ariel/8/345/695</v>
      </c>
      <c r="I4869" s="2" t="s">
        <v>77</v>
      </c>
      <c r="J4869" s="2" t="s">
        <v>21</v>
      </c>
      <c r="K4869" s="2" t="s">
        <v>5848</v>
      </c>
    </row>
    <row r="4870" ht="15.75" customHeight="1">
      <c r="A4870" s="2">
        <v>55464.0</v>
      </c>
      <c r="B4870" s="2" t="s">
        <v>9968</v>
      </c>
      <c r="C4870" s="2" t="s">
        <v>9969</v>
      </c>
      <c r="D4870" s="2" t="s">
        <v>835</v>
      </c>
      <c r="E4870" s="2" t="s">
        <v>20</v>
      </c>
      <c r="F4870" s="2">
        <v>3.0</v>
      </c>
      <c r="G4870" s="2">
        <v>212.0</v>
      </c>
      <c r="H4870" s="3" t="str">
        <f>HYPERLINK("http://ar.linkedin.com/pub/rosa-faraone/14/310/532","http://ar.linkedin.com/pub/rosa-faraone/14/310/532")</f>
        <v>http://ar.linkedin.com/pub/rosa-faraone/14/310/532</v>
      </c>
      <c r="I4870" s="2" t="s">
        <v>57</v>
      </c>
      <c r="J4870" s="2" t="s">
        <v>21</v>
      </c>
      <c r="K4870" s="2" t="s">
        <v>5727</v>
      </c>
    </row>
    <row r="4871" ht="15.75" customHeight="1">
      <c r="A4871" s="2">
        <v>55474.0</v>
      </c>
      <c r="B4871" s="2" t="s">
        <v>2329</v>
      </c>
      <c r="C4871" s="2" t="s">
        <v>9970</v>
      </c>
      <c r="D4871" s="2" t="s">
        <v>9971</v>
      </c>
      <c r="E4871" s="2" t="s">
        <v>20</v>
      </c>
      <c r="F4871" s="2">
        <v>1.0</v>
      </c>
      <c r="G4871" s="2">
        <v>303.0</v>
      </c>
      <c r="H4871" s="3" t="str">
        <f>HYPERLINK("http://ar.linkedin.com/in/paulonuchi","http://ar.linkedin.com/in/paulonuchi")</f>
        <v>http://ar.linkedin.com/in/paulonuchi</v>
      </c>
      <c r="I4871" s="2" t="s">
        <v>2046</v>
      </c>
      <c r="J4871" s="2" t="s">
        <v>21</v>
      </c>
      <c r="K4871" s="2" t="s">
        <v>5725</v>
      </c>
    </row>
    <row r="4872" ht="15.75" customHeight="1">
      <c r="A4872" s="2">
        <v>55496.0</v>
      </c>
      <c r="B4872" s="2" t="s">
        <v>9972</v>
      </c>
      <c r="C4872" s="2" t="s">
        <v>3943</v>
      </c>
      <c r="D4872" s="2" t="s">
        <v>9973</v>
      </c>
      <c r="E4872" s="2" t="s">
        <v>20</v>
      </c>
      <c r="F4872" s="2" t="s">
        <v>13</v>
      </c>
      <c r="G4872" s="2">
        <v>480.0</v>
      </c>
      <c r="H4872" s="3" t="str">
        <f>HYPERLINK("http://ar.linkedin.com/pub/marta-susana-rodriguez/A/89A/513","http://ar.linkedin.com/pub/marta-susana-rodriguez/A/89A/513")</f>
        <v>http://ar.linkedin.com/pub/marta-susana-rodriguez/A/89A/513</v>
      </c>
      <c r="I4872" s="2" t="s">
        <v>231</v>
      </c>
      <c r="J4872" s="2" t="s">
        <v>21</v>
      </c>
      <c r="K4872" s="2" t="s">
        <v>5785</v>
      </c>
    </row>
    <row r="4873" ht="15.75" customHeight="1">
      <c r="A4873" s="2">
        <v>55511.0</v>
      </c>
      <c r="B4873" s="2" t="s">
        <v>5808</v>
      </c>
      <c r="C4873" s="2" t="s">
        <v>9974</v>
      </c>
      <c r="D4873" s="2" t="s">
        <v>7712</v>
      </c>
      <c r="E4873" s="2" t="s">
        <v>20</v>
      </c>
      <c r="F4873" s="2" t="s">
        <v>13</v>
      </c>
      <c r="G4873" s="2">
        <v>500.0</v>
      </c>
      <c r="H4873" s="3" t="str">
        <f>HYPERLINK("http://ar.linkedin.com/pub/matias-salvatore-tadey/1B/739/B26","http://ar.linkedin.com/pub/matias-salvatore-tadey/1B/739/B26")</f>
        <v>http://ar.linkedin.com/pub/matias-salvatore-tadey/1B/739/B26</v>
      </c>
      <c r="I4873" s="2" t="s">
        <v>15</v>
      </c>
      <c r="J4873" s="2" t="s">
        <v>21</v>
      </c>
      <c r="K4873" s="2" t="s">
        <v>5725</v>
      </c>
    </row>
    <row r="4874" ht="15.75" customHeight="1">
      <c r="A4874" s="2">
        <v>55521.0</v>
      </c>
      <c r="B4874" s="2" t="s">
        <v>759</v>
      </c>
      <c r="C4874" s="2" t="s">
        <v>9975</v>
      </c>
      <c r="D4874" s="2" t="s">
        <v>289</v>
      </c>
      <c r="E4874" s="2" t="s">
        <v>20</v>
      </c>
      <c r="F4874" s="2">
        <v>1.0</v>
      </c>
      <c r="G4874" s="2">
        <v>455.0</v>
      </c>
      <c r="H4874" s="3" t="str">
        <f>HYPERLINK("http://ar.linkedin.com/pub/barbara-balian/3/506/A53","http://ar.linkedin.com/pub/barbara-balian/3/506/A53")</f>
        <v>http://ar.linkedin.com/pub/barbara-balian/3/506/A53</v>
      </c>
      <c r="I4874" s="2" t="s">
        <v>105</v>
      </c>
      <c r="J4874" s="2" t="s">
        <v>21</v>
      </c>
      <c r="K4874" s="2" t="s">
        <v>5725</v>
      </c>
    </row>
    <row r="4875" ht="15.75" customHeight="1">
      <c r="A4875" s="2">
        <v>55527.0</v>
      </c>
      <c r="B4875" s="2" t="s">
        <v>9976</v>
      </c>
      <c r="C4875" s="2" t="s">
        <v>9977</v>
      </c>
      <c r="D4875" s="2" t="s">
        <v>9978</v>
      </c>
      <c r="E4875" s="2" t="s">
        <v>20</v>
      </c>
      <c r="F4875" s="2">
        <v>11.0</v>
      </c>
      <c r="G4875" s="2">
        <v>500.0</v>
      </c>
      <c r="H4875" s="3" t="str">
        <f>HYPERLINK("http://ar.linkedin.com/in/ltcucuzza","http://ar.linkedin.com/in/ltcucuzza")</f>
        <v>http://ar.linkedin.com/in/ltcucuzza</v>
      </c>
      <c r="I4875" s="2" t="s">
        <v>1679</v>
      </c>
      <c r="J4875" s="2" t="s">
        <v>21</v>
      </c>
      <c r="K4875" s="2" t="s">
        <v>5727</v>
      </c>
    </row>
    <row r="4876" ht="15.75" customHeight="1">
      <c r="A4876" s="2">
        <v>55545.0</v>
      </c>
      <c r="B4876" s="2" t="s">
        <v>3178</v>
      </c>
      <c r="C4876" s="2" t="s">
        <v>9979</v>
      </c>
      <c r="D4876" s="2" t="s">
        <v>9980</v>
      </c>
      <c r="E4876" s="2" t="s">
        <v>20</v>
      </c>
      <c r="F4876" s="2">
        <v>3.0</v>
      </c>
      <c r="G4876" s="2">
        <v>500.0</v>
      </c>
      <c r="H4876" s="3" t="str">
        <f>HYPERLINK("http://ar.linkedin.com/in/lucasvigolo","http://ar.linkedin.com/in/lucasvigolo")</f>
        <v>http://ar.linkedin.com/in/lucasvigolo</v>
      </c>
      <c r="I4876" s="2" t="s">
        <v>231</v>
      </c>
      <c r="J4876" s="2" t="s">
        <v>21</v>
      </c>
      <c r="K4876" s="2" t="s">
        <v>5727</v>
      </c>
    </row>
    <row r="4877" ht="15.75" customHeight="1">
      <c r="A4877" s="2">
        <v>55563.0</v>
      </c>
      <c r="B4877" s="2" t="s">
        <v>2436</v>
      </c>
      <c r="C4877" s="2" t="s">
        <v>9870</v>
      </c>
      <c r="D4877" s="2" t="s">
        <v>186</v>
      </c>
      <c r="E4877" s="2" t="s">
        <v>20</v>
      </c>
      <c r="F4877" s="2">
        <v>2.0</v>
      </c>
      <c r="G4877" s="2">
        <v>286.0</v>
      </c>
      <c r="H4877" s="3" t="str">
        <f>HYPERLINK("http://ar.linkedin.com/pub/antonio-guarino/8/108/B84","http://ar.linkedin.com/pub/antonio-guarino/8/108/B84")</f>
        <v>http://ar.linkedin.com/pub/antonio-guarino/8/108/B84</v>
      </c>
      <c r="I4877" s="2" t="s">
        <v>458</v>
      </c>
      <c r="J4877" s="2" t="s">
        <v>21</v>
      </c>
      <c r="K4877" s="2" t="s">
        <v>5727</v>
      </c>
    </row>
    <row r="4878" ht="15.75" customHeight="1">
      <c r="A4878" s="2">
        <v>55566.0</v>
      </c>
      <c r="B4878" s="2" t="s">
        <v>9981</v>
      </c>
      <c r="C4878" s="2" t="s">
        <v>6207</v>
      </c>
      <c r="D4878" s="2" t="s">
        <v>266</v>
      </c>
      <c r="E4878" s="2" t="s">
        <v>20</v>
      </c>
      <c r="F4878" s="2">
        <v>1.0</v>
      </c>
      <c r="G4878" s="2">
        <v>76.0</v>
      </c>
      <c r="H4878" s="3" t="str">
        <f>HYPERLINK("http://ar.linkedin.com/pub/raul-arturo-alvarez/24/567/23","http://ar.linkedin.com/pub/raul-arturo-alvarez/24/567/23")</f>
        <v>http://ar.linkedin.com/pub/raul-arturo-alvarez/24/567/23</v>
      </c>
      <c r="I4878" s="2" t="s">
        <v>15</v>
      </c>
      <c r="J4878" s="2" t="s">
        <v>21</v>
      </c>
      <c r="K4878" s="2" t="s">
        <v>5725</v>
      </c>
    </row>
    <row r="4879" ht="15.75" customHeight="1">
      <c r="A4879" s="2">
        <v>55581.0</v>
      </c>
      <c r="B4879" s="2" t="s">
        <v>6252</v>
      </c>
      <c r="C4879" s="2" t="s">
        <v>9982</v>
      </c>
      <c r="D4879" s="2" t="s">
        <v>13</v>
      </c>
      <c r="E4879" s="2" t="s">
        <v>20</v>
      </c>
      <c r="F4879" s="2">
        <v>0.0</v>
      </c>
      <c r="G4879" s="2">
        <v>389.0</v>
      </c>
      <c r="H4879" s="3" t="str">
        <f>HYPERLINK("http://ar.linkedin.com/pub/santiago-magliano/8/361/417","http://ar.linkedin.com/pub/santiago-magliano/8/361/417")</f>
        <v>http://ar.linkedin.com/pub/santiago-magliano/8/361/417</v>
      </c>
      <c r="I4879" s="2" t="s">
        <v>105</v>
      </c>
      <c r="J4879" s="2" t="s">
        <v>21</v>
      </c>
      <c r="K4879" s="2" t="s">
        <v>5727</v>
      </c>
    </row>
    <row r="4880" ht="15.75" customHeight="1">
      <c r="A4880" s="2">
        <v>55582.0</v>
      </c>
      <c r="B4880" s="2" t="s">
        <v>9983</v>
      </c>
      <c r="C4880" s="2" t="s">
        <v>6281</v>
      </c>
      <c r="D4880" s="2" t="s">
        <v>13</v>
      </c>
      <c r="E4880" s="2" t="s">
        <v>20</v>
      </c>
      <c r="F4880" s="2">
        <v>0.0</v>
      </c>
      <c r="G4880" s="2">
        <v>171.0</v>
      </c>
      <c r="H4880" s="3" t="str">
        <f>HYPERLINK("http://www.linkedin.com/pub/visto-bueno-consultora/1b/152/266","http://www.linkedin.com/pub/visto-bueno-consultora/1b/152/266")</f>
        <v>http://www.linkedin.com/pub/visto-bueno-consultora/1b/152/266</v>
      </c>
      <c r="I4880" s="2" t="s">
        <v>458</v>
      </c>
      <c r="J4880" s="2" t="s">
        <v>21</v>
      </c>
      <c r="K4880" s="2" t="s">
        <v>5734</v>
      </c>
    </row>
    <row r="4881" ht="15.75" customHeight="1">
      <c r="A4881" s="2">
        <v>55592.0</v>
      </c>
      <c r="B4881" s="2" t="s">
        <v>9984</v>
      </c>
      <c r="C4881" s="2" t="s">
        <v>9893</v>
      </c>
      <c r="D4881" s="2" t="s">
        <v>9985</v>
      </c>
      <c r="E4881" s="2" t="s">
        <v>20</v>
      </c>
      <c r="F4881" s="2">
        <v>2.0</v>
      </c>
      <c r="G4881" s="2">
        <v>500.0</v>
      </c>
      <c r="H4881" s="3" t="str">
        <f>HYPERLINK("http://ar.linkedin.com/in/agregorio","http://ar.linkedin.com/in/agregorio")</f>
        <v>http://ar.linkedin.com/in/agregorio</v>
      </c>
      <c r="I4881" s="2" t="s">
        <v>105</v>
      </c>
      <c r="J4881" s="2" t="s">
        <v>21</v>
      </c>
      <c r="K4881" s="2" t="s">
        <v>5727</v>
      </c>
    </row>
    <row r="4882" ht="15.75" customHeight="1">
      <c r="A4882" s="2">
        <v>55600.0</v>
      </c>
      <c r="B4882" s="2" t="s">
        <v>3175</v>
      </c>
      <c r="C4882" s="2" t="s">
        <v>8360</v>
      </c>
      <c r="D4882" s="2" t="s">
        <v>2345</v>
      </c>
      <c r="E4882" s="2" t="s">
        <v>20</v>
      </c>
      <c r="F4882" s="2" t="s">
        <v>13</v>
      </c>
      <c r="G4882" s="2">
        <v>290.0</v>
      </c>
      <c r="H4882" s="3" t="str">
        <f>HYPERLINK("http://ar.linkedin.com/pub/daniela-mazzei/28/163/759","http://ar.linkedin.com/pub/daniela-mazzei/28/163/759")</f>
        <v>http://ar.linkedin.com/pub/daniela-mazzei/28/163/759</v>
      </c>
      <c r="I4882" s="2" t="s">
        <v>105</v>
      </c>
      <c r="J4882" s="2" t="s">
        <v>21</v>
      </c>
      <c r="K4882" s="2" t="s">
        <v>5743</v>
      </c>
    </row>
    <row r="4883" ht="15.75" customHeight="1">
      <c r="A4883" s="2">
        <v>55619.0</v>
      </c>
      <c r="B4883" s="2" t="s">
        <v>9074</v>
      </c>
      <c r="C4883" s="2" t="s">
        <v>9986</v>
      </c>
      <c r="D4883" s="2" t="s">
        <v>13</v>
      </c>
      <c r="E4883" s="2" t="s">
        <v>20</v>
      </c>
      <c r="F4883" s="2">
        <v>5.0</v>
      </c>
      <c r="G4883" s="2">
        <v>247.0</v>
      </c>
      <c r="H4883" s="3" t="str">
        <f>HYPERLINK("http://www.linkedin.com/pub/maria-victoria-laspoumaderes/9/9b/673","http://www.linkedin.com/pub/maria-victoria-laspoumaderes/9/9b/673")</f>
        <v>http://www.linkedin.com/pub/maria-victoria-laspoumaderes/9/9b/673</v>
      </c>
      <c r="I4883" s="2" t="s">
        <v>15</v>
      </c>
      <c r="J4883" s="2" t="s">
        <v>21</v>
      </c>
      <c r="K4883" s="2" t="s">
        <v>5731</v>
      </c>
    </row>
    <row r="4884" ht="15.75" customHeight="1">
      <c r="A4884" s="2">
        <v>55629.0</v>
      </c>
      <c r="B4884" s="2" t="s">
        <v>9987</v>
      </c>
      <c r="C4884" s="2" t="s">
        <v>9988</v>
      </c>
      <c r="D4884" s="2" t="s">
        <v>13</v>
      </c>
      <c r="E4884" s="2" t="s">
        <v>20</v>
      </c>
      <c r="F4884" s="2">
        <v>0.0</v>
      </c>
      <c r="G4884" s="2">
        <v>241.0</v>
      </c>
      <c r="H4884" s="3" t="str">
        <f>HYPERLINK("http://www.linkedin.com/pub/leonardo-gustavo-denton/20/60b/63b","http://www.linkedin.com/pub/leonardo-gustavo-denton/20/60b/63b")</f>
        <v>http://www.linkedin.com/pub/leonardo-gustavo-denton/20/60b/63b</v>
      </c>
      <c r="I4884" s="2" t="s">
        <v>105</v>
      </c>
      <c r="J4884" s="2" t="s">
        <v>21</v>
      </c>
      <c r="K4884" s="2" t="s">
        <v>5727</v>
      </c>
    </row>
    <row r="4885" ht="15.75" customHeight="1">
      <c r="A4885" s="2">
        <v>55656.0</v>
      </c>
      <c r="B4885" s="2" t="s">
        <v>7140</v>
      </c>
      <c r="C4885" s="2" t="s">
        <v>9989</v>
      </c>
      <c r="D4885" s="2" t="s">
        <v>9990</v>
      </c>
      <c r="E4885" s="2" t="s">
        <v>20</v>
      </c>
      <c r="F4885" s="2">
        <v>2.0</v>
      </c>
      <c r="G4885" s="2">
        <v>142.0</v>
      </c>
      <c r="H4885" s="3" t="str">
        <f>HYPERLINK("http://ar.linkedin.com/pub/norberto-bordon/23/A56/815","http://ar.linkedin.com/pub/norberto-bordon/23/A56/815")</f>
        <v>http://ar.linkedin.com/pub/norberto-bordon/23/A56/815</v>
      </c>
      <c r="I4885" s="2" t="s">
        <v>57</v>
      </c>
      <c r="J4885" s="2" t="s">
        <v>21</v>
      </c>
      <c r="K4885" s="2" t="s">
        <v>5727</v>
      </c>
    </row>
    <row r="4886" ht="15.75" customHeight="1">
      <c r="A4886" s="2">
        <v>55664.0</v>
      </c>
      <c r="B4886" s="2" t="s">
        <v>7007</v>
      </c>
      <c r="C4886" s="2" t="s">
        <v>9991</v>
      </c>
      <c r="D4886" s="2" t="s">
        <v>13</v>
      </c>
      <c r="E4886" s="2" t="s">
        <v>20</v>
      </c>
      <c r="F4886" s="2">
        <v>0.0</v>
      </c>
      <c r="G4886" s="2">
        <v>492.0</v>
      </c>
      <c r="H4886" s="3" t="str">
        <f>HYPERLINK("http://www.linkedin.com/pub/maria-laura-viglione/23/a75/122","http://www.linkedin.com/pub/maria-laura-viglione/23/a75/122")</f>
        <v>http://www.linkedin.com/pub/maria-laura-viglione/23/a75/122</v>
      </c>
      <c r="I4886" s="2" t="s">
        <v>458</v>
      </c>
      <c r="J4886" s="2" t="s">
        <v>21</v>
      </c>
      <c r="K4886" s="2" t="s">
        <v>6342</v>
      </c>
    </row>
    <row r="4887" ht="15.75" customHeight="1">
      <c r="A4887" s="2">
        <v>55674.0</v>
      </c>
      <c r="B4887" s="2" t="s">
        <v>501</v>
      </c>
      <c r="C4887" s="2" t="s">
        <v>9992</v>
      </c>
      <c r="D4887" s="2" t="s">
        <v>9993</v>
      </c>
      <c r="E4887" s="2" t="s">
        <v>9994</v>
      </c>
      <c r="F4887" s="2" t="s">
        <v>13</v>
      </c>
      <c r="G4887" s="2">
        <v>160.0</v>
      </c>
      <c r="H4887" s="3" t="str">
        <f>HYPERLINK("http://ar.linkedin.com/pub/francisco-del-canto-viterale/15/B9/365","http://ar.linkedin.com/pub/francisco-del-canto-viterale/15/B9/365")</f>
        <v>http://ar.linkedin.com/pub/francisco-del-canto-viterale/15/B9/365</v>
      </c>
      <c r="I4887" s="2" t="s">
        <v>240</v>
      </c>
      <c r="J4887" s="2" t="s">
        <v>220</v>
      </c>
      <c r="K4887" s="2" t="s">
        <v>9995</v>
      </c>
    </row>
    <row r="4888" ht="15.75" customHeight="1">
      <c r="A4888" s="2">
        <v>55688.0</v>
      </c>
      <c r="B4888" s="2" t="s">
        <v>2335</v>
      </c>
      <c r="C4888" s="2" t="s">
        <v>9996</v>
      </c>
      <c r="D4888" s="2" t="s">
        <v>13</v>
      </c>
      <c r="E4888" s="2" t="s">
        <v>20</v>
      </c>
      <c r="F4888" s="2">
        <v>0.0</v>
      </c>
      <c r="G4888" s="2">
        <v>500.0</v>
      </c>
      <c r="H4888" s="3" t="str">
        <f>HYPERLINK("https://www.linkedin.com/in/brunocanzutti","https://www.linkedin.com/in/brunocanzutti")</f>
        <v>https://www.linkedin.com/in/brunocanzutti</v>
      </c>
      <c r="I4888" s="2" t="s">
        <v>105</v>
      </c>
      <c r="J4888" s="2" t="s">
        <v>21</v>
      </c>
      <c r="K4888" s="2" t="s">
        <v>5727</v>
      </c>
    </row>
    <row r="4889" ht="15.75" customHeight="1">
      <c r="A4889" s="2">
        <v>55701.0</v>
      </c>
      <c r="B4889" s="2" t="s">
        <v>152</v>
      </c>
      <c r="C4889" s="2" t="s">
        <v>9997</v>
      </c>
      <c r="D4889" s="2" t="s">
        <v>42</v>
      </c>
      <c r="E4889" s="2" t="s">
        <v>701</v>
      </c>
      <c r="F4889" s="2">
        <v>11.0</v>
      </c>
      <c r="G4889" s="2">
        <v>427.0</v>
      </c>
      <c r="H4889" s="3" t="str">
        <f>HYPERLINK("http://www.linkedin.com/in/eduardoamaral","http://www.linkedin.com/in/eduardoamaral")</f>
        <v>http://www.linkedin.com/in/eduardoamaral</v>
      </c>
      <c r="I4889" s="2" t="s">
        <v>15</v>
      </c>
      <c r="J4889" s="2" t="s">
        <v>702</v>
      </c>
      <c r="K4889" s="2" t="s">
        <v>5725</v>
      </c>
    </row>
    <row r="4890" ht="15.75" customHeight="1">
      <c r="A4890" s="2">
        <v>55745.0</v>
      </c>
      <c r="B4890" s="2" t="s">
        <v>59</v>
      </c>
      <c r="C4890" s="2" t="s">
        <v>9998</v>
      </c>
      <c r="D4890" s="2" t="s">
        <v>3791</v>
      </c>
      <c r="E4890" s="2" t="s">
        <v>20</v>
      </c>
      <c r="F4890" s="2" t="s">
        <v>13</v>
      </c>
      <c r="G4890" s="2">
        <v>500.0</v>
      </c>
      <c r="H4890" s="3" t="str">
        <f>HYPERLINK("http://ar.linkedin.com/in/martingervan","http://ar.linkedin.com/in/martingervan")</f>
        <v>http://ar.linkedin.com/in/martingervan</v>
      </c>
      <c r="I4890" s="2" t="s">
        <v>15</v>
      </c>
      <c r="J4890" s="2" t="s">
        <v>21</v>
      </c>
      <c r="K4890" s="2" t="s">
        <v>5725</v>
      </c>
    </row>
    <row r="4891" ht="15.75" customHeight="1">
      <c r="A4891" s="2">
        <v>55750.0</v>
      </c>
      <c r="B4891" s="2" t="s">
        <v>45</v>
      </c>
      <c r="C4891" s="2" t="s">
        <v>9999</v>
      </c>
      <c r="D4891" s="2" t="s">
        <v>10000</v>
      </c>
      <c r="E4891" s="2" t="s">
        <v>20</v>
      </c>
      <c r="F4891" s="2">
        <v>1.0</v>
      </c>
      <c r="G4891" s="2">
        <v>47.0</v>
      </c>
      <c r="H4891" s="3" t="str">
        <f>HYPERLINK("http://ar.linkedin.com/pub/carlos-lince/2/564/928","http://ar.linkedin.com/pub/carlos-lince/2/564/928")</f>
        <v>http://ar.linkedin.com/pub/carlos-lince/2/564/928</v>
      </c>
      <c r="I4891" s="2" t="s">
        <v>15</v>
      </c>
      <c r="J4891" s="2" t="s">
        <v>21</v>
      </c>
      <c r="K4891" s="2" t="s">
        <v>5725</v>
      </c>
    </row>
    <row r="4892" ht="15.75" customHeight="1">
      <c r="A4892" s="2">
        <v>55769.0</v>
      </c>
      <c r="B4892" s="2" t="s">
        <v>45</v>
      </c>
      <c r="C4892" s="2" t="s">
        <v>10001</v>
      </c>
      <c r="D4892" s="2" t="s">
        <v>10002</v>
      </c>
      <c r="E4892" s="2" t="s">
        <v>20</v>
      </c>
      <c r="F4892" s="2">
        <v>12.0</v>
      </c>
      <c r="G4892" s="2">
        <v>274.0</v>
      </c>
      <c r="H4892" s="3" t="str">
        <f>HYPERLINK("http://ar.linkedin.com/pub/carlos-veronesi/11/595/958","http://ar.linkedin.com/pub/carlos-veronesi/11/595/958")</f>
        <v>http://ar.linkedin.com/pub/carlos-veronesi/11/595/958</v>
      </c>
      <c r="I4892" s="2" t="s">
        <v>105</v>
      </c>
      <c r="J4892" s="2" t="s">
        <v>21</v>
      </c>
      <c r="K4892" s="2" t="s">
        <v>5727</v>
      </c>
    </row>
    <row r="4893" ht="15.75" customHeight="1">
      <c r="A4893" s="2">
        <v>55777.0</v>
      </c>
      <c r="B4893" s="2" t="s">
        <v>329</v>
      </c>
      <c r="C4893" s="2" t="s">
        <v>10003</v>
      </c>
      <c r="D4893" s="2" t="s">
        <v>10004</v>
      </c>
      <c r="E4893" s="2" t="s">
        <v>20</v>
      </c>
      <c r="F4893" s="2">
        <v>5.0</v>
      </c>
      <c r="G4893" s="2">
        <v>131.0</v>
      </c>
      <c r="H4893" s="3" t="str">
        <f>HYPERLINK("http://ar.linkedin.com/in/juanpablobarahona","http://ar.linkedin.com/in/juanpablobarahona")</f>
        <v>http://ar.linkedin.com/in/juanpablobarahona</v>
      </c>
      <c r="I4893" s="2" t="s">
        <v>873</v>
      </c>
      <c r="J4893" s="2" t="s">
        <v>21</v>
      </c>
      <c r="K4893" s="2" t="s">
        <v>5929</v>
      </c>
    </row>
    <row r="4894" ht="15.75" customHeight="1">
      <c r="A4894" s="2">
        <v>55826.0</v>
      </c>
      <c r="B4894" s="2" t="s">
        <v>657</v>
      </c>
      <c r="C4894" s="2" t="s">
        <v>10005</v>
      </c>
      <c r="D4894" s="2" t="s">
        <v>13</v>
      </c>
      <c r="E4894" s="2" t="s">
        <v>20</v>
      </c>
      <c r="F4894" s="2">
        <v>0.0</v>
      </c>
      <c r="G4894" s="2">
        <v>500.0</v>
      </c>
      <c r="H4894" s="3" t="str">
        <f>HYPERLINK("http://www.linkedin.com/pub/gisela-barbetta/8/50b/630","http://www.linkedin.com/pub/gisela-barbetta/8/50b/630")</f>
        <v>http://www.linkedin.com/pub/gisela-barbetta/8/50b/630</v>
      </c>
      <c r="I4894" s="2" t="s">
        <v>105</v>
      </c>
      <c r="J4894" s="2" t="s">
        <v>21</v>
      </c>
      <c r="K4894" s="2" t="s">
        <v>5725</v>
      </c>
    </row>
    <row r="4895" ht="15.75" customHeight="1">
      <c r="A4895" s="2">
        <v>55869.0</v>
      </c>
      <c r="B4895" s="2" t="s">
        <v>5737</v>
      </c>
      <c r="C4895" s="2" t="s">
        <v>10006</v>
      </c>
      <c r="D4895" s="2" t="s">
        <v>10007</v>
      </c>
      <c r="E4895" s="2" t="s">
        <v>20</v>
      </c>
      <c r="F4895" s="2">
        <v>1.0</v>
      </c>
      <c r="G4895" s="2">
        <v>500.0</v>
      </c>
      <c r="H4895" s="3" t="str">
        <f>HYPERLINK("http://ar.linkedin.com/in/realmagusha","http://ar.linkedin.com/in/realmagusha")</f>
        <v>http://ar.linkedin.com/in/realmagusha</v>
      </c>
      <c r="I4895" s="2" t="s">
        <v>105</v>
      </c>
      <c r="J4895" s="2" t="s">
        <v>21</v>
      </c>
      <c r="K4895" s="2" t="s">
        <v>5785</v>
      </c>
    </row>
    <row r="4896" ht="15.75" customHeight="1">
      <c r="A4896" s="2">
        <v>55911.0</v>
      </c>
      <c r="B4896" s="2" t="s">
        <v>353</v>
      </c>
      <c r="C4896" s="2" t="s">
        <v>10008</v>
      </c>
      <c r="D4896" s="2" t="s">
        <v>10009</v>
      </c>
      <c r="E4896" s="2" t="s">
        <v>20</v>
      </c>
      <c r="F4896" s="2">
        <v>1.0</v>
      </c>
      <c r="G4896" s="2">
        <v>432.0</v>
      </c>
      <c r="H4896" s="3" t="str">
        <f>HYPERLINK("http://ar.linkedin.com/pub/alejandro-d-amato/0/4A7/980","http://ar.linkedin.com/pub/alejandro-d-amato/0/4A7/980")</f>
        <v>http://ar.linkedin.com/pub/alejandro-d-amato/0/4A7/980</v>
      </c>
      <c r="I4896" s="2" t="s">
        <v>48</v>
      </c>
      <c r="J4896" s="2" t="s">
        <v>21</v>
      </c>
      <c r="K4896" s="2" t="s">
        <v>5725</v>
      </c>
    </row>
    <row r="4897" ht="15.75" customHeight="1">
      <c r="A4897" s="2">
        <v>55918.0</v>
      </c>
      <c r="B4897" s="2" t="s">
        <v>6580</v>
      </c>
      <c r="C4897" s="2" t="s">
        <v>9893</v>
      </c>
      <c r="D4897" s="2" t="s">
        <v>10010</v>
      </c>
      <c r="E4897" s="2" t="s">
        <v>20</v>
      </c>
      <c r="F4897" s="2" t="s">
        <v>13</v>
      </c>
      <c r="G4897" s="2">
        <v>500.0</v>
      </c>
      <c r="H4897" s="3" t="str">
        <f>HYPERLINK("http://ar.linkedin.com/in/rosanagregorio","http://ar.linkedin.com/in/rosanagregorio")</f>
        <v>http://ar.linkedin.com/in/rosanagregorio</v>
      </c>
      <c r="I4897" s="2" t="s">
        <v>318</v>
      </c>
      <c r="J4897" s="2" t="s">
        <v>21</v>
      </c>
      <c r="K4897" s="2" t="s">
        <v>5785</v>
      </c>
    </row>
    <row r="4898" ht="15.75" customHeight="1">
      <c r="A4898" s="2">
        <v>55937.0</v>
      </c>
      <c r="B4898" s="2" t="s">
        <v>10011</v>
      </c>
      <c r="C4898" s="2" t="s">
        <v>10012</v>
      </c>
      <c r="D4898" s="2" t="s">
        <v>13</v>
      </c>
      <c r="E4898" s="2" t="s">
        <v>20</v>
      </c>
      <c r="F4898" s="2">
        <v>0.0</v>
      </c>
      <c r="G4898" s="2">
        <v>500.0</v>
      </c>
      <c r="H4898" s="3" t="str">
        <f>HYPERLINK("http://www.linkedin.com/pub/ana-cecilia-donarelli/4/947/b44","http://www.linkedin.com/pub/ana-cecilia-donarelli/4/947/b44")</f>
        <v>http://www.linkedin.com/pub/ana-cecilia-donarelli/4/947/b44</v>
      </c>
      <c r="I4898" s="2" t="s">
        <v>458</v>
      </c>
      <c r="J4898" s="2" t="s">
        <v>21</v>
      </c>
      <c r="K4898" s="2" t="s">
        <v>5734</v>
      </c>
    </row>
    <row r="4899" ht="15.75" customHeight="1">
      <c r="A4899" s="2">
        <v>55964.0</v>
      </c>
      <c r="B4899" s="2" t="s">
        <v>6339</v>
      </c>
      <c r="C4899" s="2" t="s">
        <v>6198</v>
      </c>
      <c r="D4899" s="2" t="s">
        <v>10013</v>
      </c>
      <c r="E4899" s="2" t="s">
        <v>20</v>
      </c>
      <c r="F4899" s="2" t="s">
        <v>13</v>
      </c>
      <c r="G4899" s="2">
        <v>325.0</v>
      </c>
      <c r="H4899" s="3" t="str">
        <f>HYPERLINK("http://ar.linkedin.com/pub/esteban-andr%C3%A9s/1/A80/52A","http://ar.linkedin.com/pub/esteban-andr%C3%A9s/1/A80/52A")</f>
        <v>http://ar.linkedin.com/pub/esteban-andr%C3%A9s/1/A80/52A</v>
      </c>
      <c r="I4899" s="2" t="s">
        <v>579</v>
      </c>
      <c r="J4899" s="2" t="s">
        <v>21</v>
      </c>
      <c r="K4899" s="2" t="s">
        <v>5785</v>
      </c>
    </row>
    <row r="4900" ht="15.75" customHeight="1">
      <c r="A4900" s="2">
        <v>55985.0</v>
      </c>
      <c r="B4900" s="2" t="s">
        <v>3776</v>
      </c>
      <c r="C4900" s="2" t="s">
        <v>10014</v>
      </c>
      <c r="D4900" s="2" t="s">
        <v>13</v>
      </c>
      <c r="E4900" s="2" t="s">
        <v>10015</v>
      </c>
      <c r="F4900" s="2">
        <v>15.0</v>
      </c>
      <c r="G4900" s="2">
        <v>500.0</v>
      </c>
      <c r="H4900" s="3" t="str">
        <f>HYPERLINK("http://www.linkedin.com/pub/pedro-n%C3%BA%C3%B1ez-torres/23/162/730","http://www.linkedin.com/pub/pedro-n%C3%BA%C3%B1ez-torres/23/162/730")</f>
        <v>http://www.linkedin.com/pub/pedro-n%C3%BA%C3%B1ez-torres/23/162/730</v>
      </c>
      <c r="I4900" s="2" t="s">
        <v>15</v>
      </c>
      <c r="J4900" s="2" t="s">
        <v>28</v>
      </c>
      <c r="K4900" s="2" t="s">
        <v>8143</v>
      </c>
    </row>
    <row r="4901" ht="15.75" customHeight="1">
      <c r="A4901" s="2">
        <v>55988.0</v>
      </c>
      <c r="B4901" s="2" t="s">
        <v>10016</v>
      </c>
      <c r="C4901" s="2" t="s">
        <v>3392</v>
      </c>
      <c r="D4901" s="2" t="s">
        <v>10017</v>
      </c>
      <c r="E4901" s="2" t="s">
        <v>20</v>
      </c>
      <c r="F4901" s="2">
        <v>2.0</v>
      </c>
      <c r="G4901" s="2">
        <v>362.0</v>
      </c>
      <c r="H4901" s="3" t="str">
        <f>HYPERLINK("http://ar.linkedin.com/pub/guillermo-marcelo-lopez/1/211/374","http://ar.linkedin.com/pub/guillermo-marcelo-lopez/1/211/374")</f>
        <v>http://ar.linkedin.com/pub/guillermo-marcelo-lopez/1/211/374</v>
      </c>
      <c r="I4901" s="2" t="s">
        <v>612</v>
      </c>
      <c r="J4901" s="2" t="s">
        <v>21</v>
      </c>
      <c r="K4901" s="2" t="s">
        <v>5727</v>
      </c>
    </row>
    <row r="4902" ht="15.75" customHeight="1">
      <c r="A4902" s="2">
        <v>55989.0</v>
      </c>
      <c r="B4902" s="2" t="s">
        <v>7403</v>
      </c>
      <c r="C4902" s="2" t="s">
        <v>2937</v>
      </c>
      <c r="D4902" s="2" t="s">
        <v>10018</v>
      </c>
      <c r="E4902" s="2" t="s">
        <v>20</v>
      </c>
      <c r="F4902" s="2" t="s">
        <v>13</v>
      </c>
      <c r="G4902" s="2">
        <v>276.0</v>
      </c>
      <c r="H4902" s="3" t="str">
        <f>HYPERLINK("http://ar.linkedin.com/in/lorenaromano","http://ar.linkedin.com/in/lorenaromano")</f>
        <v>http://ar.linkedin.com/in/lorenaromano</v>
      </c>
      <c r="I4902" s="2" t="s">
        <v>15</v>
      </c>
      <c r="J4902" s="2" t="s">
        <v>21</v>
      </c>
      <c r="K4902" s="2" t="s">
        <v>5725</v>
      </c>
    </row>
    <row r="4903" ht="15.75" customHeight="1">
      <c r="A4903" s="2">
        <v>55993.0</v>
      </c>
      <c r="B4903" s="2" t="s">
        <v>549</v>
      </c>
      <c r="C4903" s="2" t="s">
        <v>10019</v>
      </c>
      <c r="D4903" s="2" t="s">
        <v>6095</v>
      </c>
      <c r="E4903" s="2" t="s">
        <v>20</v>
      </c>
      <c r="F4903" s="2">
        <v>2.0</v>
      </c>
      <c r="G4903" s="2">
        <v>211.0</v>
      </c>
      <c r="H4903" s="3" t="str">
        <f>HYPERLINK("http://ar.linkedin.com/pub/mario-davolio/21/607/B1","http://ar.linkedin.com/pub/mario-davolio/21/607/B1")</f>
        <v>http://ar.linkedin.com/pub/mario-davolio/21/607/B1</v>
      </c>
      <c r="I4903" s="2" t="s">
        <v>599</v>
      </c>
      <c r="J4903" s="2" t="s">
        <v>21</v>
      </c>
      <c r="K4903" s="2" t="s">
        <v>5727</v>
      </c>
    </row>
    <row r="4904" ht="15.75" customHeight="1">
      <c r="A4904" s="2">
        <v>56038.0</v>
      </c>
      <c r="B4904" s="2" t="s">
        <v>5922</v>
      </c>
      <c r="C4904" s="2" t="s">
        <v>10020</v>
      </c>
      <c r="D4904" s="2" t="s">
        <v>10021</v>
      </c>
      <c r="E4904" s="2" t="s">
        <v>20</v>
      </c>
      <c r="F4904" s="2">
        <v>3.0</v>
      </c>
      <c r="G4904" s="2">
        <v>226.0</v>
      </c>
      <c r="H4904" s="3" t="str">
        <f>HYPERLINK("http://ar.linkedin.com/pub/gabriela-las-heras/22/B6A/563","http://ar.linkedin.com/pub/gabriela-las-heras/22/B6A/563")</f>
        <v>http://ar.linkedin.com/pub/gabriela-las-heras/22/B6A/563</v>
      </c>
      <c r="I4904" s="2" t="s">
        <v>2268</v>
      </c>
      <c r="J4904" s="2" t="s">
        <v>21</v>
      </c>
      <c r="K4904" s="2" t="s">
        <v>5727</v>
      </c>
    </row>
    <row r="4905" ht="15.75" customHeight="1">
      <c r="A4905" s="2">
        <v>56052.0</v>
      </c>
      <c r="B4905" s="2" t="s">
        <v>253</v>
      </c>
      <c r="C4905" s="2" t="s">
        <v>4791</v>
      </c>
      <c r="D4905" s="2" t="s">
        <v>10022</v>
      </c>
      <c r="E4905" s="2" t="s">
        <v>20</v>
      </c>
      <c r="F4905" s="2" t="s">
        <v>13</v>
      </c>
      <c r="G4905" s="2">
        <v>478.0</v>
      </c>
      <c r="H4905" s="3" t="str">
        <f>HYPERLINK("http://ar.linkedin.com/pub/fernando-gomez/A/BAB/B4A","http://ar.linkedin.com/pub/fernando-gomez/A/BAB/B4A")</f>
        <v>http://ar.linkedin.com/pub/fernando-gomez/A/BAB/B4A</v>
      </c>
      <c r="I4905" s="2" t="s">
        <v>57</v>
      </c>
      <c r="J4905" s="2" t="s">
        <v>21</v>
      </c>
      <c r="K4905" s="2" t="s">
        <v>5725</v>
      </c>
    </row>
    <row r="4906" ht="15.75" customHeight="1">
      <c r="A4906" s="2">
        <v>56058.0</v>
      </c>
      <c r="B4906" s="2" t="s">
        <v>2547</v>
      </c>
      <c r="C4906" s="2" t="s">
        <v>10023</v>
      </c>
      <c r="D4906" s="2" t="s">
        <v>13</v>
      </c>
      <c r="E4906" s="2" t="s">
        <v>20</v>
      </c>
      <c r="F4906" s="2">
        <v>0.0</v>
      </c>
      <c r="G4906" s="2">
        <v>146.0</v>
      </c>
      <c r="H4906" s="3" t="str">
        <f>HYPERLINK("http://www.linkedin.com/pub/franco-maratta/26/286/957","http://www.linkedin.com/pub/franco-maratta/26/286/957")</f>
        <v>http://www.linkedin.com/pub/franco-maratta/26/286/957</v>
      </c>
      <c r="I4906" s="2" t="s">
        <v>172</v>
      </c>
      <c r="J4906" s="2" t="s">
        <v>21</v>
      </c>
      <c r="K4906" s="2" t="s">
        <v>5727</v>
      </c>
    </row>
    <row r="4907" ht="15.75" customHeight="1">
      <c r="A4907" s="2">
        <v>56061.0</v>
      </c>
      <c r="B4907" s="2" t="s">
        <v>7267</v>
      </c>
      <c r="C4907" s="2" t="s">
        <v>8006</v>
      </c>
      <c r="D4907" s="2" t="s">
        <v>10024</v>
      </c>
      <c r="E4907" s="2" t="s">
        <v>20</v>
      </c>
      <c r="F4907" s="2" t="s">
        <v>13</v>
      </c>
      <c r="G4907" s="2">
        <v>412.0</v>
      </c>
      <c r="H4907" s="3" t="str">
        <f>HYPERLINK("http://ar.linkedin.com/pub/eugenia-garmendia/4/80B/740","http://ar.linkedin.com/pub/eugenia-garmendia/4/80B/740")</f>
        <v>http://ar.linkedin.com/pub/eugenia-garmendia/4/80B/740</v>
      </c>
      <c r="I4907" s="2" t="s">
        <v>6777</v>
      </c>
      <c r="J4907" s="2" t="s">
        <v>21</v>
      </c>
      <c r="K4907" s="2" t="s">
        <v>5785</v>
      </c>
    </row>
    <row r="4908" ht="15.75" customHeight="1">
      <c r="A4908" s="2">
        <v>56079.0</v>
      </c>
      <c r="B4908" s="2" t="s">
        <v>492</v>
      </c>
      <c r="C4908" s="2" t="s">
        <v>10025</v>
      </c>
      <c r="D4908" s="2" t="s">
        <v>13</v>
      </c>
      <c r="E4908" s="2" t="s">
        <v>20</v>
      </c>
      <c r="F4908" s="2">
        <v>0.0</v>
      </c>
      <c r="G4908" s="2">
        <v>218.0</v>
      </c>
      <c r="H4908" s="3" t="str">
        <f>HYPERLINK("https://www.linkedin.com/in/sergiomattioli","https://www.linkedin.com/in/sergiomattioli")</f>
        <v>https://www.linkedin.com/in/sergiomattioli</v>
      </c>
      <c r="I4908" s="2" t="s">
        <v>48</v>
      </c>
      <c r="J4908" s="2" t="s">
        <v>21</v>
      </c>
      <c r="K4908" s="2" t="s">
        <v>7132</v>
      </c>
    </row>
    <row r="4909" ht="15.75" customHeight="1">
      <c r="A4909" s="2">
        <v>56096.0</v>
      </c>
      <c r="B4909" s="2" t="s">
        <v>10026</v>
      </c>
      <c r="C4909" s="2" t="s">
        <v>8171</v>
      </c>
      <c r="D4909" s="2" t="s">
        <v>10027</v>
      </c>
      <c r="E4909" s="2" t="s">
        <v>20</v>
      </c>
      <c r="F4909" s="2">
        <v>4.0</v>
      </c>
      <c r="G4909" s="2">
        <v>149.0</v>
      </c>
      <c r="H4909" s="3" t="str">
        <f>HYPERLINK("http://ar.linkedin.com/in/hernanvillanueva","http://ar.linkedin.com/in/hernanvillanueva")</f>
        <v>http://ar.linkedin.com/in/hernanvillanueva</v>
      </c>
      <c r="I4909" s="2" t="s">
        <v>306</v>
      </c>
      <c r="J4909" s="2" t="s">
        <v>21</v>
      </c>
      <c r="K4909" s="2" t="s">
        <v>5727</v>
      </c>
    </row>
    <row r="4910" ht="15.75" customHeight="1">
      <c r="A4910" s="2">
        <v>56125.0</v>
      </c>
      <c r="B4910" s="2" t="s">
        <v>1007</v>
      </c>
      <c r="C4910" s="2" t="s">
        <v>10028</v>
      </c>
      <c r="D4910" s="2" t="s">
        <v>10029</v>
      </c>
      <c r="E4910" s="2" t="s">
        <v>20</v>
      </c>
      <c r="F4910" s="2">
        <v>5.0</v>
      </c>
      <c r="G4910" s="2">
        <v>288.0</v>
      </c>
      <c r="H4910" s="3" t="str">
        <f>HYPERLINK("http://ar.linkedin.com/pub/karin-salvucci/4/968/95A","http://ar.linkedin.com/pub/karin-salvucci/4/968/95A")</f>
        <v>http://ar.linkedin.com/pub/karin-salvucci/4/968/95A</v>
      </c>
      <c r="I4910" s="2" t="s">
        <v>195</v>
      </c>
      <c r="J4910" s="2" t="s">
        <v>21</v>
      </c>
      <c r="K4910" s="2" t="s">
        <v>6096</v>
      </c>
    </row>
    <row r="4911" ht="15.75" customHeight="1">
      <c r="A4911" s="2">
        <v>56146.0</v>
      </c>
      <c r="B4911" s="2" t="s">
        <v>238</v>
      </c>
      <c r="C4911" s="2" t="s">
        <v>10030</v>
      </c>
      <c r="D4911" s="2" t="s">
        <v>42</v>
      </c>
      <c r="E4911" s="2" t="s">
        <v>20</v>
      </c>
      <c r="F4911" s="2">
        <v>8.0</v>
      </c>
      <c r="G4911" s="2">
        <v>500.0</v>
      </c>
      <c r="H4911" s="3" t="str">
        <f>HYPERLINK("http://ar.linkedin.com/in/juanamari","http://ar.linkedin.com/in/juanamari")</f>
        <v>http://ar.linkedin.com/in/juanamari</v>
      </c>
      <c r="I4911" s="2" t="s">
        <v>57</v>
      </c>
      <c r="J4911" s="2" t="s">
        <v>21</v>
      </c>
      <c r="K4911" s="2" t="s">
        <v>5727</v>
      </c>
    </row>
    <row r="4912" ht="15.75" customHeight="1">
      <c r="A4912" s="2">
        <v>56180.0</v>
      </c>
      <c r="B4912" s="2" t="s">
        <v>671</v>
      </c>
      <c r="C4912" s="2" t="s">
        <v>10031</v>
      </c>
      <c r="D4912" s="2" t="s">
        <v>10032</v>
      </c>
      <c r="E4912" s="2" t="s">
        <v>235</v>
      </c>
      <c r="F4912" s="2" t="s">
        <v>13</v>
      </c>
      <c r="G4912" s="2">
        <v>281.0</v>
      </c>
      <c r="H4912" s="3" t="str">
        <f>HYPERLINK("http://www.linkedin.com/pub/mariana-orloff/4/516/846","http://www.linkedin.com/pub/mariana-orloff/4/516/846")</f>
        <v>http://www.linkedin.com/pub/mariana-orloff/4/516/846</v>
      </c>
      <c r="I4912" s="2" t="s">
        <v>2725</v>
      </c>
      <c r="J4912" s="2" t="s">
        <v>102</v>
      </c>
      <c r="K4912" s="2" t="s">
        <v>6588</v>
      </c>
    </row>
    <row r="4913" ht="15.75" customHeight="1">
      <c r="A4913" s="2">
        <v>56193.0</v>
      </c>
      <c r="B4913" s="2" t="s">
        <v>10033</v>
      </c>
      <c r="C4913" s="2" t="s">
        <v>10034</v>
      </c>
      <c r="D4913" s="2" t="s">
        <v>13</v>
      </c>
      <c r="E4913" s="2" t="s">
        <v>20</v>
      </c>
      <c r="F4913" s="2">
        <v>0.0</v>
      </c>
      <c r="G4913" s="2">
        <v>500.0</v>
      </c>
      <c r="H4913" s="3" t="str">
        <f>HYPERLINK("http://www.linkedin.com/pub/mariano-oscar-abaca/27/9a3/a10","http://www.linkedin.com/pub/mariano-oscar-abaca/27/9a3/a10")</f>
        <v>http://www.linkedin.com/pub/mariano-oscar-abaca/27/9a3/a10</v>
      </c>
      <c r="I4913" s="2" t="s">
        <v>1728</v>
      </c>
      <c r="J4913" s="2" t="s">
        <v>21</v>
      </c>
      <c r="K4913" s="2" t="s">
        <v>5725</v>
      </c>
    </row>
    <row r="4914" ht="15.75" customHeight="1">
      <c r="A4914" s="2">
        <v>56221.0</v>
      </c>
      <c r="B4914" s="2" t="s">
        <v>6783</v>
      </c>
      <c r="C4914" s="2" t="s">
        <v>675</v>
      </c>
      <c r="D4914" s="2" t="s">
        <v>10035</v>
      </c>
      <c r="E4914" s="2" t="s">
        <v>20</v>
      </c>
      <c r="F4914" s="2">
        <v>1.0</v>
      </c>
      <c r="G4914" s="2">
        <v>201.0</v>
      </c>
      <c r="H4914" s="3" t="str">
        <f>HYPERLINK("http://ar.linkedin.com/pub/silvana-torres/24/B00/5A0","http://ar.linkedin.com/pub/silvana-torres/24/B00/5A0")</f>
        <v>http://ar.linkedin.com/pub/silvana-torres/24/B00/5A0</v>
      </c>
      <c r="I4914" s="2" t="s">
        <v>69</v>
      </c>
      <c r="J4914" s="2" t="s">
        <v>21</v>
      </c>
      <c r="K4914" s="2" t="s">
        <v>5725</v>
      </c>
    </row>
    <row r="4915" ht="15.75" customHeight="1">
      <c r="A4915" s="2">
        <v>56230.0</v>
      </c>
      <c r="B4915" s="2" t="s">
        <v>637</v>
      </c>
      <c r="C4915" s="2" t="s">
        <v>10036</v>
      </c>
      <c r="D4915" s="2" t="s">
        <v>10037</v>
      </c>
      <c r="E4915" s="2" t="s">
        <v>20</v>
      </c>
      <c r="F4915" s="2">
        <v>8.0</v>
      </c>
      <c r="G4915" s="2">
        <v>500.0</v>
      </c>
      <c r="H4915" s="3" t="str">
        <f>HYPERLINK("http://ar.linkedin.com/in/leonardokosaka","http://ar.linkedin.com/in/leonardokosaka")</f>
        <v>http://ar.linkedin.com/in/leonardokosaka</v>
      </c>
      <c r="I4915" s="2" t="s">
        <v>105</v>
      </c>
      <c r="J4915" s="2" t="s">
        <v>21</v>
      </c>
      <c r="K4915" s="2" t="s">
        <v>5727</v>
      </c>
    </row>
    <row r="4916" ht="15.75" customHeight="1">
      <c r="A4916" s="2">
        <v>56238.0</v>
      </c>
      <c r="B4916" s="2" t="s">
        <v>10038</v>
      </c>
      <c r="C4916" s="2" t="s">
        <v>6122</v>
      </c>
      <c r="D4916" s="2" t="s">
        <v>10039</v>
      </c>
      <c r="E4916" s="2" t="s">
        <v>20</v>
      </c>
      <c r="F4916" s="2">
        <v>2.0</v>
      </c>
      <c r="G4916" s="2">
        <v>386.0</v>
      </c>
      <c r="H4916" s="3" t="str">
        <f>HYPERLINK("http://ar.linkedin.com/in/licdavidramirez","http://ar.linkedin.com/in/licdavidramirez")</f>
        <v>http://ar.linkedin.com/in/licdavidramirez</v>
      </c>
      <c r="I4916" s="2" t="s">
        <v>57</v>
      </c>
      <c r="J4916" s="2" t="s">
        <v>21</v>
      </c>
      <c r="K4916" s="2" t="s">
        <v>5727</v>
      </c>
    </row>
    <row r="4917" ht="15.75" customHeight="1">
      <c r="A4917" s="2">
        <v>56241.0</v>
      </c>
      <c r="B4917" s="2" t="s">
        <v>5794</v>
      </c>
      <c r="C4917" s="2" t="s">
        <v>10040</v>
      </c>
      <c r="D4917" s="2" t="s">
        <v>10041</v>
      </c>
      <c r="E4917" s="2" t="s">
        <v>20</v>
      </c>
      <c r="F4917" s="2">
        <v>5.0</v>
      </c>
      <c r="G4917" s="2">
        <v>316.0</v>
      </c>
      <c r="H4917" s="3" t="str">
        <f>HYPERLINK("http://ar.linkedin.com/in/silvinasancho","http://ar.linkedin.com/in/silvinasancho")</f>
        <v>http://ar.linkedin.com/in/silvinasancho</v>
      </c>
      <c r="I4917" s="2" t="s">
        <v>77</v>
      </c>
      <c r="J4917" s="2" t="s">
        <v>21</v>
      </c>
      <c r="K4917" s="2" t="s">
        <v>5731</v>
      </c>
    </row>
    <row r="4918" ht="15.75" customHeight="1">
      <c r="A4918" s="2">
        <v>56251.0</v>
      </c>
      <c r="B4918" s="2" t="s">
        <v>7027</v>
      </c>
      <c r="C4918" s="2" t="s">
        <v>10042</v>
      </c>
      <c r="D4918" s="2" t="s">
        <v>10043</v>
      </c>
      <c r="E4918" s="2" t="s">
        <v>20</v>
      </c>
      <c r="F4918" s="2" t="s">
        <v>13</v>
      </c>
      <c r="G4918" s="2">
        <v>221.0</v>
      </c>
      <c r="H4918" s="3" t="str">
        <f>HYPERLINK("http://ar.linkedin.com/pub/agustina-pacin/20/81A/1A","http://ar.linkedin.com/pub/agustina-pacin/20/81A/1A")</f>
        <v>http://ar.linkedin.com/pub/agustina-pacin/20/81A/1A</v>
      </c>
      <c r="I4918" s="2" t="s">
        <v>77</v>
      </c>
      <c r="J4918" s="2" t="s">
        <v>21</v>
      </c>
      <c r="K4918" s="2" t="s">
        <v>5848</v>
      </c>
    </row>
    <row r="4919" ht="15.75" customHeight="1">
      <c r="A4919" s="2">
        <v>56257.0</v>
      </c>
      <c r="B4919" s="2" t="s">
        <v>193</v>
      </c>
      <c r="C4919" s="2" t="s">
        <v>1729</v>
      </c>
      <c r="D4919" s="2" t="s">
        <v>10044</v>
      </c>
      <c r="E4919" s="2" t="s">
        <v>20</v>
      </c>
      <c r="F4919" s="2">
        <v>6.0</v>
      </c>
      <c r="G4919" s="2">
        <v>500.0</v>
      </c>
      <c r="H4919" s="3" t="str">
        <f>HYPERLINK("http://ar.linkedin.com/pub/guillermo-martinez/12/B50/319","http://ar.linkedin.com/pub/guillermo-martinez/12/B50/319")</f>
        <v>http://ar.linkedin.com/pub/guillermo-martinez/12/B50/319</v>
      </c>
      <c r="I4919" s="2" t="s">
        <v>374</v>
      </c>
      <c r="J4919" s="2" t="s">
        <v>21</v>
      </c>
      <c r="K4919" s="2" t="s">
        <v>5727</v>
      </c>
    </row>
    <row r="4920" ht="15.75" customHeight="1">
      <c r="A4920" s="2">
        <v>56260.0</v>
      </c>
      <c r="B4920" s="2" t="s">
        <v>5888</v>
      </c>
      <c r="C4920" s="2" t="s">
        <v>10045</v>
      </c>
      <c r="D4920" s="2" t="s">
        <v>10046</v>
      </c>
      <c r="E4920" s="2" t="s">
        <v>20</v>
      </c>
      <c r="F4920" s="2">
        <v>8.0</v>
      </c>
      <c r="G4920" s="2">
        <v>454.0</v>
      </c>
      <c r="H4920" s="3" t="str">
        <f>HYPERLINK("http://ar.linkedin.com/in/gastonrodriguez","http://ar.linkedin.com/in/gastonrodriguez")</f>
        <v>http://ar.linkedin.com/in/gastonrodriguez</v>
      </c>
      <c r="I4920" s="2" t="s">
        <v>15</v>
      </c>
      <c r="J4920" s="2" t="s">
        <v>21</v>
      </c>
      <c r="K4920" s="2" t="s">
        <v>5777</v>
      </c>
    </row>
    <row r="4921" ht="15.75" customHeight="1">
      <c r="A4921" s="2">
        <v>56284.0</v>
      </c>
      <c r="B4921" s="2" t="s">
        <v>6856</v>
      </c>
      <c r="C4921" s="2" t="s">
        <v>10047</v>
      </c>
      <c r="D4921" s="2" t="s">
        <v>10048</v>
      </c>
      <c r="E4921" s="2" t="s">
        <v>20</v>
      </c>
      <c r="F4921" s="2">
        <v>6.0</v>
      </c>
      <c r="G4921" s="2">
        <v>500.0</v>
      </c>
      <c r="H4921" s="3" t="str">
        <f>HYPERLINK("http://ar.linkedin.com/in/germandubs","http://ar.linkedin.com/in/germandubs")</f>
        <v>http://ar.linkedin.com/in/germandubs</v>
      </c>
      <c r="I4921" s="2" t="s">
        <v>865</v>
      </c>
      <c r="J4921" s="2" t="s">
        <v>21</v>
      </c>
      <c r="K4921" s="2" t="s">
        <v>5727</v>
      </c>
    </row>
    <row r="4922" ht="15.75" customHeight="1">
      <c r="A4922" s="2">
        <v>56287.0</v>
      </c>
      <c r="B4922" s="2" t="s">
        <v>5582</v>
      </c>
      <c r="C4922" s="2" t="s">
        <v>9551</v>
      </c>
      <c r="D4922" s="2" t="s">
        <v>289</v>
      </c>
      <c r="E4922" s="2" t="s">
        <v>20</v>
      </c>
      <c r="F4922" s="2">
        <v>10.0</v>
      </c>
      <c r="G4922" s="2">
        <v>360.0</v>
      </c>
      <c r="H4922" s="3" t="str">
        <f>HYPERLINK("http://ar.linkedin.com/pub/sandra-contartese/3/723/6AB","http://ar.linkedin.com/pub/sandra-contartese/3/723/6AB")</f>
        <v>http://ar.linkedin.com/pub/sandra-contartese/3/723/6AB</v>
      </c>
      <c r="I4922" s="2" t="s">
        <v>1398</v>
      </c>
      <c r="J4922" s="2" t="s">
        <v>21</v>
      </c>
      <c r="K4922" s="2" t="s">
        <v>5727</v>
      </c>
    </row>
    <row r="4923" ht="15.75" customHeight="1">
      <c r="A4923" s="2">
        <v>56288.0</v>
      </c>
      <c r="B4923" s="2" t="s">
        <v>9733</v>
      </c>
      <c r="C4923" s="2" t="s">
        <v>10049</v>
      </c>
      <c r="D4923" s="2" t="s">
        <v>13</v>
      </c>
      <c r="E4923" s="2" t="s">
        <v>20</v>
      </c>
      <c r="F4923" s="2">
        <v>0.0</v>
      </c>
      <c r="G4923" s="2">
        <v>500.0</v>
      </c>
      <c r="H4923" s="3" t="str">
        <f>HYPERLINK("http://www.linkedin.com/pub/lucila-marchisello/2a/828/361","http://www.linkedin.com/pub/lucila-marchisello/2a/828/361")</f>
        <v>http://www.linkedin.com/pub/lucila-marchisello/2a/828/361</v>
      </c>
      <c r="I4923" s="2" t="s">
        <v>458</v>
      </c>
      <c r="J4923" s="2" t="s">
        <v>21</v>
      </c>
      <c r="K4923" s="2" t="s">
        <v>5734</v>
      </c>
    </row>
    <row r="4924" ht="15.75" customHeight="1">
      <c r="A4924" s="2">
        <v>56291.0</v>
      </c>
      <c r="B4924" s="2" t="s">
        <v>8694</v>
      </c>
      <c r="C4924" s="2" t="s">
        <v>10050</v>
      </c>
      <c r="D4924" s="2" t="s">
        <v>10051</v>
      </c>
      <c r="E4924" s="2" t="s">
        <v>20</v>
      </c>
      <c r="F4924" s="2">
        <v>2.0</v>
      </c>
      <c r="G4924" s="2">
        <v>500.0</v>
      </c>
      <c r="H4924" s="3" t="str">
        <f>HYPERLINK("http://ar.linkedin.com/in/vanesadiambra05","http://ar.linkedin.com/in/vanesadiambra05")</f>
        <v>http://ar.linkedin.com/in/vanesadiambra05</v>
      </c>
      <c r="I4924" s="2" t="s">
        <v>865</v>
      </c>
      <c r="J4924" s="2" t="s">
        <v>21</v>
      </c>
      <c r="K4924" s="2" t="s">
        <v>5743</v>
      </c>
    </row>
    <row r="4925" ht="15.75" customHeight="1">
      <c r="A4925" s="2">
        <v>56293.0</v>
      </c>
      <c r="B4925" s="2" t="s">
        <v>9414</v>
      </c>
      <c r="C4925" s="2" t="s">
        <v>10052</v>
      </c>
      <c r="D4925" s="2" t="s">
        <v>13</v>
      </c>
      <c r="E4925" s="2" t="s">
        <v>20</v>
      </c>
      <c r="F4925" s="2">
        <v>4.0</v>
      </c>
      <c r="G4925" s="2">
        <v>330.0</v>
      </c>
      <c r="H4925" s="3" t="str">
        <f>HYPERLINK("http://www.linkedin.com/in/dianaruscio","http://www.linkedin.com/in/dianaruscio")</f>
        <v>http://www.linkedin.com/in/dianaruscio</v>
      </c>
      <c r="I4925" s="2" t="s">
        <v>279</v>
      </c>
      <c r="J4925" s="2" t="s">
        <v>21</v>
      </c>
      <c r="K4925" s="2" t="s">
        <v>5743</v>
      </c>
    </row>
    <row r="4926" ht="15.75" customHeight="1">
      <c r="A4926" s="2">
        <v>56315.0</v>
      </c>
      <c r="B4926" s="2" t="s">
        <v>10053</v>
      </c>
      <c r="C4926" s="2" t="s">
        <v>10054</v>
      </c>
      <c r="D4926" s="2" t="s">
        <v>10055</v>
      </c>
      <c r="E4926" s="2" t="s">
        <v>20</v>
      </c>
      <c r="F4926" s="2" t="s">
        <v>13</v>
      </c>
      <c r="G4926" s="2">
        <v>236.0</v>
      </c>
      <c r="H4926" s="3" t="str">
        <f>HYPERLINK("http://ar.linkedin.com/pub/silvina-beatriz-sasso/23/117/987","http://ar.linkedin.com/pub/silvina-beatriz-sasso/23/117/987")</f>
        <v>http://ar.linkedin.com/pub/silvina-beatriz-sasso/23/117/987</v>
      </c>
      <c r="I4926" s="2" t="s">
        <v>458</v>
      </c>
      <c r="J4926" s="2" t="s">
        <v>21</v>
      </c>
      <c r="K4926" s="2" t="s">
        <v>5734</v>
      </c>
    </row>
    <row r="4927" ht="15.75" customHeight="1">
      <c r="A4927" s="2">
        <v>56341.0</v>
      </c>
      <c r="B4927" s="2" t="s">
        <v>10056</v>
      </c>
      <c r="C4927" s="2" t="s">
        <v>606</v>
      </c>
      <c r="D4927" s="2" t="s">
        <v>13</v>
      </c>
      <c r="E4927" s="2" t="s">
        <v>20</v>
      </c>
      <c r="F4927" s="2">
        <v>0.0</v>
      </c>
      <c r="G4927" s="2">
        <v>500.0</v>
      </c>
      <c r="H4927" s="3" t="str">
        <f>HYPERLINK("http://www.linkedin.com/in/marianasoto","http://www.linkedin.com/in/marianasoto")</f>
        <v>http://www.linkedin.com/in/marianasoto</v>
      </c>
      <c r="I4927" s="2" t="s">
        <v>1390</v>
      </c>
      <c r="J4927" s="2" t="s">
        <v>21</v>
      </c>
      <c r="K4927" s="2" t="s">
        <v>5982</v>
      </c>
    </row>
    <row r="4928" ht="15.75" customHeight="1">
      <c r="A4928" s="2">
        <v>56347.0</v>
      </c>
      <c r="B4928" s="2" t="s">
        <v>10057</v>
      </c>
      <c r="C4928" s="2" t="s">
        <v>2760</v>
      </c>
      <c r="D4928" s="2" t="s">
        <v>13</v>
      </c>
      <c r="E4928" s="2" t="s">
        <v>20</v>
      </c>
      <c r="F4928" s="2">
        <v>0.0</v>
      </c>
      <c r="G4928" s="2">
        <v>500.0</v>
      </c>
      <c r="H4928" s="3" t="str">
        <f>HYPERLINK("http://www.linkedin.com/pub/mar%C3%ADa-p%C3%ADa-m%C3%A1rquez/15/804/74","http://www.linkedin.com/pub/mar%C3%ADa-p%C3%ADa-m%C3%A1rquez/15/804/74")</f>
        <v>http://www.linkedin.com/pub/mar%C3%ADa-p%C3%ADa-m%C3%A1rquez/15/804/74</v>
      </c>
      <c r="I4928" s="2" t="s">
        <v>458</v>
      </c>
      <c r="J4928" s="2" t="s">
        <v>21</v>
      </c>
      <c r="K4928" s="2" t="s">
        <v>5734</v>
      </c>
    </row>
    <row r="4929" ht="15.75" customHeight="1">
      <c r="A4929" s="2">
        <v>56377.0</v>
      </c>
      <c r="B4929" s="2" t="s">
        <v>362</v>
      </c>
      <c r="C4929" s="2" t="s">
        <v>10058</v>
      </c>
      <c r="D4929" s="2" t="s">
        <v>13</v>
      </c>
      <c r="E4929" s="2" t="s">
        <v>20</v>
      </c>
      <c r="F4929" s="2">
        <v>0.0</v>
      </c>
      <c r="G4929" s="2">
        <v>500.0</v>
      </c>
      <c r="H4929" s="3" t="str">
        <f>HYPERLINK("http://ar.linkedin.com/pub/javier-mendia/12/4B/300","http://ar.linkedin.com/pub/javier-mendia/12/4B/300")</f>
        <v>http://ar.linkedin.com/pub/javier-mendia/12/4B/300</v>
      </c>
      <c r="I4929" s="2" t="s">
        <v>105</v>
      </c>
      <c r="J4929" s="2" t="s">
        <v>21</v>
      </c>
      <c r="K4929" s="2" t="s">
        <v>5725</v>
      </c>
    </row>
    <row r="4930" ht="15.75" customHeight="1">
      <c r="A4930" s="2">
        <v>56379.0</v>
      </c>
      <c r="B4930" s="2" t="s">
        <v>3175</v>
      </c>
      <c r="C4930" s="2" t="s">
        <v>8967</v>
      </c>
      <c r="D4930" s="2" t="s">
        <v>13</v>
      </c>
      <c r="E4930" s="2" t="s">
        <v>20</v>
      </c>
      <c r="F4930" s="2">
        <v>0.0</v>
      </c>
      <c r="G4930" s="2">
        <v>295.0</v>
      </c>
      <c r="H4930" s="3" t="str">
        <f>HYPERLINK("http://ar.linkedin.com/pub/daniela-bonetto/21/931/530","http://ar.linkedin.com/pub/daniela-bonetto/21/931/530")</f>
        <v>http://ar.linkedin.com/pub/daniela-bonetto/21/931/530</v>
      </c>
      <c r="I4930" s="2" t="s">
        <v>612</v>
      </c>
      <c r="J4930" s="2" t="s">
        <v>21</v>
      </c>
      <c r="K4930" s="2" t="s">
        <v>5785</v>
      </c>
    </row>
    <row r="4931" ht="15.75" customHeight="1">
      <c r="A4931" s="2">
        <v>56383.0</v>
      </c>
      <c r="B4931" s="2" t="s">
        <v>10059</v>
      </c>
      <c r="C4931" s="2" t="s">
        <v>10060</v>
      </c>
      <c r="D4931" s="2" t="s">
        <v>10061</v>
      </c>
      <c r="E4931" s="2" t="s">
        <v>20</v>
      </c>
      <c r="F4931" s="2">
        <v>1.0</v>
      </c>
      <c r="G4931" s="2">
        <v>223.0</v>
      </c>
      <c r="H4931" s="3" t="str">
        <f>HYPERLINK("http://ar.linkedin.com/in/tomichveronica","http://ar.linkedin.com/in/tomichveronica")</f>
        <v>http://ar.linkedin.com/in/tomichveronica</v>
      </c>
      <c r="I4931" s="2" t="s">
        <v>279</v>
      </c>
      <c r="J4931" s="2" t="s">
        <v>21</v>
      </c>
      <c r="K4931" s="2" t="s">
        <v>5734</v>
      </c>
    </row>
    <row r="4932" ht="15.75" customHeight="1">
      <c r="A4932" s="2">
        <v>56384.0</v>
      </c>
      <c r="B4932" s="2" t="s">
        <v>8754</v>
      </c>
      <c r="C4932" s="2" t="s">
        <v>10062</v>
      </c>
      <c r="D4932" s="2" t="s">
        <v>5955</v>
      </c>
      <c r="E4932" s="2" t="s">
        <v>20</v>
      </c>
      <c r="F4932" s="2">
        <v>6.0</v>
      </c>
      <c r="G4932" s="2">
        <v>220.0</v>
      </c>
      <c r="H4932" s="3" t="str">
        <f>HYPERLINK("http://ar.linkedin.com/in/jesdobronich1979","http://ar.linkedin.com/in/jesdobronich1979")</f>
        <v>http://ar.linkedin.com/in/jesdobronich1979</v>
      </c>
      <c r="I4932" s="2" t="s">
        <v>1507</v>
      </c>
      <c r="J4932" s="2" t="s">
        <v>21</v>
      </c>
      <c r="K4932" s="2" t="s">
        <v>7557</v>
      </c>
    </row>
    <row r="4933" ht="15.75" customHeight="1">
      <c r="A4933" s="2">
        <v>56385.0</v>
      </c>
      <c r="B4933" s="2" t="s">
        <v>10063</v>
      </c>
      <c r="C4933" s="2" t="s">
        <v>10064</v>
      </c>
      <c r="D4933" s="2" t="s">
        <v>10065</v>
      </c>
      <c r="E4933" s="2" t="s">
        <v>20</v>
      </c>
      <c r="F4933" s="2" t="s">
        <v>13</v>
      </c>
      <c r="G4933" s="2">
        <v>500.0</v>
      </c>
      <c r="H4933" s="3" t="str">
        <f>HYPERLINK("http://ar.linkedin.com/pub/zoltan-rosenfeld/1/6BB/87B","http://ar.linkedin.com/pub/zoltan-rosenfeld/1/6BB/87B")</f>
        <v>http://ar.linkedin.com/pub/zoltan-rosenfeld/1/6BB/87B</v>
      </c>
      <c r="I4933" s="2" t="s">
        <v>458</v>
      </c>
      <c r="J4933" s="2" t="s">
        <v>21</v>
      </c>
      <c r="K4933" s="2" t="s">
        <v>5734</v>
      </c>
    </row>
    <row r="4934" ht="15.75" customHeight="1">
      <c r="A4934" s="2">
        <v>56395.0</v>
      </c>
      <c r="B4934" s="2" t="s">
        <v>5824</v>
      </c>
      <c r="C4934" s="2" t="s">
        <v>10066</v>
      </c>
      <c r="D4934" s="2" t="s">
        <v>8868</v>
      </c>
      <c r="E4934" s="2" t="s">
        <v>20</v>
      </c>
      <c r="F4934" s="2">
        <v>4.0</v>
      </c>
      <c r="G4934" s="2">
        <v>500.0</v>
      </c>
      <c r="H4934" s="3" t="str">
        <f>HYPERLINK("http://ar.linkedin.com/pub/alejandra-cantero/22/B1A/269","http://ar.linkedin.com/pub/alejandra-cantero/22/B1A/269")</f>
        <v>http://ar.linkedin.com/pub/alejandra-cantero/22/B1A/269</v>
      </c>
      <c r="I4934" s="2" t="s">
        <v>105</v>
      </c>
      <c r="J4934" s="2" t="s">
        <v>21</v>
      </c>
      <c r="K4934" s="2" t="s">
        <v>5727</v>
      </c>
    </row>
    <row r="4935" ht="15.75" customHeight="1">
      <c r="A4935" s="2">
        <v>56399.0</v>
      </c>
      <c r="B4935" s="2" t="s">
        <v>6064</v>
      </c>
      <c r="C4935" s="2" t="s">
        <v>10067</v>
      </c>
      <c r="D4935" s="2" t="s">
        <v>13</v>
      </c>
      <c r="E4935" s="2" t="s">
        <v>20</v>
      </c>
      <c r="F4935" s="2">
        <v>0.0</v>
      </c>
      <c r="G4935" s="2">
        <v>319.0</v>
      </c>
      <c r="H4935" s="3" t="str">
        <f>HYPERLINK("http://www.linkedin.com/pub/romina-renedo/7/a8b/23a","http://www.linkedin.com/pub/romina-renedo/7/a8b/23a")</f>
        <v>http://www.linkedin.com/pub/romina-renedo/7/a8b/23a</v>
      </c>
      <c r="I4935" s="2" t="s">
        <v>105</v>
      </c>
      <c r="J4935" s="2" t="s">
        <v>21</v>
      </c>
      <c r="K4935" s="2" t="s">
        <v>6722</v>
      </c>
    </row>
    <row r="4936" ht="15.75" customHeight="1">
      <c r="A4936" s="2">
        <v>56409.0</v>
      </c>
      <c r="B4936" s="2" t="s">
        <v>253</v>
      </c>
      <c r="C4936" s="2" t="s">
        <v>7188</v>
      </c>
      <c r="D4936" s="2" t="s">
        <v>10068</v>
      </c>
      <c r="E4936" s="2" t="s">
        <v>20</v>
      </c>
      <c r="F4936" s="2">
        <v>5.0</v>
      </c>
      <c r="G4936" s="2">
        <v>500.0</v>
      </c>
      <c r="H4936" s="3" t="str">
        <f>HYPERLINK("http://ar.linkedin.com/in/fernandovazquez","http://ar.linkedin.com/in/fernandovazquez")</f>
        <v>http://ar.linkedin.com/in/fernandovazquez</v>
      </c>
      <c r="I4936" s="2" t="s">
        <v>77</v>
      </c>
      <c r="J4936" s="2" t="s">
        <v>21</v>
      </c>
      <c r="K4936" s="2" t="s">
        <v>5725</v>
      </c>
    </row>
    <row r="4937" ht="15.75" customHeight="1">
      <c r="A4937" s="2">
        <v>56435.0</v>
      </c>
      <c r="B4937" s="2" t="s">
        <v>36</v>
      </c>
      <c r="C4937" s="2" t="s">
        <v>10069</v>
      </c>
      <c r="D4937" s="2" t="s">
        <v>615</v>
      </c>
      <c r="E4937" s="2" t="s">
        <v>20</v>
      </c>
      <c r="F4937" s="2" t="s">
        <v>13</v>
      </c>
      <c r="G4937" s="2">
        <v>211.0</v>
      </c>
      <c r="H4937" s="3" t="str">
        <f>HYPERLINK("http://www.linkedin.com/pub/adriana-bagnati/17/a72/132","http://www.linkedin.com/pub/adriana-bagnati/17/a72/132")</f>
        <v>http://www.linkedin.com/pub/adriana-bagnati/17/a72/132</v>
      </c>
      <c r="I4937" s="2" t="s">
        <v>458</v>
      </c>
      <c r="J4937" s="2" t="s">
        <v>21</v>
      </c>
      <c r="K4937" s="2" t="s">
        <v>5734</v>
      </c>
    </row>
    <row r="4938" ht="15.75" customHeight="1">
      <c r="A4938" s="2">
        <v>56437.0</v>
      </c>
      <c r="B4938" s="2" t="s">
        <v>362</v>
      </c>
      <c r="C4938" s="2" t="s">
        <v>10070</v>
      </c>
      <c r="D4938" s="2" t="s">
        <v>10071</v>
      </c>
      <c r="E4938" s="2" t="s">
        <v>20</v>
      </c>
      <c r="F4938" s="2">
        <v>4.0</v>
      </c>
      <c r="G4938" s="2">
        <v>376.0</v>
      </c>
      <c r="H4938" s="3" t="str">
        <f>HYPERLINK("http://ar.linkedin.com/pub/javier-kohen-lan-s/A/33B/3A7","http://ar.linkedin.com/pub/javier-kohen-lan-s/A/33B/3A7")</f>
        <v>http://ar.linkedin.com/pub/javier-kohen-lan-s/A/33B/3A7</v>
      </c>
      <c r="I4938" s="2" t="s">
        <v>374</v>
      </c>
      <c r="J4938" s="2" t="s">
        <v>21</v>
      </c>
      <c r="K4938" s="2" t="s">
        <v>5743</v>
      </c>
    </row>
    <row r="4939" ht="15.75" customHeight="1">
      <c r="A4939" s="2">
        <v>56442.0</v>
      </c>
      <c r="B4939" s="2" t="s">
        <v>6666</v>
      </c>
      <c r="C4939" s="2" t="s">
        <v>10072</v>
      </c>
      <c r="D4939" s="2" t="s">
        <v>10073</v>
      </c>
      <c r="E4939" s="2" t="s">
        <v>20</v>
      </c>
      <c r="F4939" s="2">
        <v>2.0</v>
      </c>
      <c r="G4939" s="2">
        <v>500.0</v>
      </c>
      <c r="H4939" s="3" t="str">
        <f>HYPERLINK("http://ar.linkedin.com/pub/sebasti-n-mugica/15/14A/733","http://ar.linkedin.com/pub/sebasti-n-mugica/15/14A/733")</f>
        <v>http://ar.linkedin.com/pub/sebasti-n-mugica/15/14A/733</v>
      </c>
      <c r="I4939" s="2" t="s">
        <v>910</v>
      </c>
      <c r="J4939" s="2" t="s">
        <v>21</v>
      </c>
      <c r="K4939" s="2" t="s">
        <v>5743</v>
      </c>
    </row>
    <row r="4940" ht="15.75" customHeight="1">
      <c r="A4940" s="2">
        <v>56464.0</v>
      </c>
      <c r="B4940" s="2" t="s">
        <v>10074</v>
      </c>
      <c r="C4940" s="2" t="s">
        <v>8336</v>
      </c>
      <c r="D4940" s="2" t="s">
        <v>13</v>
      </c>
      <c r="E4940" s="2" t="s">
        <v>20</v>
      </c>
      <c r="F4940" s="2">
        <v>0.0</v>
      </c>
      <c r="G4940" s="2">
        <v>500.0</v>
      </c>
      <c r="H4940" s="3" t="str">
        <f>HYPERLINK("http://www.linkedin.com/pub/mart%C3%ADn-eduardo-rivas/1b/70b/830","http://www.linkedin.com/pub/mart%C3%ADn-eduardo-rivas/1b/70b/830")</f>
        <v>http://www.linkedin.com/pub/mart%C3%ADn-eduardo-rivas/1b/70b/830</v>
      </c>
      <c r="I4940" s="2" t="s">
        <v>105</v>
      </c>
      <c r="J4940" s="2" t="s">
        <v>21</v>
      </c>
      <c r="K4940" s="2" t="s">
        <v>5727</v>
      </c>
    </row>
    <row r="4941" ht="15.75" customHeight="1">
      <c r="A4941" s="2">
        <v>56490.0</v>
      </c>
      <c r="B4941" s="2" t="s">
        <v>3299</v>
      </c>
      <c r="C4941" s="2" t="s">
        <v>10075</v>
      </c>
      <c r="D4941" s="2" t="s">
        <v>13</v>
      </c>
      <c r="E4941" s="2" t="s">
        <v>20</v>
      </c>
      <c r="F4941" s="2">
        <v>0.0</v>
      </c>
      <c r="G4941" s="2">
        <v>311.0</v>
      </c>
      <c r="H4941" s="3" t="str">
        <f>HYPERLINK("http://www.linkedin.com/pub/fabian-secchi/0/91a/915","http://www.linkedin.com/pub/fabian-secchi/0/91a/915")</f>
        <v>http://www.linkedin.com/pub/fabian-secchi/0/91a/915</v>
      </c>
      <c r="I4941" s="2" t="s">
        <v>77</v>
      </c>
      <c r="J4941" s="2" t="s">
        <v>21</v>
      </c>
      <c r="K4941" s="2" t="s">
        <v>5785</v>
      </c>
    </row>
    <row r="4942" ht="15.75" customHeight="1">
      <c r="A4942" s="2">
        <v>56502.0</v>
      </c>
      <c r="B4942" s="2" t="s">
        <v>423</v>
      </c>
      <c r="C4942" s="2" t="s">
        <v>2135</v>
      </c>
      <c r="D4942" s="2" t="s">
        <v>10076</v>
      </c>
      <c r="E4942" s="2" t="s">
        <v>20</v>
      </c>
      <c r="F4942" s="2" t="s">
        <v>13</v>
      </c>
      <c r="G4942" s="2">
        <v>299.0</v>
      </c>
      <c r="H4942" s="3" t="str">
        <f>HYPERLINK("http://ar.linkedin.com/pub/carolina-gutierrez/8/763/9B","http://ar.linkedin.com/pub/carolina-gutierrez/8/763/9B")</f>
        <v>http://ar.linkedin.com/pub/carolina-gutierrez/8/763/9B</v>
      </c>
      <c r="I4942" s="2" t="s">
        <v>77</v>
      </c>
      <c r="J4942" s="2" t="s">
        <v>21</v>
      </c>
      <c r="K4942" s="2" t="s">
        <v>5785</v>
      </c>
    </row>
    <row r="4943" ht="15.75" customHeight="1">
      <c r="A4943" s="2">
        <v>56503.0</v>
      </c>
      <c r="B4943" s="2" t="s">
        <v>6238</v>
      </c>
      <c r="C4943" s="2" t="s">
        <v>10077</v>
      </c>
      <c r="D4943" s="2" t="s">
        <v>1765</v>
      </c>
      <c r="E4943" s="2" t="s">
        <v>20</v>
      </c>
      <c r="F4943" s="2">
        <v>1.0</v>
      </c>
      <c r="G4943" s="2">
        <v>214.0</v>
      </c>
      <c r="H4943" s="3" t="str">
        <f>HYPERLINK("http://ar.linkedin.com/in/msruiz","http://ar.linkedin.com/in/msruiz")</f>
        <v>http://ar.linkedin.com/in/msruiz</v>
      </c>
      <c r="I4943" s="2" t="s">
        <v>105</v>
      </c>
      <c r="J4943" s="2" t="s">
        <v>21</v>
      </c>
      <c r="K4943" s="2" t="s">
        <v>5725</v>
      </c>
    </row>
    <row r="4944" ht="15.75" customHeight="1">
      <c r="A4944" s="2">
        <v>56518.0</v>
      </c>
      <c r="B4944" s="2" t="s">
        <v>10078</v>
      </c>
      <c r="C4944" s="2" t="s">
        <v>10079</v>
      </c>
      <c r="D4944" s="2" t="s">
        <v>10080</v>
      </c>
      <c r="E4944" s="2" t="s">
        <v>20</v>
      </c>
      <c r="F4944" s="2" t="s">
        <v>13</v>
      </c>
      <c r="G4944" s="2">
        <v>500.0</v>
      </c>
      <c r="H4944" s="3" t="str">
        <f>HYPERLINK("http://www.linkedin.com/pub/lucila-lloret-danza-jazz/2b/676/a68","http://www.linkedin.com/pub/lucila-lloret-danza-jazz/2b/676/a68")</f>
        <v>http://www.linkedin.com/pub/lucila-lloret-danza-jazz/2b/676/a68</v>
      </c>
      <c r="I4944" s="2" t="s">
        <v>910</v>
      </c>
      <c r="J4944" s="2" t="s">
        <v>21</v>
      </c>
      <c r="K4944" s="2" t="s">
        <v>5734</v>
      </c>
    </row>
    <row r="4945" ht="15.75" customHeight="1">
      <c r="A4945" s="2">
        <v>56644.0</v>
      </c>
      <c r="B4945" s="2" t="s">
        <v>3178</v>
      </c>
      <c r="C4945" s="2" t="s">
        <v>10081</v>
      </c>
      <c r="D4945" s="2" t="s">
        <v>42</v>
      </c>
      <c r="E4945" s="2" t="s">
        <v>20</v>
      </c>
      <c r="F4945" s="2">
        <v>2.0</v>
      </c>
      <c r="G4945" s="2">
        <v>500.0</v>
      </c>
      <c r="H4945" s="3" t="str">
        <f>HYPERLINK("http://ar.linkedin.com/in/lucasllorente","http://ar.linkedin.com/in/lucasllorente")</f>
        <v>http://ar.linkedin.com/in/lucasllorente</v>
      </c>
      <c r="I4945" s="2" t="s">
        <v>105</v>
      </c>
      <c r="J4945" s="2" t="s">
        <v>21</v>
      </c>
      <c r="K4945" s="2" t="s">
        <v>5727</v>
      </c>
    </row>
    <row r="4946" ht="15.75" customHeight="1">
      <c r="A4946" s="2">
        <v>56657.0</v>
      </c>
      <c r="B4946" s="2" t="s">
        <v>6856</v>
      </c>
      <c r="C4946" s="2" t="s">
        <v>10082</v>
      </c>
      <c r="D4946" s="2" t="s">
        <v>10083</v>
      </c>
      <c r="E4946" s="2" t="s">
        <v>20</v>
      </c>
      <c r="F4946" s="2">
        <v>1.0</v>
      </c>
      <c r="G4946" s="2">
        <v>77.0</v>
      </c>
      <c r="H4946" s="3" t="str">
        <f>HYPERLINK("http://ar.linkedin.com/pub/germ%C3%A1n-g-ttner/15/730/B38","http://ar.linkedin.com/pub/germ%C3%A1n-g-ttner/15/730/B38")</f>
        <v>http://ar.linkedin.com/pub/germ%C3%A1n-g-ttner/15/730/B38</v>
      </c>
      <c r="I4946" s="2" t="s">
        <v>105</v>
      </c>
      <c r="J4946" s="2" t="s">
        <v>21</v>
      </c>
      <c r="K4946" s="2" t="s">
        <v>5725</v>
      </c>
    </row>
    <row r="4947" ht="15.75" customHeight="1">
      <c r="A4947" s="2">
        <v>56679.0</v>
      </c>
      <c r="B4947" s="2" t="s">
        <v>6778</v>
      </c>
      <c r="C4947" s="2" t="s">
        <v>10084</v>
      </c>
      <c r="D4947" s="2" t="s">
        <v>13</v>
      </c>
      <c r="E4947" s="2" t="s">
        <v>20</v>
      </c>
      <c r="F4947" s="2">
        <v>0.0</v>
      </c>
      <c r="G4947" s="2">
        <v>247.0</v>
      </c>
      <c r="H4947" s="3" t="str">
        <f>HYPERLINK("http://www.linkedin.com/pub/julieta-abiusi/25/a2a/119","http://www.linkedin.com/pub/julieta-abiusi/25/a2a/119")</f>
        <v>http://www.linkedin.com/pub/julieta-abiusi/25/a2a/119</v>
      </c>
      <c r="I4947" s="2" t="s">
        <v>195</v>
      </c>
      <c r="J4947" s="2" t="s">
        <v>21</v>
      </c>
      <c r="K4947" s="2" t="s">
        <v>5865</v>
      </c>
    </row>
    <row r="4948" ht="15.75" customHeight="1">
      <c r="A4948" s="2">
        <v>56767.0</v>
      </c>
      <c r="B4948" s="2" t="s">
        <v>2622</v>
      </c>
      <c r="C4948" s="2" t="s">
        <v>8138</v>
      </c>
      <c r="D4948" s="2" t="s">
        <v>10085</v>
      </c>
      <c r="E4948" s="2" t="s">
        <v>20</v>
      </c>
      <c r="F4948" s="2" t="s">
        <v>13</v>
      </c>
      <c r="G4948" s="2">
        <v>500.0</v>
      </c>
      <c r="H4948" s="3" t="str">
        <f>HYPERLINK("http://ar.linkedin.com/pub/jessica-banegas/9/689/250","http://ar.linkedin.com/pub/jessica-banegas/9/689/250")</f>
        <v>http://ar.linkedin.com/pub/jessica-banegas/9/689/250</v>
      </c>
      <c r="I4948" s="2" t="s">
        <v>195</v>
      </c>
      <c r="J4948" s="2" t="s">
        <v>21</v>
      </c>
      <c r="K4948" s="2" t="s">
        <v>5865</v>
      </c>
    </row>
    <row r="4949" ht="15.75" customHeight="1">
      <c r="A4949" s="2">
        <v>56768.0</v>
      </c>
      <c r="B4949" s="2" t="s">
        <v>5803</v>
      </c>
      <c r="C4949" s="2" t="s">
        <v>10086</v>
      </c>
      <c r="D4949" s="2" t="s">
        <v>10087</v>
      </c>
      <c r="E4949" s="2" t="s">
        <v>20</v>
      </c>
      <c r="F4949" s="2" t="s">
        <v>13</v>
      </c>
      <c r="G4949" s="2">
        <v>143.0</v>
      </c>
      <c r="H4949" s="3" t="str">
        <f>HYPERLINK("http://ar.linkedin.com/in/marianoajzenszlos","http://ar.linkedin.com/in/marianoajzenszlos")</f>
        <v>http://ar.linkedin.com/in/marianoajzenszlos</v>
      </c>
      <c r="I4949" s="2" t="s">
        <v>57</v>
      </c>
      <c r="J4949" s="2" t="s">
        <v>21</v>
      </c>
      <c r="K4949" s="2" t="s">
        <v>5725</v>
      </c>
    </row>
    <row r="4950" ht="15.75" customHeight="1">
      <c r="A4950" s="2">
        <v>56803.0</v>
      </c>
      <c r="B4950" s="2" t="s">
        <v>201</v>
      </c>
      <c r="C4950" s="2" t="s">
        <v>7785</v>
      </c>
      <c r="D4950" s="2" t="s">
        <v>10088</v>
      </c>
      <c r="E4950" s="2" t="s">
        <v>20</v>
      </c>
      <c r="F4950" s="2" t="s">
        <v>13</v>
      </c>
      <c r="G4950" s="2">
        <v>226.0</v>
      </c>
      <c r="H4950" s="3" t="str">
        <f>HYPERLINK("http://ar.linkedin.com/pub/natalia-bruzzone/26/721/3A8","http://ar.linkedin.com/pub/natalia-bruzzone/26/721/3A8")</f>
        <v>http://ar.linkedin.com/pub/natalia-bruzzone/26/721/3A8</v>
      </c>
      <c r="I4950" s="2" t="s">
        <v>57</v>
      </c>
      <c r="J4950" s="2" t="s">
        <v>21</v>
      </c>
      <c r="K4950" s="2" t="s">
        <v>5725</v>
      </c>
    </row>
    <row r="4951" ht="15.75" customHeight="1">
      <c r="A4951" s="2">
        <v>56834.0</v>
      </c>
      <c r="B4951" s="2" t="s">
        <v>3931</v>
      </c>
      <c r="C4951" s="2" t="s">
        <v>6743</v>
      </c>
      <c r="D4951" s="2" t="s">
        <v>10089</v>
      </c>
      <c r="E4951" s="2" t="s">
        <v>20</v>
      </c>
      <c r="F4951" s="2" t="s">
        <v>13</v>
      </c>
      <c r="G4951" s="2">
        <v>500.0</v>
      </c>
      <c r="H4951" s="3" t="str">
        <f>HYPERLINK("http://ar.linkedin.com/in/paulinasoria","http://ar.linkedin.com/in/paulinasoria")</f>
        <v>http://ar.linkedin.com/in/paulinasoria</v>
      </c>
      <c r="I4951" s="2" t="s">
        <v>279</v>
      </c>
      <c r="J4951" s="2" t="s">
        <v>21</v>
      </c>
      <c r="K4951" s="2" t="s">
        <v>5734</v>
      </c>
    </row>
    <row r="4952" ht="15.75" customHeight="1">
      <c r="A4952" s="2">
        <v>56857.0</v>
      </c>
      <c r="B4952" s="2" t="s">
        <v>353</v>
      </c>
      <c r="C4952" s="2" t="s">
        <v>10090</v>
      </c>
      <c r="D4952" s="2" t="s">
        <v>13</v>
      </c>
      <c r="E4952" s="2" t="s">
        <v>20</v>
      </c>
      <c r="F4952" s="2">
        <v>0.0</v>
      </c>
      <c r="G4952" s="2">
        <v>26.0</v>
      </c>
      <c r="H4952" s="3" t="str">
        <f>HYPERLINK("http://www.linkedin.com/pub/alejandro-straschnoy/23/bb2/a33","http://www.linkedin.com/pub/alejandro-straschnoy/23/bb2/a33")</f>
        <v>http://www.linkedin.com/pub/alejandro-straschnoy/23/bb2/a33</v>
      </c>
      <c r="I4952" s="2" t="s">
        <v>15</v>
      </c>
      <c r="J4952" s="2" t="s">
        <v>21</v>
      </c>
      <c r="K4952" s="2" t="s">
        <v>5819</v>
      </c>
    </row>
    <row r="4953" ht="15.75" customHeight="1">
      <c r="A4953" s="2">
        <v>56860.0</v>
      </c>
      <c r="B4953" s="2" t="s">
        <v>3072</v>
      </c>
      <c r="C4953" s="2" t="s">
        <v>10091</v>
      </c>
      <c r="D4953" s="2" t="s">
        <v>13</v>
      </c>
      <c r="E4953" s="2" t="s">
        <v>20</v>
      </c>
      <c r="F4953" s="2">
        <v>0.0</v>
      </c>
      <c r="G4953" s="2">
        <v>500.0</v>
      </c>
      <c r="H4953" s="3" t="str">
        <f>HYPERLINK("http://www.linkedin.com/pub/luis-molouny/6/39/62a","http://www.linkedin.com/pub/luis-molouny/6/39/62a")</f>
        <v>http://www.linkedin.com/pub/luis-molouny/6/39/62a</v>
      </c>
      <c r="I4953" s="2" t="s">
        <v>2603</v>
      </c>
      <c r="J4953" s="2" t="s">
        <v>21</v>
      </c>
      <c r="K4953" s="2" t="s">
        <v>5727</v>
      </c>
    </row>
    <row r="4954" ht="15.75" customHeight="1">
      <c r="A4954" s="2">
        <v>56881.0</v>
      </c>
      <c r="B4954" s="2" t="s">
        <v>10092</v>
      </c>
      <c r="C4954" s="2" t="s">
        <v>10093</v>
      </c>
      <c r="D4954" s="2" t="s">
        <v>10094</v>
      </c>
      <c r="E4954" s="2" t="s">
        <v>20</v>
      </c>
      <c r="F4954" s="2">
        <v>5.0</v>
      </c>
      <c r="G4954" s="2">
        <v>204.0</v>
      </c>
      <c r="H4954" s="3" t="str">
        <f>HYPERLINK("http://ar.linkedin.com/in/lucialitardo","http://ar.linkedin.com/in/lucialitardo")</f>
        <v>http://ar.linkedin.com/in/lucialitardo</v>
      </c>
      <c r="I4954" s="2" t="s">
        <v>105</v>
      </c>
      <c r="J4954" s="2" t="s">
        <v>21</v>
      </c>
      <c r="K4954" s="2" t="s">
        <v>5727</v>
      </c>
    </row>
    <row r="4955" ht="15.75" customHeight="1">
      <c r="A4955" s="2">
        <v>56893.0</v>
      </c>
      <c r="B4955" s="2" t="s">
        <v>3550</v>
      </c>
      <c r="C4955" s="2" t="s">
        <v>10095</v>
      </c>
      <c r="D4955" s="2" t="s">
        <v>10096</v>
      </c>
      <c r="E4955" s="2" t="s">
        <v>20</v>
      </c>
      <c r="F4955" s="2">
        <v>2.0</v>
      </c>
      <c r="G4955" s="2">
        <v>51.0</v>
      </c>
      <c r="H4955" s="3" t="str">
        <f>HYPERLINK("http://ar.linkedin.com/pub/nicolas-falaschi/18/5B5/915","http://ar.linkedin.com/pub/nicolas-falaschi/18/5B5/915")</f>
        <v>http://ar.linkedin.com/pub/nicolas-falaschi/18/5B5/915</v>
      </c>
      <c r="I4955" s="2" t="s">
        <v>279</v>
      </c>
      <c r="J4955" s="2" t="s">
        <v>21</v>
      </c>
      <c r="K4955" s="2" t="s">
        <v>5727</v>
      </c>
    </row>
    <row r="4956" ht="15.75" customHeight="1">
      <c r="A4956" s="2">
        <v>56942.0</v>
      </c>
      <c r="B4956" s="2" t="s">
        <v>3268</v>
      </c>
      <c r="C4956" s="2" t="s">
        <v>9216</v>
      </c>
      <c r="D4956" s="2" t="s">
        <v>10097</v>
      </c>
      <c r="E4956" s="2" t="s">
        <v>20</v>
      </c>
      <c r="F4956" s="2">
        <v>1.0</v>
      </c>
      <c r="G4956" s="2">
        <v>273.0</v>
      </c>
      <c r="H4956" s="3" t="str">
        <f>HYPERLINK("http://ar.linkedin.com/pub/patricia-bustamante/B/4A3/657","http://ar.linkedin.com/pub/patricia-bustamante/B/4A3/657")</f>
        <v>http://ar.linkedin.com/pub/patricia-bustamante/B/4A3/657</v>
      </c>
      <c r="I4956" s="2" t="s">
        <v>105</v>
      </c>
      <c r="J4956" s="2" t="s">
        <v>21</v>
      </c>
      <c r="K4956" s="2" t="s">
        <v>5725</v>
      </c>
    </row>
    <row r="4957" ht="15.75" customHeight="1">
      <c r="A4957" s="2">
        <v>56944.0</v>
      </c>
      <c r="B4957" s="2" t="s">
        <v>5078</v>
      </c>
      <c r="C4957" s="2" t="s">
        <v>10098</v>
      </c>
      <c r="D4957" s="2" t="s">
        <v>3791</v>
      </c>
      <c r="E4957" s="2" t="s">
        <v>20</v>
      </c>
      <c r="F4957" s="2" t="s">
        <v>13</v>
      </c>
      <c r="G4957" s="2">
        <v>500.0</v>
      </c>
      <c r="H4957" s="3" t="str">
        <f>HYPERLINK("http://ar.linkedin.com/pub/diego-memoli/B/A37/9AA","http://ar.linkedin.com/pub/diego-memoli/B/A37/9AA")</f>
        <v>http://ar.linkedin.com/pub/diego-memoli/B/A37/9AA</v>
      </c>
      <c r="I4957" s="2" t="s">
        <v>96</v>
      </c>
      <c r="J4957" s="2" t="s">
        <v>21</v>
      </c>
      <c r="K4957" s="2" t="s">
        <v>5913</v>
      </c>
    </row>
    <row r="4958" ht="15.75" customHeight="1">
      <c r="A4958" s="2">
        <v>56946.0</v>
      </c>
      <c r="B4958" s="2" t="s">
        <v>7403</v>
      </c>
      <c r="C4958" s="2" t="s">
        <v>10099</v>
      </c>
      <c r="D4958" s="2" t="s">
        <v>13</v>
      </c>
      <c r="E4958" s="2" t="s">
        <v>20</v>
      </c>
      <c r="F4958" s="2">
        <v>0.0</v>
      </c>
      <c r="G4958" s="2">
        <v>500.0</v>
      </c>
      <c r="H4958" s="3" t="str">
        <f>HYPERLINK("http://www.linkedin.com/pub/lorena-amran/19/7aa/260","http://www.linkedin.com/pub/lorena-amran/19/7aa/260")</f>
        <v>http://www.linkedin.com/pub/lorena-amran/19/7aa/260</v>
      </c>
      <c r="I4958" s="2" t="s">
        <v>105</v>
      </c>
      <c r="J4958" s="2" t="s">
        <v>21</v>
      </c>
      <c r="K4958" s="2" t="s">
        <v>5848</v>
      </c>
    </row>
    <row r="4959" ht="15.75" customHeight="1">
      <c r="A4959" s="2">
        <v>56957.0</v>
      </c>
      <c r="B4959" s="2" t="s">
        <v>7086</v>
      </c>
      <c r="C4959" s="2" t="s">
        <v>10100</v>
      </c>
      <c r="D4959" s="2" t="s">
        <v>10101</v>
      </c>
      <c r="E4959" s="2" t="s">
        <v>20</v>
      </c>
      <c r="F4959" s="2">
        <v>2.0</v>
      </c>
      <c r="G4959" s="2">
        <v>358.0</v>
      </c>
      <c r="H4959" s="3" t="str">
        <f>HYPERLINK("http://ar.linkedin.com/pub/mauro-ricabarra/12/38B/887","http://ar.linkedin.com/pub/mauro-ricabarra/12/38B/887")</f>
        <v>http://ar.linkedin.com/pub/mauro-ricabarra/12/38B/887</v>
      </c>
      <c r="I4959" s="2" t="s">
        <v>105</v>
      </c>
      <c r="J4959" s="2" t="s">
        <v>21</v>
      </c>
      <c r="K4959" s="2" t="s">
        <v>5727</v>
      </c>
    </row>
    <row r="4960" ht="15.75" customHeight="1">
      <c r="A4960" s="2">
        <v>56964.0</v>
      </c>
      <c r="B4960" s="2" t="s">
        <v>10102</v>
      </c>
      <c r="C4960" s="2" t="s">
        <v>10103</v>
      </c>
      <c r="D4960" s="2" t="s">
        <v>10104</v>
      </c>
      <c r="E4960" s="2" t="s">
        <v>20</v>
      </c>
      <c r="F4960" s="2">
        <v>4.0</v>
      </c>
      <c r="G4960" s="2">
        <v>358.0</v>
      </c>
      <c r="H4960" s="3" t="str">
        <f>HYPERLINK("http://www.linkedin.com/pub/elisa-gosio/20/183/3a","http://www.linkedin.com/pub/elisa-gosio/20/183/3a")</f>
        <v>http://www.linkedin.com/pub/elisa-gosio/20/183/3a</v>
      </c>
      <c r="I4960" s="2" t="s">
        <v>105</v>
      </c>
      <c r="J4960" s="2" t="s">
        <v>21</v>
      </c>
      <c r="K4960" s="2" t="s">
        <v>5727</v>
      </c>
    </row>
    <row r="4961" ht="15.75" customHeight="1">
      <c r="A4961" s="2">
        <v>56997.0</v>
      </c>
      <c r="B4961" s="2" t="s">
        <v>358</v>
      </c>
      <c r="C4961" s="2" t="s">
        <v>10105</v>
      </c>
      <c r="D4961" s="2" t="s">
        <v>10106</v>
      </c>
      <c r="E4961" s="2" t="s">
        <v>20</v>
      </c>
      <c r="F4961" s="2">
        <v>3.0</v>
      </c>
      <c r="G4961" s="2">
        <v>138.0</v>
      </c>
      <c r="H4961" s="3" t="str">
        <f>HYPERLINK("http://ar.linkedin.com/in/marceloescribano","http://ar.linkedin.com/in/marceloescribano")</f>
        <v>http://ar.linkedin.com/in/marceloescribano</v>
      </c>
      <c r="I4961" s="2" t="s">
        <v>105</v>
      </c>
      <c r="J4961" s="2" t="s">
        <v>21</v>
      </c>
      <c r="K4961" s="2" t="s">
        <v>5727</v>
      </c>
    </row>
    <row r="4962" ht="15.75" customHeight="1">
      <c r="A4962" s="2">
        <v>57013.0</v>
      </c>
      <c r="B4962" s="2" t="s">
        <v>59</v>
      </c>
      <c r="C4962" s="2" t="s">
        <v>10107</v>
      </c>
      <c r="D4962" s="2" t="s">
        <v>13</v>
      </c>
      <c r="E4962" s="2" t="s">
        <v>20</v>
      </c>
      <c r="F4962" s="2">
        <v>3.0</v>
      </c>
      <c r="G4962" s="2">
        <v>500.0</v>
      </c>
      <c r="H4962" s="3" t="str">
        <f>HYPERLINK("http://www.linkedin.com/in/martinurquizo","http://www.linkedin.com/in/martinurquizo")</f>
        <v>http://www.linkedin.com/in/martinurquizo</v>
      </c>
      <c r="I4962" s="2" t="s">
        <v>105</v>
      </c>
      <c r="J4962" s="2" t="s">
        <v>21</v>
      </c>
      <c r="K4962" s="2" t="s">
        <v>6075</v>
      </c>
    </row>
    <row r="4963" ht="15.75" customHeight="1">
      <c r="A4963" s="2">
        <v>57036.0</v>
      </c>
      <c r="B4963" s="2" t="s">
        <v>10108</v>
      </c>
      <c r="C4963" s="2" t="s">
        <v>10109</v>
      </c>
      <c r="D4963" s="2" t="s">
        <v>9867</v>
      </c>
      <c r="E4963" s="2" t="s">
        <v>20</v>
      </c>
      <c r="F4963" s="2">
        <v>3.0</v>
      </c>
      <c r="G4963" s="2">
        <v>500.0</v>
      </c>
      <c r="H4963" s="3" t="str">
        <f>HYPERLINK("http://ar.linkedin.com/in/deborahrosano","http://ar.linkedin.com/in/deborahrosano")</f>
        <v>http://ar.linkedin.com/in/deborahrosano</v>
      </c>
      <c r="I4963" s="2" t="s">
        <v>844</v>
      </c>
      <c r="J4963" s="2" t="s">
        <v>21</v>
      </c>
      <c r="K4963" s="2" t="s">
        <v>5727</v>
      </c>
    </row>
    <row r="4964" ht="15.75" customHeight="1">
      <c r="A4964" s="2">
        <v>57037.0</v>
      </c>
      <c r="B4964" s="2" t="s">
        <v>10110</v>
      </c>
      <c r="C4964" s="2" t="s">
        <v>10111</v>
      </c>
      <c r="D4964" s="2" t="s">
        <v>10112</v>
      </c>
      <c r="E4964" s="2" t="s">
        <v>20</v>
      </c>
      <c r="F4964" s="2">
        <v>1.0</v>
      </c>
      <c r="G4964" s="2">
        <v>175.0</v>
      </c>
      <c r="H4964" s="3" t="str">
        <f>HYPERLINK("http://ar.linkedin.com/in/jimenamasrian","http://ar.linkedin.com/in/jimenamasrian")</f>
        <v>http://ar.linkedin.com/in/jimenamasrian</v>
      </c>
      <c r="I4964" s="2" t="s">
        <v>279</v>
      </c>
      <c r="J4964" s="2" t="s">
        <v>21</v>
      </c>
      <c r="K4964" s="2" t="s">
        <v>5734</v>
      </c>
    </row>
    <row r="4965" ht="15.75" customHeight="1">
      <c r="A4965" s="2">
        <v>57042.0</v>
      </c>
      <c r="B4965" s="2" t="s">
        <v>10113</v>
      </c>
      <c r="C4965" s="2" t="s">
        <v>10114</v>
      </c>
      <c r="D4965" s="2" t="s">
        <v>10115</v>
      </c>
      <c r="E4965" s="2" t="s">
        <v>20</v>
      </c>
      <c r="F4965" s="2">
        <v>14.0</v>
      </c>
      <c r="G4965" s="2">
        <v>500.0</v>
      </c>
      <c r="H4965" s="3" t="str">
        <f>HYPERLINK("http://ar.linkedin.com/in/marcelodosa","http://ar.linkedin.com/in/marcelodosa")</f>
        <v>http://ar.linkedin.com/in/marcelodosa</v>
      </c>
      <c r="I4965" s="2" t="s">
        <v>844</v>
      </c>
      <c r="J4965" s="2" t="s">
        <v>21</v>
      </c>
      <c r="K4965" s="2" t="s">
        <v>5727</v>
      </c>
    </row>
    <row r="4966" ht="15.75" customHeight="1">
      <c r="A4966" s="2">
        <v>57063.0</v>
      </c>
      <c r="B4966" s="2" t="s">
        <v>10116</v>
      </c>
      <c r="C4966" s="2" t="s">
        <v>10117</v>
      </c>
      <c r="D4966" s="2" t="s">
        <v>13</v>
      </c>
      <c r="E4966" s="2" t="s">
        <v>20</v>
      </c>
      <c r="F4966" s="2">
        <v>0.0</v>
      </c>
      <c r="G4966" s="2">
        <v>500.0</v>
      </c>
      <c r="H4966" s="3" t="str">
        <f>HYPERLINK("http://www.linkedin.com/pub/maria-dolores-scotta/0/835/604","http://www.linkedin.com/pub/maria-dolores-scotta/0/835/604")</f>
        <v>http://www.linkedin.com/pub/maria-dolores-scotta/0/835/604</v>
      </c>
      <c r="I4966" s="2" t="s">
        <v>105</v>
      </c>
      <c r="J4966" s="2" t="s">
        <v>21</v>
      </c>
      <c r="K4966" s="2" t="s">
        <v>5725</v>
      </c>
    </row>
    <row r="4967" ht="15.75" customHeight="1">
      <c r="A4967" s="2">
        <v>57066.0</v>
      </c>
      <c r="B4967" s="2" t="s">
        <v>506</v>
      </c>
      <c r="C4967" s="2" t="s">
        <v>10118</v>
      </c>
      <c r="D4967" s="2" t="s">
        <v>10119</v>
      </c>
      <c r="E4967" s="2" t="s">
        <v>301</v>
      </c>
      <c r="F4967" s="2">
        <v>2.0</v>
      </c>
      <c r="G4967" s="2">
        <v>155.0</v>
      </c>
      <c r="H4967" s="3" t="str">
        <f>HYPERLINK("http://www.linkedin.com/in/josenj","http://www.linkedin.com/in/josenj")</f>
        <v>http://www.linkedin.com/in/josenj</v>
      </c>
      <c r="I4967" s="2" t="s">
        <v>279</v>
      </c>
      <c r="J4967" s="2" t="s">
        <v>102</v>
      </c>
      <c r="K4967" s="2" t="s">
        <v>6118</v>
      </c>
    </row>
    <row r="4968" ht="15.75" customHeight="1">
      <c r="A4968" s="2">
        <v>57071.0</v>
      </c>
      <c r="B4968" s="2" t="s">
        <v>2601</v>
      </c>
      <c r="C4968" s="2" t="s">
        <v>10120</v>
      </c>
      <c r="D4968" s="2" t="s">
        <v>13</v>
      </c>
      <c r="E4968" s="2" t="s">
        <v>122</v>
      </c>
      <c r="F4968" s="2">
        <v>5.0</v>
      </c>
      <c r="G4968" s="2">
        <v>500.0</v>
      </c>
      <c r="H4968" s="3" t="str">
        <f>HYPERLINK("http://www.linkedin.com/pub/rebecca-shujman/0/854/31","http://www.linkedin.com/pub/rebecca-shujman/0/854/31")</f>
        <v>http://www.linkedin.com/pub/rebecca-shujman/0/854/31</v>
      </c>
      <c r="I4968" s="2" t="s">
        <v>105</v>
      </c>
      <c r="J4968" s="2" t="s">
        <v>53</v>
      </c>
      <c r="K4968" s="2" t="s">
        <v>5743</v>
      </c>
    </row>
    <row r="4969" ht="15.75" customHeight="1">
      <c r="A4969" s="2">
        <v>57084.0</v>
      </c>
      <c r="B4969" s="2" t="s">
        <v>8966</v>
      </c>
      <c r="C4969" s="2" t="s">
        <v>10121</v>
      </c>
      <c r="D4969" s="2" t="s">
        <v>10122</v>
      </c>
      <c r="E4969" s="2" t="s">
        <v>20</v>
      </c>
      <c r="F4969" s="2" t="s">
        <v>13</v>
      </c>
      <c r="G4969" s="2">
        <v>500.0</v>
      </c>
      <c r="H4969" s="3" t="str">
        <f>HYPERLINK("http://ar.linkedin.com/pub/carina-basile/4/515/BA1","http://ar.linkedin.com/pub/carina-basile/4/515/BA1")</f>
        <v>http://ar.linkedin.com/pub/carina-basile/4/515/BA1</v>
      </c>
      <c r="I4969" s="2" t="s">
        <v>910</v>
      </c>
      <c r="J4969" s="2" t="s">
        <v>21</v>
      </c>
      <c r="K4969" s="2" t="s">
        <v>5785</v>
      </c>
    </row>
    <row r="4970" ht="15.75" customHeight="1">
      <c r="A4970" s="2">
        <v>57122.0</v>
      </c>
      <c r="B4970" s="2" t="s">
        <v>6496</v>
      </c>
      <c r="C4970" s="2" t="s">
        <v>10123</v>
      </c>
      <c r="D4970" s="2" t="s">
        <v>10124</v>
      </c>
      <c r="E4970" s="2" t="s">
        <v>20</v>
      </c>
      <c r="F4970" s="2">
        <v>2.0</v>
      </c>
      <c r="G4970" s="2">
        <v>497.0</v>
      </c>
      <c r="H4970" s="3" t="str">
        <f>HYPERLINK("http://ar.linkedin.com/pub/karina-kuczynski/17/132/5A1","http://ar.linkedin.com/pub/karina-kuczynski/17/132/5A1")</f>
        <v>http://ar.linkedin.com/pub/karina-kuczynski/17/132/5A1</v>
      </c>
      <c r="I4970" s="2" t="s">
        <v>105</v>
      </c>
      <c r="J4970" s="2" t="s">
        <v>21</v>
      </c>
      <c r="K4970" s="2" t="s">
        <v>5727</v>
      </c>
    </row>
    <row r="4971" ht="15.75" customHeight="1">
      <c r="A4971" s="2">
        <v>57148.0</v>
      </c>
      <c r="B4971" s="2" t="s">
        <v>10125</v>
      </c>
      <c r="C4971" s="2" t="s">
        <v>10126</v>
      </c>
      <c r="D4971" s="2" t="s">
        <v>13</v>
      </c>
      <c r="E4971" s="2" t="s">
        <v>20</v>
      </c>
      <c r="F4971" s="2">
        <v>0.0</v>
      </c>
      <c r="G4971" s="2">
        <v>500.0</v>
      </c>
      <c r="H4971" s="3" t="str">
        <f>HYPERLINK("http://www.linkedin.com/pub/dora-abuaf/28/619/52","http://www.linkedin.com/pub/dora-abuaf/28/619/52")</f>
        <v>http://www.linkedin.com/pub/dora-abuaf/28/619/52</v>
      </c>
      <c r="I4971" s="2" t="s">
        <v>105</v>
      </c>
      <c r="J4971" s="2" t="s">
        <v>21</v>
      </c>
      <c r="K4971" s="2" t="s">
        <v>5725</v>
      </c>
    </row>
    <row r="4972" ht="15.75" customHeight="1">
      <c r="A4972" s="2">
        <v>57170.0</v>
      </c>
      <c r="B4972" s="2" t="s">
        <v>5763</v>
      </c>
      <c r="C4972" s="2" t="s">
        <v>10127</v>
      </c>
      <c r="D4972" s="2" t="s">
        <v>10128</v>
      </c>
      <c r="E4972" s="2" t="s">
        <v>20</v>
      </c>
      <c r="F4972" s="2">
        <v>11.0</v>
      </c>
      <c r="G4972" s="2">
        <v>178.0</v>
      </c>
      <c r="H4972" s="3" t="str">
        <f>HYPERLINK("http://ar.linkedin.com/in/ezequieltozzi","http://ar.linkedin.com/in/ezequieltozzi")</f>
        <v>http://ar.linkedin.com/in/ezequieltozzi</v>
      </c>
      <c r="I4972" s="2" t="s">
        <v>77</v>
      </c>
      <c r="J4972" s="2" t="s">
        <v>21</v>
      </c>
      <c r="K4972" s="2" t="s">
        <v>5731</v>
      </c>
    </row>
    <row r="4973" ht="15.75" customHeight="1">
      <c r="A4973" s="2">
        <v>57186.0</v>
      </c>
      <c r="B4973" s="2" t="s">
        <v>10129</v>
      </c>
      <c r="C4973" s="2" t="s">
        <v>2727</v>
      </c>
      <c r="D4973" s="2" t="s">
        <v>13</v>
      </c>
      <c r="E4973" s="2" t="s">
        <v>20</v>
      </c>
      <c r="F4973" s="2">
        <v>0.0</v>
      </c>
      <c r="G4973" s="2">
        <v>308.0</v>
      </c>
      <c r="H4973" s="3" t="str">
        <f>HYPERLINK("http://www.linkedin.com/pub/soteras-monica/4/b23/79","http://www.linkedin.com/pub/soteras-monica/4/b23/79")</f>
        <v>http://www.linkedin.com/pub/soteras-monica/4/b23/79</v>
      </c>
      <c r="I4973" s="2" t="s">
        <v>77</v>
      </c>
      <c r="J4973" s="2" t="s">
        <v>21</v>
      </c>
      <c r="K4973" s="2" t="s">
        <v>5734</v>
      </c>
    </row>
    <row r="4974" ht="15.75" customHeight="1">
      <c r="A4974" s="2">
        <v>57200.0</v>
      </c>
      <c r="B4974" s="2" t="s">
        <v>201</v>
      </c>
      <c r="C4974" s="2" t="s">
        <v>1585</v>
      </c>
      <c r="D4974" s="2" t="s">
        <v>10130</v>
      </c>
      <c r="E4974" s="2" t="s">
        <v>20</v>
      </c>
      <c r="F4974" s="2">
        <v>8.0</v>
      </c>
      <c r="G4974" s="2">
        <v>330.0</v>
      </c>
      <c r="H4974" s="3" t="str">
        <f>HYPERLINK("http://ar.linkedin.com/pub/natalia-thomas/15/A44/A24","http://ar.linkedin.com/pub/natalia-thomas/15/A44/A24")</f>
        <v>http://ar.linkedin.com/pub/natalia-thomas/15/A44/A24</v>
      </c>
      <c r="I4974" s="2" t="s">
        <v>96</v>
      </c>
      <c r="J4974" s="2" t="s">
        <v>21</v>
      </c>
      <c r="K4974" s="2" t="s">
        <v>5727</v>
      </c>
    </row>
    <row r="4975" ht="15.75" customHeight="1">
      <c r="A4975" s="2">
        <v>57252.0</v>
      </c>
      <c r="B4975" s="2" t="s">
        <v>10131</v>
      </c>
      <c r="C4975" s="2" t="s">
        <v>6173</v>
      </c>
      <c r="D4975" s="2" t="s">
        <v>13</v>
      </c>
      <c r="E4975" s="2" t="s">
        <v>20</v>
      </c>
      <c r="F4975" s="2">
        <v>0.0</v>
      </c>
      <c r="G4975" s="2">
        <v>500.0</v>
      </c>
      <c r="H4975" s="3" t="str">
        <f>HYPERLINK("http://www.linkedin.com/pub/lavin-lucia/8/876/2ba","http://www.linkedin.com/pub/lavin-lucia/8/876/2ba")</f>
        <v>http://www.linkedin.com/pub/lavin-lucia/8/876/2ba</v>
      </c>
      <c r="I4975" s="2" t="s">
        <v>458</v>
      </c>
      <c r="J4975" s="2" t="s">
        <v>21</v>
      </c>
      <c r="K4975" s="2" t="s">
        <v>8909</v>
      </c>
    </row>
    <row r="4976" ht="15.75" customHeight="1">
      <c r="A4976" s="2">
        <v>57268.0</v>
      </c>
      <c r="B4976" s="2" t="s">
        <v>8772</v>
      </c>
      <c r="C4976" s="2" t="s">
        <v>10132</v>
      </c>
      <c r="D4976" s="2" t="s">
        <v>8240</v>
      </c>
      <c r="E4976" s="2" t="s">
        <v>20</v>
      </c>
      <c r="F4976" s="2">
        <v>3.0</v>
      </c>
      <c r="G4976" s="2">
        <v>186.0</v>
      </c>
      <c r="H4976" s="3" t="str">
        <f>HYPERLINK("http://ar.linkedin.com/pub/erick-winograd/9/859/282","http://ar.linkedin.com/pub/erick-winograd/9/859/282")</f>
        <v>http://ar.linkedin.com/pub/erick-winograd/9/859/282</v>
      </c>
      <c r="I4976" s="2" t="s">
        <v>1679</v>
      </c>
      <c r="J4976" s="2" t="s">
        <v>21</v>
      </c>
      <c r="K4976" s="2" t="s">
        <v>5727</v>
      </c>
    </row>
    <row r="4977" ht="15.75" customHeight="1">
      <c r="A4977" s="2">
        <v>57272.0</v>
      </c>
      <c r="B4977" s="2" t="s">
        <v>5732</v>
      </c>
      <c r="C4977" s="2" t="s">
        <v>10133</v>
      </c>
      <c r="D4977" s="2" t="s">
        <v>9925</v>
      </c>
      <c r="E4977" s="2" t="s">
        <v>20</v>
      </c>
      <c r="F4977" s="2">
        <v>6.0</v>
      </c>
      <c r="G4977" s="2">
        <v>378.0</v>
      </c>
      <c r="H4977" s="3" t="str">
        <f>HYPERLINK("http://ar.linkedin.com/pub/mart%C3%ADn-d-alesio/17/119/19","http://ar.linkedin.com/pub/mart%C3%ADn-d-alesio/17/119/19")</f>
        <v>http://ar.linkedin.com/pub/mart%C3%ADn-d-alesio/17/119/19</v>
      </c>
      <c r="I4977" s="2" t="s">
        <v>105</v>
      </c>
      <c r="J4977" s="2" t="s">
        <v>21</v>
      </c>
      <c r="K4977" s="2" t="s">
        <v>5727</v>
      </c>
    </row>
    <row r="4978" ht="15.75" customHeight="1">
      <c r="A4978" s="2">
        <v>57308.0</v>
      </c>
      <c r="B4978" s="2" t="s">
        <v>70</v>
      </c>
      <c r="C4978" s="2" t="s">
        <v>10134</v>
      </c>
      <c r="D4978" s="2" t="s">
        <v>10135</v>
      </c>
      <c r="E4978" s="2" t="s">
        <v>20</v>
      </c>
      <c r="F4978" s="2">
        <v>4.0</v>
      </c>
      <c r="G4978" s="2">
        <v>468.0</v>
      </c>
      <c r="H4978" s="3" t="str">
        <f>HYPERLINK("http://ar.linkedin.com/pub/gustavo-cabello/15/1B7/9B1","http://ar.linkedin.com/pub/gustavo-cabello/15/1B7/9B1")</f>
        <v>http://ar.linkedin.com/pub/gustavo-cabello/15/1B7/9B1</v>
      </c>
      <c r="I4978" s="2" t="s">
        <v>612</v>
      </c>
      <c r="J4978" s="2" t="s">
        <v>21</v>
      </c>
      <c r="K4978" s="2" t="s">
        <v>5727</v>
      </c>
    </row>
    <row r="4979" ht="15.75" customHeight="1">
      <c r="A4979" s="2">
        <v>57313.0</v>
      </c>
      <c r="B4979" s="2" t="s">
        <v>5483</v>
      </c>
      <c r="C4979" s="2" t="s">
        <v>8787</v>
      </c>
      <c r="D4979" s="2" t="s">
        <v>10136</v>
      </c>
      <c r="E4979" s="2" t="s">
        <v>20</v>
      </c>
      <c r="F4979" s="2" t="s">
        <v>13</v>
      </c>
      <c r="G4979" s="2">
        <v>304.0</v>
      </c>
      <c r="H4979" s="3" t="str">
        <f>HYPERLINK("http://ar.linkedin.com/pub/anibal-pose/0/3A0/282","http://ar.linkedin.com/pub/anibal-pose/0/3A0/282")</f>
        <v>http://ar.linkedin.com/pub/anibal-pose/0/3A0/282</v>
      </c>
      <c r="I4979" s="2" t="s">
        <v>77</v>
      </c>
      <c r="J4979" s="2" t="s">
        <v>21</v>
      </c>
      <c r="K4979" s="2" t="s">
        <v>5785</v>
      </c>
    </row>
    <row r="4980" ht="15.75" customHeight="1">
      <c r="A4980" s="2">
        <v>57339.0</v>
      </c>
      <c r="B4980" s="2" t="s">
        <v>5389</v>
      </c>
      <c r="C4980" s="2" t="s">
        <v>10137</v>
      </c>
      <c r="D4980" s="2" t="s">
        <v>10138</v>
      </c>
      <c r="E4980" s="2" t="s">
        <v>20</v>
      </c>
      <c r="F4980" s="2" t="s">
        <v>13</v>
      </c>
      <c r="G4980" s="2">
        <v>500.0</v>
      </c>
      <c r="H4980" s="3" t="str">
        <f>HYPERLINK("http://ar.linkedin.com/pub/paula-cataldi/26/BA4/450","http://ar.linkedin.com/pub/paula-cataldi/26/BA4/450")</f>
        <v>http://ar.linkedin.com/pub/paula-cataldi/26/BA4/450</v>
      </c>
      <c r="I4980" s="2" t="s">
        <v>458</v>
      </c>
      <c r="J4980" s="2" t="s">
        <v>21</v>
      </c>
      <c r="K4980" s="2" t="s">
        <v>5734</v>
      </c>
    </row>
    <row r="4981" ht="15.75" customHeight="1">
      <c r="A4981" s="2">
        <v>57344.0</v>
      </c>
      <c r="B4981" s="2" t="s">
        <v>362</v>
      </c>
      <c r="C4981" s="2" t="s">
        <v>9082</v>
      </c>
      <c r="D4981" s="2" t="s">
        <v>10139</v>
      </c>
      <c r="E4981" s="2" t="s">
        <v>20</v>
      </c>
      <c r="F4981" s="2">
        <v>1.0</v>
      </c>
      <c r="G4981" s="2">
        <v>426.0</v>
      </c>
      <c r="H4981" s="3" t="str">
        <f>HYPERLINK("http://ar.linkedin.com/pub/javier-goldstein/0/A8A/8B0","http://ar.linkedin.com/pub/javier-goldstein/0/A8A/8B0")</f>
        <v>http://ar.linkedin.com/pub/javier-goldstein/0/A8A/8B0</v>
      </c>
      <c r="I4981" s="2" t="s">
        <v>105</v>
      </c>
      <c r="J4981" s="2" t="s">
        <v>21</v>
      </c>
      <c r="K4981" s="2" t="s">
        <v>5725</v>
      </c>
    </row>
    <row r="4982" ht="15.75" customHeight="1">
      <c r="A4982" s="2">
        <v>57348.0</v>
      </c>
      <c r="B4982" s="2" t="s">
        <v>5794</v>
      </c>
      <c r="C4982" s="2" t="s">
        <v>10140</v>
      </c>
      <c r="D4982" s="2" t="s">
        <v>13</v>
      </c>
      <c r="E4982" s="2" t="s">
        <v>20</v>
      </c>
      <c r="F4982" s="2">
        <v>0.0</v>
      </c>
      <c r="G4982" s="2">
        <v>421.0</v>
      </c>
      <c r="H4982" s="3" t="str">
        <f>HYPERLINK("http://www.linkedin.com/pub/silvina-fischkyn/22/892/b91","http://www.linkedin.com/pub/silvina-fischkyn/22/892/b91")</f>
        <v>http://www.linkedin.com/pub/silvina-fischkyn/22/892/b91</v>
      </c>
      <c r="I4982" s="2" t="s">
        <v>2268</v>
      </c>
      <c r="J4982" s="2" t="s">
        <v>21</v>
      </c>
      <c r="K4982" s="2" t="s">
        <v>5785</v>
      </c>
    </row>
    <row r="4983" ht="15.75" customHeight="1">
      <c r="A4983" s="2">
        <v>57360.0</v>
      </c>
      <c r="B4983" s="2" t="s">
        <v>59</v>
      </c>
      <c r="C4983" s="2" t="s">
        <v>2547</v>
      </c>
      <c r="D4983" s="2" t="s">
        <v>6962</v>
      </c>
      <c r="E4983" s="2" t="s">
        <v>20</v>
      </c>
      <c r="F4983" s="2" t="s">
        <v>13</v>
      </c>
      <c r="G4983" s="2">
        <v>299.0</v>
      </c>
      <c r="H4983" s="3" t="str">
        <f>HYPERLINK("http://ar.linkedin.com/pub/martin-franco/10/482/60B","http://ar.linkedin.com/pub/martin-franco/10/482/60B")</f>
        <v>http://ar.linkedin.com/pub/martin-franco/10/482/60B</v>
      </c>
      <c r="I4983" s="2" t="s">
        <v>195</v>
      </c>
      <c r="J4983" s="2" t="s">
        <v>21</v>
      </c>
      <c r="K4983" s="2" t="s">
        <v>5865</v>
      </c>
    </row>
    <row r="4984" ht="15.75" customHeight="1">
      <c r="A4984" s="2">
        <v>57367.0</v>
      </c>
      <c r="B4984" s="2" t="s">
        <v>5824</v>
      </c>
      <c r="C4984" s="2" t="s">
        <v>10141</v>
      </c>
      <c r="D4984" s="2" t="s">
        <v>10142</v>
      </c>
      <c r="E4984" s="2" t="s">
        <v>20</v>
      </c>
      <c r="F4984" s="2" t="s">
        <v>13</v>
      </c>
      <c r="G4984" s="2">
        <v>500.0</v>
      </c>
      <c r="H4984" s="3" t="str">
        <f>HYPERLINK("http://ar.linkedin.com/in/alefavale","http://ar.linkedin.com/in/alefavale")</f>
        <v>http://ar.linkedin.com/in/alefavale</v>
      </c>
      <c r="I4984" s="2" t="s">
        <v>105</v>
      </c>
      <c r="J4984" s="2" t="s">
        <v>21</v>
      </c>
      <c r="K4984" s="2" t="s">
        <v>5725</v>
      </c>
    </row>
    <row r="4985" ht="15.75" customHeight="1">
      <c r="A4985" s="2">
        <v>57371.0</v>
      </c>
      <c r="B4985" s="2" t="s">
        <v>10143</v>
      </c>
      <c r="C4985" s="2" t="s">
        <v>6794</v>
      </c>
      <c r="D4985" s="2" t="s">
        <v>10144</v>
      </c>
      <c r="E4985" s="2" t="s">
        <v>20</v>
      </c>
      <c r="F4985" s="2" t="s">
        <v>13</v>
      </c>
      <c r="G4985" s="2">
        <v>77.0</v>
      </c>
      <c r="H4985" s="3" t="str">
        <f>HYPERLINK("http://ar.linkedin.com/pub/mar%C3%ADa-sol-ferrari/25/7A9/A88","http://ar.linkedin.com/pub/mar%C3%ADa-sol-ferrari/25/7A9/A88")</f>
        <v>http://ar.linkedin.com/pub/mar%C3%ADa-sol-ferrari/25/7A9/A88</v>
      </c>
      <c r="I4985" s="2" t="s">
        <v>15</v>
      </c>
      <c r="J4985" s="2" t="s">
        <v>21</v>
      </c>
      <c r="K4985" s="2" t="s">
        <v>6124</v>
      </c>
    </row>
    <row r="4986" ht="15.75" customHeight="1">
      <c r="A4986" s="2">
        <v>57379.0</v>
      </c>
      <c r="B4986" s="2" t="s">
        <v>10145</v>
      </c>
      <c r="C4986" s="2" t="s">
        <v>10146</v>
      </c>
      <c r="D4986" s="2" t="s">
        <v>8240</v>
      </c>
      <c r="E4986" s="2" t="s">
        <v>20</v>
      </c>
      <c r="F4986" s="2">
        <v>1.0</v>
      </c>
      <c r="G4986" s="2">
        <v>408.0</v>
      </c>
      <c r="H4986" s="3" t="str">
        <f>HYPERLINK("http://ar.linkedin.com/pub/pablo-viola-fox-sports/25/300/590","http://ar.linkedin.com/pub/pablo-viola-fox-sports/25/300/590")</f>
        <v>http://ar.linkedin.com/pub/pablo-viola-fox-sports/25/300/590</v>
      </c>
      <c r="I4986" s="2" t="s">
        <v>195</v>
      </c>
      <c r="J4986" s="2" t="s">
        <v>21</v>
      </c>
      <c r="K4986" s="2" t="s">
        <v>5865</v>
      </c>
    </row>
    <row r="4987" ht="15.75" customHeight="1">
      <c r="A4987" s="2">
        <v>57402.0</v>
      </c>
      <c r="B4987" s="2" t="s">
        <v>5959</v>
      </c>
      <c r="C4987" s="2" t="s">
        <v>10147</v>
      </c>
      <c r="D4987" s="2" t="s">
        <v>13</v>
      </c>
      <c r="E4987" s="2" t="s">
        <v>20</v>
      </c>
      <c r="F4987" s="2">
        <v>0.0</v>
      </c>
      <c r="G4987" s="2">
        <v>500.0</v>
      </c>
      <c r="H4987" s="3" t="str">
        <f>HYPERLINK("http://www.linkedin.com/pub/clara-goyret/2b/14a/32a","http://www.linkedin.com/pub/clara-goyret/2b/14a/32a")</f>
        <v>http://www.linkedin.com/pub/clara-goyret/2b/14a/32a</v>
      </c>
      <c r="I4987" s="2" t="s">
        <v>844</v>
      </c>
      <c r="J4987" s="2" t="s">
        <v>21</v>
      </c>
      <c r="K4987" s="2" t="s">
        <v>5727</v>
      </c>
    </row>
    <row r="4988" ht="15.75" customHeight="1">
      <c r="A4988" s="2">
        <v>57406.0</v>
      </c>
      <c r="B4988" s="2" t="s">
        <v>3015</v>
      </c>
      <c r="C4988" s="2" t="s">
        <v>10148</v>
      </c>
      <c r="D4988" s="2" t="s">
        <v>13</v>
      </c>
      <c r="E4988" s="2" t="s">
        <v>20</v>
      </c>
      <c r="F4988" s="2">
        <v>0.0</v>
      </c>
      <c r="G4988" s="2">
        <v>500.0</v>
      </c>
      <c r="H4988" s="3" t="str">
        <f>HYPERLINK("http://www.linkedin.com/pub/luciano-grenni/2/154/7b3","http://www.linkedin.com/pub/luciano-grenni/2/154/7b3")</f>
        <v>http://www.linkedin.com/pub/luciano-grenni/2/154/7b3</v>
      </c>
      <c r="I4988" s="2" t="s">
        <v>57</v>
      </c>
      <c r="J4988" s="2" t="s">
        <v>21</v>
      </c>
      <c r="K4988" s="2" t="s">
        <v>5725</v>
      </c>
    </row>
    <row r="4989" ht="15.75" customHeight="1">
      <c r="A4989" s="2">
        <v>57414.0</v>
      </c>
      <c r="B4989" s="2" t="s">
        <v>3268</v>
      </c>
      <c r="C4989" s="2" t="s">
        <v>10149</v>
      </c>
      <c r="D4989" s="2" t="s">
        <v>10150</v>
      </c>
      <c r="E4989" s="2" t="s">
        <v>20</v>
      </c>
      <c r="F4989" s="2">
        <v>1.0</v>
      </c>
      <c r="G4989" s="2">
        <v>500.0</v>
      </c>
      <c r="H4989" s="3" t="str">
        <f>HYPERLINK("http://ar.linkedin.com/pub/patricia-ivanic/25/79/8BA","http://ar.linkedin.com/pub/patricia-ivanic/25/79/8BA")</f>
        <v>http://ar.linkedin.com/pub/patricia-ivanic/25/79/8BA</v>
      </c>
      <c r="I4989" s="2" t="s">
        <v>105</v>
      </c>
      <c r="J4989" s="2" t="s">
        <v>21</v>
      </c>
      <c r="K4989" s="2" t="s">
        <v>5725</v>
      </c>
    </row>
    <row r="4990" ht="15.75" customHeight="1">
      <c r="A4990" s="2">
        <v>57418.0</v>
      </c>
      <c r="B4990" s="2" t="s">
        <v>353</v>
      </c>
      <c r="C4990" s="2" t="s">
        <v>10151</v>
      </c>
      <c r="D4990" s="2" t="s">
        <v>13</v>
      </c>
      <c r="E4990" s="2" t="s">
        <v>20</v>
      </c>
      <c r="F4990" s="2">
        <v>0.0</v>
      </c>
      <c r="G4990" s="2">
        <v>500.0</v>
      </c>
      <c r="H4990" s="3" t="str">
        <f>HYPERLINK("http://www.linkedin.com/pub/alejandro-steffan/1b/71b/a04","http://www.linkedin.com/pub/alejandro-steffan/1b/71b/a04")</f>
        <v>http://www.linkedin.com/pub/alejandro-steffan/1b/71b/a04</v>
      </c>
      <c r="I4990" s="2" t="s">
        <v>105</v>
      </c>
      <c r="J4990" s="2" t="s">
        <v>21</v>
      </c>
      <c r="K4990" s="2" t="s">
        <v>5725</v>
      </c>
    </row>
    <row r="4991" ht="15.75" customHeight="1">
      <c r="A4991" s="2">
        <v>57420.0</v>
      </c>
      <c r="B4991" s="2" t="s">
        <v>10152</v>
      </c>
      <c r="C4991" s="2" t="s">
        <v>3796</v>
      </c>
      <c r="D4991" s="2" t="s">
        <v>10153</v>
      </c>
      <c r="E4991" s="2" t="s">
        <v>20</v>
      </c>
      <c r="F4991" s="2">
        <v>3.0</v>
      </c>
      <c r="G4991" s="2">
        <v>453.0</v>
      </c>
      <c r="H4991" s="3" t="str">
        <f>HYPERLINK("http://ar.linkedin.com/pub/ivana-steinberg/B/773/52","http://ar.linkedin.com/pub/ivana-steinberg/B/773/52")</f>
        <v>http://ar.linkedin.com/pub/ivana-steinberg/B/773/52</v>
      </c>
      <c r="I4991" s="2" t="s">
        <v>910</v>
      </c>
      <c r="J4991" s="2" t="s">
        <v>21</v>
      </c>
      <c r="K4991" s="2" t="s">
        <v>5727</v>
      </c>
    </row>
    <row r="4992" ht="15.75" customHeight="1">
      <c r="A4992" s="2">
        <v>57449.0</v>
      </c>
      <c r="B4992" s="2" t="s">
        <v>10154</v>
      </c>
      <c r="C4992" s="2" t="s">
        <v>4264</v>
      </c>
      <c r="D4992" s="2" t="s">
        <v>10155</v>
      </c>
      <c r="E4992" s="2" t="s">
        <v>20</v>
      </c>
      <c r="F4992" s="2">
        <v>2.0</v>
      </c>
      <c r="G4992" s="2">
        <v>464.0</v>
      </c>
      <c r="H4992" s="3" t="str">
        <f>HYPERLINK("http://ar.linkedin.com/in/marielaggonzalez","http://ar.linkedin.com/in/marielaggonzalez")</f>
        <v>http://ar.linkedin.com/in/marielaggonzalez</v>
      </c>
      <c r="I4992" s="2" t="s">
        <v>1679</v>
      </c>
      <c r="J4992" s="2" t="s">
        <v>21</v>
      </c>
      <c r="K4992" s="2" t="s">
        <v>5727</v>
      </c>
    </row>
    <row r="4993" ht="15.75" customHeight="1">
      <c r="A4993" s="2">
        <v>57451.0</v>
      </c>
      <c r="B4993" s="2" t="s">
        <v>4503</v>
      </c>
      <c r="C4993" s="2" t="s">
        <v>8794</v>
      </c>
      <c r="D4993" s="2" t="s">
        <v>13</v>
      </c>
      <c r="E4993" s="2" t="s">
        <v>20</v>
      </c>
      <c r="F4993" s="2">
        <v>3.0</v>
      </c>
      <c r="G4993" s="2">
        <v>500.0</v>
      </c>
      <c r="H4993" s="3" t="str">
        <f>HYPERLINK("http://www.linkedin.com/pub/fernanda-perez-cometto/0/476/b93","http://www.linkedin.com/pub/fernanda-perez-cometto/0/476/b93")</f>
        <v>http://www.linkedin.com/pub/fernanda-perez-cometto/0/476/b93</v>
      </c>
      <c r="I4993" s="2" t="s">
        <v>458</v>
      </c>
      <c r="J4993" s="2" t="s">
        <v>21</v>
      </c>
      <c r="K4993" s="2" t="s">
        <v>5727</v>
      </c>
    </row>
    <row r="4994" ht="15.75" customHeight="1">
      <c r="A4994" s="2">
        <v>57457.0</v>
      </c>
      <c r="B4994" s="2" t="s">
        <v>6467</v>
      </c>
      <c r="C4994" s="2" t="s">
        <v>10156</v>
      </c>
      <c r="D4994" s="2" t="s">
        <v>10157</v>
      </c>
      <c r="E4994" s="2" t="s">
        <v>20</v>
      </c>
      <c r="F4994" s="2">
        <v>3.0</v>
      </c>
      <c r="G4994" s="2">
        <v>500.0</v>
      </c>
      <c r="H4994" s="3" t="str">
        <f>HYPERLINK("http://ar.linkedin.com/pub/florencia-bustos/17/BB8/B03","http://ar.linkedin.com/pub/florencia-bustos/17/BB8/B03")</f>
        <v>http://ar.linkedin.com/pub/florencia-bustos/17/BB8/B03</v>
      </c>
      <c r="I4994" s="2" t="s">
        <v>105</v>
      </c>
      <c r="J4994" s="2" t="s">
        <v>21</v>
      </c>
      <c r="K4994" s="2" t="s">
        <v>5727</v>
      </c>
    </row>
    <row r="4995" ht="15.75" customHeight="1">
      <c r="A4995" s="2">
        <v>57473.0</v>
      </c>
      <c r="B4995" s="2" t="s">
        <v>5078</v>
      </c>
      <c r="C4995" s="2" t="s">
        <v>10158</v>
      </c>
      <c r="D4995" s="2" t="s">
        <v>6095</v>
      </c>
      <c r="E4995" s="2" t="s">
        <v>20</v>
      </c>
      <c r="F4995" s="2">
        <v>6.0</v>
      </c>
      <c r="G4995" s="2">
        <v>500.0</v>
      </c>
      <c r="H4995" s="3" t="str">
        <f>HYPERLINK("http://ar.linkedin.com/pub/diego-di-natale/21/333/A08","http://ar.linkedin.com/pub/diego-di-natale/21/333/A08")</f>
        <v>http://ar.linkedin.com/pub/diego-di-natale/21/333/A08</v>
      </c>
      <c r="I4995" s="2" t="s">
        <v>195</v>
      </c>
      <c r="J4995" s="2" t="s">
        <v>21</v>
      </c>
      <c r="K4995" s="2" t="s">
        <v>6046</v>
      </c>
    </row>
    <row r="4996" ht="15.75" customHeight="1">
      <c r="A4996" s="2">
        <v>57483.0</v>
      </c>
      <c r="B4996" s="2" t="s">
        <v>329</v>
      </c>
      <c r="C4996" s="2" t="s">
        <v>10159</v>
      </c>
      <c r="D4996" s="2" t="s">
        <v>10160</v>
      </c>
      <c r="E4996" s="2" t="s">
        <v>20</v>
      </c>
      <c r="F4996" s="2">
        <v>8.0</v>
      </c>
      <c r="G4996" s="2">
        <v>500.0</v>
      </c>
      <c r="H4996" s="3" t="str">
        <f>HYPERLINK("http://ar.linkedin.com/pub/juan-pablo-flammini/12/18/3BB","http://ar.linkedin.com/pub/juan-pablo-flammini/12/18/3BB")</f>
        <v>http://ar.linkedin.com/pub/juan-pablo-flammini/12/18/3BB</v>
      </c>
      <c r="I4996" s="2" t="s">
        <v>1740</v>
      </c>
      <c r="J4996" s="2" t="s">
        <v>21</v>
      </c>
      <c r="K4996" s="2" t="s">
        <v>5727</v>
      </c>
    </row>
    <row r="4997" ht="15.75" customHeight="1">
      <c r="A4997" s="2">
        <v>57516.0</v>
      </c>
      <c r="B4997" s="2" t="s">
        <v>10161</v>
      </c>
      <c r="C4997" s="2" t="s">
        <v>9251</v>
      </c>
      <c r="D4997" s="2" t="s">
        <v>13</v>
      </c>
      <c r="E4997" s="2" t="s">
        <v>20</v>
      </c>
      <c r="F4997" s="2">
        <v>0.0</v>
      </c>
      <c r="G4997" s="2">
        <v>282.0</v>
      </c>
      <c r="H4997" s="3" t="str">
        <f>HYPERLINK("http://www.linkedin.com/pub/maria-mora-lang/24/485/398","http://www.linkedin.com/pub/maria-mora-lang/24/485/398")</f>
        <v>http://www.linkedin.com/pub/maria-mora-lang/24/485/398</v>
      </c>
      <c r="I4997" s="2" t="s">
        <v>105</v>
      </c>
      <c r="J4997" s="2" t="s">
        <v>21</v>
      </c>
      <c r="K4997" s="2" t="s">
        <v>5725</v>
      </c>
    </row>
    <row r="4998" ht="15.75" customHeight="1">
      <c r="A4998" s="2">
        <v>57519.0</v>
      </c>
      <c r="B4998" s="2" t="s">
        <v>6716</v>
      </c>
      <c r="C4998" s="2" t="s">
        <v>10162</v>
      </c>
      <c r="D4998" s="2" t="s">
        <v>10163</v>
      </c>
      <c r="E4998" s="2" t="s">
        <v>20</v>
      </c>
      <c r="F4998" s="2">
        <v>4.0</v>
      </c>
      <c r="G4998" s="2">
        <v>500.0</v>
      </c>
      <c r="H4998" s="3" t="str">
        <f>HYPERLINK("http://ar.linkedin.com/pub/claudia-n%C3%B3bilo/22/B95/373","http://ar.linkedin.com/pub/claudia-n%C3%B3bilo/22/B95/373")</f>
        <v>http://ar.linkedin.com/pub/claudia-n%C3%B3bilo/22/B95/373</v>
      </c>
      <c r="I4998" s="2" t="s">
        <v>1398</v>
      </c>
      <c r="J4998" s="2" t="s">
        <v>21</v>
      </c>
      <c r="K4998" s="2" t="s">
        <v>5727</v>
      </c>
    </row>
    <row r="4999" ht="15.75" customHeight="1">
      <c r="A4999" s="2">
        <v>57521.0</v>
      </c>
      <c r="B4999" s="2" t="s">
        <v>703</v>
      </c>
      <c r="C4999" s="2" t="s">
        <v>10164</v>
      </c>
      <c r="D4999" s="2" t="s">
        <v>10165</v>
      </c>
      <c r="E4999" s="2" t="s">
        <v>20</v>
      </c>
      <c r="F4999" s="2">
        <v>0.0</v>
      </c>
      <c r="G4999" s="2">
        <v>384.0</v>
      </c>
      <c r="H4999" s="3" t="str">
        <f>HYPERLINK("http://www.linkedin.com/pub/rafael-olarra/24/bbb/852","http://www.linkedin.com/pub/rafael-olarra/24/bbb/852")</f>
        <v>http://www.linkedin.com/pub/rafael-olarra/24/bbb/852</v>
      </c>
      <c r="I4999" s="2" t="s">
        <v>1931</v>
      </c>
      <c r="J4999" s="2" t="s">
        <v>21</v>
      </c>
      <c r="K4999" s="2" t="s">
        <v>5725</v>
      </c>
    </row>
    <row r="5000" ht="15.75" customHeight="1">
      <c r="A5000" s="2">
        <v>57535.0</v>
      </c>
      <c r="B5000" s="2" t="s">
        <v>10166</v>
      </c>
      <c r="C5000" s="2" t="s">
        <v>10167</v>
      </c>
      <c r="D5000" s="2" t="s">
        <v>10168</v>
      </c>
      <c r="E5000" s="2" t="s">
        <v>20</v>
      </c>
      <c r="F5000" s="2">
        <v>3.0</v>
      </c>
      <c r="G5000" s="2">
        <v>139.0</v>
      </c>
      <c r="H5000" s="3" t="str">
        <f>HYPERLINK("http://ar.linkedin.com/in/fiorellabiaggio","http://ar.linkedin.com/in/fiorellabiaggio")</f>
        <v>http://ar.linkedin.com/in/fiorellabiaggio</v>
      </c>
      <c r="I5000" s="2" t="s">
        <v>844</v>
      </c>
      <c r="J5000" s="2" t="s">
        <v>21</v>
      </c>
      <c r="K5000" s="2" t="s">
        <v>5727</v>
      </c>
    </row>
    <row r="5001" ht="15.75" customHeight="1">
      <c r="A5001" s="2">
        <v>57544.0</v>
      </c>
      <c r="B5001" s="2" t="s">
        <v>5078</v>
      </c>
      <c r="C5001" s="2" t="s">
        <v>10169</v>
      </c>
      <c r="D5001" s="2" t="s">
        <v>13</v>
      </c>
      <c r="E5001" s="2" t="s">
        <v>20</v>
      </c>
      <c r="F5001" s="2">
        <v>4.0</v>
      </c>
      <c r="G5001" s="2">
        <v>500.0</v>
      </c>
      <c r="H5001" s="3" t="str">
        <f>HYPERLINK("http://www.linkedin.com/pub/diego-berlocq/25/124/4a2","http://www.linkedin.com/pub/diego-berlocq/25/124/4a2")</f>
        <v>http://www.linkedin.com/pub/diego-berlocq/25/124/4a2</v>
      </c>
      <c r="I5001" s="2" t="s">
        <v>374</v>
      </c>
      <c r="J5001" s="2" t="s">
        <v>21</v>
      </c>
      <c r="K5001" s="2" t="s">
        <v>5727</v>
      </c>
    </row>
    <row r="5002" ht="15.75" customHeight="1">
      <c r="A5002" s="2">
        <v>5950.0</v>
      </c>
      <c r="B5002" s="2" t="s">
        <v>10170</v>
      </c>
      <c r="C5002" s="2" t="s">
        <v>10171</v>
      </c>
      <c r="D5002" s="2" t="s">
        <v>10172</v>
      </c>
      <c r="E5002" s="2" t="s">
        <v>20</v>
      </c>
      <c r="F5002" s="2">
        <v>1.0</v>
      </c>
      <c r="G5002" s="2">
        <v>346.0</v>
      </c>
      <c r="H5002" s="3" t="str">
        <f>HYPERLINK("http://ar.linkedin.com/pub/f-lix-manuel-jerez/28/280/877","http://ar.linkedin.com/pub/f-lix-manuel-jerez/28/280/877")</f>
        <v>http://ar.linkedin.com/pub/f-lix-manuel-jerez/28/280/877</v>
      </c>
      <c r="I5002" s="2" t="s">
        <v>48</v>
      </c>
      <c r="J5002" s="2" t="s">
        <v>21</v>
      </c>
      <c r="K5002" s="2" t="s">
        <v>10173</v>
      </c>
    </row>
    <row r="5003" ht="15.75" customHeight="1">
      <c r="A5003" s="2">
        <v>5954.0</v>
      </c>
      <c r="B5003" s="2" t="s">
        <v>6339</v>
      </c>
      <c r="C5003" s="2" t="s">
        <v>10174</v>
      </c>
      <c r="D5003" s="2" t="s">
        <v>10175</v>
      </c>
      <c r="E5003" s="2" t="s">
        <v>136</v>
      </c>
      <c r="F5003" s="2">
        <v>14.0</v>
      </c>
      <c r="G5003" s="2">
        <v>500.0</v>
      </c>
      <c r="H5003" s="3" t="str">
        <f>HYPERLINK("http://www.linkedin.com/in/estebanroblesluna","http://www.linkedin.com/in/estebanroblesluna")</f>
        <v>http://www.linkedin.com/in/estebanroblesluna</v>
      </c>
      <c r="I5003" s="2" t="s">
        <v>48</v>
      </c>
      <c r="J5003" s="2" t="s">
        <v>102</v>
      </c>
      <c r="K5003" s="2" t="s">
        <v>10176</v>
      </c>
    </row>
    <row r="5004" ht="15.75" customHeight="1">
      <c r="A5004" s="2">
        <v>5955.0</v>
      </c>
      <c r="B5004" s="2" t="s">
        <v>5728</v>
      </c>
      <c r="C5004" s="2" t="s">
        <v>10177</v>
      </c>
      <c r="D5004" s="2" t="s">
        <v>118</v>
      </c>
      <c r="E5004" s="2" t="s">
        <v>20</v>
      </c>
      <c r="F5004" s="2">
        <v>5.0</v>
      </c>
      <c r="G5004" s="2">
        <v>307.0</v>
      </c>
      <c r="H5004" s="3" t="str">
        <f>HYPERLINK("https://ar.linkedin.com/in/mcsee","https://ar.linkedin.com/in/mcsee")</f>
        <v>https://ar.linkedin.com/in/mcsee</v>
      </c>
      <c r="I5004" s="2" t="s">
        <v>48</v>
      </c>
      <c r="J5004" s="2" t="s">
        <v>21</v>
      </c>
      <c r="K5004" s="2" t="s">
        <v>10178</v>
      </c>
    </row>
    <row r="5005" ht="15.75" customHeight="1">
      <c r="A5005" s="2">
        <v>5959.0</v>
      </c>
      <c r="B5005" s="2" t="s">
        <v>1676</v>
      </c>
      <c r="C5005" s="2" t="s">
        <v>10179</v>
      </c>
      <c r="D5005" s="2" t="s">
        <v>13</v>
      </c>
      <c r="E5005" s="2" t="s">
        <v>20</v>
      </c>
      <c r="F5005" s="2">
        <v>3.0</v>
      </c>
      <c r="G5005" s="2">
        <v>265.0</v>
      </c>
      <c r="H5005" s="3" t="str">
        <f>HYPERLINK("http://www.linkedin.com/pub/raul-latashen/3/546/719","http://www.linkedin.com/pub/raul-latashen/3/546/719")</f>
        <v>http://www.linkedin.com/pub/raul-latashen/3/546/719</v>
      </c>
      <c r="I5005" s="2" t="s">
        <v>15</v>
      </c>
      <c r="J5005" s="2" t="s">
        <v>21</v>
      </c>
      <c r="K5005" s="2" t="s">
        <v>10180</v>
      </c>
    </row>
    <row r="5006" ht="15.75" customHeight="1">
      <c r="A5006" s="2">
        <v>5981.0</v>
      </c>
      <c r="B5006" s="2" t="s">
        <v>116</v>
      </c>
      <c r="C5006" s="2" t="s">
        <v>9082</v>
      </c>
      <c r="D5006" s="2" t="s">
        <v>10181</v>
      </c>
      <c r="E5006" s="2" t="s">
        <v>301</v>
      </c>
      <c r="F5006" s="2">
        <v>2.0</v>
      </c>
      <c r="G5006" s="2">
        <v>444.0</v>
      </c>
      <c r="H5006" s="3" t="str">
        <f>HYPERLINK("http://www.linkedin.com/pub/alex-goldstein/3/443/A21","http://www.linkedin.com/pub/alex-goldstein/3/443/A21")</f>
        <v>http://www.linkedin.com/pub/alex-goldstein/3/443/A21</v>
      </c>
      <c r="I5006" s="2" t="s">
        <v>252</v>
      </c>
      <c r="J5006" s="2" t="s">
        <v>102</v>
      </c>
      <c r="K5006" s="2" t="s">
        <v>10182</v>
      </c>
    </row>
    <row r="5007" ht="15.75" customHeight="1">
      <c r="A5007" s="2">
        <v>5984.0</v>
      </c>
      <c r="B5007" s="2" t="s">
        <v>677</v>
      </c>
      <c r="C5007" s="2" t="s">
        <v>10183</v>
      </c>
      <c r="D5007" s="2" t="s">
        <v>3989</v>
      </c>
      <c r="E5007" s="2" t="s">
        <v>713</v>
      </c>
      <c r="F5007" s="2">
        <v>4.0</v>
      </c>
      <c r="G5007" s="2">
        <v>500.0</v>
      </c>
      <c r="H5007" s="3" t="str">
        <f>HYPERLINK("http://www.linkedin.com/in/danielkuperstein","http://www.linkedin.com/in/danielkuperstein")</f>
        <v>http://www.linkedin.com/in/danielkuperstein</v>
      </c>
      <c r="I5007" s="2" t="s">
        <v>15</v>
      </c>
      <c r="J5007" s="2" t="s">
        <v>102</v>
      </c>
      <c r="K5007" s="2" t="s">
        <v>10184</v>
      </c>
    </row>
    <row r="5008" ht="15.75" customHeight="1">
      <c r="A5008" s="2">
        <v>5993.0</v>
      </c>
      <c r="B5008" s="2" t="s">
        <v>3472</v>
      </c>
      <c r="C5008" s="2" t="s">
        <v>10185</v>
      </c>
      <c r="D5008" s="2"/>
      <c r="E5008" s="2" t="s">
        <v>1407</v>
      </c>
      <c r="F5008" s="2">
        <v>20.0</v>
      </c>
      <c r="G5008" s="2">
        <v>500.0</v>
      </c>
      <c r="H5008" s="3" t="str">
        <f>HYPERLINK("http://www.linkedin.com/pub/sandeep-reddy-c/0/771/319","http://www.linkedin.com/pub/sandeep-reddy-c/0/771/319")</f>
        <v>http://www.linkedin.com/pub/sandeep-reddy-c/0/771/319</v>
      </c>
      <c r="I5008" s="2" t="s">
        <v>15</v>
      </c>
      <c r="J5008" s="2" t="s">
        <v>102</v>
      </c>
      <c r="K5008" s="2" t="s">
        <v>10184</v>
      </c>
    </row>
    <row r="5009" ht="15.75" customHeight="1">
      <c r="A5009" s="2">
        <v>6001.0</v>
      </c>
      <c r="B5009" s="2" t="s">
        <v>152</v>
      </c>
      <c r="C5009" s="2" t="s">
        <v>10186</v>
      </c>
      <c r="D5009" s="2" t="s">
        <v>1045</v>
      </c>
      <c r="E5009" s="2" t="s">
        <v>20</v>
      </c>
      <c r="F5009" s="2">
        <v>2.0</v>
      </c>
      <c r="G5009" s="2">
        <v>500.0</v>
      </c>
      <c r="H5009" s="3" t="str">
        <f>HYPERLINK("http://ar.linkedin.com/pub/eduardo-peroni/7/6B4/927","http://ar.linkedin.com/pub/eduardo-peroni/7/6B4/927")</f>
        <v>http://ar.linkedin.com/pub/eduardo-peroni/7/6B4/927</v>
      </c>
      <c r="I5009" s="2" t="s">
        <v>15</v>
      </c>
      <c r="J5009" s="2" t="s">
        <v>21</v>
      </c>
      <c r="K5009" s="2" t="s">
        <v>10187</v>
      </c>
    </row>
    <row r="5010" ht="15.75" customHeight="1">
      <c r="A5010" s="2">
        <v>6004.0</v>
      </c>
      <c r="B5010" s="2" t="s">
        <v>5495</v>
      </c>
      <c r="C5010" s="2" t="s">
        <v>8129</v>
      </c>
      <c r="D5010" s="2" t="s">
        <v>10188</v>
      </c>
      <c r="E5010" s="2" t="s">
        <v>20</v>
      </c>
      <c r="F5010" s="2">
        <v>5.0</v>
      </c>
      <c r="G5010" s="2">
        <v>500.0</v>
      </c>
      <c r="H5010" s="3" t="str">
        <f>HYPERLINK("http://ar.linkedin.com/in/fabiosottile","http://ar.linkedin.com/in/fabiosottile")</f>
        <v>http://ar.linkedin.com/in/fabiosottile</v>
      </c>
      <c r="I5010" s="2" t="s">
        <v>48</v>
      </c>
      <c r="J5010" s="2" t="s">
        <v>21</v>
      </c>
      <c r="K5010" s="2" t="s">
        <v>10180</v>
      </c>
    </row>
    <row r="5011" ht="15.75" customHeight="1">
      <c r="A5011" s="2">
        <v>6008.0</v>
      </c>
      <c r="B5011" s="2" t="s">
        <v>59</v>
      </c>
      <c r="C5011" s="2" t="s">
        <v>10189</v>
      </c>
      <c r="D5011" s="2" t="s">
        <v>13</v>
      </c>
      <c r="E5011" s="2" t="s">
        <v>20</v>
      </c>
      <c r="F5011" s="2">
        <v>2.0</v>
      </c>
      <c r="G5011" s="2">
        <v>394.0</v>
      </c>
      <c r="H5011" s="3" t="str">
        <f>HYPERLINK("http://www.linkedin.com/pub/martin-garcia-dietrich/5/92b/314","http://www.linkedin.com/pub/martin-garcia-dietrich/5/92b/314")</f>
        <v>http://www.linkedin.com/pub/martin-garcia-dietrich/5/92b/314</v>
      </c>
      <c r="I5011" s="2" t="s">
        <v>15</v>
      </c>
      <c r="J5011" s="2" t="s">
        <v>21</v>
      </c>
      <c r="K5011" s="2" t="s">
        <v>10190</v>
      </c>
    </row>
    <row r="5012" ht="15.75" customHeight="1">
      <c r="A5012" s="2">
        <v>6048.0</v>
      </c>
      <c r="B5012" s="2" t="s">
        <v>59</v>
      </c>
      <c r="C5012" s="2" t="s">
        <v>10191</v>
      </c>
      <c r="D5012" s="2" t="s">
        <v>347</v>
      </c>
      <c r="E5012" s="2" t="s">
        <v>20</v>
      </c>
      <c r="F5012" s="2">
        <v>18.0</v>
      </c>
      <c r="G5012" s="2">
        <v>500.0</v>
      </c>
      <c r="H5012" s="3" t="str">
        <f>HYPERLINK("http://www.linkedin.com/in/martincoronado","http://www.linkedin.com/in/martincoronado")</f>
        <v>http://www.linkedin.com/in/martincoronado</v>
      </c>
      <c r="I5012" s="2" t="s">
        <v>15</v>
      </c>
      <c r="J5012" s="2" t="s">
        <v>21</v>
      </c>
      <c r="K5012" s="2" t="s">
        <v>10178</v>
      </c>
    </row>
    <row r="5013" ht="15.75" customHeight="1">
      <c r="A5013" s="2">
        <v>6053.0</v>
      </c>
      <c r="B5013" s="2" t="s">
        <v>10192</v>
      </c>
      <c r="C5013" s="2" t="s">
        <v>10193</v>
      </c>
      <c r="D5013" s="2" t="s">
        <v>347</v>
      </c>
      <c r="E5013" s="2" t="s">
        <v>20</v>
      </c>
      <c r="F5013" s="2">
        <v>3.0</v>
      </c>
      <c r="G5013" s="2">
        <v>187.0</v>
      </c>
      <c r="H5013" s="3" t="str">
        <f>HYPERLINK("http://ar.linkedin.com/pub/durval-sebasti%C3%A1n-korssj%C3%B6en/B/49B/4A8","http://ar.linkedin.com/pub/durval-sebasti%C3%A1n-korssj%C3%B6en/B/49B/4A8")</f>
        <v>http://ar.linkedin.com/pub/durval-sebasti%C3%A1n-korssj%C3%B6en/B/49B/4A8</v>
      </c>
      <c r="I5013" s="2" t="s">
        <v>15</v>
      </c>
      <c r="J5013" s="2" t="s">
        <v>21</v>
      </c>
      <c r="K5013" s="2" t="s">
        <v>10178</v>
      </c>
    </row>
    <row r="5014" ht="15.75" customHeight="1">
      <c r="A5014" s="2">
        <v>6090.0</v>
      </c>
      <c r="B5014" s="2" t="s">
        <v>6467</v>
      </c>
      <c r="C5014" s="2" t="s">
        <v>10194</v>
      </c>
      <c r="D5014" s="2" t="s">
        <v>10195</v>
      </c>
      <c r="E5014" s="2" t="s">
        <v>20</v>
      </c>
      <c r="F5014" s="2">
        <v>4.0</v>
      </c>
      <c r="G5014" s="2">
        <v>500.0</v>
      </c>
      <c r="H5014" s="3" t="str">
        <f>HYPERLINK("http://ar.linkedin.com/in/foriozabala","http://ar.linkedin.com/in/foriozabala")</f>
        <v>http://ar.linkedin.com/in/foriozabala</v>
      </c>
      <c r="I5014" s="2" t="s">
        <v>15</v>
      </c>
      <c r="J5014" s="2" t="s">
        <v>21</v>
      </c>
      <c r="K5014" s="2" t="s">
        <v>10196</v>
      </c>
    </row>
    <row r="5015" ht="15.75" customHeight="1">
      <c r="A5015" s="2">
        <v>6097.0</v>
      </c>
      <c r="B5015" s="2" t="s">
        <v>1505</v>
      </c>
      <c r="C5015" s="2" t="s">
        <v>10197</v>
      </c>
      <c r="D5015" s="2"/>
      <c r="E5015" s="2" t="s">
        <v>10198</v>
      </c>
      <c r="F5015" s="2">
        <v>9.0</v>
      </c>
      <c r="G5015" s="2">
        <v>500.0</v>
      </c>
      <c r="H5015" s="3" t="str">
        <f>HYPERLINK("http://www.linkedin.com/pub/linda-lowitz/1/605/894","http://www.linkedin.com/pub/linda-lowitz/1/605/894")</f>
        <v>http://www.linkedin.com/pub/linda-lowitz/1/605/894</v>
      </c>
      <c r="I5015" s="2" t="s">
        <v>15</v>
      </c>
      <c r="J5015" s="2" t="s">
        <v>102</v>
      </c>
      <c r="K5015" s="2" t="s">
        <v>10184</v>
      </c>
    </row>
    <row r="5016" ht="15.75" customHeight="1">
      <c r="A5016" s="2">
        <v>6126.0</v>
      </c>
      <c r="B5016" s="2" t="s">
        <v>7158</v>
      </c>
      <c r="C5016" s="2" t="s">
        <v>9636</v>
      </c>
      <c r="D5016" s="2" t="s">
        <v>10199</v>
      </c>
      <c r="E5016" s="2" t="s">
        <v>20</v>
      </c>
      <c r="F5016" s="2">
        <v>8.0</v>
      </c>
      <c r="G5016" s="2">
        <v>276.0</v>
      </c>
      <c r="H5016" s="3" t="str">
        <f>HYPERLINK("http://ar.linkedin.com/in/nahuel","http://ar.linkedin.com/in/nahuel")</f>
        <v>http://ar.linkedin.com/in/nahuel</v>
      </c>
      <c r="I5016" s="2" t="s">
        <v>48</v>
      </c>
      <c r="J5016" s="2" t="s">
        <v>21</v>
      </c>
      <c r="K5016" s="2" t="s">
        <v>10196</v>
      </c>
    </row>
    <row r="5017" ht="15.75" customHeight="1">
      <c r="A5017" s="2">
        <v>6127.0</v>
      </c>
      <c r="B5017" s="2" t="s">
        <v>5883</v>
      </c>
      <c r="C5017" s="2" t="s">
        <v>3943</v>
      </c>
      <c r="D5017" s="2" t="s">
        <v>10200</v>
      </c>
      <c r="E5017" s="2" t="s">
        <v>20</v>
      </c>
      <c r="F5017" s="2">
        <v>13.0</v>
      </c>
      <c r="G5017" s="2">
        <v>500.0</v>
      </c>
      <c r="H5017" s="3" t="str">
        <f>HYPERLINK("http://ar.linkedin.com/in/arielfrodriguez","http://ar.linkedin.com/in/arielfrodriguez")</f>
        <v>http://ar.linkedin.com/in/arielfrodriguez</v>
      </c>
      <c r="I5017" s="2" t="s">
        <v>15</v>
      </c>
      <c r="J5017" s="2" t="s">
        <v>21</v>
      </c>
      <c r="K5017" s="2" t="s">
        <v>10196</v>
      </c>
    </row>
    <row r="5018" ht="15.75" customHeight="1">
      <c r="A5018" s="2">
        <v>6219.0</v>
      </c>
      <c r="B5018" s="2" t="s">
        <v>10201</v>
      </c>
      <c r="C5018" s="2" t="s">
        <v>2607</v>
      </c>
      <c r="D5018" s="2"/>
      <c r="E5018" s="2" t="s">
        <v>136</v>
      </c>
      <c r="F5018" s="2">
        <v>7.0</v>
      </c>
      <c r="G5018" s="2">
        <v>500.0</v>
      </c>
      <c r="H5018" s="3" t="str">
        <f>HYPERLINK("http://www.linkedin.com/in/weycheng","http://www.linkedin.com/in/weycheng")</f>
        <v>http://www.linkedin.com/in/weycheng</v>
      </c>
      <c r="I5018" s="2" t="s">
        <v>15</v>
      </c>
      <c r="J5018" s="2" t="s">
        <v>102</v>
      </c>
      <c r="K5018" s="2" t="s">
        <v>10184</v>
      </c>
    </row>
    <row r="5019" ht="15.75" customHeight="1">
      <c r="A5019" s="2">
        <v>6221.0</v>
      </c>
      <c r="B5019" s="2" t="s">
        <v>625</v>
      </c>
      <c r="C5019" s="2" t="s">
        <v>1153</v>
      </c>
      <c r="D5019" s="2" t="s">
        <v>13</v>
      </c>
      <c r="E5019" s="2" t="s">
        <v>136</v>
      </c>
      <c r="F5019" s="2">
        <v>0.0</v>
      </c>
      <c r="G5019" s="2">
        <v>500.0</v>
      </c>
      <c r="H5019" s="3" t="str">
        <f>HYPERLINK("https://www.linkedin.com/in/tpbrown","https://www.linkedin.com/in/tpbrown")</f>
        <v>https://www.linkedin.com/in/tpbrown</v>
      </c>
      <c r="I5019" s="2" t="s">
        <v>15</v>
      </c>
      <c r="J5019" s="2" t="s">
        <v>102</v>
      </c>
      <c r="K5019" s="2" t="s">
        <v>10202</v>
      </c>
    </row>
    <row r="5020" ht="15.75" customHeight="1">
      <c r="A5020" s="2">
        <v>6277.0</v>
      </c>
      <c r="B5020" s="2" t="s">
        <v>3462</v>
      </c>
      <c r="C5020" s="2" t="s">
        <v>10203</v>
      </c>
      <c r="D5020" s="2" t="s">
        <v>2756</v>
      </c>
      <c r="E5020" s="2" t="s">
        <v>914</v>
      </c>
      <c r="F5020" s="2">
        <v>2.0</v>
      </c>
      <c r="G5020" s="2">
        <v>354.0</v>
      </c>
      <c r="H5020" s="3" t="str">
        <f>HYPERLINK("http://www.linkedin.com/in/troymagennis","http://www.linkedin.com/in/troymagennis")</f>
        <v>http://www.linkedin.com/in/troymagennis</v>
      </c>
      <c r="I5020" s="2" t="s">
        <v>48</v>
      </c>
      <c r="J5020" s="2" t="s">
        <v>102</v>
      </c>
      <c r="K5020" s="2" t="s">
        <v>10184</v>
      </c>
    </row>
    <row r="5021" ht="15.75" customHeight="1">
      <c r="A5021" s="2">
        <v>6284.0</v>
      </c>
      <c r="B5021" s="2" t="s">
        <v>10204</v>
      </c>
      <c r="C5021" s="2" t="s">
        <v>10205</v>
      </c>
      <c r="D5021" s="2" t="s">
        <v>700</v>
      </c>
      <c r="E5021" s="2" t="s">
        <v>1407</v>
      </c>
      <c r="F5021" s="2">
        <v>2.0</v>
      </c>
      <c r="G5021" s="2">
        <v>500.0</v>
      </c>
      <c r="H5021" s="3" t="str">
        <f>HYPERLINK("http://www.linkedin.com/pub/rachel-pilgrim/2/38B/730","http://www.linkedin.com/pub/rachel-pilgrim/2/38B/730")</f>
        <v>http://www.linkedin.com/pub/rachel-pilgrim/2/38B/730</v>
      </c>
      <c r="I5021" s="2" t="s">
        <v>1421</v>
      </c>
      <c r="J5021" s="2" t="s">
        <v>102</v>
      </c>
      <c r="K5021" s="2" t="s">
        <v>10206</v>
      </c>
    </row>
    <row r="5022" ht="15.75" customHeight="1">
      <c r="A5022" s="2">
        <v>6285.0</v>
      </c>
      <c r="B5022" s="2" t="s">
        <v>5803</v>
      </c>
      <c r="C5022" s="2" t="s">
        <v>10207</v>
      </c>
      <c r="D5022" s="2" t="s">
        <v>13</v>
      </c>
      <c r="E5022" s="2" t="s">
        <v>10208</v>
      </c>
      <c r="F5022" s="2">
        <v>6.0</v>
      </c>
      <c r="G5022" s="2">
        <v>206.0</v>
      </c>
      <c r="H5022" s="3" t="str">
        <f>HYPERLINK("http://www.linkedin.com/pub/mariano-wahlmann/8/379/4a9","http://www.linkedin.com/pub/mariano-wahlmann/8/379/4a9")</f>
        <v>http://www.linkedin.com/pub/mariano-wahlmann/8/379/4a9</v>
      </c>
      <c r="I5022" s="2" t="s">
        <v>1421</v>
      </c>
      <c r="J5022" s="2" t="s">
        <v>102</v>
      </c>
      <c r="K5022" s="2" t="s">
        <v>10209</v>
      </c>
    </row>
    <row r="5023" ht="15.75" customHeight="1">
      <c r="A5023" s="2">
        <v>6320.0</v>
      </c>
      <c r="B5023" s="2" t="s">
        <v>10210</v>
      </c>
      <c r="C5023" s="2" t="s">
        <v>8221</v>
      </c>
      <c r="D5023" s="2" t="s">
        <v>10211</v>
      </c>
      <c r="E5023" s="2" t="s">
        <v>20</v>
      </c>
      <c r="F5023" s="2">
        <v>1.0</v>
      </c>
      <c r="G5023" s="2">
        <v>500.0</v>
      </c>
      <c r="H5023" s="3" t="str">
        <f>HYPERLINK("http://www.linkedin.com/in/qcho86","http://www.linkedin.com/in/qcho86")</f>
        <v>http://www.linkedin.com/in/qcho86</v>
      </c>
      <c r="I5023" s="2" t="s">
        <v>48</v>
      </c>
      <c r="J5023" s="2" t="s">
        <v>21</v>
      </c>
      <c r="K5023" s="2" t="s">
        <v>10173</v>
      </c>
    </row>
    <row r="5024" ht="15.75" customHeight="1">
      <c r="A5024" s="2">
        <v>6334.0</v>
      </c>
      <c r="B5024" s="2" t="s">
        <v>5495</v>
      </c>
      <c r="C5024" s="2" t="s">
        <v>10212</v>
      </c>
      <c r="D5024" s="2" t="s">
        <v>10213</v>
      </c>
      <c r="E5024" s="2" t="s">
        <v>20</v>
      </c>
      <c r="F5024" s="2">
        <v>18.0</v>
      </c>
      <c r="G5024" s="2">
        <v>500.0</v>
      </c>
      <c r="H5024" s="3" t="str">
        <f>HYPERLINK("http://ar.linkedin.com/in/fcaballero","http://ar.linkedin.com/in/fcaballero")</f>
        <v>http://ar.linkedin.com/in/fcaballero</v>
      </c>
      <c r="I5024" s="2" t="s">
        <v>15</v>
      </c>
      <c r="J5024" s="2" t="s">
        <v>21</v>
      </c>
      <c r="K5024" s="2" t="s">
        <v>10214</v>
      </c>
    </row>
    <row r="5025" ht="15.75" customHeight="1">
      <c r="A5025" s="2">
        <v>6335.0</v>
      </c>
      <c r="B5025" s="2" t="s">
        <v>879</v>
      </c>
      <c r="C5025" s="2" t="s">
        <v>10215</v>
      </c>
      <c r="D5025" s="2" t="s">
        <v>10216</v>
      </c>
      <c r="E5025" s="2" t="s">
        <v>122</v>
      </c>
      <c r="F5025" s="2">
        <v>7.0</v>
      </c>
      <c r="G5025" s="2">
        <v>293.0</v>
      </c>
      <c r="H5025" s="3" t="str">
        <f>HYPERLINK("http://uk.linkedin.com/pub/richard-ashby/3/A93/431","http://uk.linkedin.com/pub/richard-ashby/3/A93/431")</f>
        <v>http://uk.linkedin.com/pub/richard-ashby/3/A93/431</v>
      </c>
      <c r="I5025" s="2" t="s">
        <v>15</v>
      </c>
      <c r="J5025" s="2" t="s">
        <v>53</v>
      </c>
      <c r="K5025" s="2" t="s">
        <v>10187</v>
      </c>
    </row>
    <row r="5026" ht="15.75" customHeight="1">
      <c r="A5026" s="2">
        <v>6348.0</v>
      </c>
      <c r="B5026" s="2" t="s">
        <v>1942</v>
      </c>
      <c r="C5026" s="2" t="s">
        <v>10217</v>
      </c>
      <c r="D5026" s="2" t="s">
        <v>8716</v>
      </c>
      <c r="E5026" s="2" t="s">
        <v>397</v>
      </c>
      <c r="F5026" s="2">
        <v>2.0</v>
      </c>
      <c r="G5026" s="2">
        <v>428.0</v>
      </c>
      <c r="H5026" s="3" t="str">
        <f>HYPERLINK("http://ar.linkedin.com/pub/ingrid-becker/2/513/71A","http://ar.linkedin.com/pub/ingrid-becker/2/513/71A")</f>
        <v>http://ar.linkedin.com/pub/ingrid-becker/2/513/71A</v>
      </c>
      <c r="I5026" s="2" t="s">
        <v>15</v>
      </c>
      <c r="J5026" s="2" t="s">
        <v>102</v>
      </c>
      <c r="K5026" s="2" t="s">
        <v>10184</v>
      </c>
    </row>
    <row r="5027" ht="15.75" customHeight="1">
      <c r="A5027" s="2">
        <v>6351.0</v>
      </c>
      <c r="B5027" s="2" t="s">
        <v>7267</v>
      </c>
      <c r="C5027" s="2" t="s">
        <v>9608</v>
      </c>
      <c r="D5027" s="2" t="s">
        <v>13</v>
      </c>
      <c r="E5027" s="2" t="s">
        <v>136</v>
      </c>
      <c r="F5027" s="2">
        <v>0.0</v>
      </c>
      <c r="G5027" s="2">
        <v>500.0</v>
      </c>
      <c r="H5027" s="3" t="str">
        <f>HYPERLINK("https://www.linkedin.com/pub/eugenia-zapata/a/351/667","https://www.linkedin.com/pub/eugenia-zapata/a/351/667")</f>
        <v>https://www.linkedin.com/pub/eugenia-zapata/a/351/667</v>
      </c>
      <c r="I5027" s="2" t="s">
        <v>48</v>
      </c>
      <c r="J5027" s="2" t="s">
        <v>102</v>
      </c>
      <c r="K5027" s="2" t="s">
        <v>10184</v>
      </c>
    </row>
    <row r="5028" ht="15.75" customHeight="1">
      <c r="A5028" s="2">
        <v>6352.0</v>
      </c>
      <c r="B5028" s="2" t="s">
        <v>1087</v>
      </c>
      <c r="C5028" s="2" t="s">
        <v>1325</v>
      </c>
      <c r="D5028" s="2" t="s">
        <v>10218</v>
      </c>
      <c r="E5028" s="2" t="s">
        <v>4060</v>
      </c>
      <c r="F5028" s="2">
        <v>2.0</v>
      </c>
      <c r="G5028" s="2">
        <v>234.0</v>
      </c>
      <c r="H5028" s="3" t="str">
        <f>HYPERLINK("http://www.linkedin.com/pub/james-miller/4/37/A77","http://www.linkedin.com/pub/james-miller/4/37/A77")</f>
        <v>http://www.linkedin.com/pub/james-miller/4/37/A77</v>
      </c>
      <c r="I5028" s="2" t="s">
        <v>27</v>
      </c>
      <c r="J5028" s="2" t="s">
        <v>102</v>
      </c>
      <c r="K5028" s="2" t="s">
        <v>10187</v>
      </c>
    </row>
    <row r="5029" ht="15.75" customHeight="1">
      <c r="A5029" s="2">
        <v>6359.0</v>
      </c>
      <c r="B5029" s="2" t="s">
        <v>10219</v>
      </c>
      <c r="C5029" s="2" t="s">
        <v>10220</v>
      </c>
      <c r="D5029" s="2" t="s">
        <v>4224</v>
      </c>
      <c r="E5029" s="2" t="s">
        <v>20</v>
      </c>
      <c r="F5029" s="2">
        <v>20.0</v>
      </c>
      <c r="G5029" s="2">
        <v>500.0</v>
      </c>
      <c r="H5029" s="3" t="str">
        <f>HYPERLINK("http://www.linkedin.com/in/pablomcuomo","http://www.linkedin.com/in/pablomcuomo")</f>
        <v>http://www.linkedin.com/in/pablomcuomo</v>
      </c>
      <c r="I5029" s="2" t="s">
        <v>15</v>
      </c>
      <c r="J5029" s="2" t="s">
        <v>21</v>
      </c>
      <c r="K5029" s="2" t="s">
        <v>10180</v>
      </c>
    </row>
    <row r="5030" ht="15.75" customHeight="1">
      <c r="A5030" s="2">
        <v>6385.0</v>
      </c>
      <c r="B5030" s="2" t="s">
        <v>6252</v>
      </c>
      <c r="C5030" s="2" t="s">
        <v>7248</v>
      </c>
      <c r="D5030" s="2" t="s">
        <v>13</v>
      </c>
      <c r="E5030" s="2" t="s">
        <v>20</v>
      </c>
      <c r="F5030" s="2">
        <v>0.0</v>
      </c>
      <c r="G5030" s="2">
        <v>254.0</v>
      </c>
      <c r="H5030" s="3" t="str">
        <f>HYPERLINK("http://www.linkedin.com/pub/santiago-montero/6/90b/ba8","http://www.linkedin.com/pub/santiago-montero/6/90b/ba8")</f>
        <v>http://www.linkedin.com/pub/santiago-montero/6/90b/ba8</v>
      </c>
      <c r="I5030" s="2" t="s">
        <v>143</v>
      </c>
      <c r="J5030" s="2" t="s">
        <v>21</v>
      </c>
      <c r="K5030" s="2" t="s">
        <v>10206</v>
      </c>
    </row>
    <row r="5031" ht="15.75" customHeight="1">
      <c r="A5031" s="2">
        <v>6399.0</v>
      </c>
      <c r="B5031" s="2" t="s">
        <v>5803</v>
      </c>
      <c r="C5031" s="2" t="s">
        <v>10221</v>
      </c>
      <c r="D5031" s="2" t="s">
        <v>10222</v>
      </c>
      <c r="E5031" s="2" t="s">
        <v>20</v>
      </c>
      <c r="F5031" s="2">
        <v>4.0</v>
      </c>
      <c r="G5031" s="2">
        <v>304.0</v>
      </c>
      <c r="H5031" s="3" t="str">
        <f>HYPERLINK("http://ar.linkedin.com/in/mcortesi","http://ar.linkedin.com/in/mcortesi")</f>
        <v>http://ar.linkedin.com/in/mcortesi</v>
      </c>
      <c r="I5031" s="2" t="s">
        <v>15</v>
      </c>
      <c r="J5031" s="2" t="s">
        <v>21</v>
      </c>
      <c r="K5031" s="2" t="s">
        <v>10206</v>
      </c>
    </row>
    <row r="5032" ht="15.75" customHeight="1">
      <c r="A5032" s="2">
        <v>6400.0</v>
      </c>
      <c r="B5032" s="2" t="s">
        <v>253</v>
      </c>
      <c r="C5032" s="2" t="s">
        <v>7211</v>
      </c>
      <c r="D5032" s="2" t="s">
        <v>10223</v>
      </c>
      <c r="E5032" s="2" t="s">
        <v>20</v>
      </c>
      <c r="F5032" s="2">
        <v>1.0</v>
      </c>
      <c r="G5032" s="2">
        <v>346.0</v>
      </c>
      <c r="H5032" s="3" t="str">
        <f>HYPERLINK("http://ar.linkedin.com/in/fernandozunino","http://ar.linkedin.com/in/fernandozunino")</f>
        <v>http://ar.linkedin.com/in/fernandozunino</v>
      </c>
      <c r="I5032" s="2" t="s">
        <v>15</v>
      </c>
      <c r="J5032" s="2" t="s">
        <v>21</v>
      </c>
      <c r="K5032" s="2" t="s">
        <v>10224</v>
      </c>
    </row>
    <row r="5033" ht="15.75" customHeight="1">
      <c r="A5033" s="2">
        <v>6403.0</v>
      </c>
      <c r="B5033" s="2" t="s">
        <v>3165</v>
      </c>
      <c r="C5033" s="2" t="s">
        <v>10225</v>
      </c>
      <c r="D5033" s="2" t="s">
        <v>13</v>
      </c>
      <c r="E5033" s="2" t="s">
        <v>20</v>
      </c>
      <c r="F5033" s="2">
        <v>0.0</v>
      </c>
      <c r="G5033" s="2">
        <v>500.0</v>
      </c>
      <c r="H5033" s="3" t="str">
        <f>HYPERLINK("http://www.linkedin.com/pub/luciana-torro/27/80/278","http://www.linkedin.com/pub/luciana-torro/27/80/278")</f>
        <v>http://www.linkedin.com/pub/luciana-torro/27/80/278</v>
      </c>
      <c r="I5033" s="2" t="s">
        <v>458</v>
      </c>
      <c r="J5033" s="2" t="s">
        <v>21</v>
      </c>
      <c r="K5033" s="2" t="s">
        <v>10196</v>
      </c>
    </row>
    <row r="5034" ht="15.75" customHeight="1">
      <c r="A5034" s="2">
        <v>6404.0</v>
      </c>
      <c r="B5034" s="2" t="s">
        <v>10226</v>
      </c>
      <c r="C5034" s="2" t="s">
        <v>10227</v>
      </c>
      <c r="D5034" s="2" t="s">
        <v>10228</v>
      </c>
      <c r="E5034" s="2" t="s">
        <v>20</v>
      </c>
      <c r="F5034" s="2">
        <v>0.0</v>
      </c>
      <c r="G5034" s="2">
        <v>500.0</v>
      </c>
      <c r="H5034" s="3" t="str">
        <f>HYPERLINK("http://ar.linkedin.com/in/clarasiancha","http://ar.linkedin.com/in/clarasiancha")</f>
        <v>http://ar.linkedin.com/in/clarasiancha</v>
      </c>
      <c r="I5034" s="2" t="s">
        <v>105</v>
      </c>
      <c r="J5034" s="2" t="s">
        <v>21</v>
      </c>
      <c r="K5034" s="2" t="s">
        <v>10229</v>
      </c>
    </row>
    <row r="5035" ht="15.75" customHeight="1">
      <c r="A5035" s="2">
        <v>6407.0</v>
      </c>
      <c r="B5035" s="2" t="s">
        <v>10230</v>
      </c>
      <c r="C5035" s="2" t="s">
        <v>10231</v>
      </c>
      <c r="D5035" s="2" t="s">
        <v>10232</v>
      </c>
      <c r="E5035" s="2" t="s">
        <v>1407</v>
      </c>
      <c r="F5035" s="2">
        <v>3.0</v>
      </c>
      <c r="G5035" s="2">
        <v>500.0</v>
      </c>
      <c r="H5035" s="3" t="str">
        <f>HYPERLINK("http://www.linkedin.com/in/vbhasin","http://www.linkedin.com/in/vbhasin")</f>
        <v>http://www.linkedin.com/in/vbhasin</v>
      </c>
      <c r="I5035" s="2" t="s">
        <v>15</v>
      </c>
      <c r="J5035" s="2" t="s">
        <v>102</v>
      </c>
      <c r="K5035" s="2" t="s">
        <v>10233</v>
      </c>
    </row>
    <row r="5036" ht="15.75" customHeight="1">
      <c r="A5036" s="2">
        <v>6447.0</v>
      </c>
      <c r="B5036" s="2" t="s">
        <v>10234</v>
      </c>
      <c r="C5036" s="2" t="s">
        <v>10235</v>
      </c>
      <c r="D5036" s="2" t="s">
        <v>3683</v>
      </c>
      <c r="E5036" s="2" t="s">
        <v>20</v>
      </c>
      <c r="F5036" s="2">
        <v>4.0</v>
      </c>
      <c r="G5036" s="2">
        <v>342.0</v>
      </c>
      <c r="H5036" s="3" t="str">
        <f>HYPERLINK("http://ar.linkedin.com/in/juanemilioinzaurraga","http://ar.linkedin.com/in/juanemilioinzaurraga")</f>
        <v>http://ar.linkedin.com/in/juanemilioinzaurraga</v>
      </c>
      <c r="I5036" s="2" t="s">
        <v>15</v>
      </c>
      <c r="J5036" s="2" t="s">
        <v>21</v>
      </c>
      <c r="K5036" s="2" t="s">
        <v>10180</v>
      </c>
    </row>
    <row r="5037" ht="15.75" customHeight="1">
      <c r="A5037" s="2">
        <v>6451.0</v>
      </c>
      <c r="B5037" s="2" t="s">
        <v>5078</v>
      </c>
      <c r="C5037" s="2" t="s">
        <v>10236</v>
      </c>
      <c r="D5037" s="2" t="s">
        <v>3683</v>
      </c>
      <c r="E5037" s="2" t="s">
        <v>20</v>
      </c>
      <c r="F5037" s="2">
        <v>11.0</v>
      </c>
      <c r="G5037" s="2">
        <v>500.0</v>
      </c>
      <c r="H5037" s="3" t="str">
        <f>HYPERLINK("http://ar.linkedin.com/in/diegogregoraz","http://ar.linkedin.com/in/diegogregoraz")</f>
        <v>http://ar.linkedin.com/in/diegogregoraz</v>
      </c>
      <c r="I5037" s="2" t="s">
        <v>15</v>
      </c>
      <c r="J5037" s="2" t="s">
        <v>21</v>
      </c>
      <c r="K5037" s="2" t="s">
        <v>10180</v>
      </c>
    </row>
    <row r="5038" ht="15.75" customHeight="1">
      <c r="A5038" s="2">
        <v>6459.0</v>
      </c>
      <c r="B5038" s="2" t="s">
        <v>70</v>
      </c>
      <c r="C5038" s="2" t="s">
        <v>10237</v>
      </c>
      <c r="D5038" s="2" t="s">
        <v>347</v>
      </c>
      <c r="E5038" s="2" t="s">
        <v>20</v>
      </c>
      <c r="F5038" s="2">
        <v>5.0</v>
      </c>
      <c r="G5038" s="2">
        <v>119.0</v>
      </c>
      <c r="H5038" s="3" t="str">
        <f>HYPERLINK("http://ar.linkedin.com/in/gustavoreal","http://ar.linkedin.com/in/gustavoreal")</f>
        <v>http://ar.linkedin.com/in/gustavoreal</v>
      </c>
      <c r="I5038" s="2" t="s">
        <v>15</v>
      </c>
      <c r="J5038" s="2" t="s">
        <v>21</v>
      </c>
      <c r="K5038" s="2" t="s">
        <v>10178</v>
      </c>
    </row>
    <row r="5039" ht="15.75" customHeight="1">
      <c r="A5039" s="2">
        <v>6460.0</v>
      </c>
      <c r="B5039" s="2" t="s">
        <v>23</v>
      </c>
      <c r="C5039" s="2" t="s">
        <v>10238</v>
      </c>
      <c r="D5039" s="2" t="s">
        <v>289</v>
      </c>
      <c r="E5039" s="2" t="s">
        <v>20</v>
      </c>
      <c r="F5039" s="2">
        <v>7.0</v>
      </c>
      <c r="G5039" s="2">
        <v>500.0</v>
      </c>
      <c r="H5039" s="3" t="str">
        <f>HYPERLINK("http://ar.linkedin.com/in/juliopessolano","http://ar.linkedin.com/in/juliopessolano")</f>
        <v>http://ar.linkedin.com/in/juliopessolano</v>
      </c>
      <c r="I5039" s="2" t="s">
        <v>15</v>
      </c>
      <c r="J5039" s="2" t="s">
        <v>21</v>
      </c>
      <c r="K5039" s="2" t="s">
        <v>10196</v>
      </c>
    </row>
    <row r="5040" ht="15.75" customHeight="1">
      <c r="A5040" s="2">
        <v>6477.0</v>
      </c>
      <c r="B5040" s="2" t="s">
        <v>6333</v>
      </c>
      <c r="C5040" s="2" t="s">
        <v>10239</v>
      </c>
      <c r="D5040" s="2" t="s">
        <v>10240</v>
      </c>
      <c r="E5040" s="2" t="s">
        <v>1329</v>
      </c>
      <c r="F5040" s="2">
        <v>8.0</v>
      </c>
      <c r="G5040" s="2">
        <v>500.0</v>
      </c>
      <c r="H5040" s="3" t="str">
        <f>HYPERLINK("http://www.linkedin.com/in/rmcasanova","http://www.linkedin.com/in/rmcasanova")</f>
        <v>http://www.linkedin.com/in/rmcasanova</v>
      </c>
      <c r="I5040" s="2" t="s">
        <v>57</v>
      </c>
      <c r="J5040" s="2" t="s">
        <v>102</v>
      </c>
      <c r="K5040" s="2" t="s">
        <v>10241</v>
      </c>
    </row>
    <row r="5041" ht="15.75" customHeight="1">
      <c r="A5041" s="2">
        <v>6513.0</v>
      </c>
      <c r="B5041" s="2" t="s">
        <v>3201</v>
      </c>
      <c r="C5041" s="2" t="s">
        <v>10242</v>
      </c>
      <c r="D5041" s="2" t="s">
        <v>13</v>
      </c>
      <c r="E5041" s="2" t="s">
        <v>20</v>
      </c>
      <c r="F5041" s="2">
        <v>0.0</v>
      </c>
      <c r="G5041" s="2">
        <v>500.0</v>
      </c>
      <c r="H5041" s="3" t="str">
        <f>HYPERLINK("http://www.linkedin.com/pub/sebastian-failoni/10/244/b1b?trk=pub-pbmap","http://www.linkedin.com/pub/sebastian-failoni/10/244/b1b?trk=pub-pbmap")</f>
        <v>http://www.linkedin.com/pub/sebastian-failoni/10/244/b1b?trk=pub-pbmap</v>
      </c>
      <c r="I5041" s="2" t="s">
        <v>15</v>
      </c>
      <c r="J5041" s="2" t="s">
        <v>21</v>
      </c>
      <c r="K5041" s="2" t="s">
        <v>10180</v>
      </c>
    </row>
    <row r="5042" ht="15.75" customHeight="1">
      <c r="A5042" s="2">
        <v>6552.0</v>
      </c>
      <c r="B5042" s="2" t="s">
        <v>10243</v>
      </c>
      <c r="C5042" s="2" t="s">
        <v>460</v>
      </c>
      <c r="D5042" s="2" t="s">
        <v>10244</v>
      </c>
      <c r="E5042" s="2" t="s">
        <v>235</v>
      </c>
      <c r="F5042" s="2">
        <v>16.0</v>
      </c>
      <c r="G5042" s="2">
        <v>439.0</v>
      </c>
      <c r="H5042" s="3" t="str">
        <f>HYPERLINK("http://www.linkedin.com/pub/annamma-john/5/30B/BA","http://www.linkedin.com/pub/annamma-john/5/30B/BA")</f>
        <v>http://www.linkedin.com/pub/annamma-john/5/30B/BA</v>
      </c>
      <c r="I5042" s="2" t="s">
        <v>69</v>
      </c>
      <c r="J5042" s="2" t="s">
        <v>102</v>
      </c>
      <c r="K5042" s="2" t="s">
        <v>10245</v>
      </c>
    </row>
    <row r="5043" ht="15.75" customHeight="1">
      <c r="A5043" s="2">
        <v>6554.0</v>
      </c>
      <c r="B5043" s="2" t="s">
        <v>10246</v>
      </c>
      <c r="C5043" s="2" t="s">
        <v>10247</v>
      </c>
      <c r="D5043" s="2" t="s">
        <v>5757</v>
      </c>
      <c r="E5043" s="2" t="s">
        <v>628</v>
      </c>
      <c r="F5043" s="2">
        <v>4.0</v>
      </c>
      <c r="G5043" s="2">
        <v>76.0</v>
      </c>
      <c r="H5043" s="3" t="str">
        <f>HYPERLINK("http://www.linkedin.com/in/splakhin","http://www.linkedin.com/in/splakhin")</f>
        <v>http://www.linkedin.com/in/splakhin</v>
      </c>
      <c r="I5043" s="2" t="s">
        <v>105</v>
      </c>
      <c r="J5043" s="2" t="s">
        <v>102</v>
      </c>
      <c r="K5043" s="2" t="s">
        <v>10209</v>
      </c>
    </row>
    <row r="5044" ht="15.75" customHeight="1">
      <c r="A5044" s="2">
        <v>6573.0</v>
      </c>
      <c r="B5044" s="2" t="s">
        <v>845</v>
      </c>
      <c r="C5044" s="2" t="s">
        <v>10248</v>
      </c>
      <c r="D5044" s="2"/>
      <c r="E5044" s="2" t="s">
        <v>1407</v>
      </c>
      <c r="F5044" s="2">
        <v>1.0</v>
      </c>
      <c r="G5044" s="2">
        <v>500.0</v>
      </c>
      <c r="H5044" s="3" t="str">
        <f>HYPERLINK("http://www.linkedin.com/in/ashtonbach","http://www.linkedin.com/in/ashtonbach")</f>
        <v>http://www.linkedin.com/in/ashtonbach</v>
      </c>
      <c r="I5044" s="2" t="s">
        <v>48</v>
      </c>
      <c r="J5044" s="2" t="s">
        <v>102</v>
      </c>
      <c r="K5044" s="2" t="s">
        <v>10184</v>
      </c>
    </row>
    <row r="5045" ht="15.75" customHeight="1">
      <c r="A5045" s="2">
        <v>6574.0</v>
      </c>
      <c r="B5045" s="2" t="s">
        <v>5389</v>
      </c>
      <c r="C5045" s="2" t="s">
        <v>10249</v>
      </c>
      <c r="D5045" s="2" t="s">
        <v>10250</v>
      </c>
      <c r="E5045" s="2" t="s">
        <v>20</v>
      </c>
      <c r="F5045" s="2">
        <v>11.0</v>
      </c>
      <c r="G5045" s="2">
        <v>481.0</v>
      </c>
      <c r="H5045" s="3" t="str">
        <f>HYPERLINK("http://ar.linkedin.com/in/paulayanuszczyk","http://ar.linkedin.com/in/paulayanuszczyk")</f>
        <v>http://ar.linkedin.com/in/paulayanuszczyk</v>
      </c>
      <c r="I5045" s="2" t="s">
        <v>48</v>
      </c>
      <c r="J5045" s="2" t="s">
        <v>21</v>
      </c>
      <c r="K5045" s="2" t="s">
        <v>10196</v>
      </c>
    </row>
    <row r="5046" ht="15.75" customHeight="1">
      <c r="A5046" s="2">
        <v>6588.0</v>
      </c>
      <c r="B5046" s="2" t="s">
        <v>275</v>
      </c>
      <c r="C5046" s="2" t="s">
        <v>10251</v>
      </c>
      <c r="D5046" s="2"/>
      <c r="E5046" s="2" t="s">
        <v>136</v>
      </c>
      <c r="F5046" s="2">
        <v>22.0</v>
      </c>
      <c r="G5046" s="2">
        <v>500.0</v>
      </c>
      <c r="H5046" s="3" t="str">
        <f>HYPERLINK("http://www.linkedin.com/in/markaceves","http://www.linkedin.com/in/markaceves")</f>
        <v>http://www.linkedin.com/in/markaceves</v>
      </c>
      <c r="I5046" s="2" t="s">
        <v>69</v>
      </c>
      <c r="J5046" s="2" t="s">
        <v>102</v>
      </c>
      <c r="K5046" s="2" t="s">
        <v>10176</v>
      </c>
    </row>
    <row r="5047" ht="15.75" customHeight="1">
      <c r="A5047" s="2">
        <v>6605.0</v>
      </c>
      <c r="B5047" s="2" t="s">
        <v>3015</v>
      </c>
      <c r="C5047" s="2" t="s">
        <v>10252</v>
      </c>
      <c r="D5047" s="2" t="s">
        <v>13</v>
      </c>
      <c r="E5047" s="2" t="s">
        <v>397</v>
      </c>
      <c r="F5047" s="2">
        <v>0.0</v>
      </c>
      <c r="G5047" s="2">
        <v>500.0</v>
      </c>
      <c r="H5047" s="3" t="str">
        <f>HYPERLINK("https://www.linkedin.com/in/ltsiros","https://www.linkedin.com/in/ltsiros")</f>
        <v>https://www.linkedin.com/in/ltsiros</v>
      </c>
      <c r="I5047" s="2" t="s">
        <v>15</v>
      </c>
      <c r="J5047" s="2" t="s">
        <v>102</v>
      </c>
      <c r="K5047" s="2" t="s">
        <v>10176</v>
      </c>
    </row>
    <row r="5048" ht="15.75" customHeight="1">
      <c r="A5048" s="2">
        <v>6624.0</v>
      </c>
      <c r="B5048" s="2" t="s">
        <v>201</v>
      </c>
      <c r="C5048" s="2" t="s">
        <v>10253</v>
      </c>
      <c r="D5048" s="2" t="s">
        <v>10254</v>
      </c>
      <c r="E5048" s="2" t="s">
        <v>20</v>
      </c>
      <c r="F5048" s="2">
        <v>12.0</v>
      </c>
      <c r="G5048" s="2">
        <v>373.0</v>
      </c>
      <c r="H5048" s="3" t="str">
        <f>HYPERLINK("http://ar.linkedin.com/pub/natalia-alimonda/8/9A7/421","http://ar.linkedin.com/pub/natalia-alimonda/8/9A7/421")</f>
        <v>http://ar.linkedin.com/pub/natalia-alimonda/8/9A7/421</v>
      </c>
      <c r="I5048" s="2" t="s">
        <v>15</v>
      </c>
      <c r="J5048" s="2" t="s">
        <v>21</v>
      </c>
      <c r="K5048" s="2" t="s">
        <v>10196</v>
      </c>
    </row>
    <row r="5049" ht="15.75" customHeight="1">
      <c r="A5049" s="2">
        <v>6631.0</v>
      </c>
      <c r="B5049" s="2" t="s">
        <v>3072</v>
      </c>
      <c r="C5049" s="2" t="s">
        <v>10255</v>
      </c>
      <c r="D5049" s="2" t="s">
        <v>10256</v>
      </c>
      <c r="E5049" s="2" t="s">
        <v>101</v>
      </c>
      <c r="F5049" s="2">
        <v>1.0</v>
      </c>
      <c r="G5049" s="2">
        <v>26.0</v>
      </c>
      <c r="H5049" s="3" t="str">
        <f>HYPERLINK("http://www.linkedin.com/pub/luis-gutman/8/839/801","http://www.linkedin.com/pub/luis-gutman/8/839/801")</f>
        <v>http://www.linkedin.com/pub/luis-gutman/8/839/801</v>
      </c>
      <c r="I5049" s="2" t="s">
        <v>15</v>
      </c>
      <c r="J5049" s="2" t="s">
        <v>102</v>
      </c>
      <c r="K5049" s="2" t="s">
        <v>10180</v>
      </c>
    </row>
    <row r="5050" ht="15.75" customHeight="1">
      <c r="A5050" s="2">
        <v>6645.0</v>
      </c>
      <c r="B5050" s="2" t="s">
        <v>3201</v>
      </c>
      <c r="C5050" s="2" t="s">
        <v>10257</v>
      </c>
      <c r="D5050" s="2" t="s">
        <v>10258</v>
      </c>
      <c r="E5050" s="2" t="s">
        <v>20</v>
      </c>
      <c r="F5050" s="2">
        <v>4.0</v>
      </c>
      <c r="G5050" s="2">
        <v>235.0</v>
      </c>
      <c r="H5050" s="3" t="str">
        <f>HYPERLINK("http://ar.linkedin.com/pub/sebastian-jacobs/3/A06/480","http://ar.linkedin.com/pub/sebastian-jacobs/3/A06/480")</f>
        <v>http://ar.linkedin.com/pub/sebastian-jacobs/3/A06/480</v>
      </c>
      <c r="I5050" s="2" t="s">
        <v>15</v>
      </c>
      <c r="J5050" s="2" t="s">
        <v>21</v>
      </c>
      <c r="K5050" s="2" t="s">
        <v>10196</v>
      </c>
    </row>
    <row r="5051" ht="15.75" customHeight="1">
      <c r="A5051" s="2">
        <v>6653.0</v>
      </c>
      <c r="B5051" s="2" t="s">
        <v>5803</v>
      </c>
      <c r="C5051" s="2" t="s">
        <v>10259</v>
      </c>
      <c r="D5051" s="2" t="s">
        <v>13</v>
      </c>
      <c r="E5051" s="2" t="s">
        <v>20</v>
      </c>
      <c r="F5051" s="2">
        <v>6.0</v>
      </c>
      <c r="G5051" s="2">
        <v>171.0</v>
      </c>
      <c r="H5051" s="3" t="str">
        <f>HYPERLINK("http://www.linkedin.com/pub/mariano-birnios/4/811/2b7","http://www.linkedin.com/pub/mariano-birnios/4/811/2b7")</f>
        <v>http://www.linkedin.com/pub/mariano-birnios/4/811/2b7</v>
      </c>
      <c r="I5051" s="2" t="s">
        <v>48</v>
      </c>
      <c r="J5051" s="2" t="s">
        <v>21</v>
      </c>
      <c r="K5051" s="2" t="s">
        <v>10196</v>
      </c>
    </row>
    <row r="5052" ht="15.75" customHeight="1">
      <c r="A5052" s="2">
        <v>6655.0</v>
      </c>
      <c r="B5052" s="2" t="s">
        <v>2198</v>
      </c>
      <c r="C5052" s="2" t="s">
        <v>10260</v>
      </c>
      <c r="D5052" s="2" t="s">
        <v>10261</v>
      </c>
      <c r="E5052" s="2" t="s">
        <v>2058</v>
      </c>
      <c r="F5052" s="2">
        <v>0.0</v>
      </c>
      <c r="G5052" s="2">
        <v>238.0</v>
      </c>
      <c r="H5052" s="3" t="str">
        <f>HYPERLINK("http://www.linkedin.com/pub/neil-schwan-neil-schwan-gmail-com-/2/30B/1B9","http://www.linkedin.com/pub/neil-schwan-neil-schwan-gmail-com-/2/30B/1B9")</f>
        <v>http://www.linkedin.com/pub/neil-schwan-neil-schwan-gmail-com-/2/30B/1B9</v>
      </c>
      <c r="I5052" s="2" t="s">
        <v>48</v>
      </c>
      <c r="J5052" s="2" t="s">
        <v>102</v>
      </c>
      <c r="K5052" s="2" t="s">
        <v>10184</v>
      </c>
    </row>
    <row r="5053" ht="15.75" customHeight="1">
      <c r="A5053" s="2">
        <v>6662.0</v>
      </c>
      <c r="B5053" s="2" t="s">
        <v>10262</v>
      </c>
      <c r="C5053" s="2" t="s">
        <v>369</v>
      </c>
      <c r="D5053" s="2" t="s">
        <v>13</v>
      </c>
      <c r="E5053" s="2" t="s">
        <v>136</v>
      </c>
      <c r="F5053" s="2">
        <v>0.0</v>
      </c>
      <c r="G5053" s="2">
        <v>500.0</v>
      </c>
      <c r="H5053" s="3" t="str">
        <f>HYPERLINK("https://www.linkedin.com/in/vineetsharma","https://www.linkedin.com/in/vineetsharma")</f>
        <v>https://www.linkedin.com/in/vineetsharma</v>
      </c>
      <c r="I5053" s="2" t="s">
        <v>1496</v>
      </c>
      <c r="J5053" s="2" t="s">
        <v>102</v>
      </c>
      <c r="K5053" s="2" t="s">
        <v>10263</v>
      </c>
    </row>
    <row r="5054" ht="15.75" customHeight="1">
      <c r="A5054" s="2">
        <v>6670.0</v>
      </c>
      <c r="B5054" s="2" t="s">
        <v>1676</v>
      </c>
      <c r="C5054" s="2" t="s">
        <v>10264</v>
      </c>
      <c r="D5054" s="2" t="s">
        <v>13</v>
      </c>
      <c r="E5054" s="2" t="s">
        <v>20</v>
      </c>
      <c r="F5054" s="2">
        <v>7.0</v>
      </c>
      <c r="G5054" s="2">
        <v>500.0</v>
      </c>
      <c r="H5054" s="3" t="str">
        <f>HYPERLINK("http://www.linkedin.com/in/raulbajales","http://www.linkedin.com/in/raulbajales")</f>
        <v>http://www.linkedin.com/in/raulbajales</v>
      </c>
      <c r="I5054" s="2" t="s">
        <v>15</v>
      </c>
      <c r="J5054" s="2" t="s">
        <v>21</v>
      </c>
      <c r="K5054" s="2" t="s">
        <v>10173</v>
      </c>
    </row>
    <row r="5055" ht="15.75" customHeight="1">
      <c r="A5055" s="2">
        <v>6690.0</v>
      </c>
      <c r="B5055" s="2" t="s">
        <v>460</v>
      </c>
      <c r="C5055" s="2" t="s">
        <v>10265</v>
      </c>
      <c r="D5055" s="2"/>
      <c r="E5055" s="2" t="s">
        <v>301</v>
      </c>
      <c r="F5055" s="2">
        <v>13.0</v>
      </c>
      <c r="G5055" s="2">
        <v>444.0</v>
      </c>
      <c r="H5055" s="3" t="str">
        <f>HYPERLINK("http://www.linkedin.com/in/jtubert","http://www.linkedin.com/in/jtubert")</f>
        <v>http://www.linkedin.com/in/jtubert</v>
      </c>
      <c r="I5055" s="2" t="s">
        <v>326</v>
      </c>
      <c r="J5055" s="2" t="s">
        <v>102</v>
      </c>
      <c r="K5055" s="2" t="s">
        <v>10206</v>
      </c>
    </row>
    <row r="5056" ht="15.75" customHeight="1">
      <c r="A5056" s="2">
        <v>6719.0</v>
      </c>
      <c r="B5056" s="2" t="s">
        <v>264</v>
      </c>
      <c r="C5056" s="2" t="s">
        <v>4233</v>
      </c>
      <c r="D5056" s="2"/>
      <c r="E5056" s="2" t="s">
        <v>1190</v>
      </c>
      <c r="F5056" s="2">
        <v>2.0</v>
      </c>
      <c r="G5056" s="2">
        <v>500.0</v>
      </c>
      <c r="H5056" s="3" t="str">
        <f>HYPERLINK("http://www.linkedin.com/pub/andres-gonzalez/1/53A/697","http://www.linkedin.com/pub/andres-gonzalez/1/53A/697")</f>
        <v>http://www.linkedin.com/pub/andres-gonzalez/1/53A/697</v>
      </c>
      <c r="I5056" s="2" t="s">
        <v>15</v>
      </c>
      <c r="J5056" s="2" t="s">
        <v>102</v>
      </c>
      <c r="K5056" s="2" t="s">
        <v>10184</v>
      </c>
    </row>
    <row r="5057" ht="15.75" customHeight="1">
      <c r="A5057" s="2">
        <v>6723.0</v>
      </c>
      <c r="B5057" s="2" t="s">
        <v>862</v>
      </c>
      <c r="C5057" s="2" t="s">
        <v>10266</v>
      </c>
      <c r="D5057" s="2" t="s">
        <v>10267</v>
      </c>
      <c r="E5057" s="2" t="s">
        <v>20</v>
      </c>
      <c r="F5057" s="2">
        <v>2.0</v>
      </c>
      <c r="G5057" s="2">
        <v>326.0</v>
      </c>
      <c r="H5057" s="3" t="str">
        <f>HYPERLINK("http://www.linkedin.com/pub/gabriel-guardincerri/1/615/58b","http://www.linkedin.com/pub/gabriel-guardincerri/1/615/58b")</f>
        <v>http://www.linkedin.com/pub/gabriel-guardincerri/1/615/58b</v>
      </c>
      <c r="I5057" s="2" t="s">
        <v>48</v>
      </c>
      <c r="J5057" s="2" t="s">
        <v>21</v>
      </c>
      <c r="K5057" s="2" t="s">
        <v>10268</v>
      </c>
    </row>
    <row r="5058" ht="15.75" customHeight="1">
      <c r="A5058" s="2">
        <v>6726.0</v>
      </c>
      <c r="B5058" s="2" t="s">
        <v>389</v>
      </c>
      <c r="C5058" s="2" t="s">
        <v>10269</v>
      </c>
      <c r="D5058" s="2" t="s">
        <v>5668</v>
      </c>
      <c r="E5058" s="2" t="s">
        <v>971</v>
      </c>
      <c r="F5058" s="2">
        <v>1.0</v>
      </c>
      <c r="G5058" s="2">
        <v>396.0</v>
      </c>
      <c r="H5058" s="3" t="str">
        <f>HYPERLINK("http://ar.linkedin.com/pub/jos-antollini/0/696/84B","http://ar.linkedin.com/pub/jos-antollini/0/696/84B")</f>
        <v>http://ar.linkedin.com/pub/jos-antollini/0/696/84B</v>
      </c>
      <c r="I5058" s="2" t="s">
        <v>15</v>
      </c>
      <c r="J5058" s="2" t="s">
        <v>102</v>
      </c>
      <c r="K5058" s="2" t="s">
        <v>10184</v>
      </c>
    </row>
    <row r="5059" ht="15.75" customHeight="1">
      <c r="A5059" s="2">
        <v>6731.0</v>
      </c>
      <c r="B5059" s="2" t="s">
        <v>523</v>
      </c>
      <c r="C5059" s="2" t="s">
        <v>10270</v>
      </c>
      <c r="D5059" s="2" t="s">
        <v>10271</v>
      </c>
      <c r="E5059" s="2" t="s">
        <v>20</v>
      </c>
      <c r="F5059" s="2">
        <v>2.0</v>
      </c>
      <c r="G5059" s="2">
        <v>500.0</v>
      </c>
      <c r="H5059" s="3" t="str">
        <f>HYPERLINK("http://ar.linkedin.com/in/ignaciotissera","http://ar.linkedin.com/in/ignaciotissera")</f>
        <v>http://ar.linkedin.com/in/ignaciotissera</v>
      </c>
      <c r="I5059" s="2" t="s">
        <v>48</v>
      </c>
      <c r="J5059" s="2" t="s">
        <v>21</v>
      </c>
      <c r="K5059" s="2" t="s">
        <v>10196</v>
      </c>
    </row>
    <row r="5060" ht="15.75" customHeight="1">
      <c r="A5060" s="2">
        <v>6764.0</v>
      </c>
      <c r="B5060" s="2" t="s">
        <v>10272</v>
      </c>
      <c r="C5060" s="2" t="s">
        <v>10273</v>
      </c>
      <c r="D5060" s="2" t="s">
        <v>10274</v>
      </c>
      <c r="E5060" s="2" t="s">
        <v>1041</v>
      </c>
      <c r="F5060" s="2">
        <v>0.0</v>
      </c>
      <c r="G5060" s="2">
        <v>377.0</v>
      </c>
      <c r="H5060" s="3" t="str">
        <f>HYPERLINK("http://www.linkedin.com/pub/rajesh-baskaran/8/4A2/B1A","http://www.linkedin.com/pub/rajesh-baskaran/8/4A2/B1A")</f>
        <v>http://www.linkedin.com/pub/rajesh-baskaran/8/4A2/B1A</v>
      </c>
      <c r="I5060" s="2" t="s">
        <v>15</v>
      </c>
      <c r="J5060" s="2" t="s">
        <v>102</v>
      </c>
      <c r="K5060" s="2" t="s">
        <v>10233</v>
      </c>
    </row>
    <row r="5061" ht="15.75" customHeight="1">
      <c r="A5061" s="2">
        <v>6766.0</v>
      </c>
      <c r="B5061" s="2" t="s">
        <v>10275</v>
      </c>
      <c r="C5061" s="2" t="s">
        <v>10276</v>
      </c>
      <c r="D5061" s="2" t="s">
        <v>10277</v>
      </c>
      <c r="E5061" s="2" t="s">
        <v>1407</v>
      </c>
      <c r="F5061" s="2">
        <v>11.0</v>
      </c>
      <c r="G5061" s="2">
        <v>500.0</v>
      </c>
      <c r="H5061" s="3" t="str">
        <f>HYPERLINK("http://www.linkedin.com/in/bkadarsh","http://www.linkedin.com/in/bkadarsh")</f>
        <v>http://www.linkedin.com/in/bkadarsh</v>
      </c>
      <c r="I5061" s="2" t="s">
        <v>48</v>
      </c>
      <c r="J5061" s="2" t="s">
        <v>102</v>
      </c>
      <c r="K5061" s="2" t="s">
        <v>10263</v>
      </c>
    </row>
    <row r="5062" ht="15.75" customHeight="1">
      <c r="A5062" s="2">
        <v>6768.0</v>
      </c>
      <c r="B5062" s="2" t="s">
        <v>302</v>
      </c>
      <c r="C5062" s="2" t="s">
        <v>10278</v>
      </c>
      <c r="D5062" s="2" t="s">
        <v>10279</v>
      </c>
      <c r="E5062" s="2" t="s">
        <v>1407</v>
      </c>
      <c r="F5062" s="2">
        <v>6.0</v>
      </c>
      <c r="G5062" s="2">
        <v>376.0</v>
      </c>
      <c r="H5062" s="3" t="str">
        <f>HYPERLINK("http://www.linkedin.com/in/billjones9","http://www.linkedin.com/in/billjones9")</f>
        <v>http://www.linkedin.com/in/billjones9</v>
      </c>
      <c r="I5062" s="2" t="s">
        <v>458</v>
      </c>
      <c r="J5062" s="2" t="s">
        <v>102</v>
      </c>
      <c r="K5062" s="2" t="s">
        <v>10180</v>
      </c>
    </row>
    <row r="5063" ht="15.75" customHeight="1">
      <c r="A5063" s="2">
        <v>6775.0</v>
      </c>
      <c r="B5063" s="2" t="s">
        <v>3409</v>
      </c>
      <c r="C5063" s="2" t="s">
        <v>10280</v>
      </c>
      <c r="D5063" s="2" t="s">
        <v>10281</v>
      </c>
      <c r="E5063" s="2" t="s">
        <v>101</v>
      </c>
      <c r="F5063" s="2">
        <v>5.0</v>
      </c>
      <c r="G5063" s="2">
        <v>183.0</v>
      </c>
      <c r="H5063" s="3" t="str">
        <f>HYPERLINK("http://www.linkedin.com/in/judysun","http://www.linkedin.com/in/judysun")</f>
        <v>http://www.linkedin.com/in/judysun</v>
      </c>
      <c r="I5063" s="2" t="s">
        <v>160</v>
      </c>
      <c r="J5063" s="2" t="s">
        <v>102</v>
      </c>
      <c r="K5063" s="2" t="s">
        <v>10178</v>
      </c>
    </row>
    <row r="5064" ht="15.75" customHeight="1">
      <c r="A5064" s="2">
        <v>6807.0</v>
      </c>
      <c r="B5064" s="2" t="s">
        <v>10282</v>
      </c>
      <c r="C5064" s="2" t="s">
        <v>2635</v>
      </c>
      <c r="D5064" s="2" t="s">
        <v>5066</v>
      </c>
      <c r="E5064" s="2" t="s">
        <v>2080</v>
      </c>
      <c r="F5064" s="2">
        <v>5.0</v>
      </c>
      <c r="G5064" s="2">
        <v>367.0</v>
      </c>
      <c r="H5064" s="3" t="str">
        <f>HYPERLINK("http://www.linkedin.com/in/jerryjackson","http://www.linkedin.com/in/jerryjackson")</f>
        <v>http://www.linkedin.com/in/jerryjackson</v>
      </c>
      <c r="I5064" s="2" t="s">
        <v>599</v>
      </c>
      <c r="J5064" s="2" t="s">
        <v>102</v>
      </c>
      <c r="K5064" s="2" t="s">
        <v>10209</v>
      </c>
    </row>
    <row r="5065" ht="15.75" customHeight="1">
      <c r="A5065" s="2">
        <v>6809.0</v>
      </c>
      <c r="B5065" s="2" t="s">
        <v>6012</v>
      </c>
      <c r="C5065" s="2" t="s">
        <v>6207</v>
      </c>
      <c r="D5065" s="2" t="s">
        <v>10283</v>
      </c>
      <c r="E5065" s="2" t="s">
        <v>20</v>
      </c>
      <c r="F5065" s="2">
        <v>2.0</v>
      </c>
      <c r="G5065" s="2">
        <v>200.0</v>
      </c>
      <c r="H5065" s="3" t="str">
        <f>HYPERLINK("http://ar.linkedin.com/pub/hern%C3%A1n-alvarez/18/391/726","http://ar.linkedin.com/pub/hern%C3%A1n-alvarez/18/391/726")</f>
        <v>http://ar.linkedin.com/pub/hern%C3%A1n-alvarez/18/391/726</v>
      </c>
      <c r="I5065" s="2" t="s">
        <v>69</v>
      </c>
      <c r="J5065" s="2" t="s">
        <v>21</v>
      </c>
      <c r="K5065" s="2" t="s">
        <v>10196</v>
      </c>
    </row>
    <row r="5066" ht="15.75" customHeight="1">
      <c r="A5066" s="2">
        <v>7100.0</v>
      </c>
      <c r="B5066" s="2" t="s">
        <v>471</v>
      </c>
      <c r="C5066" s="2" t="s">
        <v>10284</v>
      </c>
      <c r="D5066" s="2"/>
      <c r="E5066" s="2" t="s">
        <v>542</v>
      </c>
      <c r="F5066" s="2">
        <v>0.0</v>
      </c>
      <c r="G5066" s="2">
        <v>500.0</v>
      </c>
      <c r="H5066" s="3" t="str">
        <f>HYPERLINK("http://www.linkedin.com/pub/dan-diephouse/0/35/44B","http://www.linkedin.com/pub/dan-diephouse/0/35/44B")</f>
        <v>http://www.linkedin.com/pub/dan-diephouse/0/35/44B</v>
      </c>
      <c r="I5066" s="2" t="s">
        <v>48</v>
      </c>
      <c r="J5066" s="2" t="s">
        <v>102</v>
      </c>
      <c r="K5066" s="2" t="s">
        <v>10184</v>
      </c>
    </row>
    <row r="5067" ht="15.75" customHeight="1">
      <c r="A5067" s="2">
        <v>7320.0</v>
      </c>
      <c r="B5067" s="2" t="s">
        <v>412</v>
      </c>
      <c r="C5067" s="2" t="s">
        <v>1588</v>
      </c>
      <c r="D5067" s="2" t="s">
        <v>10285</v>
      </c>
      <c r="E5067" s="2" t="s">
        <v>5072</v>
      </c>
      <c r="F5067" s="2">
        <v>4.0</v>
      </c>
      <c r="G5067" s="2">
        <v>242.0</v>
      </c>
      <c r="H5067" s="3" t="str">
        <f>HYPERLINK("http://www.linkedin.com/pub/robert-barnes/6/A11/1","http://www.linkedin.com/pub/robert-barnes/6/A11/1")</f>
        <v>http://www.linkedin.com/pub/robert-barnes/6/A11/1</v>
      </c>
      <c r="I5067" s="2" t="s">
        <v>15</v>
      </c>
      <c r="J5067" s="2" t="s">
        <v>102</v>
      </c>
      <c r="K5067" s="2" t="s">
        <v>10286</v>
      </c>
    </row>
    <row r="5068" ht="15.75" customHeight="1">
      <c r="A5068" s="2">
        <v>7321.0</v>
      </c>
      <c r="B5068" s="2" t="s">
        <v>341</v>
      </c>
      <c r="C5068" s="2" t="s">
        <v>10287</v>
      </c>
      <c r="D5068" s="2" t="s">
        <v>10288</v>
      </c>
      <c r="E5068" s="2" t="s">
        <v>181</v>
      </c>
      <c r="F5068" s="2">
        <v>0.0</v>
      </c>
      <c r="G5068" s="2">
        <v>120.0</v>
      </c>
      <c r="H5068" s="3" t="str">
        <f>HYPERLINK("http://www.linkedin.com/pub/kevin-gaudio/7/A89/615","http://www.linkedin.com/pub/kevin-gaudio/7/A89/615")</f>
        <v>http://www.linkedin.com/pub/kevin-gaudio/7/A89/615</v>
      </c>
      <c r="I5068" s="2" t="s">
        <v>160</v>
      </c>
      <c r="J5068" s="2" t="s">
        <v>102</v>
      </c>
      <c r="K5068" s="2" t="s">
        <v>10233</v>
      </c>
    </row>
    <row r="5069" ht="15.75" customHeight="1">
      <c r="A5069" s="2">
        <v>7330.0</v>
      </c>
      <c r="B5069" s="2" t="s">
        <v>353</v>
      </c>
      <c r="C5069" s="2" t="s">
        <v>10289</v>
      </c>
      <c r="D5069" s="2" t="s">
        <v>10290</v>
      </c>
      <c r="E5069" s="2" t="s">
        <v>20</v>
      </c>
      <c r="F5069" s="2">
        <v>3.0</v>
      </c>
      <c r="G5069" s="2">
        <v>337.0</v>
      </c>
      <c r="H5069" s="3" t="str">
        <f>HYPERLINK("http://ar.linkedin.com/pub/alejandro-puche/8/12B/729","http://ar.linkedin.com/pub/alejandro-puche/8/12B/729")</f>
        <v>http://ar.linkedin.com/pub/alejandro-puche/8/12B/729</v>
      </c>
      <c r="I5069" s="2" t="s">
        <v>15</v>
      </c>
      <c r="J5069" s="2" t="s">
        <v>21</v>
      </c>
      <c r="K5069" s="2" t="s">
        <v>10196</v>
      </c>
    </row>
    <row r="5070" ht="15.75" customHeight="1">
      <c r="A5070" s="2">
        <v>7334.0</v>
      </c>
      <c r="B5070" s="2" t="s">
        <v>5078</v>
      </c>
      <c r="C5070" s="2" t="s">
        <v>10291</v>
      </c>
      <c r="D5070" s="2" t="s">
        <v>13</v>
      </c>
      <c r="E5070" s="2" t="s">
        <v>20</v>
      </c>
      <c r="F5070" s="2">
        <v>1.0</v>
      </c>
      <c r="G5070" s="2">
        <v>373.0</v>
      </c>
      <c r="H5070" s="3" t="str">
        <f>HYPERLINK("http://www.linkedin.com/pub/diego-lastorta/2b/5a7/15","http://www.linkedin.com/pub/diego-lastorta/2b/5a7/15")</f>
        <v>http://www.linkedin.com/pub/diego-lastorta/2b/5a7/15</v>
      </c>
      <c r="I5070" s="2" t="s">
        <v>15</v>
      </c>
      <c r="J5070" s="2" t="s">
        <v>21</v>
      </c>
      <c r="K5070" s="2" t="s">
        <v>10173</v>
      </c>
    </row>
    <row r="5071" ht="15.75" customHeight="1">
      <c r="A5071" s="2">
        <v>7340.0</v>
      </c>
      <c r="B5071" s="2" t="s">
        <v>4304</v>
      </c>
      <c r="C5071" s="2" t="s">
        <v>7617</v>
      </c>
      <c r="D5071" s="2" t="s">
        <v>10292</v>
      </c>
      <c r="E5071" s="2" t="s">
        <v>20</v>
      </c>
      <c r="F5071" s="2">
        <v>13.0</v>
      </c>
      <c r="G5071" s="2">
        <v>500.0</v>
      </c>
      <c r="H5071" s="3" t="str">
        <f>HYPERLINK("http://ar.linkedin.com/in/leandrogimeno","http://ar.linkedin.com/in/leandrogimeno")</f>
        <v>http://ar.linkedin.com/in/leandrogimeno</v>
      </c>
      <c r="I5071" s="2" t="s">
        <v>48</v>
      </c>
      <c r="J5071" s="2" t="s">
        <v>21</v>
      </c>
      <c r="K5071" s="2" t="s">
        <v>10178</v>
      </c>
    </row>
    <row r="5072" ht="15.75" customHeight="1">
      <c r="A5072" s="2">
        <v>7349.0</v>
      </c>
      <c r="B5072" s="2" t="s">
        <v>10293</v>
      </c>
      <c r="C5072" s="2" t="s">
        <v>6784</v>
      </c>
      <c r="D5072" s="2" t="s">
        <v>347</v>
      </c>
      <c r="E5072" s="2" t="s">
        <v>20</v>
      </c>
      <c r="F5072" s="2">
        <v>6.0</v>
      </c>
      <c r="G5072" s="2">
        <v>353.0</v>
      </c>
      <c r="H5072" s="3" t="str">
        <f>HYPERLINK("http://ar.linkedin.com/in/pablohpetrone","http://ar.linkedin.com/in/pablohpetrone")</f>
        <v>http://ar.linkedin.com/in/pablohpetrone</v>
      </c>
      <c r="I5072" s="2" t="s">
        <v>15</v>
      </c>
      <c r="J5072" s="2" t="s">
        <v>21</v>
      </c>
      <c r="K5072" s="2" t="s">
        <v>10178</v>
      </c>
    </row>
    <row r="5073" ht="15.75" customHeight="1">
      <c r="A5073" s="2">
        <v>7355.0</v>
      </c>
      <c r="B5073" s="2" t="s">
        <v>10294</v>
      </c>
      <c r="C5073" s="2" t="s">
        <v>1585</v>
      </c>
      <c r="D5073" s="2" t="s">
        <v>10295</v>
      </c>
      <c r="E5073" s="2" t="s">
        <v>989</v>
      </c>
      <c r="F5073" s="2">
        <v>26.0</v>
      </c>
      <c r="G5073" s="2">
        <v>224.0</v>
      </c>
      <c r="H5073" s="3" t="str">
        <f>HYPERLINK("http://www.linkedin.com/in/shjthomas","http://www.linkedin.com/in/shjthomas")</f>
        <v>http://www.linkedin.com/in/shjthomas</v>
      </c>
      <c r="I5073" s="2" t="s">
        <v>15</v>
      </c>
      <c r="J5073" s="2" t="s">
        <v>102</v>
      </c>
      <c r="K5073" s="2" t="s">
        <v>10245</v>
      </c>
    </row>
    <row r="5074" ht="15.75" customHeight="1">
      <c r="A5074" s="2">
        <v>7356.0</v>
      </c>
      <c r="B5074" s="2" t="s">
        <v>1087</v>
      </c>
      <c r="C5074" s="2" t="s">
        <v>10296</v>
      </c>
      <c r="D5074" s="2" t="s">
        <v>6963</v>
      </c>
      <c r="E5074" s="2" t="s">
        <v>10297</v>
      </c>
      <c r="F5074" s="2">
        <v>0.0</v>
      </c>
      <c r="G5074" s="2">
        <v>251.0</v>
      </c>
      <c r="H5074" s="3" t="str">
        <f>HYPERLINK("http://www.linkedin.com/pub/jim-dziak/11/392/866","http://www.linkedin.com/pub/jim-dziak/11/392/866")</f>
        <v>http://www.linkedin.com/pub/jim-dziak/11/392/866</v>
      </c>
      <c r="I5074" s="2" t="s">
        <v>15</v>
      </c>
      <c r="J5074" s="2" t="s">
        <v>102</v>
      </c>
      <c r="K5074" s="2" t="s">
        <v>10298</v>
      </c>
    </row>
    <row r="5075" ht="15.75" customHeight="1">
      <c r="A5075" s="2">
        <v>7364.0</v>
      </c>
      <c r="B5075" s="2" t="s">
        <v>197</v>
      </c>
      <c r="C5075" s="2" t="s">
        <v>5930</v>
      </c>
      <c r="D5075" s="2" t="s">
        <v>10299</v>
      </c>
      <c r="E5075" s="2" t="s">
        <v>20</v>
      </c>
      <c r="F5075" s="2">
        <v>8.0</v>
      </c>
      <c r="G5075" s="2">
        <v>250.0</v>
      </c>
      <c r="H5075" s="3" t="str">
        <f>HYPERLINK("http://ar.linkedin.com/in/hectorpizarro","http://ar.linkedin.com/in/hectorpizarro")</f>
        <v>http://ar.linkedin.com/in/hectorpizarro</v>
      </c>
      <c r="I5075" s="2" t="s">
        <v>143</v>
      </c>
      <c r="J5075" s="2" t="s">
        <v>21</v>
      </c>
      <c r="K5075" s="2" t="s">
        <v>10196</v>
      </c>
    </row>
    <row r="5076" ht="15.75" customHeight="1">
      <c r="A5076" s="2">
        <v>7408.0</v>
      </c>
      <c r="B5076" s="2" t="s">
        <v>2752</v>
      </c>
      <c r="C5076" s="2" t="s">
        <v>561</v>
      </c>
      <c r="D5076" s="2"/>
      <c r="E5076" s="2" t="s">
        <v>1531</v>
      </c>
      <c r="F5076" s="2">
        <v>2.0</v>
      </c>
      <c r="G5076" s="2">
        <v>251.0</v>
      </c>
      <c r="H5076" s="3" t="str">
        <f>HYPERLINK("http://uk.linkedin.com/pub/craig-murray/0/929/981","http://uk.linkedin.com/pub/craig-murray/0/929/981")</f>
        <v>http://uk.linkedin.com/pub/craig-murray/0/929/981</v>
      </c>
      <c r="I5076" s="2" t="s">
        <v>48</v>
      </c>
      <c r="J5076" s="2" t="s">
        <v>53</v>
      </c>
      <c r="K5076" s="2" t="s">
        <v>10187</v>
      </c>
    </row>
    <row r="5077" ht="15.75" customHeight="1">
      <c r="A5077" s="2">
        <v>7411.0</v>
      </c>
      <c r="B5077" s="2" t="s">
        <v>5808</v>
      </c>
      <c r="C5077" s="2" t="s">
        <v>10300</v>
      </c>
      <c r="D5077" s="2" t="s">
        <v>10301</v>
      </c>
      <c r="E5077" s="2" t="s">
        <v>20</v>
      </c>
      <c r="F5077" s="2">
        <v>4.0</v>
      </c>
      <c r="G5077" s="2">
        <v>258.0</v>
      </c>
      <c r="H5077" s="3" t="str">
        <f>HYPERLINK("http://ar.linkedin.com/pub/matias-carazzo/26/252/501","http://ar.linkedin.com/pub/matias-carazzo/26/252/501")</f>
        <v>http://ar.linkedin.com/pub/matias-carazzo/26/252/501</v>
      </c>
      <c r="I5077" s="2" t="s">
        <v>15</v>
      </c>
      <c r="J5077" s="2" t="s">
        <v>21</v>
      </c>
      <c r="K5077" s="2" t="s">
        <v>10214</v>
      </c>
    </row>
    <row r="5078" ht="15.75" customHeight="1">
      <c r="A5078" s="2">
        <v>7419.0</v>
      </c>
      <c r="B5078" s="2" t="s">
        <v>1230</v>
      </c>
      <c r="C5078" s="2" t="s">
        <v>5809</v>
      </c>
      <c r="D5078" s="2" t="s">
        <v>8627</v>
      </c>
      <c r="E5078" s="2" t="s">
        <v>20</v>
      </c>
      <c r="F5078" s="2">
        <v>14.0</v>
      </c>
      <c r="G5078" s="2">
        <v>281.0</v>
      </c>
      <c r="H5078" s="3" t="str">
        <f>HYPERLINK("http://ar.linkedin.com/in/albertopedretti","http://ar.linkedin.com/in/albertopedretti")</f>
        <v>http://ar.linkedin.com/in/albertopedretti</v>
      </c>
      <c r="I5078" s="2" t="s">
        <v>15</v>
      </c>
      <c r="J5078" s="2" t="s">
        <v>21</v>
      </c>
      <c r="K5078" s="2" t="s">
        <v>10180</v>
      </c>
    </row>
    <row r="5079" ht="15.75" customHeight="1">
      <c r="A5079" s="2">
        <v>7462.0</v>
      </c>
      <c r="B5079" s="2" t="s">
        <v>784</v>
      </c>
      <c r="C5079" s="2" t="s">
        <v>10302</v>
      </c>
      <c r="D5079" s="2"/>
      <c r="E5079" s="2" t="s">
        <v>3372</v>
      </c>
      <c r="F5079" s="2">
        <v>11.0</v>
      </c>
      <c r="G5079" s="2">
        <v>320.0</v>
      </c>
      <c r="H5079" s="3" t="str">
        <f>HYPERLINK("http://www.linkedin.com/pub/jeff-valadez/0/537/485","http://www.linkedin.com/pub/jeff-valadez/0/537/485")</f>
        <v>http://www.linkedin.com/pub/jeff-valadez/0/537/485</v>
      </c>
      <c r="I5079" s="2" t="s">
        <v>696</v>
      </c>
      <c r="J5079" s="2" t="s">
        <v>144</v>
      </c>
      <c r="K5079" s="2" t="s">
        <v>10209</v>
      </c>
    </row>
    <row r="5080" ht="15.75" customHeight="1">
      <c r="A5080" s="2">
        <v>7466.0</v>
      </c>
      <c r="B5080" s="2" t="s">
        <v>647</v>
      </c>
      <c r="C5080" s="2" t="s">
        <v>10303</v>
      </c>
      <c r="D5080" s="2" t="s">
        <v>1073</v>
      </c>
      <c r="E5080" s="2" t="s">
        <v>20</v>
      </c>
      <c r="F5080" s="2">
        <v>3.0</v>
      </c>
      <c r="G5080" s="2">
        <v>500.0</v>
      </c>
      <c r="H5080" s="3" t="str">
        <f>HYPERLINK("http://ar.linkedin.com/pub/claudio-tosti/4/784/9A5","http://ar.linkedin.com/pub/claudio-tosti/4/784/9A5")</f>
        <v>http://ar.linkedin.com/pub/claudio-tosti/4/784/9A5</v>
      </c>
      <c r="I5080" s="2" t="s">
        <v>15</v>
      </c>
      <c r="J5080" s="2" t="s">
        <v>21</v>
      </c>
      <c r="K5080" s="2" t="s">
        <v>10196</v>
      </c>
    </row>
    <row r="5081" ht="15.75" customHeight="1">
      <c r="A5081" s="2">
        <v>7473.0</v>
      </c>
      <c r="B5081" s="2" t="s">
        <v>6032</v>
      </c>
      <c r="C5081" s="2" t="s">
        <v>10304</v>
      </c>
      <c r="D5081" s="2" t="s">
        <v>10305</v>
      </c>
      <c r="E5081" s="2" t="s">
        <v>155</v>
      </c>
      <c r="F5081" s="2">
        <v>3.0</v>
      </c>
      <c r="G5081" s="2">
        <v>500.0</v>
      </c>
      <c r="H5081" s="3" t="str">
        <f>HYPERLINK("http://ar.linkedin.com/in/victoriavarau","http://ar.linkedin.com/in/victoriavarau")</f>
        <v>http://ar.linkedin.com/in/victoriavarau</v>
      </c>
      <c r="I5081" s="2" t="s">
        <v>15</v>
      </c>
      <c r="J5081" s="2" t="s">
        <v>102</v>
      </c>
      <c r="K5081" s="2" t="s">
        <v>10306</v>
      </c>
    </row>
    <row r="5082" ht="15.75" customHeight="1">
      <c r="A5082" s="2">
        <v>7487.0</v>
      </c>
      <c r="B5082" s="2" t="s">
        <v>10307</v>
      </c>
      <c r="C5082" s="2" t="s">
        <v>10308</v>
      </c>
      <c r="D5082" s="2" t="s">
        <v>289</v>
      </c>
      <c r="E5082" s="2" t="s">
        <v>20</v>
      </c>
      <c r="F5082" s="2">
        <v>50.0</v>
      </c>
      <c r="G5082" s="2">
        <v>500.0</v>
      </c>
      <c r="H5082" s="3" t="str">
        <f>HYPERLINK("http://ar.linkedin.com/in/gustavovignera","http://ar.linkedin.com/in/gustavovignera")</f>
        <v>http://ar.linkedin.com/in/gustavovignera</v>
      </c>
      <c r="I5082" s="2" t="s">
        <v>15</v>
      </c>
      <c r="J5082" s="2" t="s">
        <v>21</v>
      </c>
      <c r="K5082" s="2" t="s">
        <v>10196</v>
      </c>
    </row>
    <row r="5083" ht="15.75" customHeight="1">
      <c r="A5083" s="2">
        <v>7488.0</v>
      </c>
      <c r="B5083" s="2" t="s">
        <v>515</v>
      </c>
      <c r="C5083" s="2" t="s">
        <v>9115</v>
      </c>
      <c r="D5083" s="2" t="s">
        <v>10309</v>
      </c>
      <c r="E5083" s="2" t="s">
        <v>10310</v>
      </c>
      <c r="F5083" s="2">
        <v>12.0</v>
      </c>
      <c r="G5083" s="2">
        <v>500.0</v>
      </c>
      <c r="H5083" s="3" t="str">
        <f>HYPERLINK("http://www.linkedin.com/in/juanignacioquesada","http://www.linkedin.com/in/juanignacioquesada")</f>
        <v>http://www.linkedin.com/in/juanignacioquesada</v>
      </c>
      <c r="I5083" s="2" t="s">
        <v>48</v>
      </c>
      <c r="J5083" s="2" t="s">
        <v>102</v>
      </c>
      <c r="K5083" s="2" t="s">
        <v>10245</v>
      </c>
    </row>
    <row r="5084" ht="15.75" customHeight="1">
      <c r="A5084" s="2">
        <v>7519.0</v>
      </c>
      <c r="B5084" s="2" t="s">
        <v>10311</v>
      </c>
      <c r="C5084" s="2" t="s">
        <v>423</v>
      </c>
      <c r="D5084" s="2" t="s">
        <v>13</v>
      </c>
      <c r="E5084" s="2" t="s">
        <v>20</v>
      </c>
      <c r="F5084" s="2">
        <v>10.0</v>
      </c>
      <c r="G5084" s="2">
        <v>500.0</v>
      </c>
      <c r="H5084" s="3" t="str">
        <f>HYPERLINK("http://www.linkedin.com/pub/florez-carolina/0/462/768","http://www.linkedin.com/pub/florez-carolina/0/462/768")</f>
        <v>http://www.linkedin.com/pub/florez-carolina/0/462/768</v>
      </c>
      <c r="I5084" s="2" t="s">
        <v>48</v>
      </c>
      <c r="J5084" s="2" t="s">
        <v>21</v>
      </c>
      <c r="K5084" s="2" t="s">
        <v>10312</v>
      </c>
    </row>
    <row r="5085" ht="15.75" customHeight="1">
      <c r="A5085" s="2">
        <v>7520.0</v>
      </c>
      <c r="B5085" s="2" t="s">
        <v>5078</v>
      </c>
      <c r="C5085" s="2" t="s">
        <v>10313</v>
      </c>
      <c r="D5085" s="2" t="s">
        <v>10314</v>
      </c>
      <c r="E5085" s="2" t="s">
        <v>20</v>
      </c>
      <c r="F5085" s="2">
        <v>7.0</v>
      </c>
      <c r="G5085" s="2">
        <v>500.0</v>
      </c>
      <c r="H5085" s="3" t="str">
        <f>HYPERLINK("http://www.linkedin.com/in/sanchezcavalieri","http://www.linkedin.com/in/sanchezcavalieri")</f>
        <v>http://www.linkedin.com/in/sanchezcavalieri</v>
      </c>
      <c r="I5085" s="2" t="s">
        <v>15</v>
      </c>
      <c r="J5085" s="2" t="s">
        <v>21</v>
      </c>
      <c r="K5085" s="2" t="s">
        <v>10180</v>
      </c>
    </row>
    <row r="5086" ht="15.75" customHeight="1">
      <c r="A5086" s="2">
        <v>7550.0</v>
      </c>
      <c r="B5086" s="2" t="s">
        <v>10315</v>
      </c>
      <c r="C5086" s="2" t="s">
        <v>7130</v>
      </c>
      <c r="D5086" s="2" t="s">
        <v>13</v>
      </c>
      <c r="E5086" s="2" t="s">
        <v>20</v>
      </c>
      <c r="F5086" s="2">
        <v>2.0</v>
      </c>
      <c r="G5086" s="2">
        <v>358.0</v>
      </c>
      <c r="H5086" s="3" t="str">
        <f>HYPERLINK("http://www.linkedin.com/pub/fernando-andr%C3%A9s-britos/4/7a8/308","http://www.linkedin.com/pub/fernando-andr%C3%A9s-britos/4/7a8/308")</f>
        <v>http://www.linkedin.com/pub/fernando-andr%C3%A9s-britos/4/7a8/308</v>
      </c>
      <c r="I5086" s="2" t="s">
        <v>15</v>
      </c>
      <c r="J5086" s="2" t="s">
        <v>21</v>
      </c>
      <c r="K5086" s="2" t="s">
        <v>10196</v>
      </c>
    </row>
    <row r="5087" ht="15.75" customHeight="1">
      <c r="A5087" s="2">
        <v>7572.0</v>
      </c>
      <c r="B5087" s="2" t="s">
        <v>3165</v>
      </c>
      <c r="C5087" s="2" t="s">
        <v>6207</v>
      </c>
      <c r="D5087" s="2" t="s">
        <v>10316</v>
      </c>
      <c r="E5087" s="2" t="s">
        <v>20</v>
      </c>
      <c r="F5087" s="2">
        <v>7.0</v>
      </c>
      <c r="G5087" s="2">
        <v>477.0</v>
      </c>
      <c r="H5087" s="3" t="str">
        <f>HYPERLINK("http://ar.linkedin.com/pub/luciana-alvarez/5/861/55B","http://ar.linkedin.com/pub/luciana-alvarez/5/861/55B")</f>
        <v>http://ar.linkedin.com/pub/luciana-alvarez/5/861/55B</v>
      </c>
      <c r="I5087" s="2" t="s">
        <v>69</v>
      </c>
      <c r="J5087" s="2" t="s">
        <v>21</v>
      </c>
      <c r="K5087" s="2" t="s">
        <v>10196</v>
      </c>
    </row>
    <row r="5088" ht="15.75" customHeight="1">
      <c r="A5088" s="2">
        <v>7574.0</v>
      </c>
      <c r="B5088" s="2" t="s">
        <v>10317</v>
      </c>
      <c r="C5088" s="2" t="s">
        <v>10318</v>
      </c>
      <c r="D5088" s="2" t="s">
        <v>10319</v>
      </c>
      <c r="E5088" s="2" t="s">
        <v>20</v>
      </c>
      <c r="F5088" s="2">
        <v>3.0</v>
      </c>
      <c r="G5088" s="2">
        <v>231.0</v>
      </c>
      <c r="H5088" s="3" t="str">
        <f>HYPERLINK("http://ar.linkedin.com/pub/marianela-portas/A/1A3/745","http://ar.linkedin.com/pub/marianela-portas/A/1A3/745")</f>
        <v>http://ar.linkedin.com/pub/marianela-portas/A/1A3/745</v>
      </c>
      <c r="I5088" s="2" t="s">
        <v>48</v>
      </c>
      <c r="J5088" s="2" t="s">
        <v>21</v>
      </c>
      <c r="K5088" s="2" t="s">
        <v>10196</v>
      </c>
    </row>
    <row r="5089" ht="15.75" customHeight="1">
      <c r="A5089" s="2">
        <v>7584.0</v>
      </c>
      <c r="B5089" s="2" t="s">
        <v>5849</v>
      </c>
      <c r="C5089" s="2" t="s">
        <v>8580</v>
      </c>
      <c r="D5089" s="2" t="s">
        <v>8349</v>
      </c>
      <c r="E5089" s="2" t="s">
        <v>20</v>
      </c>
      <c r="F5089" s="2">
        <v>6.0</v>
      </c>
      <c r="G5089" s="2">
        <v>184.0</v>
      </c>
      <c r="H5089" s="3" t="str">
        <f>HYPERLINK("http://ar.linkedin.com/in/facundotolosa","http://ar.linkedin.com/in/facundotolosa")</f>
        <v>http://ar.linkedin.com/in/facundotolosa</v>
      </c>
      <c r="I5089" s="2" t="s">
        <v>15</v>
      </c>
      <c r="J5089" s="2" t="s">
        <v>21</v>
      </c>
      <c r="K5089" s="2" t="s">
        <v>10196</v>
      </c>
    </row>
    <row r="5090" ht="15.75" customHeight="1">
      <c r="A5090" s="2">
        <v>7594.0</v>
      </c>
      <c r="B5090" s="2" t="s">
        <v>3550</v>
      </c>
      <c r="C5090" s="2" t="s">
        <v>10320</v>
      </c>
      <c r="D5090" s="2" t="s">
        <v>10321</v>
      </c>
      <c r="E5090" s="2" t="s">
        <v>20</v>
      </c>
      <c r="F5090" s="2">
        <v>4.0</v>
      </c>
      <c r="G5090" s="2">
        <v>201.0</v>
      </c>
      <c r="H5090" s="3" t="str">
        <f>HYPERLINK("http://ar.linkedin.com/pub/nicolas-stefanelli/A/BA6/A56","http://ar.linkedin.com/pub/nicolas-stefanelli/A/BA6/A56")</f>
        <v>http://ar.linkedin.com/pub/nicolas-stefanelli/A/BA6/A56</v>
      </c>
      <c r="I5090" s="2" t="s">
        <v>48</v>
      </c>
      <c r="J5090" s="2" t="s">
        <v>21</v>
      </c>
      <c r="K5090" s="2" t="s">
        <v>10196</v>
      </c>
    </row>
    <row r="5091" ht="15.75" customHeight="1">
      <c r="A5091" s="2">
        <v>7597.0</v>
      </c>
      <c r="B5091" s="2" t="s">
        <v>3201</v>
      </c>
      <c r="C5091" s="2" t="s">
        <v>10322</v>
      </c>
      <c r="D5091" s="2" t="s">
        <v>10323</v>
      </c>
      <c r="E5091" s="2" t="s">
        <v>20</v>
      </c>
      <c r="F5091" s="2">
        <v>6.0</v>
      </c>
      <c r="G5091" s="2">
        <v>273.0</v>
      </c>
      <c r="H5091" s="3" t="str">
        <f>HYPERLINK("http://ar.linkedin.com/in/sebastianproverbio","http://ar.linkedin.com/in/sebastianproverbio")</f>
        <v>http://ar.linkedin.com/in/sebastianproverbio</v>
      </c>
      <c r="I5091" s="2" t="s">
        <v>15</v>
      </c>
      <c r="J5091" s="2" t="s">
        <v>21</v>
      </c>
      <c r="K5091" s="2" t="s">
        <v>10196</v>
      </c>
    </row>
    <row r="5092" ht="15.75" customHeight="1">
      <c r="A5092" s="2">
        <v>7629.0</v>
      </c>
      <c r="B5092" s="2" t="s">
        <v>5803</v>
      </c>
      <c r="C5092" s="2" t="s">
        <v>7483</v>
      </c>
      <c r="D5092" s="2" t="s">
        <v>6270</v>
      </c>
      <c r="E5092" s="2" t="s">
        <v>20</v>
      </c>
      <c r="F5092" s="2">
        <v>11.0</v>
      </c>
      <c r="G5092" s="2">
        <v>160.0</v>
      </c>
      <c r="H5092" s="3" t="str">
        <f>HYPERLINK("http://ar.linkedin.com/in/marianomolina83","http://ar.linkedin.com/in/marianomolina83")</f>
        <v>http://ar.linkedin.com/in/marianomolina83</v>
      </c>
      <c r="I5092" s="2" t="s">
        <v>15</v>
      </c>
      <c r="J5092" s="2" t="s">
        <v>21</v>
      </c>
      <c r="K5092" s="2" t="s">
        <v>10196</v>
      </c>
    </row>
    <row r="5093" ht="15.75" customHeight="1">
      <c r="A5093" s="2">
        <v>7658.0</v>
      </c>
      <c r="B5093" s="2" t="s">
        <v>5723</v>
      </c>
      <c r="C5093" s="2" t="s">
        <v>10324</v>
      </c>
      <c r="D5093" s="2" t="s">
        <v>347</v>
      </c>
      <c r="E5093" s="2" t="s">
        <v>20</v>
      </c>
      <c r="F5093" s="2">
        <v>15.0</v>
      </c>
      <c r="G5093" s="2">
        <v>236.0</v>
      </c>
      <c r="H5093" s="3" t="str">
        <f>HYPERLINK("http://ar.linkedin.com/in/ptelmo","http://ar.linkedin.com/in/ptelmo")</f>
        <v>http://ar.linkedin.com/in/ptelmo</v>
      </c>
      <c r="I5093" s="2" t="s">
        <v>15</v>
      </c>
      <c r="J5093" s="2" t="s">
        <v>21</v>
      </c>
      <c r="K5093" s="2" t="s">
        <v>10209</v>
      </c>
    </row>
    <row r="5094" ht="15.75" customHeight="1">
      <c r="A5094" s="2">
        <v>7660.0</v>
      </c>
      <c r="B5094" s="2" t="s">
        <v>677</v>
      </c>
      <c r="C5094" s="2" t="s">
        <v>5988</v>
      </c>
      <c r="D5094" s="2" t="s">
        <v>10271</v>
      </c>
      <c r="E5094" s="2" t="s">
        <v>20</v>
      </c>
      <c r="F5094" s="2">
        <v>2.0</v>
      </c>
      <c r="G5094" s="2">
        <v>163.0</v>
      </c>
      <c r="H5094" s="3" t="str">
        <f>HYPERLINK("http://ar.linkedin.com/in/danielmariovega","http://ar.linkedin.com/in/danielmariovega")</f>
        <v>http://ar.linkedin.com/in/danielmariovega</v>
      </c>
      <c r="I5094" s="2" t="s">
        <v>48</v>
      </c>
      <c r="J5094" s="2" t="s">
        <v>21</v>
      </c>
      <c r="K5094" s="2" t="s">
        <v>10196</v>
      </c>
    </row>
    <row r="5095" ht="15.75" customHeight="1">
      <c r="A5095" s="2">
        <v>7666.0</v>
      </c>
      <c r="B5095" s="2" t="s">
        <v>6666</v>
      </c>
      <c r="C5095" s="2" t="s">
        <v>10066</v>
      </c>
      <c r="D5095" s="2" t="s">
        <v>10325</v>
      </c>
      <c r="E5095" s="2" t="s">
        <v>20</v>
      </c>
      <c r="F5095" s="2">
        <v>3.0</v>
      </c>
      <c r="G5095" s="2">
        <v>389.0</v>
      </c>
      <c r="H5095" s="3" t="str">
        <f>HYPERLINK("http://ar.linkedin.com/in/sebastiancantero","http://ar.linkedin.com/in/sebastiancantero")</f>
        <v>http://ar.linkedin.com/in/sebastiancantero</v>
      </c>
      <c r="I5095" s="2" t="s">
        <v>15</v>
      </c>
      <c r="J5095" s="2" t="s">
        <v>21</v>
      </c>
      <c r="K5095" s="2" t="s">
        <v>10196</v>
      </c>
    </row>
    <row r="5096" ht="15.75" customHeight="1">
      <c r="A5096" s="2">
        <v>7679.0</v>
      </c>
      <c r="B5096" s="2" t="s">
        <v>9419</v>
      </c>
      <c r="C5096" s="2" t="s">
        <v>10326</v>
      </c>
      <c r="D5096" s="2" t="s">
        <v>10327</v>
      </c>
      <c r="E5096" s="2" t="s">
        <v>20</v>
      </c>
      <c r="F5096" s="2">
        <v>0.0</v>
      </c>
      <c r="G5096" s="2">
        <v>191.0</v>
      </c>
      <c r="H5096" s="3" t="str">
        <f>HYPERLINK("http://ar.linkedin.com/pub/yanina-capettini/8/82B/91A","http://ar.linkedin.com/pub/yanina-capettini/8/82B/91A")</f>
        <v>http://ar.linkedin.com/pub/yanina-capettini/8/82B/91A</v>
      </c>
      <c r="I5096" s="2" t="s">
        <v>15</v>
      </c>
      <c r="J5096" s="2" t="s">
        <v>21</v>
      </c>
      <c r="K5096" s="2" t="s">
        <v>10224</v>
      </c>
    </row>
    <row r="5097" ht="15.75" customHeight="1">
      <c r="A5097" s="2">
        <v>7706.0</v>
      </c>
      <c r="B5097" s="2" t="s">
        <v>5761</v>
      </c>
      <c r="C5097" s="2" t="s">
        <v>10328</v>
      </c>
      <c r="D5097" s="2" t="s">
        <v>13</v>
      </c>
      <c r="E5097" s="2" t="s">
        <v>136</v>
      </c>
      <c r="F5097" s="2">
        <v>16.0</v>
      </c>
      <c r="G5097" s="2">
        <v>500.0</v>
      </c>
      <c r="H5097" s="3" t="str">
        <f>HYPERLINK("http://www.linkedin.com/pub/maria-florencia-berti/b/61/296","http://www.linkedin.com/pub/maria-florencia-berti/b/61/296")</f>
        <v>http://www.linkedin.com/pub/maria-florencia-berti/b/61/296</v>
      </c>
      <c r="I5097" s="2" t="s">
        <v>57</v>
      </c>
      <c r="J5097" s="2" t="s">
        <v>102</v>
      </c>
      <c r="K5097" s="2" t="s">
        <v>10196</v>
      </c>
    </row>
    <row r="5098" ht="15.75" customHeight="1">
      <c r="A5098" s="2">
        <v>7730.0</v>
      </c>
      <c r="B5098" s="2" t="s">
        <v>10329</v>
      </c>
      <c r="C5098" s="2" t="s">
        <v>10330</v>
      </c>
      <c r="D5098" s="2" t="s">
        <v>13</v>
      </c>
      <c r="E5098" s="2" t="s">
        <v>20</v>
      </c>
      <c r="F5098" s="2">
        <v>0.0</v>
      </c>
      <c r="G5098" s="2">
        <v>500.0</v>
      </c>
      <c r="H5098" s="3" t="str">
        <f>HYPERLINK("http://www.linkedin.com/pub/gimena-uhrich/20/abb/a44","http://www.linkedin.com/pub/gimena-uhrich/20/abb/a44")</f>
        <v>http://www.linkedin.com/pub/gimena-uhrich/20/abb/a44</v>
      </c>
      <c r="I5098" s="2" t="s">
        <v>458</v>
      </c>
      <c r="J5098" s="2" t="s">
        <v>21</v>
      </c>
      <c r="K5098" s="2" t="s">
        <v>10229</v>
      </c>
    </row>
    <row r="5099" ht="15.75" customHeight="1">
      <c r="A5099" s="2">
        <v>7733.0</v>
      </c>
      <c r="B5099" s="2" t="s">
        <v>4402</v>
      </c>
      <c r="C5099" s="2" t="s">
        <v>10331</v>
      </c>
      <c r="D5099" s="2" t="s">
        <v>10332</v>
      </c>
      <c r="E5099" s="2" t="s">
        <v>20</v>
      </c>
      <c r="F5099" s="2">
        <v>18.0</v>
      </c>
      <c r="G5099" s="2">
        <v>500.0</v>
      </c>
      <c r="H5099" s="3" t="str">
        <f>HYPERLINK("http://ar.linkedin.com/in/giorgiorondinelli","http://ar.linkedin.com/in/giorgiorondinelli")</f>
        <v>http://ar.linkedin.com/in/giorgiorondinelli</v>
      </c>
      <c r="I5099" s="2" t="s">
        <v>15</v>
      </c>
      <c r="J5099" s="2" t="s">
        <v>21</v>
      </c>
      <c r="K5099" s="2" t="s">
        <v>10333</v>
      </c>
    </row>
    <row r="5100" ht="15.75" customHeight="1">
      <c r="A5100" s="2">
        <v>7739.0</v>
      </c>
      <c r="B5100" s="2" t="s">
        <v>9048</v>
      </c>
      <c r="C5100" s="2" t="s">
        <v>10334</v>
      </c>
      <c r="D5100" s="2" t="s">
        <v>10335</v>
      </c>
      <c r="E5100" s="2" t="s">
        <v>20</v>
      </c>
      <c r="F5100" s="2">
        <v>7.0</v>
      </c>
      <c r="G5100" s="2">
        <v>500.0</v>
      </c>
      <c r="H5100" s="3" t="str">
        <f>HYPERLINK("http://ar.linkedin.com/pub/bettina-gabai/0/B5B/8B8","http://ar.linkedin.com/pub/bettina-gabai/0/B5B/8B8")</f>
        <v>http://ar.linkedin.com/pub/bettina-gabai/0/B5B/8B8</v>
      </c>
      <c r="I5100" s="2" t="s">
        <v>15</v>
      </c>
      <c r="J5100" s="2" t="s">
        <v>21</v>
      </c>
      <c r="K5100" s="2" t="s">
        <v>10180</v>
      </c>
    </row>
    <row r="5101" ht="15.75" customHeight="1">
      <c r="A5101" s="2">
        <v>7767.0</v>
      </c>
      <c r="B5101" s="2" t="s">
        <v>5732</v>
      </c>
      <c r="C5101" s="2" t="s">
        <v>10336</v>
      </c>
      <c r="D5101" s="2" t="s">
        <v>6213</v>
      </c>
      <c r="E5101" s="2" t="s">
        <v>20</v>
      </c>
      <c r="F5101" s="2">
        <v>1.0</v>
      </c>
      <c r="G5101" s="2">
        <v>212.0</v>
      </c>
      <c r="H5101" s="3" t="str">
        <f>HYPERLINK("http://ar.linkedin.com/pub/mart-n-guridi/9/94A/490","http://ar.linkedin.com/pub/mart-n-guridi/9/94A/490")</f>
        <v>http://ar.linkedin.com/pub/mart-n-guridi/9/94A/490</v>
      </c>
      <c r="I5101" s="2" t="s">
        <v>15</v>
      </c>
      <c r="J5101" s="2" t="s">
        <v>21</v>
      </c>
      <c r="K5101" s="2" t="s">
        <v>10337</v>
      </c>
    </row>
    <row r="5102" ht="15.75" customHeight="1">
      <c r="A5102" s="2">
        <v>7803.0</v>
      </c>
      <c r="B5102" s="2" t="s">
        <v>152</v>
      </c>
      <c r="C5102" s="2" t="s">
        <v>10338</v>
      </c>
      <c r="D5102" s="2" t="s">
        <v>10339</v>
      </c>
      <c r="E5102" s="2" t="s">
        <v>20</v>
      </c>
      <c r="F5102" s="2">
        <v>6.0</v>
      </c>
      <c r="G5102" s="2">
        <v>380.0</v>
      </c>
      <c r="H5102" s="3" t="str">
        <f>HYPERLINK("http://ar.linkedin.com/pub/eduardo-zen/14/271/8B0","http://ar.linkedin.com/pub/eduardo-zen/14/271/8B0")</f>
        <v>http://ar.linkedin.com/pub/eduardo-zen/14/271/8B0</v>
      </c>
      <c r="I5102" s="2" t="s">
        <v>15</v>
      </c>
      <c r="J5102" s="2" t="s">
        <v>21</v>
      </c>
      <c r="K5102" s="2" t="s">
        <v>10340</v>
      </c>
    </row>
    <row r="5103" ht="15.75" customHeight="1">
      <c r="A5103" s="2">
        <v>7821.0</v>
      </c>
      <c r="B5103" s="2" t="s">
        <v>6666</v>
      </c>
      <c r="C5103" s="2" t="s">
        <v>10341</v>
      </c>
      <c r="D5103" s="2" t="s">
        <v>347</v>
      </c>
      <c r="E5103" s="2" t="s">
        <v>20</v>
      </c>
      <c r="F5103" s="2">
        <v>3.0</v>
      </c>
      <c r="G5103" s="2">
        <v>248.0</v>
      </c>
      <c r="H5103" s="3" t="str">
        <f>HYPERLINK("http://ar.linkedin.com/in/sebastiancarnota","http://ar.linkedin.com/in/sebastiancarnota")</f>
        <v>http://ar.linkedin.com/in/sebastiancarnota</v>
      </c>
      <c r="I5103" s="2" t="s">
        <v>15</v>
      </c>
      <c r="J5103" s="2" t="s">
        <v>21</v>
      </c>
      <c r="K5103" s="2" t="s">
        <v>10178</v>
      </c>
    </row>
    <row r="5104" ht="15.75" customHeight="1">
      <c r="A5104" s="2">
        <v>7850.0</v>
      </c>
      <c r="B5104" s="2" t="s">
        <v>6417</v>
      </c>
      <c r="C5104" s="2" t="s">
        <v>10342</v>
      </c>
      <c r="D5104" s="2" t="s">
        <v>13</v>
      </c>
      <c r="E5104" s="2" t="s">
        <v>20</v>
      </c>
      <c r="F5104" s="2">
        <v>0.0</v>
      </c>
      <c r="G5104" s="2">
        <v>500.0</v>
      </c>
      <c r="H5104" s="3" t="str">
        <f>HYPERLINK("http://www.linkedin.com/pub/gonzalo-estevez-balestra/4/533/5b2","http://www.linkedin.com/pub/gonzalo-estevez-balestra/4/533/5b2")</f>
        <v>http://www.linkedin.com/pub/gonzalo-estevez-balestra/4/533/5b2</v>
      </c>
      <c r="I5104" s="2" t="s">
        <v>15</v>
      </c>
      <c r="J5104" s="2" t="s">
        <v>21</v>
      </c>
      <c r="K5104" s="2" t="s">
        <v>10343</v>
      </c>
    </row>
    <row r="5105" ht="15.75" customHeight="1">
      <c r="A5105" s="2">
        <v>7893.0</v>
      </c>
      <c r="B5105" s="2" t="s">
        <v>10344</v>
      </c>
      <c r="C5105" s="2" t="s">
        <v>4486</v>
      </c>
      <c r="D5105" s="2" t="s">
        <v>10345</v>
      </c>
      <c r="E5105" s="2" t="s">
        <v>20</v>
      </c>
      <c r="F5105" s="2">
        <v>4.0</v>
      </c>
      <c r="G5105" s="2">
        <v>500.0</v>
      </c>
      <c r="H5105" s="3" t="str">
        <f>HYPERLINK("http://ar.linkedin.com/in/marianogfernandez","http://ar.linkedin.com/in/marianogfernandez")</f>
        <v>http://ar.linkedin.com/in/marianogfernandez</v>
      </c>
      <c r="I5105" s="2" t="s">
        <v>15</v>
      </c>
      <c r="J5105" s="2" t="s">
        <v>21</v>
      </c>
      <c r="K5105" s="2" t="s">
        <v>10346</v>
      </c>
    </row>
    <row r="5106" ht="15.75" customHeight="1">
      <c r="A5106" s="2">
        <v>7928.0</v>
      </c>
      <c r="B5106" s="2" t="s">
        <v>10347</v>
      </c>
      <c r="C5106" s="2" t="s">
        <v>10348</v>
      </c>
      <c r="D5106" s="2" t="s">
        <v>10349</v>
      </c>
      <c r="E5106" s="2" t="s">
        <v>20</v>
      </c>
      <c r="F5106" s="2">
        <v>3.0</v>
      </c>
      <c r="G5106" s="2">
        <v>404.0</v>
      </c>
      <c r="H5106" s="3" t="str">
        <f>HYPERLINK("http://ar.linkedin.com/pub/miguel-armando-nu%C3%B1ez-pmp/7/1B3/18","http://ar.linkedin.com/pub/miguel-armando-nu%C3%B1ez-pmp/7/1B3/18")</f>
        <v>http://ar.linkedin.com/pub/miguel-armando-nu%C3%B1ez-pmp/7/1B3/18</v>
      </c>
      <c r="I5106" s="2" t="s">
        <v>15</v>
      </c>
      <c r="J5106" s="2" t="s">
        <v>21</v>
      </c>
      <c r="K5106" s="2" t="s">
        <v>10180</v>
      </c>
    </row>
    <row r="5107" ht="15.75" customHeight="1">
      <c r="A5107" s="2">
        <v>7978.0</v>
      </c>
      <c r="B5107" s="2" t="s">
        <v>10350</v>
      </c>
      <c r="C5107" s="2" t="s">
        <v>10351</v>
      </c>
      <c r="D5107" s="2" t="s">
        <v>13</v>
      </c>
      <c r="E5107" s="2" t="s">
        <v>20</v>
      </c>
      <c r="F5107" s="2">
        <v>0.0</v>
      </c>
      <c r="G5107" s="2">
        <v>216.0</v>
      </c>
      <c r="H5107" s="3" t="str">
        <f>HYPERLINK("http://www.linkedin.com/pub/gustavo-r-mendez/18/71b/a92","http://www.linkedin.com/pub/gustavo-r-mendez/18/71b/a92")</f>
        <v>http://www.linkedin.com/pub/gustavo-r-mendez/18/71b/a92</v>
      </c>
      <c r="I5107" s="2" t="s">
        <v>231</v>
      </c>
      <c r="J5107" s="2" t="s">
        <v>21</v>
      </c>
      <c r="K5107" s="2" t="s">
        <v>10196</v>
      </c>
    </row>
    <row r="5108" ht="15.75" customHeight="1">
      <c r="A5108" s="2">
        <v>8107.0</v>
      </c>
      <c r="B5108" s="2" t="s">
        <v>5803</v>
      </c>
      <c r="C5108" s="2" t="s">
        <v>10352</v>
      </c>
      <c r="D5108" s="2" t="s">
        <v>10353</v>
      </c>
      <c r="E5108" s="2" t="s">
        <v>20</v>
      </c>
      <c r="F5108" s="2">
        <v>2.0</v>
      </c>
      <c r="G5108" s="2">
        <v>73.0</v>
      </c>
      <c r="H5108" s="3" t="str">
        <f>HYPERLINK("http://ar.linkedin.com/in/marianomangiafico","http://ar.linkedin.com/in/marianomangiafico")</f>
        <v>http://ar.linkedin.com/in/marianomangiafico</v>
      </c>
      <c r="I5108" s="2" t="s">
        <v>15</v>
      </c>
      <c r="J5108" s="2" t="s">
        <v>21</v>
      </c>
      <c r="K5108" s="2" t="s">
        <v>10196</v>
      </c>
    </row>
    <row r="5109" ht="15.75" customHeight="1">
      <c r="A5109" s="2">
        <v>8114.0</v>
      </c>
      <c r="B5109" s="2" t="s">
        <v>5078</v>
      </c>
      <c r="C5109" s="2" t="s">
        <v>10354</v>
      </c>
      <c r="D5109" s="2" t="s">
        <v>10355</v>
      </c>
      <c r="E5109" s="2" t="s">
        <v>20</v>
      </c>
      <c r="F5109" s="2">
        <v>2.0</v>
      </c>
      <c r="G5109" s="2">
        <v>202.0</v>
      </c>
      <c r="H5109" s="3" t="str">
        <f>HYPERLINK("http://ar.linkedin.com/pub/diego-fusaro/3/A9B/795","http://ar.linkedin.com/pub/diego-fusaro/3/A9B/795")</f>
        <v>http://ar.linkedin.com/pub/diego-fusaro/3/A9B/795</v>
      </c>
      <c r="I5109" s="2" t="s">
        <v>15</v>
      </c>
      <c r="J5109" s="2" t="s">
        <v>21</v>
      </c>
      <c r="K5109" s="2" t="s">
        <v>10196</v>
      </c>
    </row>
    <row r="5110" ht="15.75" customHeight="1">
      <c r="A5110" s="2">
        <v>8131.0</v>
      </c>
      <c r="B5110" s="2" t="s">
        <v>3223</v>
      </c>
      <c r="C5110" s="2" t="s">
        <v>5356</v>
      </c>
      <c r="D5110" s="2" t="s">
        <v>10356</v>
      </c>
      <c r="E5110" s="2" t="s">
        <v>20</v>
      </c>
      <c r="F5110" s="2">
        <v>5.0</v>
      </c>
      <c r="G5110" s="2">
        <v>500.0</v>
      </c>
      <c r="H5110" s="3" t="str">
        <f>HYPERLINK("http://ar.linkedin.com/pub/laura-marino/7/304/426","http://ar.linkedin.com/pub/laura-marino/7/304/426")</f>
        <v>http://ar.linkedin.com/pub/laura-marino/7/304/426</v>
      </c>
      <c r="I5110" s="2" t="s">
        <v>15</v>
      </c>
      <c r="J5110" s="2" t="s">
        <v>21</v>
      </c>
      <c r="K5110" s="2" t="s">
        <v>10196</v>
      </c>
    </row>
    <row r="5111" ht="15.75" customHeight="1">
      <c r="A5111" s="2">
        <v>8157.0</v>
      </c>
      <c r="B5111" s="2" t="s">
        <v>10357</v>
      </c>
      <c r="C5111" s="2" t="s">
        <v>10358</v>
      </c>
      <c r="D5111" s="2" t="s">
        <v>10359</v>
      </c>
      <c r="E5111" s="2" t="s">
        <v>20</v>
      </c>
      <c r="F5111" s="2">
        <v>7.0</v>
      </c>
      <c r="G5111" s="2">
        <v>500.0</v>
      </c>
      <c r="H5111" s="3" t="str">
        <f>HYPERLINK("http://ar.linkedin.com/in/ehojenberg","http://ar.linkedin.com/in/ehojenberg")</f>
        <v>http://ar.linkedin.com/in/ehojenberg</v>
      </c>
      <c r="I5111" s="2" t="s">
        <v>15</v>
      </c>
      <c r="J5111" s="2" t="s">
        <v>21</v>
      </c>
      <c r="K5111" s="2" t="s">
        <v>10196</v>
      </c>
    </row>
    <row r="5112" ht="15.75" customHeight="1">
      <c r="A5112" s="2">
        <v>8168.0</v>
      </c>
      <c r="B5112" s="2" t="s">
        <v>1617</v>
      </c>
      <c r="C5112" s="2" t="s">
        <v>10360</v>
      </c>
      <c r="D5112" s="2" t="s">
        <v>2331</v>
      </c>
      <c r="E5112" s="2" t="s">
        <v>728</v>
      </c>
      <c r="F5112" s="2">
        <v>3.0</v>
      </c>
      <c r="G5112" s="2">
        <v>325.0</v>
      </c>
      <c r="H5112" s="3" t="str">
        <f>HYPERLINK("http://www.linkedin.com/pub/ryan-hernandez/1/497/2B7","http://www.linkedin.com/pub/ryan-hernandez/1/497/2B7")</f>
        <v>http://www.linkedin.com/pub/ryan-hernandez/1/497/2B7</v>
      </c>
      <c r="I5112" s="2" t="s">
        <v>15</v>
      </c>
      <c r="J5112" s="2" t="s">
        <v>102</v>
      </c>
      <c r="K5112" s="2" t="s">
        <v>10184</v>
      </c>
    </row>
    <row r="5113" ht="15.75" customHeight="1">
      <c r="A5113" s="2">
        <v>8176.0</v>
      </c>
      <c r="B5113" s="2" t="s">
        <v>2752</v>
      </c>
      <c r="C5113" s="2" t="s">
        <v>10361</v>
      </c>
      <c r="D5113" s="2" t="s">
        <v>4224</v>
      </c>
      <c r="E5113" s="2" t="s">
        <v>728</v>
      </c>
      <c r="F5113" s="2">
        <v>0.0</v>
      </c>
      <c r="G5113" s="2">
        <v>189.0</v>
      </c>
      <c r="H5113" s="3" t="str">
        <f>HYPERLINK("http://www.linkedin.com/pub/craig-kreps/4/B08/5AA","http://www.linkedin.com/pub/craig-kreps/4/B08/5AA")</f>
        <v>http://www.linkedin.com/pub/craig-kreps/4/B08/5AA</v>
      </c>
      <c r="I5113" s="2" t="s">
        <v>1237</v>
      </c>
      <c r="J5113" s="2" t="s">
        <v>102</v>
      </c>
      <c r="K5113" s="2" t="s">
        <v>10362</v>
      </c>
    </row>
    <row r="5114" ht="15.75" customHeight="1">
      <c r="A5114" s="2">
        <v>8179.0</v>
      </c>
      <c r="B5114" s="2" t="s">
        <v>5408</v>
      </c>
      <c r="C5114" s="2" t="s">
        <v>10363</v>
      </c>
      <c r="D5114" s="2" t="s">
        <v>13</v>
      </c>
      <c r="E5114" s="2" t="s">
        <v>728</v>
      </c>
      <c r="F5114" s="2">
        <v>0.0</v>
      </c>
      <c r="G5114" s="2">
        <v>330.0</v>
      </c>
      <c r="H5114" s="3" t="str">
        <f>HYPERLINK("http://www.linkedin.com/in/asegesman","http://www.linkedin.com/in/asegesman")</f>
        <v>http://www.linkedin.com/in/asegesman</v>
      </c>
      <c r="I5114" s="2" t="s">
        <v>48</v>
      </c>
      <c r="J5114" s="2" t="s">
        <v>102</v>
      </c>
      <c r="K5114" s="2" t="s">
        <v>10184</v>
      </c>
    </row>
    <row r="5115" ht="15.75" customHeight="1">
      <c r="A5115" s="2">
        <v>8221.0</v>
      </c>
      <c r="B5115" s="2" t="s">
        <v>3776</v>
      </c>
      <c r="C5115" s="2" t="s">
        <v>10364</v>
      </c>
      <c r="D5115" s="2" t="s">
        <v>10365</v>
      </c>
      <c r="E5115" s="2" t="s">
        <v>101</v>
      </c>
      <c r="F5115" s="2">
        <v>15.0</v>
      </c>
      <c r="G5115" s="2">
        <v>500.0</v>
      </c>
      <c r="H5115" s="3" t="str">
        <f>HYPERLINK("http://www.linkedin.com/in/pedroavgustin","http://www.linkedin.com/in/pedroavgustin")</f>
        <v>http://www.linkedin.com/in/pedroavgustin</v>
      </c>
      <c r="I5115" s="2" t="s">
        <v>681</v>
      </c>
      <c r="J5115" s="2" t="s">
        <v>102</v>
      </c>
      <c r="K5115" s="2" t="s">
        <v>10206</v>
      </c>
    </row>
    <row r="5116" ht="15.75" customHeight="1">
      <c r="A5116" s="2">
        <v>8233.0</v>
      </c>
      <c r="B5116" s="2" t="s">
        <v>5078</v>
      </c>
      <c r="C5116" s="2" t="s">
        <v>10366</v>
      </c>
      <c r="D5116" s="2" t="s">
        <v>10367</v>
      </c>
      <c r="E5116" s="2" t="s">
        <v>20</v>
      </c>
      <c r="F5116" s="2">
        <v>2.0</v>
      </c>
      <c r="G5116" s="2">
        <v>500.0</v>
      </c>
      <c r="H5116" s="3" t="str">
        <f>HYPERLINK("http://www.linkedin.com/in/dsanz","http://www.linkedin.com/in/dsanz")</f>
        <v>http://www.linkedin.com/in/dsanz</v>
      </c>
      <c r="I5116" s="2" t="s">
        <v>15</v>
      </c>
      <c r="J5116" s="2" t="s">
        <v>21</v>
      </c>
      <c r="K5116" s="2" t="s">
        <v>10196</v>
      </c>
    </row>
    <row r="5117" ht="15.75" customHeight="1">
      <c r="A5117" s="2">
        <v>8255.0</v>
      </c>
      <c r="B5117" s="2" t="s">
        <v>227</v>
      </c>
      <c r="C5117" s="2" t="s">
        <v>10368</v>
      </c>
      <c r="D5117" s="2" t="s">
        <v>4224</v>
      </c>
      <c r="E5117" s="2" t="s">
        <v>20</v>
      </c>
      <c r="F5117" s="2">
        <v>1.0</v>
      </c>
      <c r="G5117" s="2">
        <v>219.0</v>
      </c>
      <c r="H5117" s="3" t="str">
        <f>HYPERLINK("http://ar.linkedin.com/pub/jorge-schuster/4/964/AA3","http://ar.linkedin.com/pub/jorge-schuster/4/964/AA3")</f>
        <v>http://ar.linkedin.com/pub/jorge-schuster/4/964/AA3</v>
      </c>
      <c r="I5117" s="2" t="s">
        <v>15</v>
      </c>
      <c r="J5117" s="2" t="s">
        <v>21</v>
      </c>
      <c r="K5117" s="2" t="s">
        <v>10173</v>
      </c>
    </row>
    <row r="5118" ht="15.75" customHeight="1">
      <c r="A5118" s="2">
        <v>8272.0</v>
      </c>
      <c r="B5118" s="2" t="s">
        <v>2148</v>
      </c>
      <c r="C5118" s="2" t="s">
        <v>10369</v>
      </c>
      <c r="D5118" s="2" t="s">
        <v>42</v>
      </c>
      <c r="E5118" s="2" t="s">
        <v>20</v>
      </c>
      <c r="F5118" s="2">
        <v>27.0</v>
      </c>
      <c r="G5118" s="2">
        <v>500.0</v>
      </c>
      <c r="H5118" s="3" t="str">
        <f>HYPERLINK("http://ar.linkedin.com/in/nelsonperezalonso","http://ar.linkedin.com/in/nelsonperezalonso")</f>
        <v>http://ar.linkedin.com/in/nelsonperezalonso</v>
      </c>
      <c r="I5118" s="2" t="s">
        <v>2046</v>
      </c>
      <c r="J5118" s="2" t="s">
        <v>21</v>
      </c>
      <c r="K5118" s="2" t="s">
        <v>10176</v>
      </c>
    </row>
    <row r="5119" ht="15.75" customHeight="1">
      <c r="A5119" s="2">
        <v>8278.0</v>
      </c>
      <c r="B5119" s="2" t="s">
        <v>10370</v>
      </c>
      <c r="C5119" s="2" t="s">
        <v>3120</v>
      </c>
      <c r="D5119" s="2" t="s">
        <v>13</v>
      </c>
      <c r="E5119" s="2" t="s">
        <v>1190</v>
      </c>
      <c r="F5119" s="2">
        <v>0.0</v>
      </c>
      <c r="G5119" s="2">
        <v>500.0</v>
      </c>
      <c r="H5119" s="3" t="str">
        <f>HYPERLINK("http://www.linkedin.com/in/latamdavidryoung","http://www.linkedin.com/in/latamdavidryoung")</f>
        <v>http://www.linkedin.com/in/latamdavidryoung</v>
      </c>
      <c r="I5119" s="2" t="s">
        <v>475</v>
      </c>
      <c r="J5119" s="2" t="s">
        <v>102</v>
      </c>
      <c r="K5119" s="2" t="s">
        <v>10371</v>
      </c>
    </row>
    <row r="5120" ht="15.75" customHeight="1">
      <c r="A5120" s="2">
        <v>8304.0</v>
      </c>
      <c r="B5120" s="2" t="s">
        <v>6219</v>
      </c>
      <c r="C5120" s="2" t="s">
        <v>10372</v>
      </c>
      <c r="D5120" s="2" t="s">
        <v>10373</v>
      </c>
      <c r="E5120" s="2" t="s">
        <v>20</v>
      </c>
      <c r="F5120" s="2">
        <v>2.0</v>
      </c>
      <c r="G5120" s="2">
        <v>269.0</v>
      </c>
      <c r="H5120" s="3" t="str">
        <f>HYPERLINK("http://ar.linkedin.com/pub/hugo-hilario/17/547/896","http://ar.linkedin.com/pub/hugo-hilario/17/547/896")</f>
        <v>http://ar.linkedin.com/pub/hugo-hilario/17/547/896</v>
      </c>
      <c r="I5120" s="2" t="s">
        <v>15</v>
      </c>
      <c r="J5120" s="2" t="s">
        <v>21</v>
      </c>
      <c r="K5120" s="2" t="s">
        <v>10196</v>
      </c>
    </row>
    <row r="5121" ht="15.75" customHeight="1">
      <c r="A5121" s="2">
        <v>8354.0</v>
      </c>
      <c r="B5121" s="2" t="s">
        <v>10374</v>
      </c>
      <c r="C5121" s="2" t="s">
        <v>10375</v>
      </c>
      <c r="D5121" s="2" t="s">
        <v>10376</v>
      </c>
      <c r="E5121" s="2" t="s">
        <v>20</v>
      </c>
      <c r="F5121" s="2">
        <v>8.0</v>
      </c>
      <c r="G5121" s="2">
        <v>210.0</v>
      </c>
      <c r="H5121" s="3" t="str">
        <f>HYPERLINK("http://ar.linkedin.com/in/javiercortijo","http://ar.linkedin.com/in/javiercortijo")</f>
        <v>http://ar.linkedin.com/in/javiercortijo</v>
      </c>
      <c r="I5121" s="2" t="s">
        <v>48</v>
      </c>
      <c r="J5121" s="2" t="s">
        <v>21</v>
      </c>
      <c r="K5121" s="2" t="s">
        <v>10196</v>
      </c>
    </row>
    <row r="5122" ht="15.75" customHeight="1">
      <c r="A5122" s="2">
        <v>8369.0</v>
      </c>
      <c r="B5122" s="2" t="s">
        <v>362</v>
      </c>
      <c r="C5122" s="2" t="s">
        <v>8725</v>
      </c>
      <c r="D5122" s="2" t="s">
        <v>10377</v>
      </c>
      <c r="E5122" s="2" t="s">
        <v>914</v>
      </c>
      <c r="F5122" s="2">
        <v>5.0</v>
      </c>
      <c r="G5122" s="2">
        <v>212.0</v>
      </c>
      <c r="H5122" s="3" t="str">
        <f>HYPERLINK("http://www.linkedin.com/in/javieri","http://www.linkedin.com/in/javieri")</f>
        <v>http://www.linkedin.com/in/javieri</v>
      </c>
      <c r="I5122" s="2" t="s">
        <v>48</v>
      </c>
      <c r="J5122" s="2" t="s">
        <v>102</v>
      </c>
      <c r="K5122" s="2" t="s">
        <v>10233</v>
      </c>
    </row>
    <row r="5123" ht="15.75" customHeight="1">
      <c r="A5123" s="2">
        <v>8370.0</v>
      </c>
      <c r="B5123" s="2" t="s">
        <v>3299</v>
      </c>
      <c r="C5123" s="2" t="s">
        <v>10378</v>
      </c>
      <c r="D5123" s="2" t="s">
        <v>10379</v>
      </c>
      <c r="E5123" s="2" t="s">
        <v>762</v>
      </c>
      <c r="F5123" s="2">
        <v>15.0</v>
      </c>
      <c r="G5123" s="2">
        <v>448.0</v>
      </c>
      <c r="H5123" s="3" t="str">
        <f>HYPERLINK("http://www.linkedin.com/in/fabianporta","http://www.linkedin.com/in/fabianporta")</f>
        <v>http://www.linkedin.com/in/fabianporta</v>
      </c>
      <c r="I5123" s="2" t="s">
        <v>1452</v>
      </c>
      <c r="J5123" s="2" t="s">
        <v>102</v>
      </c>
      <c r="K5123" s="2" t="s">
        <v>10380</v>
      </c>
    </row>
    <row r="5124" ht="15.75" customHeight="1">
      <c r="A5124" s="2">
        <v>8387.0</v>
      </c>
      <c r="B5124" s="2" t="s">
        <v>10381</v>
      </c>
      <c r="C5124" s="2" t="s">
        <v>10382</v>
      </c>
      <c r="D5124" s="2" t="s">
        <v>10383</v>
      </c>
      <c r="E5124" s="2" t="s">
        <v>762</v>
      </c>
      <c r="F5124" s="2">
        <v>5.0</v>
      </c>
      <c r="G5124" s="2">
        <v>347.0</v>
      </c>
      <c r="H5124" s="3" t="str">
        <f>HYPERLINK("http://www.linkedin.com/in/joubertjj","http://www.linkedin.com/in/joubertjj")</f>
        <v>http://www.linkedin.com/in/joubertjj</v>
      </c>
      <c r="I5124" s="2" t="s">
        <v>579</v>
      </c>
      <c r="J5124" s="2" t="s">
        <v>102</v>
      </c>
      <c r="K5124" s="2" t="s">
        <v>10384</v>
      </c>
    </row>
    <row r="5125" ht="15.75" customHeight="1">
      <c r="A5125" s="2">
        <v>8390.0</v>
      </c>
      <c r="B5125" s="2" t="s">
        <v>253</v>
      </c>
      <c r="C5125" s="2" t="s">
        <v>59</v>
      </c>
      <c r="D5125" s="2" t="s">
        <v>10385</v>
      </c>
      <c r="E5125" s="2" t="s">
        <v>136</v>
      </c>
      <c r="F5125" s="2">
        <v>6.0</v>
      </c>
      <c r="G5125" s="2">
        <v>407.0</v>
      </c>
      <c r="H5125" s="3" t="str">
        <f>HYPERLINK("http://www.linkedin.com/in/fernandoamartin","http://www.linkedin.com/in/fernandoamartin")</f>
        <v>http://www.linkedin.com/in/fernandoamartin</v>
      </c>
      <c r="I5125" s="2" t="s">
        <v>48</v>
      </c>
      <c r="J5125" s="2" t="s">
        <v>102</v>
      </c>
      <c r="K5125" s="2" t="s">
        <v>10245</v>
      </c>
    </row>
    <row r="5126" ht="15.75" customHeight="1">
      <c r="A5126" s="2">
        <v>8402.0</v>
      </c>
      <c r="B5126" s="2" t="s">
        <v>10386</v>
      </c>
      <c r="C5126" s="2" t="s">
        <v>10387</v>
      </c>
      <c r="D5126" s="2" t="s">
        <v>13</v>
      </c>
      <c r="E5126" s="2" t="s">
        <v>20</v>
      </c>
      <c r="F5126" s="2">
        <v>0.0</v>
      </c>
      <c r="G5126" s="2">
        <v>256.0</v>
      </c>
      <c r="H5126" s="3" t="str">
        <f>HYPERLINK("http://www.linkedin.com/pub/mar%C3%ADa-cecilia-usich/4/933/286","http://www.linkedin.com/pub/mar%C3%ADa-cecilia-usich/4/933/286")</f>
        <v>http://www.linkedin.com/pub/mar%C3%ADa-cecilia-usich/4/933/286</v>
      </c>
      <c r="I5126" s="2" t="s">
        <v>48</v>
      </c>
      <c r="J5126" s="2" t="s">
        <v>21</v>
      </c>
      <c r="K5126" s="2" t="s">
        <v>10187</v>
      </c>
    </row>
    <row r="5127" ht="15.75" customHeight="1">
      <c r="A5127" s="2">
        <v>8409.0</v>
      </c>
      <c r="B5127" s="2" t="s">
        <v>18</v>
      </c>
      <c r="C5127" s="2" t="s">
        <v>10388</v>
      </c>
      <c r="D5127" s="2" t="s">
        <v>10389</v>
      </c>
      <c r="E5127" s="2" t="s">
        <v>20</v>
      </c>
      <c r="F5127" s="2">
        <v>7.0</v>
      </c>
      <c r="G5127" s="2">
        <v>235.0</v>
      </c>
      <c r="H5127" s="3" t="str">
        <f>HYPERLINK("http://ar.linkedin.com/pub/mauricio-cimino/3/B01/552","http://ar.linkedin.com/pub/mauricio-cimino/3/B01/552")</f>
        <v>http://ar.linkedin.com/pub/mauricio-cimino/3/B01/552</v>
      </c>
      <c r="I5127" s="2" t="s">
        <v>15</v>
      </c>
      <c r="J5127" s="2" t="s">
        <v>21</v>
      </c>
      <c r="K5127" s="2" t="s">
        <v>10180</v>
      </c>
    </row>
    <row r="5128" ht="15.75" customHeight="1">
      <c r="A5128" s="2">
        <v>8413.0</v>
      </c>
      <c r="B5128" s="2" t="s">
        <v>862</v>
      </c>
      <c r="C5128" s="2" t="s">
        <v>10390</v>
      </c>
      <c r="D5128" s="2" t="s">
        <v>6129</v>
      </c>
      <c r="E5128" s="2" t="s">
        <v>20</v>
      </c>
      <c r="F5128" s="2">
        <v>5.0</v>
      </c>
      <c r="G5128" s="2">
        <v>290.0</v>
      </c>
      <c r="H5128" s="3" t="str">
        <f>HYPERLINK("http://ar.linkedin.com/in/gamengual","http://ar.linkedin.com/in/gamengual")</f>
        <v>http://ar.linkedin.com/in/gamengual</v>
      </c>
      <c r="I5128" s="2" t="s">
        <v>15</v>
      </c>
      <c r="J5128" s="2" t="s">
        <v>21</v>
      </c>
      <c r="K5128" s="2" t="s">
        <v>10196</v>
      </c>
    </row>
    <row r="5129" ht="15.75" customHeight="1">
      <c r="A5129" s="2">
        <v>8432.0</v>
      </c>
      <c r="B5129" s="2" t="s">
        <v>45</v>
      </c>
      <c r="C5129" s="2" t="s">
        <v>7018</v>
      </c>
      <c r="D5129" s="2" t="s">
        <v>10391</v>
      </c>
      <c r="E5129" s="2" t="s">
        <v>20</v>
      </c>
      <c r="F5129" s="2">
        <v>0.0</v>
      </c>
      <c r="G5129" s="2">
        <v>70.0</v>
      </c>
      <c r="H5129" s="3" t="str">
        <f>HYPERLINK("http://ar.linkedin.com/pub/carlos-morales/5/619/502","http://ar.linkedin.com/pub/carlos-morales/5/619/502")</f>
        <v>http://ar.linkedin.com/pub/carlos-morales/5/619/502</v>
      </c>
      <c r="I5129" s="2" t="s">
        <v>57</v>
      </c>
      <c r="J5129" s="2" t="s">
        <v>21</v>
      </c>
      <c r="K5129" s="2" t="s">
        <v>10184</v>
      </c>
    </row>
    <row r="5130" ht="15.75" customHeight="1">
      <c r="A5130" s="2">
        <v>8466.0</v>
      </c>
      <c r="B5130" s="2" t="s">
        <v>10392</v>
      </c>
      <c r="C5130" s="2" t="s">
        <v>5073</v>
      </c>
      <c r="D5130" s="2" t="s">
        <v>8416</v>
      </c>
      <c r="E5130" s="2" t="s">
        <v>20</v>
      </c>
      <c r="F5130" s="2">
        <v>3.0</v>
      </c>
      <c r="G5130" s="2">
        <v>167.0</v>
      </c>
      <c r="H5130" s="3" t="str">
        <f>HYPERLINK("http://ar.linkedin.com/pub/ciro-daniele/B/689/752","http://ar.linkedin.com/pub/ciro-daniele/B/689/752")</f>
        <v>http://ar.linkedin.com/pub/ciro-daniele/B/689/752</v>
      </c>
      <c r="I5130" s="2" t="s">
        <v>15</v>
      </c>
      <c r="J5130" s="2" t="s">
        <v>21</v>
      </c>
      <c r="K5130" s="2" t="s">
        <v>10196</v>
      </c>
    </row>
    <row r="5131" ht="15.75" customHeight="1">
      <c r="A5131" s="2">
        <v>8480.0</v>
      </c>
      <c r="B5131" s="2" t="s">
        <v>6414</v>
      </c>
      <c r="C5131" s="2" t="s">
        <v>10393</v>
      </c>
      <c r="D5131" s="2" t="s">
        <v>9727</v>
      </c>
      <c r="E5131" s="2" t="s">
        <v>294</v>
      </c>
      <c r="F5131" s="2">
        <v>0.0</v>
      </c>
      <c r="G5131" s="2">
        <v>133.0</v>
      </c>
      <c r="H5131" s="3" t="str">
        <f>HYPERLINK("http://www.linkedin.com/pub/adriano-baglioni/1/420/357","http://www.linkedin.com/pub/adriano-baglioni/1/420/357")</f>
        <v>http://www.linkedin.com/pub/adriano-baglioni/1/420/357</v>
      </c>
      <c r="I5131" s="2" t="s">
        <v>579</v>
      </c>
      <c r="J5131" s="2" t="s">
        <v>102</v>
      </c>
      <c r="K5131" s="2" t="s">
        <v>10394</v>
      </c>
    </row>
    <row r="5132" ht="15.75" customHeight="1">
      <c r="A5132" s="2">
        <v>8490.0</v>
      </c>
      <c r="B5132" s="2" t="s">
        <v>5846</v>
      </c>
      <c r="C5132" s="2" t="s">
        <v>10395</v>
      </c>
      <c r="D5132" s="2" t="s">
        <v>13</v>
      </c>
      <c r="E5132" s="2" t="s">
        <v>20</v>
      </c>
      <c r="F5132" s="2">
        <v>6.0</v>
      </c>
      <c r="G5132" s="2">
        <v>493.0</v>
      </c>
      <c r="H5132" s="3" t="str">
        <f>HYPERLINK("http://www.linkedin.com/pub/horacio-literat/8/73a/907","http://www.linkedin.com/pub/horacio-literat/8/73a/907")</f>
        <v>http://www.linkedin.com/pub/horacio-literat/8/73a/907</v>
      </c>
      <c r="I5132" s="2" t="s">
        <v>105</v>
      </c>
      <c r="J5132" s="2" t="s">
        <v>21</v>
      </c>
      <c r="K5132" s="2" t="s">
        <v>10196</v>
      </c>
    </row>
    <row r="5133" ht="15.75" customHeight="1">
      <c r="A5133" s="2">
        <v>8511.0</v>
      </c>
      <c r="B5133" s="2" t="s">
        <v>5723</v>
      </c>
      <c r="C5133" s="2" t="s">
        <v>10396</v>
      </c>
      <c r="D5133" s="2" t="s">
        <v>10397</v>
      </c>
      <c r="E5133" s="2" t="s">
        <v>20</v>
      </c>
      <c r="F5133" s="2">
        <v>17.0</v>
      </c>
      <c r="G5133" s="2">
        <v>430.0</v>
      </c>
      <c r="H5133" s="3" t="str">
        <f>HYPERLINK("http://ar.linkedin.com/in/pablorodriguezfacal","http://ar.linkedin.com/in/pablorodriguezfacal")</f>
        <v>http://ar.linkedin.com/in/pablorodriguezfacal</v>
      </c>
      <c r="I5133" s="2" t="s">
        <v>48</v>
      </c>
      <c r="J5133" s="2" t="s">
        <v>21</v>
      </c>
      <c r="K5133" s="2" t="s">
        <v>10180</v>
      </c>
    </row>
    <row r="5134" ht="15.75" customHeight="1">
      <c r="A5134" s="2">
        <v>8532.0</v>
      </c>
      <c r="B5134" s="2" t="s">
        <v>362</v>
      </c>
      <c r="C5134" s="2" t="s">
        <v>7241</v>
      </c>
      <c r="D5134" s="2" t="s">
        <v>10398</v>
      </c>
      <c r="E5134" s="2" t="s">
        <v>20</v>
      </c>
      <c r="F5134" s="2">
        <v>0.0</v>
      </c>
      <c r="G5134" s="2">
        <v>157.0</v>
      </c>
      <c r="H5134" s="3" t="str">
        <f>HYPERLINK("http://ar.linkedin.com/pub/javier-ocampo/15/AB0/19A","http://ar.linkedin.com/pub/javier-ocampo/15/AB0/19A")</f>
        <v>http://ar.linkedin.com/pub/javier-ocampo/15/AB0/19A</v>
      </c>
      <c r="I5134" s="2" t="s">
        <v>15</v>
      </c>
      <c r="J5134" s="2" t="s">
        <v>21</v>
      </c>
      <c r="K5134" s="2" t="s">
        <v>10173</v>
      </c>
    </row>
    <row r="5135" ht="15.75" customHeight="1">
      <c r="A5135" s="2">
        <v>8539.0</v>
      </c>
      <c r="B5135" s="2" t="s">
        <v>314</v>
      </c>
      <c r="C5135" s="2" t="s">
        <v>9140</v>
      </c>
      <c r="D5135" s="2" t="s">
        <v>10399</v>
      </c>
      <c r="E5135" s="2" t="s">
        <v>20</v>
      </c>
      <c r="F5135" s="2">
        <v>1.0</v>
      </c>
      <c r="G5135" s="2">
        <v>312.0</v>
      </c>
      <c r="H5135" s="3" t="str">
        <f>HYPERLINK("http://ar.linkedin.com/pub/marcos-moreno/2/8A1/81A","http://ar.linkedin.com/pub/marcos-moreno/2/8A1/81A")</f>
        <v>http://ar.linkedin.com/pub/marcos-moreno/2/8A1/81A</v>
      </c>
      <c r="I5135" s="2" t="s">
        <v>2000</v>
      </c>
      <c r="J5135" s="2" t="s">
        <v>21</v>
      </c>
      <c r="K5135" s="2" t="s">
        <v>10206</v>
      </c>
    </row>
    <row r="5136" ht="15.75" customHeight="1">
      <c r="A5136" s="2">
        <v>8550.0</v>
      </c>
      <c r="B5136" s="2" t="s">
        <v>23</v>
      </c>
      <c r="C5136" s="2" t="s">
        <v>10400</v>
      </c>
      <c r="D5136" s="2" t="s">
        <v>289</v>
      </c>
      <c r="E5136" s="2" t="s">
        <v>20</v>
      </c>
      <c r="F5136" s="2">
        <v>0.0</v>
      </c>
      <c r="G5136" s="2">
        <v>342.0</v>
      </c>
      <c r="H5136" s="3" t="str">
        <f>HYPERLINK("http://ar.linkedin.com/in/jfrancisconi","http://ar.linkedin.com/in/jfrancisconi")</f>
        <v>http://ar.linkedin.com/in/jfrancisconi</v>
      </c>
      <c r="I5136" s="2" t="s">
        <v>57</v>
      </c>
      <c r="J5136" s="2" t="s">
        <v>21</v>
      </c>
      <c r="K5136" s="2" t="s">
        <v>10184</v>
      </c>
    </row>
    <row r="5137" ht="15.75" customHeight="1">
      <c r="A5137" s="2">
        <v>8558.0</v>
      </c>
      <c r="B5137" s="2" t="s">
        <v>5735</v>
      </c>
      <c r="C5137" s="2" t="s">
        <v>10401</v>
      </c>
      <c r="D5137" s="2" t="s">
        <v>1966</v>
      </c>
      <c r="E5137" s="2" t="s">
        <v>20</v>
      </c>
      <c r="F5137" s="2">
        <v>1.0</v>
      </c>
      <c r="G5137" s="2">
        <v>500.0</v>
      </c>
      <c r="H5137" s="3" t="str">
        <f>HYPERLINK("http://ar.linkedin.com/in/gguidolavalle","http://ar.linkedin.com/in/gguidolavalle")</f>
        <v>http://ar.linkedin.com/in/gguidolavalle</v>
      </c>
      <c r="I5137" s="2" t="s">
        <v>240</v>
      </c>
      <c r="J5137" s="2" t="s">
        <v>21</v>
      </c>
      <c r="K5137" s="2" t="s">
        <v>10196</v>
      </c>
    </row>
    <row r="5138" ht="15.75" customHeight="1">
      <c r="A5138" s="2">
        <v>8588.0</v>
      </c>
      <c r="B5138" s="2" t="s">
        <v>845</v>
      </c>
      <c r="C5138" s="2" t="s">
        <v>10402</v>
      </c>
      <c r="D5138" s="2" t="s">
        <v>13</v>
      </c>
      <c r="E5138" s="2" t="s">
        <v>10403</v>
      </c>
      <c r="F5138" s="2">
        <v>0.0</v>
      </c>
      <c r="G5138" s="2">
        <v>435.0</v>
      </c>
      <c r="H5138" s="3" t="str">
        <f>HYPERLINK("http://www.linkedin.com/pub/david-elfi/4/353/221","http://www.linkedin.com/pub/david-elfi/4/353/221")</f>
        <v>http://www.linkedin.com/pub/david-elfi/4/353/221</v>
      </c>
      <c r="I5138" s="2" t="s">
        <v>48</v>
      </c>
      <c r="J5138" s="2" t="s">
        <v>102</v>
      </c>
      <c r="K5138" s="2" t="s">
        <v>10184</v>
      </c>
    </row>
    <row r="5139" ht="15.75" customHeight="1">
      <c r="A5139" s="2">
        <v>8589.0</v>
      </c>
      <c r="B5139" s="2" t="s">
        <v>492</v>
      </c>
      <c r="C5139" s="2" t="s">
        <v>10404</v>
      </c>
      <c r="D5139" s="2" t="s">
        <v>10405</v>
      </c>
      <c r="E5139" s="2" t="s">
        <v>20</v>
      </c>
      <c r="F5139" s="2">
        <v>7.0</v>
      </c>
      <c r="G5139" s="2">
        <v>357.0</v>
      </c>
      <c r="H5139" s="3" t="str">
        <f>HYPERLINK("http://ar.linkedin.com/in/sergioschvezov","http://ar.linkedin.com/in/sergioschvezov")</f>
        <v>http://ar.linkedin.com/in/sergioschvezov</v>
      </c>
      <c r="I5139" s="2" t="s">
        <v>48</v>
      </c>
      <c r="J5139" s="2" t="s">
        <v>21</v>
      </c>
      <c r="K5139" s="2" t="s">
        <v>10196</v>
      </c>
    </row>
    <row r="5140" ht="15.75" customHeight="1">
      <c r="A5140" s="2">
        <v>8630.0</v>
      </c>
      <c r="B5140" s="2" t="s">
        <v>5791</v>
      </c>
      <c r="C5140" s="2" t="s">
        <v>10406</v>
      </c>
      <c r="D5140" s="2" t="s">
        <v>10407</v>
      </c>
      <c r="E5140" s="2" t="s">
        <v>20</v>
      </c>
      <c r="F5140" s="2">
        <v>3.0</v>
      </c>
      <c r="G5140" s="2">
        <v>249.0</v>
      </c>
      <c r="H5140" s="3" t="str">
        <f>HYPERLINK("http://ar.linkedin.com/pub/mat%C3%ADas-urrutia/18/14B/464","http://ar.linkedin.com/pub/mat%C3%ADas-urrutia/18/14B/464")</f>
        <v>http://ar.linkedin.com/pub/mat%C3%ADas-urrutia/18/14B/464</v>
      </c>
      <c r="I5140" s="2" t="s">
        <v>48</v>
      </c>
      <c r="J5140" s="2" t="s">
        <v>21</v>
      </c>
      <c r="K5140" s="2" t="s">
        <v>10196</v>
      </c>
    </row>
    <row r="5141" ht="15.75" customHeight="1">
      <c r="A5141" s="2">
        <v>8667.0</v>
      </c>
      <c r="B5141" s="2" t="s">
        <v>540</v>
      </c>
      <c r="C5141" s="2" t="s">
        <v>10408</v>
      </c>
      <c r="D5141" s="2" t="s">
        <v>10409</v>
      </c>
      <c r="E5141" s="2" t="s">
        <v>20</v>
      </c>
      <c r="F5141" s="2">
        <v>12.0</v>
      </c>
      <c r="G5141" s="2">
        <v>199.0</v>
      </c>
      <c r="H5141" s="3" t="str">
        <f>HYPERLINK("http://ar.linkedin.com/in/christianechague","http://ar.linkedin.com/in/christianechague")</f>
        <v>http://ar.linkedin.com/in/christianechague</v>
      </c>
      <c r="I5141" s="2" t="s">
        <v>15</v>
      </c>
      <c r="J5141" s="2" t="s">
        <v>21</v>
      </c>
      <c r="K5141" s="2" t="s">
        <v>10196</v>
      </c>
    </row>
    <row r="5142" ht="15.75" customHeight="1">
      <c r="A5142" s="2">
        <v>8700.0</v>
      </c>
      <c r="B5142" s="2" t="s">
        <v>5791</v>
      </c>
      <c r="C5142" s="2" t="s">
        <v>339</v>
      </c>
      <c r="D5142" s="2" t="s">
        <v>13</v>
      </c>
      <c r="E5142" s="2" t="s">
        <v>20</v>
      </c>
      <c r="F5142" s="2">
        <v>0.0</v>
      </c>
      <c r="G5142" s="2">
        <v>500.0</v>
      </c>
      <c r="H5142" s="3" t="str">
        <f>HYPERLINK("https://www.linkedin.com/in/matiasjacob","https://www.linkedin.com/in/matiasjacob")</f>
        <v>https://www.linkedin.com/in/matiasjacob</v>
      </c>
      <c r="I5142" s="2" t="s">
        <v>2000</v>
      </c>
      <c r="J5142" s="2" t="s">
        <v>21</v>
      </c>
      <c r="K5142" s="2" t="s">
        <v>10196</v>
      </c>
    </row>
    <row r="5143" ht="15.75" customHeight="1">
      <c r="A5143" s="2">
        <v>8702.0</v>
      </c>
      <c r="B5143" s="2" t="s">
        <v>6238</v>
      </c>
      <c r="C5143" s="2" t="s">
        <v>10410</v>
      </c>
      <c r="D5143" s="2" t="s">
        <v>10411</v>
      </c>
      <c r="E5143" s="2" t="s">
        <v>20</v>
      </c>
      <c r="F5143" s="2">
        <v>9.0</v>
      </c>
      <c r="G5143" s="2">
        <v>500.0</v>
      </c>
      <c r="H5143" s="3" t="str">
        <f>HYPERLINK("http://ar.linkedin.com/pub/soledad-rusconi-notario/9/A93/A73","http://ar.linkedin.com/pub/soledad-rusconi-notario/9/A93/A73")</f>
        <v>http://ar.linkedin.com/pub/soledad-rusconi-notario/9/A93/A73</v>
      </c>
      <c r="I5143" s="2" t="s">
        <v>15</v>
      </c>
      <c r="J5143" s="2" t="s">
        <v>21</v>
      </c>
      <c r="K5143" s="2" t="s">
        <v>10196</v>
      </c>
    </row>
    <row r="5144" ht="15.75" customHeight="1">
      <c r="A5144" s="2">
        <v>8724.0</v>
      </c>
      <c r="B5144" s="2" t="s">
        <v>10412</v>
      </c>
      <c r="C5144" s="2" t="s">
        <v>10413</v>
      </c>
      <c r="D5144" s="2" t="s">
        <v>13</v>
      </c>
      <c r="E5144" s="2" t="s">
        <v>4531</v>
      </c>
      <c r="F5144" s="2">
        <v>0.0</v>
      </c>
      <c r="G5144" s="2">
        <v>413.0</v>
      </c>
      <c r="H5144" s="3" t="str">
        <f>HYPERLINK("http://www.linkedin.com/pub/guillermo-federico-majchrzak/9/28b/989","http://www.linkedin.com/pub/guillermo-federico-majchrzak/9/28b/989")</f>
        <v>http://www.linkedin.com/pub/guillermo-federico-majchrzak/9/28b/989</v>
      </c>
      <c r="I5144" s="2" t="s">
        <v>15</v>
      </c>
      <c r="J5144" s="2" t="s">
        <v>53</v>
      </c>
      <c r="K5144" s="2" t="s">
        <v>10196</v>
      </c>
    </row>
    <row r="5145" ht="15.75" customHeight="1">
      <c r="A5145" s="2">
        <v>8876.0</v>
      </c>
      <c r="B5145" s="2" t="s">
        <v>10414</v>
      </c>
      <c r="C5145" s="2" t="s">
        <v>10415</v>
      </c>
      <c r="D5145" s="2" t="s">
        <v>10416</v>
      </c>
      <c r="E5145" s="2" t="s">
        <v>20</v>
      </c>
      <c r="F5145" s="2">
        <v>2.0</v>
      </c>
      <c r="G5145" s="2">
        <v>98.0</v>
      </c>
      <c r="H5145" s="3" t="str">
        <f>HYPERLINK("http://ar.linkedin.com/in/regnicoli","http://ar.linkedin.com/in/regnicoli")</f>
        <v>http://ar.linkedin.com/in/regnicoli</v>
      </c>
      <c r="I5145" s="2" t="s">
        <v>15</v>
      </c>
      <c r="J5145" s="2" t="s">
        <v>21</v>
      </c>
      <c r="K5145" s="2" t="s">
        <v>10196</v>
      </c>
    </row>
    <row r="5146" ht="15.75" customHeight="1">
      <c r="A5146" s="2">
        <v>8887.0</v>
      </c>
      <c r="B5146" s="2" t="s">
        <v>10417</v>
      </c>
      <c r="C5146" s="2" t="s">
        <v>10418</v>
      </c>
      <c r="D5146" s="2" t="s">
        <v>13</v>
      </c>
      <c r="E5146" s="2" t="s">
        <v>20</v>
      </c>
      <c r="F5146" s="2">
        <v>0.0</v>
      </c>
      <c r="G5146" s="2">
        <v>500.0</v>
      </c>
      <c r="H5146" s="3" t="str">
        <f>HYPERLINK("http://www.linkedin.com/pub/dante-panella/19/46a/b33","http://www.linkedin.com/pub/dante-panella/19/46a/b33")</f>
        <v>http://www.linkedin.com/pub/dante-panella/19/46a/b33</v>
      </c>
      <c r="I5146" s="2" t="s">
        <v>15</v>
      </c>
      <c r="J5146" s="2" t="s">
        <v>21</v>
      </c>
      <c r="K5146" s="2" t="s">
        <v>10173</v>
      </c>
    </row>
    <row r="5147" ht="15.75" customHeight="1">
      <c r="A5147" s="2">
        <v>8895.0</v>
      </c>
      <c r="B5147" s="2" t="s">
        <v>5849</v>
      </c>
      <c r="C5147" s="2" t="s">
        <v>1839</v>
      </c>
      <c r="D5147" s="2" t="s">
        <v>13</v>
      </c>
      <c r="E5147" s="2" t="s">
        <v>20</v>
      </c>
      <c r="F5147" s="2">
        <v>0.0</v>
      </c>
      <c r="G5147" s="2">
        <v>482.0</v>
      </c>
      <c r="H5147" s="3" t="str">
        <f>HYPERLINK("http://ar.linkedin.com/in/juanfa","http://ar.linkedin.com/in/juanfa")</f>
        <v>http://ar.linkedin.com/in/juanfa</v>
      </c>
      <c r="I5147" s="2" t="s">
        <v>48</v>
      </c>
      <c r="J5147" s="2" t="s">
        <v>21</v>
      </c>
      <c r="K5147" s="2" t="s">
        <v>10343</v>
      </c>
    </row>
    <row r="5148" ht="15.75" customHeight="1">
      <c r="A5148" s="2">
        <v>8903.0</v>
      </c>
      <c r="B5148" s="2" t="s">
        <v>7916</v>
      </c>
      <c r="C5148" s="2" t="s">
        <v>10419</v>
      </c>
      <c r="D5148" s="2" t="s">
        <v>347</v>
      </c>
      <c r="E5148" s="2" t="s">
        <v>20</v>
      </c>
      <c r="F5148" s="2">
        <v>5.0</v>
      </c>
      <c r="G5148" s="2">
        <v>268.0</v>
      </c>
      <c r="H5148" s="3" t="str">
        <f>HYPERLINK("http://ar.linkedin.com/in/aforgione","http://ar.linkedin.com/in/aforgione")</f>
        <v>http://ar.linkedin.com/in/aforgione</v>
      </c>
      <c r="I5148" s="2" t="s">
        <v>15</v>
      </c>
      <c r="J5148" s="2" t="s">
        <v>21</v>
      </c>
      <c r="K5148" s="2" t="s">
        <v>10178</v>
      </c>
    </row>
    <row r="5149" ht="15.75" customHeight="1">
      <c r="A5149" s="2">
        <v>8924.0</v>
      </c>
      <c r="B5149" s="2" t="s">
        <v>10420</v>
      </c>
      <c r="C5149" s="2" t="s">
        <v>10421</v>
      </c>
      <c r="D5149" s="2" t="s">
        <v>13</v>
      </c>
      <c r="E5149" s="2" t="s">
        <v>10422</v>
      </c>
      <c r="F5149" s="2">
        <v>6.0</v>
      </c>
      <c r="G5149" s="2">
        <v>355.0</v>
      </c>
      <c r="H5149" s="3" t="str">
        <f>HYPERLINK("http://www.linkedin.com/pub/roger-paul-rodriguez-salazar/5/a91/533","http://www.linkedin.com/pub/roger-paul-rodriguez-salazar/5/a91/533")</f>
        <v>http://www.linkedin.com/pub/roger-paul-rodriguez-salazar/5/a91/533</v>
      </c>
      <c r="I5149" s="2" t="s">
        <v>48</v>
      </c>
      <c r="J5149" s="2" t="s">
        <v>53</v>
      </c>
      <c r="K5149" s="2" t="s">
        <v>10340</v>
      </c>
    </row>
    <row r="5150" ht="15.75" customHeight="1">
      <c r="A5150" s="2">
        <v>8935.0</v>
      </c>
      <c r="B5150" s="2" t="s">
        <v>6043</v>
      </c>
      <c r="C5150" s="2" t="s">
        <v>10423</v>
      </c>
      <c r="D5150" s="2" t="s">
        <v>6872</v>
      </c>
      <c r="E5150" s="2" t="s">
        <v>20</v>
      </c>
      <c r="F5150" s="2">
        <v>2.0</v>
      </c>
      <c r="G5150" s="2">
        <v>500.0</v>
      </c>
      <c r="H5150" s="3" t="str">
        <f>HYPERLINK("http://ar.linkedin.com/pub/sofia-liendo/11/252/465","http://ar.linkedin.com/pub/sofia-liendo/11/252/465")</f>
        <v>http://ar.linkedin.com/pub/sofia-liendo/11/252/465</v>
      </c>
      <c r="I5150" s="2" t="s">
        <v>15</v>
      </c>
      <c r="J5150" s="2" t="s">
        <v>21</v>
      </c>
      <c r="K5150" s="2" t="s">
        <v>10196</v>
      </c>
    </row>
    <row r="5151" ht="15.75" customHeight="1">
      <c r="A5151" s="2">
        <v>8952.0</v>
      </c>
      <c r="B5151" s="2" t="s">
        <v>10424</v>
      </c>
      <c r="C5151" s="2" t="s">
        <v>10425</v>
      </c>
      <c r="D5151" s="2" t="s">
        <v>10426</v>
      </c>
      <c r="E5151" s="2" t="s">
        <v>20</v>
      </c>
      <c r="F5151" s="2">
        <v>11.0</v>
      </c>
      <c r="G5151" s="2">
        <v>465.0</v>
      </c>
      <c r="H5151" s="3" t="str">
        <f>HYPERLINK("http://www.linkedin.com/in/marcosriganti","http://www.linkedin.com/in/marcosriganti")</f>
        <v>http://www.linkedin.com/in/marcosriganti</v>
      </c>
      <c r="I5151" s="2" t="s">
        <v>2000</v>
      </c>
      <c r="J5151" s="2" t="s">
        <v>21</v>
      </c>
      <c r="K5151" s="2" t="s">
        <v>10173</v>
      </c>
    </row>
    <row r="5152" ht="15.75" customHeight="1">
      <c r="A5152" s="2">
        <v>8968.0</v>
      </c>
      <c r="B5152" s="2" t="s">
        <v>523</v>
      </c>
      <c r="C5152" s="2" t="s">
        <v>10427</v>
      </c>
      <c r="D5152" s="2" t="s">
        <v>6202</v>
      </c>
      <c r="E5152" s="2" t="s">
        <v>20</v>
      </c>
      <c r="F5152" s="2">
        <v>3.0</v>
      </c>
      <c r="G5152" s="2">
        <v>193.0</v>
      </c>
      <c r="H5152" s="3" t="str">
        <f>HYPERLINK("http://ar.linkedin.com/in/ignaciomanzano","http://ar.linkedin.com/in/ignaciomanzano")</f>
        <v>http://ar.linkedin.com/in/ignaciomanzano</v>
      </c>
      <c r="I5152" s="2" t="s">
        <v>15</v>
      </c>
      <c r="J5152" s="2" t="s">
        <v>21</v>
      </c>
      <c r="K5152" s="2" t="s">
        <v>10196</v>
      </c>
    </row>
    <row r="5153" ht="15.75" customHeight="1">
      <c r="A5153" s="2">
        <v>8975.0</v>
      </c>
      <c r="B5153" s="2" t="s">
        <v>5824</v>
      </c>
      <c r="C5153" s="2" t="s">
        <v>10428</v>
      </c>
      <c r="D5153" s="2" t="s">
        <v>10429</v>
      </c>
      <c r="E5153" s="2" t="s">
        <v>20</v>
      </c>
      <c r="F5153" s="2">
        <v>52.0</v>
      </c>
      <c r="G5153" s="2">
        <v>500.0</v>
      </c>
      <c r="H5153" s="3" t="str">
        <f>HYPERLINK("http://ar.linkedin.com/in/alejandrafrisoni","http://ar.linkedin.com/in/alejandrafrisoni")</f>
        <v>http://ar.linkedin.com/in/alejandrafrisoni</v>
      </c>
      <c r="I5153" s="2" t="s">
        <v>15</v>
      </c>
      <c r="J5153" s="2" t="s">
        <v>21</v>
      </c>
      <c r="K5153" s="2" t="s">
        <v>10430</v>
      </c>
    </row>
    <row r="5154" ht="15.75" customHeight="1">
      <c r="A5154" s="2">
        <v>9000.0</v>
      </c>
      <c r="B5154" s="2" t="s">
        <v>10431</v>
      </c>
      <c r="C5154" s="2" t="s">
        <v>10432</v>
      </c>
      <c r="D5154" s="2" t="s">
        <v>6213</v>
      </c>
      <c r="E5154" s="2" t="s">
        <v>20</v>
      </c>
      <c r="F5154" s="2">
        <v>6.0</v>
      </c>
      <c r="G5154" s="2">
        <v>406.0</v>
      </c>
      <c r="H5154" s="3" t="str">
        <f>HYPERLINK("http://ar.linkedin.com/in/anselmoabadia","http://ar.linkedin.com/in/anselmoabadia")</f>
        <v>http://ar.linkedin.com/in/anselmoabadia</v>
      </c>
      <c r="I5154" s="2" t="s">
        <v>15</v>
      </c>
      <c r="J5154" s="2" t="s">
        <v>21</v>
      </c>
      <c r="K5154" s="2" t="s">
        <v>10196</v>
      </c>
    </row>
    <row r="5155" ht="15.75" customHeight="1">
      <c r="A5155" s="2">
        <v>9003.0</v>
      </c>
      <c r="B5155" s="2" t="s">
        <v>471</v>
      </c>
      <c r="C5155" s="2" t="s">
        <v>1586</v>
      </c>
      <c r="D5155" s="2" t="s">
        <v>7998</v>
      </c>
      <c r="E5155" s="2" t="s">
        <v>20</v>
      </c>
      <c r="F5155" s="2">
        <v>0.0</v>
      </c>
      <c r="G5155" s="2">
        <v>278.0</v>
      </c>
      <c r="H5155" s="3" t="str">
        <f>HYPERLINK("http://ar.linkedin.com/pub/dan-hughes/10/268/333","http://ar.linkedin.com/pub/dan-hughes/10/268/333")</f>
        <v>http://ar.linkedin.com/pub/dan-hughes/10/268/333</v>
      </c>
      <c r="I5155" s="2" t="s">
        <v>2000</v>
      </c>
      <c r="J5155" s="2" t="s">
        <v>21</v>
      </c>
      <c r="K5155" s="2" t="s">
        <v>10206</v>
      </c>
    </row>
    <row r="5156" ht="15.75" customHeight="1">
      <c r="A5156" s="2">
        <v>9015.0</v>
      </c>
      <c r="B5156" s="2" t="s">
        <v>6252</v>
      </c>
      <c r="C5156" s="2" t="s">
        <v>10433</v>
      </c>
      <c r="D5156" s="2" t="s">
        <v>289</v>
      </c>
      <c r="E5156" s="2" t="s">
        <v>20</v>
      </c>
      <c r="F5156" s="2">
        <v>7.0</v>
      </c>
      <c r="G5156" s="2">
        <v>481.0</v>
      </c>
      <c r="H5156" s="3" t="str">
        <f>HYPERLINK("http://ar.linkedin.com/in/surrizola","http://ar.linkedin.com/in/surrizola")</f>
        <v>http://ar.linkedin.com/in/surrizola</v>
      </c>
      <c r="I5156" s="2" t="s">
        <v>15</v>
      </c>
      <c r="J5156" s="2" t="s">
        <v>21</v>
      </c>
      <c r="K5156" s="2" t="s">
        <v>10206</v>
      </c>
    </row>
    <row r="5157" ht="15.75" customHeight="1">
      <c r="A5157" s="2">
        <v>9048.0</v>
      </c>
      <c r="B5157" s="2" t="s">
        <v>18</v>
      </c>
      <c r="C5157" s="2" t="s">
        <v>10434</v>
      </c>
      <c r="D5157" s="2" t="s">
        <v>936</v>
      </c>
      <c r="E5157" s="2" t="s">
        <v>20</v>
      </c>
      <c r="F5157" s="2">
        <v>18.0</v>
      </c>
      <c r="G5157" s="2">
        <v>500.0</v>
      </c>
      <c r="H5157" s="3" t="str">
        <f>HYPERLINK("http://ar.linkedin.com/in/mvetrano","http://ar.linkedin.com/in/mvetrano")</f>
        <v>http://ar.linkedin.com/in/mvetrano</v>
      </c>
      <c r="I5157" s="2" t="s">
        <v>15</v>
      </c>
      <c r="J5157" s="2" t="s">
        <v>21</v>
      </c>
      <c r="K5157" s="2" t="s">
        <v>10196</v>
      </c>
    </row>
    <row r="5158" ht="15.75" customHeight="1">
      <c r="A5158" s="2">
        <v>9051.0</v>
      </c>
      <c r="B5158" s="2" t="s">
        <v>389</v>
      </c>
      <c r="C5158" s="2" t="s">
        <v>10435</v>
      </c>
      <c r="D5158" s="2" t="s">
        <v>10436</v>
      </c>
      <c r="E5158" s="2" t="s">
        <v>20</v>
      </c>
      <c r="F5158" s="2">
        <v>9.0</v>
      </c>
      <c r="G5158" s="2">
        <v>500.0</v>
      </c>
      <c r="H5158" s="3" t="str">
        <f>HYPERLINK("http://ar.linkedin.com/in/joesys","http://ar.linkedin.com/in/joesys")</f>
        <v>http://ar.linkedin.com/in/joesys</v>
      </c>
      <c r="I5158" s="2" t="s">
        <v>15</v>
      </c>
      <c r="J5158" s="2" t="s">
        <v>21</v>
      </c>
      <c r="K5158" s="2" t="s">
        <v>10196</v>
      </c>
    </row>
    <row r="5159" ht="15.75" customHeight="1">
      <c r="A5159" s="2">
        <v>9055.0</v>
      </c>
      <c r="B5159" s="2" t="s">
        <v>10437</v>
      </c>
      <c r="C5159" s="2" t="s">
        <v>59</v>
      </c>
      <c r="D5159" s="2" t="s">
        <v>10438</v>
      </c>
      <c r="E5159" s="2" t="s">
        <v>1190</v>
      </c>
      <c r="F5159" s="2">
        <v>0.0</v>
      </c>
      <c r="G5159" s="2">
        <v>500.0</v>
      </c>
      <c r="H5159" s="3" t="str">
        <f>HYPERLINK("http://www.linkedin.com/pub/ema-martin/0/348/99A","http://www.linkedin.com/pub/ema-martin/0/348/99A")</f>
        <v>http://www.linkedin.com/pub/ema-martin/0/348/99A</v>
      </c>
      <c r="I5159" s="2" t="s">
        <v>57</v>
      </c>
      <c r="J5159" s="2" t="s">
        <v>102</v>
      </c>
      <c r="K5159" s="2" t="s">
        <v>10209</v>
      </c>
    </row>
    <row r="5160" ht="15.75" customHeight="1">
      <c r="A5160" s="2">
        <v>9065.0</v>
      </c>
      <c r="B5160" s="2" t="s">
        <v>677</v>
      </c>
      <c r="C5160" s="2" t="s">
        <v>10439</v>
      </c>
      <c r="D5160" s="2" t="s">
        <v>13</v>
      </c>
      <c r="E5160" s="2" t="s">
        <v>20</v>
      </c>
      <c r="F5160" s="2">
        <v>0.0</v>
      </c>
      <c r="G5160" s="2">
        <v>500.0</v>
      </c>
      <c r="H5160" s="3" t="str">
        <f>HYPERLINK("http://www.linkedin.com/pub/daniel-unrein/5/278/995","http://www.linkedin.com/pub/daniel-unrein/5/278/995")</f>
        <v>http://www.linkedin.com/pub/daniel-unrein/5/278/995</v>
      </c>
      <c r="I5160" s="2" t="s">
        <v>669</v>
      </c>
      <c r="J5160" s="2" t="s">
        <v>21</v>
      </c>
      <c r="K5160" s="2" t="s">
        <v>10187</v>
      </c>
    </row>
    <row r="5161" ht="15.75" customHeight="1">
      <c r="A5161" s="2">
        <v>9066.0</v>
      </c>
      <c r="B5161" s="2" t="s">
        <v>358</v>
      </c>
      <c r="C5161" s="2" t="s">
        <v>10440</v>
      </c>
      <c r="D5161" s="2" t="s">
        <v>10441</v>
      </c>
      <c r="E5161" s="2" t="s">
        <v>20</v>
      </c>
      <c r="F5161" s="2">
        <v>7.0</v>
      </c>
      <c r="G5161" s="2">
        <v>500.0</v>
      </c>
      <c r="H5161" s="3" t="str">
        <f>HYPERLINK("http://ar.linkedin.com/in/marcelocarugo","http://ar.linkedin.com/in/marcelocarugo")</f>
        <v>http://ar.linkedin.com/in/marcelocarugo</v>
      </c>
      <c r="I5161" s="2" t="s">
        <v>2023</v>
      </c>
      <c r="J5161" s="2" t="s">
        <v>21</v>
      </c>
      <c r="K5161" s="2" t="s">
        <v>10176</v>
      </c>
    </row>
    <row r="5162" ht="15.75" customHeight="1">
      <c r="A5162" s="2">
        <v>9076.0</v>
      </c>
      <c r="B5162" s="2" t="s">
        <v>10442</v>
      </c>
      <c r="C5162" s="2" t="s">
        <v>1729</v>
      </c>
      <c r="D5162" s="2" t="s">
        <v>8991</v>
      </c>
      <c r="E5162" s="2" t="s">
        <v>20</v>
      </c>
      <c r="F5162" s="2">
        <v>5.0</v>
      </c>
      <c r="G5162" s="2">
        <v>500.0</v>
      </c>
      <c r="H5162" s="3" t="str">
        <f>HYPERLINK("http://ar.linkedin.com/in/mariarenee","http://ar.linkedin.com/in/mariarenee")</f>
        <v>http://ar.linkedin.com/in/mariarenee</v>
      </c>
      <c r="I5162" s="2" t="s">
        <v>458</v>
      </c>
      <c r="J5162" s="2" t="s">
        <v>21</v>
      </c>
      <c r="K5162" s="2" t="s">
        <v>10209</v>
      </c>
    </row>
    <row r="5163" ht="15.75" customHeight="1">
      <c r="A5163" s="2">
        <v>9080.0</v>
      </c>
      <c r="B5163" s="2" t="s">
        <v>874</v>
      </c>
      <c r="C5163" s="2" t="s">
        <v>2165</v>
      </c>
      <c r="D5163" s="2" t="s">
        <v>10443</v>
      </c>
      <c r="E5163" s="2" t="s">
        <v>1407</v>
      </c>
      <c r="F5163" s="2">
        <v>0.0</v>
      </c>
      <c r="G5163" s="2">
        <v>246.0</v>
      </c>
      <c r="H5163" s="3" t="str">
        <f>HYPERLINK("http://www.linkedin.com/pub/tim-shaffer/2/419/71A","http://www.linkedin.com/pub/tim-shaffer/2/419/71A")</f>
        <v>http://www.linkedin.com/pub/tim-shaffer/2/419/71A</v>
      </c>
      <c r="I5163" s="2" t="s">
        <v>15</v>
      </c>
      <c r="J5163" s="2" t="s">
        <v>102</v>
      </c>
      <c r="K5163" s="2" t="s">
        <v>10184</v>
      </c>
    </row>
    <row r="5164" ht="15.75" customHeight="1">
      <c r="A5164" s="2">
        <v>9081.0</v>
      </c>
      <c r="B5164" s="2" t="s">
        <v>1339</v>
      </c>
      <c r="C5164" s="2" t="s">
        <v>10444</v>
      </c>
      <c r="D5164" s="2" t="s">
        <v>10445</v>
      </c>
      <c r="E5164" s="2" t="s">
        <v>1407</v>
      </c>
      <c r="F5164" s="2">
        <v>16.0</v>
      </c>
      <c r="G5164" s="2">
        <v>500.0</v>
      </c>
      <c r="H5164" s="3" t="str">
        <f>HYPERLINK("http://www.linkedin.com/in/manijonnalagadda","http://www.linkedin.com/in/manijonnalagadda")</f>
        <v>http://www.linkedin.com/in/manijonnalagadda</v>
      </c>
      <c r="I5164" s="2" t="s">
        <v>1421</v>
      </c>
      <c r="J5164" s="2" t="s">
        <v>102</v>
      </c>
      <c r="K5164" s="2" t="s">
        <v>10312</v>
      </c>
    </row>
    <row r="5165" ht="15.75" customHeight="1">
      <c r="A5165" s="2">
        <v>9086.0</v>
      </c>
      <c r="B5165" s="2" t="s">
        <v>3780</v>
      </c>
      <c r="C5165" s="2" t="s">
        <v>10446</v>
      </c>
      <c r="D5165" s="2" t="s">
        <v>10447</v>
      </c>
      <c r="E5165" s="2" t="s">
        <v>155</v>
      </c>
      <c r="F5165" s="2">
        <v>18.0</v>
      </c>
      <c r="G5165" s="2">
        <v>500.0</v>
      </c>
      <c r="H5165" s="3" t="str">
        <f>HYPERLINK("http://www.linkedin.com/in/mohankreddy","http://www.linkedin.com/in/mohankreddy")</f>
        <v>http://www.linkedin.com/in/mohankreddy</v>
      </c>
      <c r="I5165" s="2" t="s">
        <v>143</v>
      </c>
      <c r="J5165" s="2" t="s">
        <v>102</v>
      </c>
      <c r="K5165" s="2" t="s">
        <v>10245</v>
      </c>
    </row>
    <row r="5166" ht="15.75" customHeight="1">
      <c r="A5166" s="2">
        <v>9087.0</v>
      </c>
      <c r="B5166" s="2" t="s">
        <v>3201</v>
      </c>
      <c r="C5166" s="2" t="s">
        <v>10448</v>
      </c>
      <c r="D5166" s="2" t="s">
        <v>10449</v>
      </c>
      <c r="E5166" s="2" t="s">
        <v>20</v>
      </c>
      <c r="F5166" s="2">
        <v>11.0</v>
      </c>
      <c r="G5166" s="2">
        <v>209.0</v>
      </c>
      <c r="H5166" s="3" t="str">
        <f>HYPERLINK("http://ar.linkedin.com/in/sebastianbeltramini","http://ar.linkedin.com/in/sebastianbeltramini")</f>
        <v>http://ar.linkedin.com/in/sebastianbeltramini</v>
      </c>
      <c r="I5166" s="2" t="s">
        <v>48</v>
      </c>
      <c r="J5166" s="2" t="s">
        <v>21</v>
      </c>
      <c r="K5166" s="2" t="s">
        <v>10196</v>
      </c>
    </row>
    <row r="5167" ht="15.75" customHeight="1">
      <c r="A5167" s="2">
        <v>9091.0</v>
      </c>
      <c r="B5167" s="2" t="s">
        <v>10450</v>
      </c>
      <c r="C5167" s="2" t="s">
        <v>10451</v>
      </c>
      <c r="D5167" s="2" t="s">
        <v>13</v>
      </c>
      <c r="E5167" s="2" t="s">
        <v>136</v>
      </c>
      <c r="F5167" s="2">
        <v>0.0</v>
      </c>
      <c r="G5167" s="2">
        <v>500.0</v>
      </c>
      <c r="H5167" s="3" t="str">
        <f>HYPERLINK("http://www.linkedin.com/in/bryanpower","http://www.linkedin.com/in/bryanpower")</f>
        <v>http://www.linkedin.com/in/bryanpower</v>
      </c>
      <c r="I5167" s="2" t="s">
        <v>458</v>
      </c>
      <c r="J5167" s="2" t="s">
        <v>102</v>
      </c>
      <c r="K5167" s="2" t="s">
        <v>10206</v>
      </c>
    </row>
    <row r="5168" ht="15.75" customHeight="1">
      <c r="A5168" s="2">
        <v>9093.0</v>
      </c>
      <c r="B5168" s="2" t="s">
        <v>5808</v>
      </c>
      <c r="C5168" s="2" t="s">
        <v>6885</v>
      </c>
      <c r="D5168" s="2" t="s">
        <v>10452</v>
      </c>
      <c r="E5168" s="2" t="s">
        <v>20</v>
      </c>
      <c r="F5168" s="2">
        <v>7.0</v>
      </c>
      <c r="G5168" s="2">
        <v>500.0</v>
      </c>
      <c r="H5168" s="3" t="str">
        <f>HYPERLINK("https://www.linkedin.com/in/mtraverso","https://www.linkedin.com/in/mtraverso")</f>
        <v>https://www.linkedin.com/in/mtraverso</v>
      </c>
      <c r="I5168" s="2" t="s">
        <v>48</v>
      </c>
      <c r="J5168" s="2" t="s">
        <v>21</v>
      </c>
      <c r="K5168" s="2" t="s">
        <v>10196</v>
      </c>
    </row>
    <row r="5169" ht="15.75" customHeight="1">
      <c r="A5169" s="2">
        <v>9113.0</v>
      </c>
      <c r="B5169" s="2" t="s">
        <v>721</v>
      </c>
      <c r="C5169" s="2" t="s">
        <v>1527</v>
      </c>
      <c r="D5169" s="2"/>
      <c r="E5169" s="2" t="s">
        <v>1179</v>
      </c>
      <c r="F5169" s="2">
        <v>3.0</v>
      </c>
      <c r="G5169" s="2">
        <v>500.0</v>
      </c>
      <c r="H5169" s="3" t="str">
        <f>HYPERLINK("http://www.linkedin.com/pub/andrew-clark/0/13/B90","http://www.linkedin.com/pub/andrew-clark/0/13/B90")</f>
        <v>http://www.linkedin.com/pub/andrew-clark/0/13/B90</v>
      </c>
      <c r="I5169" s="2" t="s">
        <v>248</v>
      </c>
      <c r="J5169" s="2" t="s">
        <v>102</v>
      </c>
      <c r="K5169" s="2" t="s">
        <v>10187</v>
      </c>
    </row>
    <row r="5170" ht="15.75" customHeight="1">
      <c r="A5170" s="2">
        <v>9118.0</v>
      </c>
      <c r="B5170" s="2" t="s">
        <v>710</v>
      </c>
      <c r="C5170" s="2" t="s">
        <v>10453</v>
      </c>
      <c r="D5170" s="2"/>
      <c r="E5170" s="2" t="s">
        <v>10454</v>
      </c>
      <c r="F5170" s="2">
        <v>0.0</v>
      </c>
      <c r="G5170" s="2">
        <v>308.0</v>
      </c>
      <c r="H5170" s="3" t="str">
        <f>HYPERLINK("http://www.linkedin.com/pub/jason-brittain/1/269/323","http://www.linkedin.com/pub/jason-brittain/1/269/323")</f>
        <v>http://www.linkedin.com/pub/jason-brittain/1/269/323</v>
      </c>
      <c r="I5170" s="2" t="s">
        <v>48</v>
      </c>
      <c r="J5170" s="2" t="s">
        <v>102</v>
      </c>
      <c r="K5170" s="2" t="s">
        <v>10455</v>
      </c>
    </row>
    <row r="5171" ht="15.75" customHeight="1">
      <c r="A5171" s="2">
        <v>9119.0</v>
      </c>
      <c r="B5171" s="2" t="s">
        <v>631</v>
      </c>
      <c r="C5171" s="2" t="s">
        <v>10456</v>
      </c>
      <c r="D5171" s="2" t="s">
        <v>10457</v>
      </c>
      <c r="E5171" s="2" t="s">
        <v>136</v>
      </c>
      <c r="F5171" s="2">
        <v>5.0</v>
      </c>
      <c r="G5171" s="2">
        <v>500.0</v>
      </c>
      <c r="H5171" s="3" t="str">
        <f>HYPERLINK("http://www.linkedin.com/in/chrispurpura","http://www.linkedin.com/in/chrispurpura")</f>
        <v>http://www.linkedin.com/in/chrispurpura</v>
      </c>
      <c r="I5171" s="2" t="s">
        <v>15</v>
      </c>
      <c r="J5171" s="2" t="s">
        <v>102</v>
      </c>
      <c r="K5171" s="2" t="s">
        <v>10176</v>
      </c>
    </row>
    <row r="5172" ht="15.75" customHeight="1">
      <c r="A5172" s="2">
        <v>9123.0</v>
      </c>
      <c r="B5172" s="2" t="s">
        <v>754</v>
      </c>
      <c r="C5172" s="2" t="s">
        <v>10458</v>
      </c>
      <c r="D5172" s="2"/>
      <c r="E5172" s="2" t="s">
        <v>136</v>
      </c>
      <c r="F5172" s="2">
        <v>0.0</v>
      </c>
      <c r="G5172" s="2">
        <v>500.0</v>
      </c>
      <c r="H5172" s="3" t="str">
        <f>HYPERLINK("http://www.linkedin.com/pub/greg-schott/0/416/B27","http://www.linkedin.com/pub/greg-schott/0/416/B27")</f>
        <v>http://www.linkedin.com/pub/greg-schott/0/416/B27</v>
      </c>
      <c r="I5172" s="2" t="s">
        <v>48</v>
      </c>
      <c r="J5172" s="2" t="s">
        <v>102</v>
      </c>
      <c r="K5172" s="2" t="s">
        <v>10184</v>
      </c>
    </row>
    <row r="5173" ht="15.75" customHeight="1">
      <c r="A5173" s="2">
        <v>9125.0</v>
      </c>
      <c r="B5173" s="2" t="s">
        <v>10459</v>
      </c>
      <c r="C5173" s="2" t="s">
        <v>10460</v>
      </c>
      <c r="D5173" s="2" t="s">
        <v>10461</v>
      </c>
      <c r="E5173" s="2" t="s">
        <v>301</v>
      </c>
      <c r="F5173" s="2">
        <v>62.0</v>
      </c>
      <c r="G5173" s="2">
        <v>500.0</v>
      </c>
      <c r="H5173" s="3" t="str">
        <f>HYPERLINK("http://www.linkedin.com/in/wguan","http://www.linkedin.com/in/wguan")</f>
        <v>http://www.linkedin.com/in/wguan</v>
      </c>
      <c r="I5173" s="2" t="s">
        <v>115</v>
      </c>
      <c r="J5173" s="2" t="s">
        <v>102</v>
      </c>
      <c r="K5173" s="2" t="s">
        <v>10206</v>
      </c>
    </row>
    <row r="5174" ht="15.75" customHeight="1">
      <c r="A5174" s="2">
        <v>9126.0</v>
      </c>
      <c r="B5174" s="2" t="s">
        <v>4353</v>
      </c>
      <c r="C5174" s="2" t="s">
        <v>2750</v>
      </c>
      <c r="D5174" s="2"/>
      <c r="E5174" s="2" t="s">
        <v>136</v>
      </c>
      <c r="F5174" s="2">
        <v>1.0</v>
      </c>
      <c r="G5174" s="2">
        <v>480.0</v>
      </c>
      <c r="H5174" s="3" t="str">
        <f>HYPERLINK("http://www.linkedin.com/pub/eugene-berman/1/617/3","http://www.linkedin.com/pub/eugene-berman/1/617/3")</f>
        <v>http://www.linkedin.com/pub/eugene-berman/1/617/3</v>
      </c>
      <c r="I5174" s="2" t="s">
        <v>48</v>
      </c>
      <c r="J5174" s="2" t="s">
        <v>102</v>
      </c>
      <c r="K5174" s="2" t="s">
        <v>10233</v>
      </c>
    </row>
    <row r="5175" ht="15.75" customHeight="1">
      <c r="A5175" s="2">
        <v>9127.0</v>
      </c>
      <c r="B5175" s="2" t="s">
        <v>10462</v>
      </c>
      <c r="C5175" s="2" t="s">
        <v>10463</v>
      </c>
      <c r="D5175" s="2" t="s">
        <v>8875</v>
      </c>
      <c r="E5175" s="2" t="s">
        <v>136</v>
      </c>
      <c r="F5175" s="2">
        <v>11.0</v>
      </c>
      <c r="G5175" s="2">
        <v>500.0</v>
      </c>
      <c r="H5175" s="3" t="str">
        <f>HYPERLINK("http://www.linkedin.com/pub/anoop-gopalakrishnan/8/804/587","http://www.linkedin.com/pub/anoop-gopalakrishnan/8/804/587")</f>
        <v>http://www.linkedin.com/pub/anoop-gopalakrishnan/8/804/587</v>
      </c>
      <c r="I5175" s="2" t="s">
        <v>1496</v>
      </c>
      <c r="J5175" s="2" t="s">
        <v>102</v>
      </c>
      <c r="K5175" s="2" t="s">
        <v>10209</v>
      </c>
    </row>
    <row r="5176" ht="15.75" customHeight="1">
      <c r="A5176" s="2">
        <v>9128.0</v>
      </c>
      <c r="B5176" s="2" t="s">
        <v>10464</v>
      </c>
      <c r="C5176" s="2" t="s">
        <v>10465</v>
      </c>
      <c r="D5176" s="2" t="s">
        <v>10466</v>
      </c>
      <c r="E5176" s="2" t="s">
        <v>136</v>
      </c>
      <c r="F5176" s="2">
        <v>15.0</v>
      </c>
      <c r="G5176" s="2">
        <v>249.0</v>
      </c>
      <c r="H5176" s="3" t="str">
        <f>HYPERLINK("http://www.linkedin.com/in/jaskiratbhatia","http://www.linkedin.com/in/jaskiratbhatia")</f>
        <v>http://www.linkedin.com/in/jaskiratbhatia</v>
      </c>
      <c r="I5176" s="2" t="s">
        <v>69</v>
      </c>
      <c r="J5176" s="2" t="s">
        <v>102</v>
      </c>
      <c r="K5176" s="2" t="s">
        <v>10245</v>
      </c>
    </row>
    <row r="5177" ht="15.75" customHeight="1">
      <c r="A5177" s="2">
        <v>9141.0</v>
      </c>
      <c r="B5177" s="2" t="s">
        <v>10467</v>
      </c>
      <c r="C5177" s="2" t="s">
        <v>10468</v>
      </c>
      <c r="D5177" s="2" t="s">
        <v>1871</v>
      </c>
      <c r="E5177" s="2" t="s">
        <v>882</v>
      </c>
      <c r="F5177" s="2">
        <v>3.0</v>
      </c>
      <c r="G5177" s="2">
        <v>182.0</v>
      </c>
      <c r="H5177" s="3" t="str">
        <f>HYPERLINK("http://www.linkedin.com/pub/sorbo-bagchi/13/AA2/27A","http://www.linkedin.com/pub/sorbo-bagchi/13/AA2/27A")</f>
        <v>http://www.linkedin.com/pub/sorbo-bagchi/13/AA2/27A</v>
      </c>
      <c r="I5177" s="2" t="s">
        <v>69</v>
      </c>
      <c r="J5177" s="2" t="s">
        <v>102</v>
      </c>
      <c r="K5177" s="2" t="s">
        <v>10245</v>
      </c>
    </row>
    <row r="5178" ht="15.75" customHeight="1">
      <c r="A5178" s="2">
        <v>9156.0</v>
      </c>
      <c r="B5178" s="2" t="s">
        <v>152</v>
      </c>
      <c r="C5178" s="2" t="s">
        <v>10469</v>
      </c>
      <c r="D5178" s="2" t="s">
        <v>10470</v>
      </c>
      <c r="E5178" s="2" t="s">
        <v>136</v>
      </c>
      <c r="F5178" s="2">
        <v>58.0</v>
      </c>
      <c r="G5178" s="2">
        <v>500.0</v>
      </c>
      <c r="H5178" s="3" t="str">
        <f>HYPERLINK("http://www.linkedin.com/in/eduardochiocconi","http://www.linkedin.com/in/eduardochiocconi")</f>
        <v>http://www.linkedin.com/in/eduardochiocconi</v>
      </c>
      <c r="I5178" s="2" t="s">
        <v>48</v>
      </c>
      <c r="J5178" s="2" t="s">
        <v>102</v>
      </c>
      <c r="K5178" s="2" t="s">
        <v>10245</v>
      </c>
    </row>
    <row r="5179" ht="15.75" customHeight="1">
      <c r="A5179" s="2">
        <v>9158.0</v>
      </c>
      <c r="B5179" s="2" t="s">
        <v>10471</v>
      </c>
      <c r="C5179" s="2" t="s">
        <v>1843</v>
      </c>
      <c r="D5179" s="2" t="s">
        <v>10472</v>
      </c>
      <c r="E5179" s="2" t="s">
        <v>181</v>
      </c>
      <c r="F5179" s="2">
        <v>14.0</v>
      </c>
      <c r="G5179" s="2">
        <v>500.0</v>
      </c>
      <c r="H5179" s="3" t="str">
        <f>HYPERLINK("http://www.linkedin.com/in/kunalrshah","http://www.linkedin.com/in/kunalrshah")</f>
        <v>http://www.linkedin.com/in/kunalrshah</v>
      </c>
      <c r="I5179" s="2" t="s">
        <v>279</v>
      </c>
      <c r="J5179" s="2" t="s">
        <v>102</v>
      </c>
      <c r="K5179" s="2" t="s">
        <v>10229</v>
      </c>
    </row>
    <row r="5180" ht="15.75" customHeight="1">
      <c r="A5180" s="2">
        <v>9160.0</v>
      </c>
      <c r="B5180" s="2" t="s">
        <v>116</v>
      </c>
      <c r="C5180" s="2" t="s">
        <v>10473</v>
      </c>
      <c r="D5180" s="2" t="s">
        <v>10474</v>
      </c>
      <c r="E5180" s="2" t="s">
        <v>136</v>
      </c>
      <c r="F5180" s="2">
        <v>39.0</v>
      </c>
      <c r="G5180" s="2">
        <v>500.0</v>
      </c>
      <c r="H5180" s="3" t="str">
        <f>HYPERLINK("http://www.linkedin.com/in/alextoussaint","http://www.linkedin.com/in/alextoussaint")</f>
        <v>http://www.linkedin.com/in/alextoussaint</v>
      </c>
      <c r="I5180" s="2" t="s">
        <v>48</v>
      </c>
      <c r="J5180" s="2" t="s">
        <v>102</v>
      </c>
      <c r="K5180" s="2" t="s">
        <v>10475</v>
      </c>
    </row>
    <row r="5181" ht="15.75" customHeight="1">
      <c r="A5181" s="2">
        <v>9162.0</v>
      </c>
      <c r="B5181" s="2" t="s">
        <v>287</v>
      </c>
      <c r="C5181" s="2" t="s">
        <v>10476</v>
      </c>
      <c r="D5181" s="2" t="s">
        <v>10477</v>
      </c>
      <c r="E5181" s="2" t="s">
        <v>136</v>
      </c>
      <c r="F5181" s="2">
        <v>0.0</v>
      </c>
      <c r="G5181" s="2">
        <v>500.0</v>
      </c>
      <c r="H5181" s="3" t="str">
        <f>HYPERLINK("http://www.linkedin.com/pub/paul-davidian/8/772/7BB","http://www.linkedin.com/pub/paul-davidian/8/772/7BB")</f>
        <v>http://www.linkedin.com/pub/paul-davidian/8/772/7BB</v>
      </c>
      <c r="I5181" s="2" t="s">
        <v>48</v>
      </c>
      <c r="J5181" s="2" t="s">
        <v>102</v>
      </c>
      <c r="K5181" s="2" t="s">
        <v>10233</v>
      </c>
    </row>
    <row r="5182" ht="15.75" customHeight="1">
      <c r="A5182" s="2">
        <v>9163.0</v>
      </c>
      <c r="B5182" s="2" t="s">
        <v>845</v>
      </c>
      <c r="C5182" s="2" t="s">
        <v>10478</v>
      </c>
      <c r="D5182" s="2" t="s">
        <v>6260</v>
      </c>
      <c r="E5182" s="2" t="s">
        <v>20</v>
      </c>
      <c r="F5182" s="2">
        <v>8.0</v>
      </c>
      <c r="G5182" s="2">
        <v>308.0</v>
      </c>
      <c r="H5182" s="3" t="str">
        <f>HYPERLINK("http://ar.linkedin.com/pub/david-kotlirevsky/9/566/701","http://ar.linkedin.com/pub/david-kotlirevsky/9/566/701")</f>
        <v>http://ar.linkedin.com/pub/david-kotlirevsky/9/566/701</v>
      </c>
      <c r="I5182" s="2" t="s">
        <v>69</v>
      </c>
      <c r="J5182" s="2" t="s">
        <v>21</v>
      </c>
      <c r="K5182" s="2" t="s">
        <v>10196</v>
      </c>
    </row>
    <row r="5183" ht="15.75" customHeight="1">
      <c r="A5183" s="2">
        <v>9180.0</v>
      </c>
      <c r="B5183" s="2" t="s">
        <v>5728</v>
      </c>
      <c r="C5183" s="2" t="s">
        <v>10479</v>
      </c>
      <c r="D5183" s="2" t="s">
        <v>1865</v>
      </c>
      <c r="E5183" s="2" t="s">
        <v>20</v>
      </c>
      <c r="F5183" s="2">
        <v>3.0</v>
      </c>
      <c r="G5183" s="2">
        <v>196.0</v>
      </c>
      <c r="H5183" s="3" t="str">
        <f>HYPERLINK("http://ar.linkedin.com/in/marduh","http://ar.linkedin.com/in/marduh")</f>
        <v>http://ar.linkedin.com/in/marduh</v>
      </c>
      <c r="I5183" s="2" t="s">
        <v>15</v>
      </c>
      <c r="J5183" s="2" t="s">
        <v>21</v>
      </c>
      <c r="K5183" s="2" t="s">
        <v>10180</v>
      </c>
    </row>
    <row r="5184" ht="15.75" customHeight="1">
      <c r="A5184" s="2">
        <v>9187.0</v>
      </c>
      <c r="B5184" s="2" t="s">
        <v>3550</v>
      </c>
      <c r="C5184" s="2" t="s">
        <v>10480</v>
      </c>
      <c r="D5184" s="2" t="s">
        <v>13</v>
      </c>
      <c r="E5184" s="2" t="s">
        <v>122</v>
      </c>
      <c r="F5184" s="2">
        <v>0.0</v>
      </c>
      <c r="G5184" s="2">
        <v>500.0</v>
      </c>
      <c r="H5184" s="3" t="str">
        <f>HYPERLINK("https://www.linkedin.com/in/nicolasmondada","https://www.linkedin.com/in/nicolasmondada")</f>
        <v>https://www.linkedin.com/in/nicolasmondada</v>
      </c>
      <c r="I5184" s="2" t="s">
        <v>15</v>
      </c>
      <c r="J5184" s="2" t="s">
        <v>53</v>
      </c>
      <c r="K5184" s="2" t="s">
        <v>10180</v>
      </c>
    </row>
    <row r="5185" ht="15.75" customHeight="1">
      <c r="A5185" s="2">
        <v>9188.0</v>
      </c>
      <c r="B5185" s="2" t="s">
        <v>5808</v>
      </c>
      <c r="C5185" s="2" t="s">
        <v>10481</v>
      </c>
      <c r="D5185" s="2" t="s">
        <v>517</v>
      </c>
      <c r="E5185" s="2" t="s">
        <v>20</v>
      </c>
      <c r="F5185" s="2">
        <v>2.0</v>
      </c>
      <c r="G5185" s="2">
        <v>500.0</v>
      </c>
      <c r="H5185" s="3" t="str">
        <f>HYPERLINK("http://ar.linkedin.com/in/matiassulzberger","http://ar.linkedin.com/in/matiassulzberger")</f>
        <v>http://ar.linkedin.com/in/matiassulzberger</v>
      </c>
      <c r="I5185" s="2" t="s">
        <v>15</v>
      </c>
      <c r="J5185" s="2" t="s">
        <v>21</v>
      </c>
      <c r="K5185" s="2" t="s">
        <v>10482</v>
      </c>
    </row>
    <row r="5186" ht="15.75" customHeight="1">
      <c r="A5186" s="2">
        <v>9194.0</v>
      </c>
      <c r="B5186" s="2" t="s">
        <v>371</v>
      </c>
      <c r="C5186" s="2" t="s">
        <v>10483</v>
      </c>
      <c r="D5186" s="2" t="s">
        <v>10484</v>
      </c>
      <c r="E5186" s="2" t="s">
        <v>20</v>
      </c>
      <c r="F5186" s="2">
        <v>5.0</v>
      </c>
      <c r="G5186" s="2">
        <v>201.0</v>
      </c>
      <c r="H5186" s="3" t="str">
        <f>HYPERLINK("http://ar.linkedin.com/in/luthychan","http://ar.linkedin.com/in/luthychan")</f>
        <v>http://ar.linkedin.com/in/luthychan</v>
      </c>
      <c r="I5186" s="2" t="s">
        <v>15</v>
      </c>
      <c r="J5186" s="2" t="s">
        <v>21</v>
      </c>
      <c r="K5186" s="2" t="s">
        <v>10196</v>
      </c>
    </row>
    <row r="5187" ht="15.75" customHeight="1">
      <c r="A5187" s="2">
        <v>9228.0</v>
      </c>
      <c r="B5187" s="2" t="s">
        <v>10485</v>
      </c>
      <c r="C5187" s="2" t="s">
        <v>10486</v>
      </c>
      <c r="D5187" s="2" t="s">
        <v>13</v>
      </c>
      <c r="E5187" s="2" t="s">
        <v>20</v>
      </c>
      <c r="F5187" s="2">
        <v>0.0</v>
      </c>
      <c r="G5187" s="2">
        <v>321.0</v>
      </c>
      <c r="H5187" s="3" t="str">
        <f>HYPERLINK("http://www.linkedin.com/pub/ma-florencia-tarantola/22/b22/475?trk=pub-pbmap","http://www.linkedin.com/pub/ma-florencia-tarantola/22/b22/475?trk=pub-pbmap")</f>
        <v>http://www.linkedin.com/pub/ma-florencia-tarantola/22/b22/475?trk=pub-pbmap</v>
      </c>
      <c r="I5187" s="2" t="s">
        <v>105</v>
      </c>
      <c r="J5187" s="2" t="s">
        <v>21</v>
      </c>
      <c r="K5187" s="2" t="s">
        <v>10196</v>
      </c>
    </row>
    <row r="5188" ht="15.75" customHeight="1">
      <c r="A5188" s="2">
        <v>9230.0</v>
      </c>
      <c r="B5188" s="2" t="s">
        <v>862</v>
      </c>
      <c r="C5188" s="2" t="s">
        <v>10487</v>
      </c>
      <c r="D5188" s="2" t="s">
        <v>10488</v>
      </c>
      <c r="E5188" s="2" t="s">
        <v>20</v>
      </c>
      <c r="F5188" s="2">
        <v>0.0</v>
      </c>
      <c r="G5188" s="2">
        <v>500.0</v>
      </c>
      <c r="H5188" s="3" t="str">
        <f>HYPERLINK("http://www.linkedin.com/pub/gabriel-schvarstein/6/9a7/835","http://www.linkedin.com/pub/gabriel-schvarstein/6/9a7/835")</f>
        <v>http://www.linkedin.com/pub/gabriel-schvarstein/6/9a7/835</v>
      </c>
      <c r="I5188" s="2" t="s">
        <v>69</v>
      </c>
      <c r="J5188" s="2" t="s">
        <v>21</v>
      </c>
      <c r="K5188" s="2" t="s">
        <v>10173</v>
      </c>
    </row>
    <row r="5189" ht="15.75" customHeight="1">
      <c r="A5189" s="2">
        <v>9235.0</v>
      </c>
      <c r="B5189" s="2" t="s">
        <v>10489</v>
      </c>
      <c r="C5189" s="2" t="s">
        <v>6016</v>
      </c>
      <c r="D5189" s="2" t="s">
        <v>6202</v>
      </c>
      <c r="E5189" s="2" t="s">
        <v>20</v>
      </c>
      <c r="F5189" s="2">
        <v>2.0</v>
      </c>
      <c r="G5189" s="2">
        <v>363.0</v>
      </c>
      <c r="H5189" s="3" t="str">
        <f>HYPERLINK("http://ar.linkedin.com/in/nicoglp","http://ar.linkedin.com/in/nicoglp")</f>
        <v>http://ar.linkedin.com/in/nicoglp</v>
      </c>
      <c r="I5189" s="2" t="s">
        <v>15</v>
      </c>
      <c r="J5189" s="2" t="s">
        <v>21</v>
      </c>
      <c r="K5189" s="2" t="s">
        <v>10196</v>
      </c>
    </row>
    <row r="5190" ht="15.75" customHeight="1">
      <c r="A5190" s="2">
        <v>9256.0</v>
      </c>
      <c r="B5190" s="2" t="s">
        <v>10490</v>
      </c>
      <c r="C5190" s="2" t="s">
        <v>10491</v>
      </c>
      <c r="D5190" s="2" t="s">
        <v>10492</v>
      </c>
      <c r="E5190" s="2" t="s">
        <v>136</v>
      </c>
      <c r="F5190" s="2">
        <v>3.0</v>
      </c>
      <c r="G5190" s="2">
        <v>455.0</v>
      </c>
      <c r="H5190" s="3" t="str">
        <f>HYPERLINK("http://www.linkedin.com/in/karanmg","http://www.linkedin.com/in/karanmg")</f>
        <v>http://www.linkedin.com/in/karanmg</v>
      </c>
      <c r="I5190" s="2" t="s">
        <v>48</v>
      </c>
      <c r="J5190" s="2" t="s">
        <v>102</v>
      </c>
      <c r="K5190" s="2" t="s">
        <v>10184</v>
      </c>
    </row>
    <row r="5191" ht="15.75" customHeight="1">
      <c r="A5191" s="2">
        <v>9257.0</v>
      </c>
      <c r="B5191" s="2" t="s">
        <v>1096</v>
      </c>
      <c r="C5191" s="2" t="s">
        <v>10493</v>
      </c>
      <c r="D5191" s="2" t="s">
        <v>10494</v>
      </c>
      <c r="E5191" s="2" t="s">
        <v>136</v>
      </c>
      <c r="F5191" s="2">
        <v>0.0</v>
      </c>
      <c r="G5191" s="2">
        <v>2.0</v>
      </c>
      <c r="H5191" s="3" t="str">
        <f>HYPERLINK("http://www.linkedin.com/pub/tony-tseng/1/2A2/A77","http://www.linkedin.com/pub/tony-tseng/1/2A2/A77")</f>
        <v>http://www.linkedin.com/pub/tony-tseng/1/2A2/A77</v>
      </c>
      <c r="I5191" s="2" t="s">
        <v>48</v>
      </c>
      <c r="J5191" s="2" t="s">
        <v>102</v>
      </c>
      <c r="K5191" s="2" t="s">
        <v>10187</v>
      </c>
    </row>
    <row r="5192" ht="15.75" customHeight="1">
      <c r="A5192" s="2">
        <v>9280.0</v>
      </c>
      <c r="B5192" s="2" t="s">
        <v>6545</v>
      </c>
      <c r="C5192" s="2" t="s">
        <v>8790</v>
      </c>
      <c r="D5192" s="2" t="s">
        <v>10495</v>
      </c>
      <c r="E5192" s="2" t="s">
        <v>136</v>
      </c>
      <c r="F5192" s="2">
        <v>4.0</v>
      </c>
      <c r="G5192" s="2">
        <v>187.0</v>
      </c>
      <c r="H5192" s="3" t="str">
        <f>HYPERLINK("http://ar.linkedin.com/in/adrianfernandez","http://ar.linkedin.com/in/adrianfernandez")</f>
        <v>http://ar.linkedin.com/in/adrianfernandez</v>
      </c>
      <c r="I5192" s="2" t="s">
        <v>69</v>
      </c>
      <c r="J5192" s="2" t="s">
        <v>102</v>
      </c>
      <c r="K5192" s="2" t="s">
        <v>10176</v>
      </c>
    </row>
    <row r="5193" ht="15.75" customHeight="1">
      <c r="A5193" s="2">
        <v>9281.0</v>
      </c>
      <c r="B5193" s="2" t="s">
        <v>295</v>
      </c>
      <c r="C5193" s="2" t="s">
        <v>1144</v>
      </c>
      <c r="D5193" s="2" t="s">
        <v>10496</v>
      </c>
      <c r="E5193" s="2" t="s">
        <v>301</v>
      </c>
      <c r="F5193" s="2">
        <v>10.0</v>
      </c>
      <c r="G5193" s="2">
        <v>338.0</v>
      </c>
      <c r="H5193" s="3" t="str">
        <f>HYPERLINK("http://www.linkedin.com/in/seantallen","http://www.linkedin.com/in/seantallen")</f>
        <v>http://www.linkedin.com/in/seantallen</v>
      </c>
      <c r="I5193" s="2" t="s">
        <v>248</v>
      </c>
      <c r="J5193" s="2" t="s">
        <v>102</v>
      </c>
      <c r="K5193" s="2" t="s">
        <v>10380</v>
      </c>
    </row>
    <row r="5194" ht="15.75" customHeight="1">
      <c r="A5194" s="2">
        <v>9283.0</v>
      </c>
      <c r="B5194" s="2" t="s">
        <v>5824</v>
      </c>
      <c r="C5194" s="2" t="s">
        <v>10497</v>
      </c>
      <c r="D5194" s="2" t="s">
        <v>517</v>
      </c>
      <c r="E5194" s="2" t="s">
        <v>20</v>
      </c>
      <c r="F5194" s="2">
        <v>0.0</v>
      </c>
      <c r="G5194" s="2">
        <v>379.0</v>
      </c>
      <c r="H5194" s="3" t="str">
        <f>HYPERLINK("http://ar.linkedin.com/in/aialfonso","http://ar.linkedin.com/in/aialfonso")</f>
        <v>http://ar.linkedin.com/in/aialfonso</v>
      </c>
      <c r="I5194" s="2" t="s">
        <v>15</v>
      </c>
      <c r="J5194" s="2" t="s">
        <v>21</v>
      </c>
      <c r="K5194" s="2" t="s">
        <v>10224</v>
      </c>
    </row>
    <row r="5195" ht="15.75" customHeight="1">
      <c r="A5195" s="2">
        <v>9284.0</v>
      </c>
      <c r="B5195" s="2" t="s">
        <v>7987</v>
      </c>
      <c r="C5195" s="2" t="s">
        <v>10498</v>
      </c>
      <c r="D5195" s="2" t="s">
        <v>517</v>
      </c>
      <c r="E5195" s="2" t="s">
        <v>20</v>
      </c>
      <c r="F5195" s="2">
        <v>1.0</v>
      </c>
      <c r="G5195" s="2">
        <v>500.0</v>
      </c>
      <c r="H5195" s="3" t="str">
        <f>HYPERLINK("http://ar.linkedin.com/in/emiliogutter","http://ar.linkedin.com/in/emiliogutter")</f>
        <v>http://ar.linkedin.com/in/emiliogutter</v>
      </c>
      <c r="I5195" s="2" t="s">
        <v>15</v>
      </c>
      <c r="J5195" s="2" t="s">
        <v>21</v>
      </c>
      <c r="K5195" s="2" t="s">
        <v>10224</v>
      </c>
    </row>
    <row r="5196" ht="15.75" customHeight="1">
      <c r="A5196" s="2">
        <v>9343.0</v>
      </c>
      <c r="B5196" s="2" t="s">
        <v>5723</v>
      </c>
      <c r="C5196" s="2" t="s">
        <v>10499</v>
      </c>
      <c r="D5196" s="2" t="s">
        <v>8411</v>
      </c>
      <c r="E5196" s="2" t="s">
        <v>20</v>
      </c>
      <c r="F5196" s="2">
        <v>7.0</v>
      </c>
      <c r="G5196" s="2">
        <v>286.0</v>
      </c>
      <c r="H5196" s="3" t="str">
        <f>HYPERLINK("http://ar.linkedin.com/pub/pablo-lin-lin/6/97/717","http://ar.linkedin.com/pub/pablo-lin-lin/6/97/717")</f>
        <v>http://ar.linkedin.com/pub/pablo-lin-lin/6/97/717</v>
      </c>
      <c r="I5196" s="2" t="s">
        <v>48</v>
      </c>
      <c r="J5196" s="2" t="s">
        <v>21</v>
      </c>
      <c r="K5196" s="2" t="s">
        <v>10196</v>
      </c>
    </row>
    <row r="5197" ht="15.75" customHeight="1">
      <c r="A5197" s="2">
        <v>9353.0</v>
      </c>
      <c r="B5197" s="2" t="s">
        <v>6531</v>
      </c>
      <c r="C5197" s="2" t="s">
        <v>3714</v>
      </c>
      <c r="D5197" s="2" t="s">
        <v>7871</v>
      </c>
      <c r="E5197" s="2" t="s">
        <v>20</v>
      </c>
      <c r="F5197" s="2">
        <v>15.0</v>
      </c>
      <c r="G5197" s="2">
        <v>500.0</v>
      </c>
      <c r="H5197" s="3" t="str">
        <f>HYPERLINK("http://ar.linkedin.com/in/gerardodiaz","http://ar.linkedin.com/in/gerardodiaz")</f>
        <v>http://ar.linkedin.com/in/gerardodiaz</v>
      </c>
      <c r="I5197" s="2" t="s">
        <v>48</v>
      </c>
      <c r="J5197" s="2" t="s">
        <v>21</v>
      </c>
      <c r="K5197" s="2" t="s">
        <v>10196</v>
      </c>
    </row>
    <row r="5198" ht="15.75" customHeight="1">
      <c r="A5198" s="2">
        <v>9359.0</v>
      </c>
      <c r="B5198" s="2" t="s">
        <v>5723</v>
      </c>
      <c r="C5198" s="2" t="s">
        <v>10500</v>
      </c>
      <c r="D5198" s="2" t="s">
        <v>13</v>
      </c>
      <c r="E5198" s="2" t="s">
        <v>20</v>
      </c>
      <c r="F5198" s="2">
        <v>0.0</v>
      </c>
      <c r="G5198" s="2">
        <v>500.0</v>
      </c>
      <c r="H5198" s="3" t="str">
        <f>HYPERLINK("http://www.linkedin.com/pub/pablo-gotthelf/18/203/940","http://www.linkedin.com/pub/pablo-gotthelf/18/203/940")</f>
        <v>http://www.linkedin.com/pub/pablo-gotthelf/18/203/940</v>
      </c>
      <c r="I5198" s="2" t="s">
        <v>15</v>
      </c>
      <c r="J5198" s="2" t="s">
        <v>21</v>
      </c>
      <c r="K5198" s="2" t="s">
        <v>10173</v>
      </c>
    </row>
    <row r="5199" ht="15.75" customHeight="1">
      <c r="A5199" s="2">
        <v>9375.0</v>
      </c>
      <c r="B5199" s="2" t="s">
        <v>4304</v>
      </c>
      <c r="C5199" s="2" t="s">
        <v>10501</v>
      </c>
      <c r="D5199" s="2" t="s">
        <v>6098</v>
      </c>
      <c r="E5199" s="2" t="s">
        <v>20</v>
      </c>
      <c r="F5199" s="2">
        <v>2.0</v>
      </c>
      <c r="G5199" s="2">
        <v>330.0</v>
      </c>
      <c r="H5199" s="3" t="str">
        <f>HYPERLINK("http://ar.linkedin.com/in/lardissone","http://ar.linkedin.com/in/lardissone")</f>
        <v>http://ar.linkedin.com/in/lardissone</v>
      </c>
      <c r="I5199" s="2" t="s">
        <v>69</v>
      </c>
      <c r="J5199" s="2" t="s">
        <v>21</v>
      </c>
      <c r="K5199" s="2" t="s">
        <v>10502</v>
      </c>
    </row>
    <row r="5200" ht="15.75" customHeight="1">
      <c r="A5200" s="2">
        <v>9446.0</v>
      </c>
      <c r="B5200" s="2" t="s">
        <v>10503</v>
      </c>
      <c r="C5200" s="2" t="s">
        <v>10504</v>
      </c>
      <c r="D5200" s="2" t="s">
        <v>6040</v>
      </c>
      <c r="E5200" s="2" t="s">
        <v>20</v>
      </c>
      <c r="F5200" s="2">
        <v>20.0</v>
      </c>
      <c r="G5200" s="2">
        <v>487.0</v>
      </c>
      <c r="H5200" s="3" t="str">
        <f>HYPERLINK("http://ar.linkedin.com/in/fabriciotuosto","http://ar.linkedin.com/in/fabriciotuosto")</f>
        <v>http://ar.linkedin.com/in/fabriciotuosto</v>
      </c>
      <c r="I5200" s="2" t="s">
        <v>15</v>
      </c>
      <c r="J5200" s="2" t="s">
        <v>21</v>
      </c>
      <c r="K5200" s="2" t="s">
        <v>10340</v>
      </c>
    </row>
    <row r="5201" ht="15.75" customHeight="1">
      <c r="A5201" s="2">
        <v>9452.0</v>
      </c>
      <c r="B5201" s="2" t="s">
        <v>6580</v>
      </c>
      <c r="C5201" s="2" t="s">
        <v>10505</v>
      </c>
      <c r="D5201" s="2" t="s">
        <v>10506</v>
      </c>
      <c r="E5201" s="2" t="s">
        <v>20</v>
      </c>
      <c r="F5201" s="2">
        <v>9.0</v>
      </c>
      <c r="G5201" s="2">
        <v>500.0</v>
      </c>
      <c r="H5201" s="3" t="str">
        <f>HYPERLINK("http://ar.linkedin.com/in/rosanacervone","http://ar.linkedin.com/in/rosanacervone")</f>
        <v>http://ar.linkedin.com/in/rosanacervone</v>
      </c>
      <c r="I5201" s="2" t="s">
        <v>15</v>
      </c>
      <c r="J5201" s="2" t="s">
        <v>21</v>
      </c>
      <c r="K5201" s="2" t="s">
        <v>10196</v>
      </c>
    </row>
    <row r="5202" ht="15.75" customHeight="1">
      <c r="A5202" s="2">
        <v>9464.0</v>
      </c>
      <c r="B5202" s="2" t="s">
        <v>9781</v>
      </c>
      <c r="C5202" s="2" t="s">
        <v>4791</v>
      </c>
      <c r="D5202" s="2" t="s">
        <v>6202</v>
      </c>
      <c r="E5202" s="2" t="s">
        <v>20</v>
      </c>
      <c r="F5202" s="2">
        <v>2.0</v>
      </c>
      <c r="G5202" s="2">
        <v>289.0</v>
      </c>
      <c r="H5202" s="3" t="str">
        <f>HYPERLINK("http://ar.linkedin.com/pub/mariano-andres-gomez/27/537/72A","http://ar.linkedin.com/pub/mariano-andres-gomez/27/537/72A")</f>
        <v>http://ar.linkedin.com/pub/mariano-andres-gomez/27/537/72A</v>
      </c>
      <c r="I5202" s="2" t="s">
        <v>15</v>
      </c>
      <c r="J5202" s="2" t="s">
        <v>21</v>
      </c>
      <c r="K5202" s="2" t="s">
        <v>10196</v>
      </c>
    </row>
    <row r="5203" ht="15.75" customHeight="1">
      <c r="A5203" s="2">
        <v>9491.0</v>
      </c>
      <c r="B5203" s="2" t="s">
        <v>6930</v>
      </c>
      <c r="C5203" s="2" t="s">
        <v>10507</v>
      </c>
      <c r="D5203" s="2" t="s">
        <v>10508</v>
      </c>
      <c r="E5203" s="2" t="s">
        <v>1466</v>
      </c>
      <c r="F5203" s="2">
        <v>0.0</v>
      </c>
      <c r="G5203" s="2">
        <v>500.0</v>
      </c>
      <c r="H5203" s="3" t="str">
        <f>HYPERLINK("http://www.linkedin.com/in/dariosalischiker","http://www.linkedin.com/in/dariosalischiker")</f>
        <v>http://www.linkedin.com/in/dariosalischiker</v>
      </c>
      <c r="I5203" s="2" t="s">
        <v>69</v>
      </c>
      <c r="J5203" s="2" t="s">
        <v>102</v>
      </c>
      <c r="K5203" s="2" t="s">
        <v>10176</v>
      </c>
    </row>
    <row r="5204" ht="15.75" customHeight="1">
      <c r="A5204" s="2">
        <v>9512.0</v>
      </c>
      <c r="B5204" s="2" t="s">
        <v>10509</v>
      </c>
      <c r="C5204" s="2" t="s">
        <v>5723</v>
      </c>
      <c r="D5204" s="2" t="s">
        <v>6169</v>
      </c>
      <c r="E5204" s="2" t="s">
        <v>20</v>
      </c>
      <c r="F5204" s="2">
        <v>5.0</v>
      </c>
      <c r="G5204" s="2">
        <v>237.0</v>
      </c>
      <c r="H5204" s="3" t="str">
        <f>HYPERLINK("http://ar.linkedin.com/in/bauna","http://ar.linkedin.com/in/bauna")</f>
        <v>http://ar.linkedin.com/in/bauna</v>
      </c>
      <c r="I5204" s="2" t="s">
        <v>48</v>
      </c>
      <c r="J5204" s="2" t="s">
        <v>21</v>
      </c>
      <c r="K5204" s="2" t="s">
        <v>10196</v>
      </c>
    </row>
    <row r="5205" ht="15.75" customHeight="1">
      <c r="A5205" s="2">
        <v>9524.0</v>
      </c>
      <c r="B5205" s="2" t="s">
        <v>1029</v>
      </c>
      <c r="C5205" s="2" t="s">
        <v>10510</v>
      </c>
      <c r="D5205" s="2" t="s">
        <v>10511</v>
      </c>
      <c r="E5205" s="2" t="s">
        <v>10512</v>
      </c>
      <c r="F5205" s="2">
        <v>0.0</v>
      </c>
      <c r="G5205" s="2">
        <v>369.0</v>
      </c>
      <c r="H5205" s="3" t="str">
        <f>HYPERLINK("http://www.linkedin.com/in/loganmabe","http://www.linkedin.com/in/loganmabe")</f>
        <v>http://www.linkedin.com/in/loganmabe</v>
      </c>
      <c r="I5205" s="2" t="s">
        <v>910</v>
      </c>
      <c r="J5205" s="2" t="s">
        <v>102</v>
      </c>
      <c r="K5205" s="2" t="s">
        <v>10187</v>
      </c>
    </row>
    <row r="5206" ht="15.75" customHeight="1">
      <c r="A5206" s="2">
        <v>9530.0</v>
      </c>
      <c r="B5206" s="2" t="s">
        <v>1019</v>
      </c>
      <c r="C5206" s="2" t="s">
        <v>2808</v>
      </c>
      <c r="D5206" s="2" t="s">
        <v>10513</v>
      </c>
      <c r="E5206" s="2" t="s">
        <v>914</v>
      </c>
      <c r="F5206" s="2">
        <v>2.0</v>
      </c>
      <c r="G5206" s="2">
        <v>259.0</v>
      </c>
      <c r="H5206" s="3" t="str">
        <f>HYPERLINK("http://www.linkedin.com/pub/matt-patterson/2/B49/844","http://www.linkedin.com/pub/matt-patterson/2/B49/844")</f>
        <v>http://www.linkedin.com/pub/matt-patterson/2/B49/844</v>
      </c>
      <c r="I5206" s="2" t="s">
        <v>48</v>
      </c>
      <c r="J5206" s="2" t="s">
        <v>102</v>
      </c>
      <c r="K5206" s="2" t="s">
        <v>10371</v>
      </c>
    </row>
    <row r="5207" ht="15.75" customHeight="1">
      <c r="A5207" s="2">
        <v>9531.0</v>
      </c>
      <c r="B5207" s="2" t="s">
        <v>1593</v>
      </c>
      <c r="C5207" s="2" t="s">
        <v>10514</v>
      </c>
      <c r="D5207" s="2" t="s">
        <v>10515</v>
      </c>
      <c r="E5207" s="2" t="s">
        <v>1407</v>
      </c>
      <c r="F5207" s="2">
        <v>8.0</v>
      </c>
      <c r="G5207" s="2">
        <v>500.0</v>
      </c>
      <c r="H5207" s="3" t="str">
        <f>HYPERLINK("http://www.linkedin.com/pub/adam-cox/0/A83/528","http://www.linkedin.com/pub/adam-cox/0/A83/528")</f>
        <v>http://www.linkedin.com/pub/adam-cox/0/A83/528</v>
      </c>
      <c r="I5207" s="2" t="s">
        <v>1496</v>
      </c>
      <c r="J5207" s="2" t="s">
        <v>102</v>
      </c>
      <c r="K5207" s="2" t="s">
        <v>10180</v>
      </c>
    </row>
    <row r="5208" ht="15.75" customHeight="1">
      <c r="A5208" s="2">
        <v>9532.0</v>
      </c>
      <c r="B5208" s="2" t="s">
        <v>845</v>
      </c>
      <c r="C5208" s="2" t="s">
        <v>10516</v>
      </c>
      <c r="D5208" s="2" t="s">
        <v>10517</v>
      </c>
      <c r="E5208" s="2" t="s">
        <v>1407</v>
      </c>
      <c r="F5208" s="2">
        <v>7.0</v>
      </c>
      <c r="G5208" s="2">
        <v>500.0</v>
      </c>
      <c r="H5208" s="3" t="str">
        <f>HYPERLINK("http://www.linkedin.com/pub/david-shoop/4/408/A7B","http://www.linkedin.com/pub/david-shoop/4/408/A7B")</f>
        <v>http://www.linkedin.com/pub/david-shoop/4/408/A7B</v>
      </c>
      <c r="I5208" s="2" t="s">
        <v>1728</v>
      </c>
      <c r="J5208" s="2" t="s">
        <v>102</v>
      </c>
      <c r="K5208" s="2" t="s">
        <v>10209</v>
      </c>
    </row>
    <row r="5209" ht="15.75" customHeight="1">
      <c r="A5209" s="2">
        <v>9534.0</v>
      </c>
      <c r="B5209" s="2" t="s">
        <v>10518</v>
      </c>
      <c r="C5209" s="2" t="s">
        <v>10519</v>
      </c>
      <c r="D5209" s="2" t="s">
        <v>10520</v>
      </c>
      <c r="E5209" s="2" t="s">
        <v>1407</v>
      </c>
      <c r="F5209" s="2">
        <v>5.0</v>
      </c>
      <c r="G5209" s="2">
        <v>500.0</v>
      </c>
      <c r="H5209" s="3" t="str">
        <f>HYPERLINK("http://www.linkedin.com/in/dominiquephilipp","http://www.linkedin.com/in/dominiquephilipp")</f>
        <v>http://www.linkedin.com/in/dominiquephilipp</v>
      </c>
      <c r="I5209" s="2" t="s">
        <v>1421</v>
      </c>
      <c r="J5209" s="2" t="s">
        <v>102</v>
      </c>
      <c r="K5209" s="2" t="s">
        <v>10206</v>
      </c>
    </row>
    <row r="5210" ht="15.75" customHeight="1">
      <c r="A5210" s="2">
        <v>9536.0</v>
      </c>
      <c r="B5210" s="2" t="s">
        <v>1104</v>
      </c>
      <c r="C5210" s="2" t="s">
        <v>3092</v>
      </c>
      <c r="D5210" s="2"/>
      <c r="E5210" s="2" t="s">
        <v>1407</v>
      </c>
      <c r="F5210" s="2">
        <v>3.0</v>
      </c>
      <c r="G5210" s="2">
        <v>500.0</v>
      </c>
      <c r="H5210" s="3" t="str">
        <f>HYPERLINK("http://www.linkedin.com/in/jpatel","http://www.linkedin.com/in/jpatel")</f>
        <v>http://www.linkedin.com/in/jpatel</v>
      </c>
      <c r="I5210" s="2" t="s">
        <v>48</v>
      </c>
      <c r="J5210" s="2" t="s">
        <v>102</v>
      </c>
      <c r="K5210" s="2" t="s">
        <v>10184</v>
      </c>
    </row>
    <row r="5211" ht="15.75" customHeight="1">
      <c r="A5211" s="2">
        <v>9556.0</v>
      </c>
      <c r="B5211" s="2" t="s">
        <v>501</v>
      </c>
      <c r="C5211" s="2" t="s">
        <v>10521</v>
      </c>
      <c r="D5211" s="2" t="s">
        <v>13</v>
      </c>
      <c r="E5211" s="2" t="s">
        <v>20</v>
      </c>
      <c r="F5211" s="2">
        <v>0.0</v>
      </c>
      <c r="G5211" s="2">
        <v>263.0</v>
      </c>
      <c r="H5211" s="3" t="str">
        <f>HYPERLINK("http://www.linkedin.com/pub/francisco-di-bartolomeo/22/355/135","http://www.linkedin.com/pub/francisco-di-bartolomeo/22/355/135")</f>
        <v>http://www.linkedin.com/pub/francisco-di-bartolomeo/22/355/135</v>
      </c>
      <c r="I5211" s="2" t="s">
        <v>15</v>
      </c>
      <c r="J5211" s="2" t="s">
        <v>21</v>
      </c>
      <c r="K5211" s="2" t="s">
        <v>10337</v>
      </c>
    </row>
    <row r="5212" ht="15.75" customHeight="1">
      <c r="A5212" s="2">
        <v>9561.0</v>
      </c>
      <c r="B5212" s="2" t="s">
        <v>7007</v>
      </c>
      <c r="C5212" s="2" t="s">
        <v>4233</v>
      </c>
      <c r="D5212" s="2" t="s">
        <v>10522</v>
      </c>
      <c r="E5212" s="2" t="s">
        <v>20</v>
      </c>
      <c r="F5212" s="2">
        <v>2.0</v>
      </c>
      <c r="G5212" s="2">
        <v>241.0</v>
      </c>
      <c r="H5212" s="3" t="str">
        <f>HYPERLINK("http://ar.linkedin.com/pub/maria-laura-gonzalez/17/285/392","http://ar.linkedin.com/pub/maria-laura-gonzalez/17/285/392")</f>
        <v>http://ar.linkedin.com/pub/maria-laura-gonzalez/17/285/392</v>
      </c>
      <c r="I5212" s="2" t="s">
        <v>15</v>
      </c>
      <c r="J5212" s="2" t="s">
        <v>21</v>
      </c>
      <c r="K5212" s="2" t="s">
        <v>10196</v>
      </c>
    </row>
    <row r="5213" ht="15.75" customHeight="1">
      <c r="A5213" s="2">
        <v>9562.0</v>
      </c>
      <c r="B5213" s="2" t="s">
        <v>10523</v>
      </c>
      <c r="C5213" s="2" t="s">
        <v>9533</v>
      </c>
      <c r="D5213" s="2" t="s">
        <v>10524</v>
      </c>
      <c r="E5213" s="2" t="s">
        <v>10525</v>
      </c>
      <c r="F5213" s="2">
        <v>0.0</v>
      </c>
      <c r="G5213" s="2">
        <v>74.0</v>
      </c>
      <c r="H5213" s="3" t="str">
        <f>HYPERLINK("http://www.linkedin.com/pub/blanca-barros/5/A34/37","http://www.linkedin.com/pub/blanca-barros/5/A34/37")</f>
        <v>http://www.linkedin.com/pub/blanca-barros/5/A34/37</v>
      </c>
      <c r="I5213" s="2" t="s">
        <v>1421</v>
      </c>
      <c r="J5213" s="2" t="s">
        <v>102</v>
      </c>
      <c r="K5213" s="2" t="s">
        <v>10187</v>
      </c>
    </row>
    <row r="5214" ht="15.75" customHeight="1">
      <c r="A5214" s="2">
        <v>9563.0</v>
      </c>
      <c r="B5214" s="2" t="s">
        <v>362</v>
      </c>
      <c r="C5214" s="2" t="s">
        <v>5804</v>
      </c>
      <c r="D5214" s="2" t="s">
        <v>10526</v>
      </c>
      <c r="E5214" s="2" t="s">
        <v>1407</v>
      </c>
      <c r="F5214" s="2">
        <v>7.0</v>
      </c>
      <c r="G5214" s="2">
        <v>307.0</v>
      </c>
      <c r="H5214" s="3" t="str">
        <f>HYPERLINK("http://www.linkedin.com/pub/javier-sosa/1/925/405","http://www.linkedin.com/pub/javier-sosa/1/925/405")</f>
        <v>http://www.linkedin.com/pub/javier-sosa/1/925/405</v>
      </c>
      <c r="I5214" s="2" t="s">
        <v>1421</v>
      </c>
      <c r="J5214" s="2" t="s">
        <v>102</v>
      </c>
      <c r="K5214" s="2" t="s">
        <v>10206</v>
      </c>
    </row>
    <row r="5215" ht="15.75" customHeight="1">
      <c r="A5215" s="2">
        <v>9568.0</v>
      </c>
      <c r="B5215" s="2" t="s">
        <v>2383</v>
      </c>
      <c r="C5215" s="2" t="s">
        <v>10527</v>
      </c>
      <c r="D5215" s="2" t="s">
        <v>10528</v>
      </c>
      <c r="E5215" s="2" t="s">
        <v>407</v>
      </c>
      <c r="F5215" s="2">
        <v>16.0</v>
      </c>
      <c r="G5215" s="2">
        <v>153.0</v>
      </c>
      <c r="H5215" s="3" t="str">
        <f>HYPERLINK("http://www.linkedin.com/in/shawnbudd","http://www.linkedin.com/in/shawnbudd")</f>
        <v>http://www.linkedin.com/in/shawnbudd</v>
      </c>
      <c r="I5215" s="2" t="s">
        <v>2268</v>
      </c>
      <c r="J5215" s="2" t="s">
        <v>102</v>
      </c>
      <c r="K5215" s="2" t="s">
        <v>10209</v>
      </c>
    </row>
    <row r="5216" ht="15.75" customHeight="1">
      <c r="A5216" s="2">
        <v>9579.0</v>
      </c>
      <c r="B5216" s="2" t="s">
        <v>1577</v>
      </c>
      <c r="C5216" s="2" t="s">
        <v>3684</v>
      </c>
      <c r="D5216" s="2"/>
      <c r="E5216" s="2" t="s">
        <v>3865</v>
      </c>
      <c r="F5216" s="2">
        <v>16.0</v>
      </c>
      <c r="G5216" s="2">
        <v>500.0</v>
      </c>
      <c r="H5216" s="3" t="str">
        <f>HYPERLINK("http://www.linkedin.com/pub/dana-walter/1/153/910","http://www.linkedin.com/pub/dana-walter/1/153/910")</f>
        <v>http://www.linkedin.com/pub/dana-walter/1/153/910</v>
      </c>
      <c r="I5216" s="2" t="s">
        <v>279</v>
      </c>
      <c r="J5216" s="2" t="s">
        <v>102</v>
      </c>
      <c r="K5216" s="2" t="s">
        <v>10206</v>
      </c>
    </row>
    <row r="5217" ht="15.75" customHeight="1">
      <c r="A5217" s="2">
        <v>9590.0</v>
      </c>
      <c r="B5217" s="2" t="s">
        <v>10125</v>
      </c>
      <c r="C5217" s="2" t="s">
        <v>10529</v>
      </c>
      <c r="D5217" s="2" t="s">
        <v>7139</v>
      </c>
      <c r="E5217" s="2" t="s">
        <v>20</v>
      </c>
      <c r="F5217" s="2">
        <v>14.0</v>
      </c>
      <c r="G5217" s="2">
        <v>334.0</v>
      </c>
      <c r="H5217" s="3" t="str">
        <f>HYPERLINK("http://www.linkedin.com/in/doragalker","http://www.linkedin.com/in/doragalker")</f>
        <v>http://www.linkedin.com/in/doragalker</v>
      </c>
      <c r="I5217" s="2" t="s">
        <v>15</v>
      </c>
      <c r="J5217" s="2" t="s">
        <v>21</v>
      </c>
      <c r="K5217" s="2" t="s">
        <v>10196</v>
      </c>
    </row>
    <row r="5218" ht="15.75" customHeight="1">
      <c r="A5218" s="2">
        <v>9599.0</v>
      </c>
      <c r="B5218" s="2" t="s">
        <v>993</v>
      </c>
      <c r="C5218" s="2" t="s">
        <v>10418</v>
      </c>
      <c r="D5218" s="2"/>
      <c r="E5218" s="2" t="s">
        <v>1407</v>
      </c>
      <c r="F5218" s="2">
        <v>7.0</v>
      </c>
      <c r="G5218" s="2">
        <v>500.0</v>
      </c>
      <c r="H5218" s="3" t="str">
        <f>HYPERLINK("http://www.linkedin.com/pub/jon-panella/1/691/B61","http://www.linkedin.com/pub/jon-panella/1/691/B61")</f>
        <v>http://www.linkedin.com/pub/jon-panella/1/691/B61</v>
      </c>
      <c r="I5218" s="2" t="s">
        <v>15</v>
      </c>
      <c r="J5218" s="2" t="s">
        <v>102</v>
      </c>
      <c r="K5218" s="2" t="s">
        <v>10184</v>
      </c>
    </row>
    <row r="5219" ht="15.75" customHeight="1">
      <c r="A5219" s="2">
        <v>9601.0</v>
      </c>
      <c r="B5219" s="2" t="s">
        <v>10530</v>
      </c>
      <c r="C5219" s="2" t="s">
        <v>10531</v>
      </c>
      <c r="D5219" s="2" t="s">
        <v>10532</v>
      </c>
      <c r="E5219" s="2" t="s">
        <v>762</v>
      </c>
      <c r="F5219" s="2">
        <v>10.0</v>
      </c>
      <c r="G5219" s="2">
        <v>500.0</v>
      </c>
      <c r="H5219" s="3" t="str">
        <f>HYPERLINK("http://www.linkedin.com/in/christaconner","http://www.linkedin.com/in/christaconner")</f>
        <v>http://www.linkedin.com/in/christaconner</v>
      </c>
      <c r="I5219" s="2" t="s">
        <v>69</v>
      </c>
      <c r="J5219" s="2" t="s">
        <v>102</v>
      </c>
      <c r="K5219" s="2" t="s">
        <v>10245</v>
      </c>
    </row>
    <row r="5220" ht="15.75" customHeight="1">
      <c r="A5220" s="2">
        <v>9603.0</v>
      </c>
      <c r="B5220" s="2" t="s">
        <v>10533</v>
      </c>
      <c r="C5220" s="2" t="s">
        <v>10534</v>
      </c>
      <c r="D5220" s="2"/>
      <c r="E5220" s="2" t="s">
        <v>1547</v>
      </c>
      <c r="F5220" s="2">
        <v>15.0</v>
      </c>
      <c r="G5220" s="2">
        <v>500.0</v>
      </c>
      <c r="H5220" s="3" t="str">
        <f>HYPERLINK("http://www.linkedin.com/pub/rupert-stocker/1/71/56B","http://www.linkedin.com/pub/rupert-stocker/1/71/56B")</f>
        <v>http://www.linkedin.com/pub/rupert-stocker/1/71/56B</v>
      </c>
      <c r="I5220" s="2" t="s">
        <v>15</v>
      </c>
      <c r="J5220" s="2" t="s">
        <v>102</v>
      </c>
      <c r="K5220" s="2" t="s">
        <v>10184</v>
      </c>
    </row>
    <row r="5221" ht="15.75" customHeight="1">
      <c r="A5221" s="2">
        <v>9605.0</v>
      </c>
      <c r="B5221" s="2" t="s">
        <v>523</v>
      </c>
      <c r="C5221" s="2" t="s">
        <v>10535</v>
      </c>
      <c r="D5221" s="2" t="s">
        <v>6241</v>
      </c>
      <c r="E5221" s="2" t="s">
        <v>20</v>
      </c>
      <c r="F5221" s="2">
        <v>2.0</v>
      </c>
      <c r="G5221" s="2">
        <v>142.0</v>
      </c>
      <c r="H5221" s="3" t="str">
        <f>HYPERLINK("http://ar.linkedin.com/pub/ignacio-regueiro/14/275/232","http://ar.linkedin.com/pub/ignacio-regueiro/14/275/232")</f>
        <v>http://ar.linkedin.com/pub/ignacio-regueiro/14/275/232</v>
      </c>
      <c r="I5221" s="2" t="s">
        <v>15</v>
      </c>
      <c r="J5221" s="2" t="s">
        <v>21</v>
      </c>
      <c r="K5221" s="2" t="s">
        <v>10196</v>
      </c>
    </row>
    <row r="5222" ht="15.75" customHeight="1">
      <c r="A5222" s="2">
        <v>9610.0</v>
      </c>
      <c r="B5222" s="2" t="s">
        <v>3223</v>
      </c>
      <c r="C5222" s="2" t="s">
        <v>10536</v>
      </c>
      <c r="D5222" s="2" t="s">
        <v>5749</v>
      </c>
      <c r="E5222" s="2" t="s">
        <v>1407</v>
      </c>
      <c r="F5222" s="2">
        <v>6.0</v>
      </c>
      <c r="G5222" s="2">
        <v>442.0</v>
      </c>
      <c r="H5222" s="3" t="str">
        <f>HYPERLINK("http://ar.linkedin.com/in/lauramacchi","http://ar.linkedin.com/in/lauramacchi")</f>
        <v>http://ar.linkedin.com/in/lauramacchi</v>
      </c>
      <c r="I5222" s="2" t="s">
        <v>15</v>
      </c>
      <c r="J5222" s="2" t="s">
        <v>102</v>
      </c>
      <c r="K5222" s="2" t="s">
        <v>10184</v>
      </c>
    </row>
    <row r="5223" ht="15.75" customHeight="1">
      <c r="A5223" s="2">
        <v>9630.0</v>
      </c>
      <c r="B5223" s="2" t="s">
        <v>245</v>
      </c>
      <c r="C5223" s="2" t="s">
        <v>10537</v>
      </c>
      <c r="D5223" s="2"/>
      <c r="E5223" s="2" t="s">
        <v>728</v>
      </c>
      <c r="F5223" s="2">
        <v>1.0</v>
      </c>
      <c r="G5223" s="2">
        <v>281.0</v>
      </c>
      <c r="H5223" s="3" t="str">
        <f>HYPERLINK("http://www.linkedin.com/pub/steven-prensky/1/450/226","http://www.linkedin.com/pub/steven-prensky/1/450/226")</f>
        <v>http://www.linkedin.com/pub/steven-prensky/1/450/226</v>
      </c>
      <c r="I5223" s="2" t="s">
        <v>15</v>
      </c>
      <c r="J5223" s="2" t="s">
        <v>102</v>
      </c>
      <c r="K5223" s="2" t="s">
        <v>10184</v>
      </c>
    </row>
    <row r="5224" ht="15.75" customHeight="1">
      <c r="A5224" s="2">
        <v>9631.0</v>
      </c>
      <c r="B5224" s="2" t="s">
        <v>7007</v>
      </c>
      <c r="C5224" s="2" t="s">
        <v>10538</v>
      </c>
      <c r="D5224" s="2" t="s">
        <v>10539</v>
      </c>
      <c r="E5224" s="2" t="s">
        <v>20</v>
      </c>
      <c r="F5224" s="2">
        <v>6.0</v>
      </c>
      <c r="G5224" s="2">
        <v>357.0</v>
      </c>
      <c r="H5224" s="3" t="str">
        <f>HYPERLINK("http://ar.linkedin.com/in/marialauraestefania","http://ar.linkedin.com/in/marialauraestefania")</f>
        <v>http://ar.linkedin.com/in/marialauraestefania</v>
      </c>
      <c r="I5224" s="2" t="s">
        <v>15</v>
      </c>
      <c r="J5224" s="2" t="s">
        <v>21</v>
      </c>
      <c r="K5224" s="2" t="s">
        <v>10337</v>
      </c>
    </row>
    <row r="5225" ht="15.75" customHeight="1">
      <c r="A5225" s="2">
        <v>9649.0</v>
      </c>
      <c r="B5225" s="2" t="s">
        <v>5915</v>
      </c>
      <c r="C5225" s="2" t="s">
        <v>10540</v>
      </c>
      <c r="D5225" s="2" t="s">
        <v>10541</v>
      </c>
      <c r="E5225" s="2" t="s">
        <v>20</v>
      </c>
      <c r="F5225" s="2">
        <v>8.0</v>
      </c>
      <c r="G5225" s="2">
        <v>293.0</v>
      </c>
      <c r="H5225" s="3" t="str">
        <f>HYPERLINK("http://ar.linkedin.com/in/ceciliarocca","http://ar.linkedin.com/in/ceciliarocca")</f>
        <v>http://ar.linkedin.com/in/ceciliarocca</v>
      </c>
      <c r="I5225" s="2" t="s">
        <v>15</v>
      </c>
      <c r="J5225" s="2" t="s">
        <v>21</v>
      </c>
      <c r="K5225" s="2" t="s">
        <v>10178</v>
      </c>
    </row>
    <row r="5226" ht="15.75" customHeight="1">
      <c r="A5226" s="2">
        <v>9669.0</v>
      </c>
      <c r="B5226" s="2" t="s">
        <v>329</v>
      </c>
      <c r="C5226" s="2" t="s">
        <v>10542</v>
      </c>
      <c r="D5226" s="2" t="s">
        <v>13</v>
      </c>
      <c r="E5226" s="2" t="s">
        <v>20</v>
      </c>
      <c r="F5226" s="2">
        <v>3.0</v>
      </c>
      <c r="G5226" s="2">
        <v>96.0</v>
      </c>
      <c r="H5226" s="3" t="str">
        <f>HYPERLINK("http://www.linkedin.com/pub/juan-pablo-s%C3%A1nchez-negrette/28/308/620","http://www.linkedin.com/pub/juan-pablo-s%C3%A1nchez-negrette/28/308/620")</f>
        <v>http://www.linkedin.com/pub/juan-pablo-s%C3%A1nchez-negrette/28/308/620</v>
      </c>
      <c r="I5226" s="2" t="s">
        <v>1237</v>
      </c>
      <c r="J5226" s="2" t="s">
        <v>21</v>
      </c>
      <c r="K5226" s="2" t="s">
        <v>10196</v>
      </c>
    </row>
    <row r="5227" ht="15.75" customHeight="1">
      <c r="A5227" s="2">
        <v>9672.0</v>
      </c>
      <c r="B5227" s="2" t="s">
        <v>5824</v>
      </c>
      <c r="C5227" s="2" t="s">
        <v>10543</v>
      </c>
      <c r="D5227" s="2" t="s">
        <v>8636</v>
      </c>
      <c r="E5227" s="2" t="s">
        <v>20</v>
      </c>
      <c r="F5227" s="2">
        <v>10.0</v>
      </c>
      <c r="G5227" s="2">
        <v>206.0</v>
      </c>
      <c r="H5227" s="3" t="str">
        <f>HYPERLINK("http://ar.linkedin.com/in/alejandrasobredo","http://ar.linkedin.com/in/alejandrasobredo")</f>
        <v>http://ar.linkedin.com/in/alejandrasobredo</v>
      </c>
      <c r="I5227" s="2" t="s">
        <v>48</v>
      </c>
      <c r="J5227" s="2" t="s">
        <v>21</v>
      </c>
      <c r="K5227" s="2" t="s">
        <v>10196</v>
      </c>
    </row>
    <row r="5228" ht="15.75" customHeight="1">
      <c r="A5228" s="2">
        <v>9674.0</v>
      </c>
      <c r="B5228" s="2" t="s">
        <v>10544</v>
      </c>
      <c r="C5228" s="2" t="s">
        <v>10545</v>
      </c>
      <c r="D5228" s="2" t="s">
        <v>10546</v>
      </c>
      <c r="E5228" s="2" t="s">
        <v>20</v>
      </c>
      <c r="F5228" s="2">
        <v>6.0</v>
      </c>
      <c r="G5228" s="2">
        <v>147.0</v>
      </c>
      <c r="H5228" s="3" t="str">
        <f>HYPERLINK("http://ar.linkedin.com/in/fillol","http://ar.linkedin.com/in/fillol")</f>
        <v>http://ar.linkedin.com/in/fillol</v>
      </c>
      <c r="I5228" s="2" t="s">
        <v>15</v>
      </c>
      <c r="J5228" s="2" t="s">
        <v>21</v>
      </c>
      <c r="K5228" s="2" t="s">
        <v>10196</v>
      </c>
    </row>
    <row r="5229" ht="15.75" customHeight="1">
      <c r="A5229" s="2">
        <v>9696.0</v>
      </c>
      <c r="B5229" s="2" t="s">
        <v>10547</v>
      </c>
      <c r="C5229" s="2" t="s">
        <v>10548</v>
      </c>
      <c r="D5229" s="2" t="s">
        <v>10549</v>
      </c>
      <c r="E5229" s="2" t="s">
        <v>20</v>
      </c>
      <c r="F5229" s="2">
        <v>3.0</v>
      </c>
      <c r="G5229" s="2">
        <v>372.0</v>
      </c>
      <c r="H5229" s="3" t="str">
        <f>HYPERLINK("http://www.linkedin.com/pub/edwin-mateo-lewitzki-dujmusic/16/933/905","http://www.linkedin.com/pub/edwin-mateo-lewitzki-dujmusic/16/933/905")</f>
        <v>http://www.linkedin.com/pub/edwin-mateo-lewitzki-dujmusic/16/933/905</v>
      </c>
      <c r="I5229" s="2" t="s">
        <v>15</v>
      </c>
      <c r="J5229" s="2" t="s">
        <v>21</v>
      </c>
      <c r="K5229" s="2" t="s">
        <v>10196</v>
      </c>
    </row>
    <row r="5230" ht="15.75" customHeight="1">
      <c r="A5230" s="2">
        <v>9725.0</v>
      </c>
      <c r="B5230" s="2" t="s">
        <v>227</v>
      </c>
      <c r="C5230" s="2" t="s">
        <v>10550</v>
      </c>
      <c r="D5230" s="2" t="s">
        <v>10551</v>
      </c>
      <c r="E5230" s="2" t="s">
        <v>20</v>
      </c>
      <c r="F5230" s="2">
        <v>6.0</v>
      </c>
      <c r="G5230" s="2">
        <v>500.0</v>
      </c>
      <c r="H5230" s="3" t="str">
        <f>HYPERLINK("http://ar.linkedin.com/in/jorgemudry","http://ar.linkedin.com/in/jorgemudry")</f>
        <v>http://ar.linkedin.com/in/jorgemudry</v>
      </c>
      <c r="I5230" s="2" t="s">
        <v>69</v>
      </c>
      <c r="J5230" s="2" t="s">
        <v>21</v>
      </c>
      <c r="K5230" s="2" t="s">
        <v>10196</v>
      </c>
    </row>
    <row r="5231" ht="15.75" customHeight="1">
      <c r="A5231" s="2">
        <v>9729.0</v>
      </c>
      <c r="B5231" s="2" t="s">
        <v>10552</v>
      </c>
      <c r="C5231" s="2" t="s">
        <v>10553</v>
      </c>
      <c r="D5231" s="2" t="s">
        <v>10554</v>
      </c>
      <c r="E5231" s="2" t="s">
        <v>20</v>
      </c>
      <c r="F5231" s="2">
        <v>0.0</v>
      </c>
      <c r="G5231" s="2">
        <v>75.0</v>
      </c>
      <c r="H5231" s="3" t="str">
        <f>HYPERLINK("http://ar.linkedin.com/pub/baltazar-zaraik/B/138/288","http://ar.linkedin.com/pub/baltazar-zaraik/B/138/288")</f>
        <v>http://ar.linkedin.com/pub/baltazar-zaraik/B/138/288</v>
      </c>
      <c r="I5231" s="2" t="s">
        <v>2000</v>
      </c>
      <c r="J5231" s="2" t="s">
        <v>21</v>
      </c>
      <c r="K5231" s="2" t="s">
        <v>10206</v>
      </c>
    </row>
    <row r="5232" ht="15.75" customHeight="1">
      <c r="A5232" s="2">
        <v>9733.0</v>
      </c>
      <c r="B5232" s="2" t="s">
        <v>10555</v>
      </c>
      <c r="C5232" s="2" t="s">
        <v>10556</v>
      </c>
      <c r="D5232" s="2" t="s">
        <v>13</v>
      </c>
      <c r="E5232" s="2" t="s">
        <v>20</v>
      </c>
      <c r="F5232" s="2">
        <v>6.0</v>
      </c>
      <c r="G5232" s="2">
        <v>352.0</v>
      </c>
      <c r="H5232" s="3" t="str">
        <f>HYPERLINK("http://www.linkedin.com/pub/diego-iv%C3%A1n-p%C3%A9rez-fr%C3%A9/21/368/108","http://www.linkedin.com/pub/diego-iv%C3%A1n-p%C3%A9rez-fr%C3%A9/21/368/108")</f>
        <v>http://www.linkedin.com/pub/diego-iv%C3%A1n-p%C3%A9rez-fr%C3%A9/21/368/108</v>
      </c>
      <c r="I5232" s="2" t="s">
        <v>15</v>
      </c>
      <c r="J5232" s="2" t="s">
        <v>21</v>
      </c>
      <c r="K5232" s="2" t="s">
        <v>10196</v>
      </c>
    </row>
    <row r="5233" ht="15.75" customHeight="1">
      <c r="A5233" s="2">
        <v>9739.0</v>
      </c>
      <c r="B5233" s="2" t="s">
        <v>2754</v>
      </c>
      <c r="C5233" s="2" t="s">
        <v>10557</v>
      </c>
      <c r="D5233" s="2" t="s">
        <v>13</v>
      </c>
      <c r="E5233" s="2" t="s">
        <v>20</v>
      </c>
      <c r="F5233" s="2">
        <v>3.0</v>
      </c>
      <c r="G5233" s="2">
        <v>500.0</v>
      </c>
      <c r="H5233" s="3" t="str">
        <f>HYPERLINK("http://www.linkedin.com/pub/will-villablanca/1/1b0/b23","http://www.linkedin.com/pub/will-villablanca/1/1b0/b23")</f>
        <v>http://www.linkedin.com/pub/will-villablanca/1/1b0/b23</v>
      </c>
      <c r="I5233" s="2" t="s">
        <v>48</v>
      </c>
      <c r="J5233" s="2" t="s">
        <v>21</v>
      </c>
      <c r="K5233" s="2" t="s">
        <v>10196</v>
      </c>
    </row>
    <row r="5234" ht="15.75" customHeight="1">
      <c r="A5234" s="2">
        <v>9742.0</v>
      </c>
      <c r="B5234" s="2" t="s">
        <v>7739</v>
      </c>
      <c r="C5234" s="2" t="s">
        <v>10558</v>
      </c>
      <c r="D5234" s="2" t="s">
        <v>10559</v>
      </c>
      <c r="E5234" s="2" t="s">
        <v>20</v>
      </c>
      <c r="F5234" s="2">
        <v>5.0</v>
      </c>
      <c r="G5234" s="2">
        <v>382.0</v>
      </c>
      <c r="H5234" s="3" t="str">
        <f>HYPERLINK("http://ar.linkedin.com/in/ramiropersa","http://ar.linkedin.com/in/ramiropersa")</f>
        <v>http://ar.linkedin.com/in/ramiropersa</v>
      </c>
      <c r="I5234" s="2" t="s">
        <v>48</v>
      </c>
      <c r="J5234" s="2" t="s">
        <v>21</v>
      </c>
      <c r="K5234" s="2" t="s">
        <v>10196</v>
      </c>
    </row>
    <row r="5235" ht="15.75" customHeight="1">
      <c r="A5235" s="2">
        <v>9753.0</v>
      </c>
      <c r="B5235" s="2" t="s">
        <v>8313</v>
      </c>
      <c r="C5235" s="2" t="s">
        <v>10560</v>
      </c>
      <c r="D5235" s="2" t="s">
        <v>10561</v>
      </c>
      <c r="E5235" s="2" t="s">
        <v>1414</v>
      </c>
      <c r="F5235" s="2">
        <v>0.0</v>
      </c>
      <c r="G5235" s="2">
        <v>500.0</v>
      </c>
      <c r="H5235" s="3" t="str">
        <f>HYPERLINK("http://www.linkedin.com/pub/julian-boylan/17/9B4/69B","http://www.linkedin.com/pub/julian-boylan/17/9B4/69B")</f>
        <v>http://www.linkedin.com/pub/julian-boylan/17/9B4/69B</v>
      </c>
      <c r="I5235" s="2" t="s">
        <v>48</v>
      </c>
      <c r="J5235" s="2" t="s">
        <v>1047</v>
      </c>
      <c r="K5235" s="2" t="s">
        <v>10196</v>
      </c>
    </row>
    <row r="5236" ht="15.75" customHeight="1">
      <c r="A5236" s="2">
        <v>9783.0</v>
      </c>
      <c r="B5236" s="2" t="s">
        <v>10562</v>
      </c>
      <c r="C5236" s="2" t="s">
        <v>10563</v>
      </c>
      <c r="D5236" s="2" t="s">
        <v>10564</v>
      </c>
      <c r="E5236" s="2" t="s">
        <v>20</v>
      </c>
      <c r="F5236" s="2">
        <v>40.0</v>
      </c>
      <c r="G5236" s="2">
        <v>366.0</v>
      </c>
      <c r="H5236" s="3" t="str">
        <f>HYPERLINK("http://ar.linkedin.com/pub/estela-blanchard/3/7B8/7B1","http://ar.linkedin.com/pub/estela-blanchard/3/7B8/7B1")</f>
        <v>http://ar.linkedin.com/pub/estela-blanchard/3/7B8/7B1</v>
      </c>
      <c r="I5236" s="2" t="s">
        <v>15</v>
      </c>
      <c r="J5236" s="2" t="s">
        <v>21</v>
      </c>
      <c r="K5236" s="2" t="s">
        <v>10180</v>
      </c>
    </row>
    <row r="5237" ht="15.75" customHeight="1">
      <c r="A5237" s="2">
        <v>9805.0</v>
      </c>
      <c r="B5237" s="2" t="s">
        <v>5078</v>
      </c>
      <c r="C5237" s="2" t="s">
        <v>10565</v>
      </c>
      <c r="D5237" s="2" t="s">
        <v>1966</v>
      </c>
      <c r="E5237" s="2" t="s">
        <v>20</v>
      </c>
      <c r="F5237" s="2">
        <v>1.0</v>
      </c>
      <c r="G5237" s="2">
        <v>297.0</v>
      </c>
      <c r="H5237" s="3" t="str">
        <f>HYPERLINK("http://ar.linkedin.com/pub/diego-caplan/27/121/479","http://ar.linkedin.com/pub/diego-caplan/27/121/479")</f>
        <v>http://ar.linkedin.com/pub/diego-caplan/27/121/479</v>
      </c>
      <c r="I5237" s="2" t="s">
        <v>2000</v>
      </c>
      <c r="J5237" s="2" t="s">
        <v>21</v>
      </c>
      <c r="K5237" s="2" t="s">
        <v>10176</v>
      </c>
    </row>
    <row r="5238" ht="15.75" customHeight="1">
      <c r="A5238" s="2">
        <v>9823.0</v>
      </c>
      <c r="B5238" s="2" t="s">
        <v>221</v>
      </c>
      <c r="C5238" s="2" t="s">
        <v>10566</v>
      </c>
      <c r="D5238" s="2" t="s">
        <v>13</v>
      </c>
      <c r="E5238" s="2" t="s">
        <v>20</v>
      </c>
      <c r="F5238" s="2">
        <v>0.0</v>
      </c>
      <c r="G5238" s="2">
        <v>500.0</v>
      </c>
      <c r="H5238" s="3" t="str">
        <f>HYPERLINK("http://www.linkedin.com/pub/miguel-collard-bovy/4/47a/b70","http://www.linkedin.com/pub/miguel-collard-bovy/4/47a/b70")</f>
        <v>http://www.linkedin.com/pub/miguel-collard-bovy/4/47a/b70</v>
      </c>
      <c r="I5238" s="2" t="s">
        <v>518</v>
      </c>
      <c r="J5238" s="2" t="s">
        <v>21</v>
      </c>
      <c r="K5238" s="2" t="s">
        <v>10178</v>
      </c>
    </row>
    <row r="5239" ht="15.75" customHeight="1">
      <c r="A5239" s="2">
        <v>9830.0</v>
      </c>
      <c r="B5239" s="2" t="s">
        <v>6666</v>
      </c>
      <c r="C5239" s="2" t="s">
        <v>10567</v>
      </c>
      <c r="D5239" s="2" t="s">
        <v>13</v>
      </c>
      <c r="E5239" s="2" t="s">
        <v>20</v>
      </c>
      <c r="F5239" s="2">
        <v>0.0</v>
      </c>
      <c r="G5239" s="2">
        <v>500.0</v>
      </c>
      <c r="H5239" s="3" t="str">
        <f>HYPERLINK("http://www.linkedin.com/in/sebasuchi","http://www.linkedin.com/in/sebasuchi")</f>
        <v>http://www.linkedin.com/in/sebasuchi</v>
      </c>
      <c r="I5239" s="2" t="s">
        <v>69</v>
      </c>
      <c r="J5239" s="2" t="s">
        <v>21</v>
      </c>
      <c r="K5239" s="2" t="s">
        <v>10482</v>
      </c>
    </row>
    <row r="5240" ht="15.75" customHeight="1">
      <c r="A5240" s="2">
        <v>9902.0</v>
      </c>
      <c r="B5240" s="2" t="s">
        <v>6093</v>
      </c>
      <c r="C5240" s="2" t="s">
        <v>10568</v>
      </c>
      <c r="D5240" s="2" t="s">
        <v>42</v>
      </c>
      <c r="E5240" s="2" t="s">
        <v>20</v>
      </c>
      <c r="F5240" s="2">
        <v>14.0</v>
      </c>
      <c r="G5240" s="2">
        <v>500.0</v>
      </c>
      <c r="H5240" s="3" t="str">
        <f>HYPERLINK("http://ar.linkedin.com/in/nicolasgore","http://ar.linkedin.com/in/nicolasgore")</f>
        <v>http://ar.linkedin.com/in/nicolasgore</v>
      </c>
      <c r="I5240" s="2" t="s">
        <v>69</v>
      </c>
      <c r="J5240" s="2" t="s">
        <v>21</v>
      </c>
      <c r="K5240" s="2" t="s">
        <v>10196</v>
      </c>
    </row>
    <row r="5241" ht="15.75" customHeight="1">
      <c r="A5241" s="2">
        <v>9905.0</v>
      </c>
      <c r="B5241" s="2" t="s">
        <v>10569</v>
      </c>
      <c r="C5241" s="2" t="s">
        <v>13</v>
      </c>
      <c r="D5241" s="2" t="s">
        <v>13</v>
      </c>
      <c r="E5241" s="2" t="s">
        <v>3953</v>
      </c>
      <c r="F5241" s="2">
        <v>0.0</v>
      </c>
      <c r="G5241" s="2">
        <v>500.0</v>
      </c>
      <c r="H5241" s="3" t="str">
        <f>HYPERLINK("https://www.linkedin.com/in/lonnie","https://www.linkedin.com/in/lonnie")</f>
        <v>https://www.linkedin.com/in/lonnie</v>
      </c>
      <c r="I5241" s="2" t="s">
        <v>15</v>
      </c>
      <c r="J5241" s="2" t="s">
        <v>102</v>
      </c>
      <c r="K5241" s="2" t="s">
        <v>10233</v>
      </c>
    </row>
    <row r="5242" ht="15.75" customHeight="1">
      <c r="A5242" s="2">
        <v>9949.0</v>
      </c>
      <c r="B5242" s="2" t="s">
        <v>6252</v>
      </c>
      <c r="C5242" s="2" t="s">
        <v>10570</v>
      </c>
      <c r="D5242" s="2" t="s">
        <v>10571</v>
      </c>
      <c r="E5242" s="2" t="s">
        <v>1407</v>
      </c>
      <c r="F5242" s="2">
        <v>39.0</v>
      </c>
      <c r="G5242" s="2">
        <v>500.0</v>
      </c>
      <c r="H5242" s="3" t="str">
        <f>HYPERLINK("http://www.linkedin.com/in/scanepa","http://www.linkedin.com/in/scanepa")</f>
        <v>http://www.linkedin.com/in/scanepa</v>
      </c>
      <c r="I5242" s="2" t="s">
        <v>77</v>
      </c>
      <c r="J5242" s="2" t="s">
        <v>102</v>
      </c>
      <c r="K5242" s="2" t="s">
        <v>10572</v>
      </c>
    </row>
    <row r="5243" ht="15.75" customHeight="1">
      <c r="A5243" s="2">
        <v>9972.0</v>
      </c>
      <c r="B5243" s="2" t="s">
        <v>5915</v>
      </c>
      <c r="C5243" s="2" t="s">
        <v>10573</v>
      </c>
      <c r="D5243" s="2" t="s">
        <v>347</v>
      </c>
      <c r="E5243" s="2" t="s">
        <v>20</v>
      </c>
      <c r="F5243" s="2">
        <v>6.0</v>
      </c>
      <c r="G5243" s="2">
        <v>259.0</v>
      </c>
      <c r="H5243" s="3" t="str">
        <f>HYPERLINK("http://ar.linkedin.com/in/ceciliabidarte","http://ar.linkedin.com/in/ceciliabidarte")</f>
        <v>http://ar.linkedin.com/in/ceciliabidarte</v>
      </c>
      <c r="I5243" s="2" t="s">
        <v>15</v>
      </c>
      <c r="J5243" s="2" t="s">
        <v>21</v>
      </c>
      <c r="K5243" s="2" t="s">
        <v>10178</v>
      </c>
    </row>
    <row r="5244" ht="15.75" customHeight="1">
      <c r="A5244" s="2">
        <v>10022.0</v>
      </c>
      <c r="B5244" s="2" t="s">
        <v>201</v>
      </c>
      <c r="C5244" s="2" t="s">
        <v>10574</v>
      </c>
      <c r="D5244" s="2" t="s">
        <v>10575</v>
      </c>
      <c r="E5244" s="2" t="s">
        <v>20</v>
      </c>
      <c r="F5244" s="2">
        <v>10.0</v>
      </c>
      <c r="G5244" s="2">
        <v>238.0</v>
      </c>
      <c r="H5244" s="3" t="str">
        <f>HYPERLINK("http://ar.linkedin.com/pub/natalia-bardedios/A/424/41A","http://ar.linkedin.com/pub/natalia-bardedios/A/424/41A")</f>
        <v>http://ar.linkedin.com/pub/natalia-bardedios/A/424/41A</v>
      </c>
      <c r="I5244" s="2" t="s">
        <v>15</v>
      </c>
      <c r="J5244" s="2" t="s">
        <v>21</v>
      </c>
      <c r="K5244" s="2" t="s">
        <v>10196</v>
      </c>
    </row>
    <row r="5245" ht="15.75" customHeight="1">
      <c r="A5245" s="2">
        <v>10063.0</v>
      </c>
      <c r="B5245" s="2" t="s">
        <v>7086</v>
      </c>
      <c r="C5245" s="2" t="s">
        <v>8872</v>
      </c>
      <c r="D5245" s="2" t="s">
        <v>10576</v>
      </c>
      <c r="E5245" s="2" t="s">
        <v>20</v>
      </c>
      <c r="F5245" s="2">
        <v>15.0</v>
      </c>
      <c r="G5245" s="2">
        <v>500.0</v>
      </c>
      <c r="H5245" s="3" t="str">
        <f>HYPERLINK("http://www.linkedin.com/in/mbrizuela","http://www.linkedin.com/in/mbrizuela")</f>
        <v>http://www.linkedin.com/in/mbrizuela</v>
      </c>
      <c r="I5245" s="2" t="s">
        <v>48</v>
      </c>
      <c r="J5245" s="2" t="s">
        <v>21</v>
      </c>
      <c r="K5245" s="2" t="s">
        <v>10577</v>
      </c>
    </row>
    <row r="5246" ht="15.75" customHeight="1">
      <c r="A5246" s="2">
        <v>10067.0</v>
      </c>
      <c r="B5246" s="2" t="s">
        <v>10578</v>
      </c>
      <c r="C5246" s="2" t="s">
        <v>10579</v>
      </c>
      <c r="D5246" s="2" t="s">
        <v>10580</v>
      </c>
      <c r="E5246" s="2" t="s">
        <v>4060</v>
      </c>
      <c r="F5246" s="2">
        <v>6.0</v>
      </c>
      <c r="G5246" s="2">
        <v>500.0</v>
      </c>
      <c r="H5246" s="3" t="str">
        <f>HYPERLINK("http://www.linkedin.com/in/calvinschimmel","http://www.linkedin.com/in/calvinschimmel")</f>
        <v>http://www.linkedin.com/in/calvinschimmel</v>
      </c>
      <c r="I5246" s="2" t="s">
        <v>105</v>
      </c>
      <c r="J5246" s="2" t="s">
        <v>102</v>
      </c>
      <c r="K5246" s="2" t="s">
        <v>10209</v>
      </c>
    </row>
    <row r="5247" ht="15.75" customHeight="1">
      <c r="A5247" s="2">
        <v>10069.0</v>
      </c>
      <c r="B5247" s="2" t="s">
        <v>1903</v>
      </c>
      <c r="C5247" s="2" t="s">
        <v>10581</v>
      </c>
      <c r="D5247" s="2" t="s">
        <v>289</v>
      </c>
      <c r="E5247" s="2" t="s">
        <v>4060</v>
      </c>
      <c r="F5247" s="2">
        <v>1.0</v>
      </c>
      <c r="G5247" s="2">
        <v>453.0</v>
      </c>
      <c r="H5247" s="3" t="str">
        <f>HYPERLINK("http://www.linkedin.com/in/gilgillis","http://www.linkedin.com/in/gilgillis")</f>
        <v>http://www.linkedin.com/in/gilgillis</v>
      </c>
      <c r="I5247" s="2" t="s">
        <v>57</v>
      </c>
      <c r="J5247" s="2" t="s">
        <v>102</v>
      </c>
      <c r="K5247" s="2" t="s">
        <v>10209</v>
      </c>
    </row>
    <row r="5248" ht="15.75" customHeight="1">
      <c r="A5248" s="2">
        <v>10071.0</v>
      </c>
      <c r="B5248" s="2" t="s">
        <v>2109</v>
      </c>
      <c r="C5248" s="2" t="s">
        <v>2948</v>
      </c>
      <c r="D5248" s="2" t="s">
        <v>5066</v>
      </c>
      <c r="E5248" s="2" t="s">
        <v>4060</v>
      </c>
      <c r="F5248" s="2">
        <v>3.0</v>
      </c>
      <c r="G5248" s="2">
        <v>500.0</v>
      </c>
      <c r="H5248" s="3" t="str">
        <f>HYPERLINK("http://www.linkedin.com/in/robfoster","http://www.linkedin.com/in/robfoster")</f>
        <v>http://www.linkedin.com/in/robfoster</v>
      </c>
      <c r="I5248" s="2" t="s">
        <v>48</v>
      </c>
      <c r="J5248" s="2" t="s">
        <v>102</v>
      </c>
      <c r="K5248" s="2" t="s">
        <v>10184</v>
      </c>
    </row>
    <row r="5249" ht="15.75" customHeight="1">
      <c r="A5249" s="2">
        <v>10072.0</v>
      </c>
      <c r="B5249" s="2" t="s">
        <v>940</v>
      </c>
      <c r="C5249" s="2" t="s">
        <v>10582</v>
      </c>
      <c r="D5249" s="2" t="s">
        <v>5066</v>
      </c>
      <c r="E5249" s="2" t="s">
        <v>4060</v>
      </c>
      <c r="F5249" s="2">
        <v>0.0</v>
      </c>
      <c r="G5249" s="2">
        <v>257.0</v>
      </c>
      <c r="H5249" s="3" t="str">
        <f>HYPERLINK("http://www.linkedin.com/in/bhaseleu","http://www.linkedin.com/in/bhaseleu")</f>
        <v>http://www.linkedin.com/in/bhaseleu</v>
      </c>
      <c r="I5249" s="2" t="s">
        <v>57</v>
      </c>
      <c r="J5249" s="2" t="s">
        <v>102</v>
      </c>
      <c r="K5249" s="2" t="s">
        <v>10184</v>
      </c>
    </row>
    <row r="5250" ht="15.75" customHeight="1">
      <c r="A5250" s="2">
        <v>10073.0</v>
      </c>
      <c r="B5250" s="2" t="s">
        <v>5492</v>
      </c>
      <c r="C5250" s="2" t="s">
        <v>10583</v>
      </c>
      <c r="D5250" s="2" t="s">
        <v>10584</v>
      </c>
      <c r="E5250" s="2" t="s">
        <v>4060</v>
      </c>
      <c r="F5250" s="2">
        <v>0.0</v>
      </c>
      <c r="G5250" s="2">
        <v>347.0</v>
      </c>
      <c r="H5250" s="3" t="str">
        <f>HYPERLINK("http://www.linkedin.com/pub/sally-franklin/6/B2B/44","http://www.linkedin.com/pub/sally-franklin/6/B2B/44")</f>
        <v>http://www.linkedin.com/pub/sally-franklin/6/B2B/44</v>
      </c>
      <c r="I5250" s="2" t="s">
        <v>57</v>
      </c>
      <c r="J5250" s="2" t="s">
        <v>102</v>
      </c>
      <c r="K5250" s="2" t="s">
        <v>10209</v>
      </c>
    </row>
    <row r="5251" ht="15.75" customHeight="1">
      <c r="A5251" s="2">
        <v>10074.0</v>
      </c>
      <c r="B5251" s="2" t="s">
        <v>10450</v>
      </c>
      <c r="C5251" s="2" t="s">
        <v>3452</v>
      </c>
      <c r="D5251" s="2" t="s">
        <v>10585</v>
      </c>
      <c r="E5251" s="2" t="s">
        <v>4060</v>
      </c>
      <c r="F5251" s="2">
        <v>4.0</v>
      </c>
      <c r="G5251" s="2">
        <v>305.0</v>
      </c>
      <c r="H5251" s="3" t="str">
        <f>HYPERLINK("http://www.linkedin.com/in/bryanwjones","http://www.linkedin.com/in/bryanwjones")</f>
        <v>http://www.linkedin.com/in/bryanwjones</v>
      </c>
      <c r="I5251" s="2" t="s">
        <v>57</v>
      </c>
      <c r="J5251" s="2" t="s">
        <v>102</v>
      </c>
      <c r="K5251" s="2" t="s">
        <v>10184</v>
      </c>
    </row>
    <row r="5252" ht="15.75" customHeight="1">
      <c r="A5252" s="2">
        <v>10087.0</v>
      </c>
      <c r="B5252" s="2" t="s">
        <v>253</v>
      </c>
      <c r="C5252" s="2" t="s">
        <v>10586</v>
      </c>
      <c r="D5252" s="2" t="s">
        <v>10587</v>
      </c>
      <c r="E5252" s="2" t="s">
        <v>20</v>
      </c>
      <c r="F5252" s="2">
        <v>3.0</v>
      </c>
      <c r="G5252" s="2">
        <v>411.0</v>
      </c>
      <c r="H5252" s="3" t="str">
        <f>HYPERLINK("http://ar.linkedin.com/in/fgpalacios","http://ar.linkedin.com/in/fgpalacios")</f>
        <v>http://ar.linkedin.com/in/fgpalacios</v>
      </c>
      <c r="I5252" s="2" t="s">
        <v>15</v>
      </c>
      <c r="J5252" s="2" t="s">
        <v>21</v>
      </c>
      <c r="K5252" s="2" t="s">
        <v>10196</v>
      </c>
    </row>
    <row r="5253" ht="15.75" customHeight="1">
      <c r="A5253" s="2">
        <v>10110.0</v>
      </c>
      <c r="B5253" s="2" t="s">
        <v>6232</v>
      </c>
      <c r="C5253" s="2" t="s">
        <v>10588</v>
      </c>
      <c r="D5253" s="2" t="s">
        <v>10589</v>
      </c>
      <c r="E5253" s="2" t="s">
        <v>20</v>
      </c>
      <c r="F5253" s="2">
        <v>19.0</v>
      </c>
      <c r="G5253" s="2">
        <v>402.0</v>
      </c>
      <c r="H5253" s="3" t="str">
        <f>HYPERLINK("http://ar.linkedin.com/in/elaborda","http://ar.linkedin.com/in/elaborda")</f>
        <v>http://ar.linkedin.com/in/elaborda</v>
      </c>
      <c r="I5253" s="2" t="s">
        <v>48</v>
      </c>
      <c r="J5253" s="2" t="s">
        <v>21</v>
      </c>
      <c r="K5253" s="2" t="s">
        <v>10196</v>
      </c>
    </row>
    <row r="5254" ht="15.75" customHeight="1">
      <c r="A5254" s="2">
        <v>10111.0</v>
      </c>
      <c r="B5254" s="2" t="s">
        <v>1767</v>
      </c>
      <c r="C5254" s="2" t="s">
        <v>10590</v>
      </c>
      <c r="D5254" s="2" t="s">
        <v>1446</v>
      </c>
      <c r="E5254" s="2" t="s">
        <v>713</v>
      </c>
      <c r="F5254" s="2">
        <v>6.0</v>
      </c>
      <c r="G5254" s="2">
        <v>500.0</v>
      </c>
      <c r="H5254" s="3" t="str">
        <f>HYPERLINK("http://www.linkedin.com/in/erikolsen","http://www.linkedin.com/in/erikolsen")</f>
        <v>http://www.linkedin.com/in/erikolsen</v>
      </c>
      <c r="I5254" s="2" t="s">
        <v>48</v>
      </c>
      <c r="J5254" s="2" t="s">
        <v>102</v>
      </c>
      <c r="K5254" s="2" t="s">
        <v>10298</v>
      </c>
    </row>
    <row r="5255" ht="15.75" customHeight="1">
      <c r="A5255" s="2">
        <v>10119.0</v>
      </c>
      <c r="B5255" s="2" t="s">
        <v>10329</v>
      </c>
      <c r="C5255" s="2" t="s">
        <v>10591</v>
      </c>
      <c r="D5255" s="2" t="s">
        <v>10592</v>
      </c>
      <c r="E5255" s="2" t="s">
        <v>1190</v>
      </c>
      <c r="F5255" s="2">
        <v>2.0</v>
      </c>
      <c r="G5255" s="2">
        <v>445.0</v>
      </c>
      <c r="H5255" s="3" t="str">
        <f>HYPERLINK("http://www.linkedin.com/pub/gimena-olguin/A/431/5B4","http://www.linkedin.com/pub/gimena-olguin/A/431/5B4")</f>
        <v>http://www.linkedin.com/pub/gimena-olguin/A/431/5B4</v>
      </c>
      <c r="I5255" s="2" t="s">
        <v>279</v>
      </c>
      <c r="J5255" s="2" t="s">
        <v>102</v>
      </c>
      <c r="K5255" s="2" t="s">
        <v>10187</v>
      </c>
    </row>
    <row r="5256" ht="15.75" customHeight="1">
      <c r="A5256" s="2">
        <v>10128.0</v>
      </c>
      <c r="B5256" s="2" t="s">
        <v>341</v>
      </c>
      <c r="C5256" s="2" t="s">
        <v>176</v>
      </c>
      <c r="D5256" s="2"/>
      <c r="E5256" s="2" t="s">
        <v>181</v>
      </c>
      <c r="F5256" s="2">
        <v>3.0</v>
      </c>
      <c r="G5256" s="2">
        <v>500.0</v>
      </c>
      <c r="H5256" s="3" t="str">
        <f>HYPERLINK("http://www.linkedin.com/in/kevinarthur22","http://www.linkedin.com/in/kevinarthur22")</f>
        <v>http://www.linkedin.com/in/kevinarthur22</v>
      </c>
      <c r="I5256" s="2" t="s">
        <v>69</v>
      </c>
      <c r="J5256" s="2" t="s">
        <v>102</v>
      </c>
      <c r="K5256" s="2" t="s">
        <v>10312</v>
      </c>
    </row>
    <row r="5257" ht="15.75" customHeight="1">
      <c r="A5257" s="2">
        <v>10134.0</v>
      </c>
      <c r="B5257" s="2" t="s">
        <v>10593</v>
      </c>
      <c r="C5257" s="2" t="s">
        <v>253</v>
      </c>
      <c r="D5257" s="2" t="s">
        <v>7102</v>
      </c>
      <c r="E5257" s="2" t="s">
        <v>301</v>
      </c>
      <c r="F5257" s="2">
        <v>4.0</v>
      </c>
      <c r="G5257" s="2">
        <v>500.0</v>
      </c>
      <c r="H5257" s="3" t="str">
        <f>HYPERLINK("http://www.linkedin.com/in/zehfernando","http://www.linkedin.com/in/zehfernando")</f>
        <v>http://www.linkedin.com/in/zehfernando</v>
      </c>
      <c r="I5257" s="2" t="s">
        <v>2268</v>
      </c>
      <c r="J5257" s="2" t="s">
        <v>102</v>
      </c>
      <c r="K5257" s="2" t="s">
        <v>10206</v>
      </c>
    </row>
    <row r="5258" ht="15.75" customHeight="1">
      <c r="A5258" s="2">
        <v>10183.0</v>
      </c>
      <c r="B5258" s="2" t="s">
        <v>677</v>
      </c>
      <c r="C5258" s="2" t="s">
        <v>10594</v>
      </c>
      <c r="D5258" s="2" t="s">
        <v>835</v>
      </c>
      <c r="E5258" s="2" t="s">
        <v>20</v>
      </c>
      <c r="F5258" s="2">
        <v>6.0</v>
      </c>
      <c r="G5258" s="2">
        <v>447.0</v>
      </c>
      <c r="H5258" s="3" t="str">
        <f>HYPERLINK("http://ar.linkedin.com/in/danielpriego","http://ar.linkedin.com/in/danielpriego")</f>
        <v>http://ar.linkedin.com/in/danielpriego</v>
      </c>
      <c r="I5258" s="2" t="s">
        <v>69</v>
      </c>
      <c r="J5258" s="2" t="s">
        <v>21</v>
      </c>
      <c r="K5258" s="2" t="s">
        <v>10196</v>
      </c>
    </row>
    <row r="5259" ht="15.75" customHeight="1">
      <c r="A5259" s="2">
        <v>10203.0</v>
      </c>
      <c r="B5259" s="2" t="s">
        <v>264</v>
      </c>
      <c r="C5259" s="2" t="s">
        <v>10595</v>
      </c>
      <c r="D5259" s="2" t="s">
        <v>6202</v>
      </c>
      <c r="E5259" s="2" t="s">
        <v>20</v>
      </c>
      <c r="F5259" s="2">
        <v>10.0</v>
      </c>
      <c r="G5259" s="2">
        <v>238.0</v>
      </c>
      <c r="H5259" s="3" t="str">
        <f>HYPERLINK("http://ar.linkedin.com/in/aurena","http://ar.linkedin.com/in/aurena")</f>
        <v>http://ar.linkedin.com/in/aurena</v>
      </c>
      <c r="I5259" s="2" t="s">
        <v>48</v>
      </c>
      <c r="J5259" s="2" t="s">
        <v>21</v>
      </c>
      <c r="K5259" s="2" t="s">
        <v>10196</v>
      </c>
    </row>
    <row r="5260" ht="15.75" customHeight="1">
      <c r="A5260" s="2">
        <v>10223.0</v>
      </c>
      <c r="B5260" s="2" t="s">
        <v>3201</v>
      </c>
      <c r="C5260" s="2" t="s">
        <v>10596</v>
      </c>
      <c r="D5260" s="2" t="s">
        <v>1765</v>
      </c>
      <c r="E5260" s="2" t="s">
        <v>20</v>
      </c>
      <c r="F5260" s="2">
        <v>5.0</v>
      </c>
      <c r="G5260" s="2">
        <v>500.0</v>
      </c>
      <c r="H5260" s="3" t="str">
        <f>HYPERLINK("http://www.linkedin.com/in/sebastianbarale","http://www.linkedin.com/in/sebastianbarale")</f>
        <v>http://www.linkedin.com/in/sebastianbarale</v>
      </c>
      <c r="I5260" s="2" t="s">
        <v>15</v>
      </c>
      <c r="J5260" s="2" t="s">
        <v>21</v>
      </c>
      <c r="K5260" s="2" t="s">
        <v>10176</v>
      </c>
    </row>
    <row r="5261" ht="15.75" customHeight="1">
      <c r="A5261" s="2">
        <v>10224.0</v>
      </c>
      <c r="B5261" s="2" t="s">
        <v>460</v>
      </c>
      <c r="C5261" s="2" t="s">
        <v>10597</v>
      </c>
      <c r="D5261" s="2"/>
      <c r="E5261" s="2" t="s">
        <v>628</v>
      </c>
      <c r="F5261" s="2">
        <v>0.0</v>
      </c>
      <c r="G5261" s="2">
        <v>131.0</v>
      </c>
      <c r="H5261" s="3" t="str">
        <f>HYPERLINK("http://www.linkedin.com/in/johnpeich","http://www.linkedin.com/in/johnpeich")</f>
        <v>http://www.linkedin.com/in/johnpeich</v>
      </c>
      <c r="I5261" s="2" t="s">
        <v>69</v>
      </c>
      <c r="J5261" s="2" t="s">
        <v>102</v>
      </c>
      <c r="K5261" s="2" t="s">
        <v>10176</v>
      </c>
    </row>
    <row r="5262" ht="15.75" customHeight="1">
      <c r="A5262" s="2">
        <v>10230.0</v>
      </c>
      <c r="B5262" s="2" t="s">
        <v>506</v>
      </c>
      <c r="C5262" s="2" t="s">
        <v>10598</v>
      </c>
      <c r="D5262" s="2" t="s">
        <v>6202</v>
      </c>
      <c r="E5262" s="2" t="s">
        <v>20</v>
      </c>
      <c r="F5262" s="2">
        <v>2.0</v>
      </c>
      <c r="G5262" s="2">
        <v>161.0</v>
      </c>
      <c r="H5262" s="3" t="str">
        <f>HYPERLINK("http://ar.linkedin.com/in/josedaquila","http://ar.linkedin.com/in/josedaquila")</f>
        <v>http://ar.linkedin.com/in/josedaquila</v>
      </c>
      <c r="I5262" s="2" t="s">
        <v>69</v>
      </c>
      <c r="J5262" s="2" t="s">
        <v>21</v>
      </c>
      <c r="K5262" s="2" t="s">
        <v>10196</v>
      </c>
    </row>
    <row r="5263" ht="15.75" customHeight="1">
      <c r="A5263" s="2">
        <v>10252.0</v>
      </c>
      <c r="B5263" s="2" t="s">
        <v>59</v>
      </c>
      <c r="C5263" s="2" t="s">
        <v>10599</v>
      </c>
      <c r="D5263" s="2" t="s">
        <v>10600</v>
      </c>
      <c r="E5263" s="2" t="s">
        <v>20</v>
      </c>
      <c r="F5263" s="2">
        <v>2.0</v>
      </c>
      <c r="G5263" s="2">
        <v>376.0</v>
      </c>
      <c r="H5263" s="3" t="str">
        <f>HYPERLINK("http://ar.linkedin.com/in/chercules","http://ar.linkedin.com/in/chercules")</f>
        <v>http://ar.linkedin.com/in/chercules</v>
      </c>
      <c r="I5263" s="2" t="s">
        <v>15</v>
      </c>
      <c r="J5263" s="2" t="s">
        <v>21</v>
      </c>
      <c r="K5263" s="2" t="s">
        <v>10196</v>
      </c>
    </row>
    <row r="5264" ht="15.75" customHeight="1">
      <c r="A5264" s="2">
        <v>10257.0</v>
      </c>
      <c r="B5264" s="2" t="s">
        <v>10601</v>
      </c>
      <c r="C5264" s="2" t="s">
        <v>288</v>
      </c>
      <c r="D5264" s="2" t="s">
        <v>400</v>
      </c>
      <c r="E5264" s="2" t="s">
        <v>235</v>
      </c>
      <c r="F5264" s="2">
        <v>0.0</v>
      </c>
      <c r="G5264" s="2">
        <v>500.0</v>
      </c>
      <c r="H5264" s="3" t="str">
        <f>HYPERLINK("http://www.linkedin.com/in/withersdavis","http://www.linkedin.com/in/withersdavis")</f>
        <v>http://www.linkedin.com/in/withersdavis</v>
      </c>
      <c r="I5264" s="2" t="s">
        <v>48</v>
      </c>
      <c r="J5264" s="2" t="s">
        <v>102</v>
      </c>
      <c r="K5264" s="2" t="s">
        <v>10184</v>
      </c>
    </row>
    <row r="5265" ht="15.75" customHeight="1">
      <c r="A5265" s="2">
        <v>10265.0</v>
      </c>
      <c r="B5265" s="2" t="s">
        <v>10602</v>
      </c>
      <c r="C5265" s="2" t="s">
        <v>9491</v>
      </c>
      <c r="D5265" s="2" t="s">
        <v>10603</v>
      </c>
      <c r="E5265" s="2" t="s">
        <v>20</v>
      </c>
      <c r="F5265" s="2">
        <v>1.0</v>
      </c>
      <c r="G5265" s="2">
        <v>417.0</v>
      </c>
      <c r="H5265" s="3" t="str">
        <f>HYPERLINK("http://www.linkedin.com/in/robertomariobenitez","http://www.linkedin.com/in/robertomariobenitez")</f>
        <v>http://www.linkedin.com/in/robertomariobenitez</v>
      </c>
      <c r="I5265" s="2" t="s">
        <v>1237</v>
      </c>
      <c r="J5265" s="2" t="s">
        <v>21</v>
      </c>
      <c r="K5265" s="2" t="s">
        <v>10196</v>
      </c>
    </row>
    <row r="5266" ht="15.75" customHeight="1">
      <c r="A5266" s="2">
        <v>10291.0</v>
      </c>
      <c r="B5266" s="2" t="s">
        <v>540</v>
      </c>
      <c r="C5266" s="2" t="s">
        <v>10604</v>
      </c>
      <c r="D5266" s="2" t="s">
        <v>13</v>
      </c>
      <c r="E5266" s="2" t="s">
        <v>20</v>
      </c>
      <c r="F5266" s="2">
        <v>2.0</v>
      </c>
      <c r="G5266" s="2">
        <v>500.0</v>
      </c>
      <c r="H5266" s="3" t="str">
        <f>HYPERLINK("http://www.linkedin.com/in/kriko","http://www.linkedin.com/in/kriko")</f>
        <v>http://www.linkedin.com/in/kriko</v>
      </c>
      <c r="I5266" s="2" t="s">
        <v>69</v>
      </c>
      <c r="J5266" s="2" t="s">
        <v>21</v>
      </c>
      <c r="K5266" s="2" t="s">
        <v>10605</v>
      </c>
    </row>
    <row r="5267" ht="15.75" customHeight="1">
      <c r="A5267" s="2">
        <v>10294.0</v>
      </c>
      <c r="B5267" s="2" t="s">
        <v>5723</v>
      </c>
      <c r="C5267" s="2" t="s">
        <v>10606</v>
      </c>
      <c r="D5267" s="2" t="s">
        <v>10607</v>
      </c>
      <c r="E5267" s="2" t="s">
        <v>20</v>
      </c>
      <c r="F5267" s="2">
        <v>1.0</v>
      </c>
      <c r="G5267" s="2">
        <v>500.0</v>
      </c>
      <c r="H5267" s="3" t="str">
        <f>HYPERLINK("http://ar.linkedin.com/pub/pablo-mazzini/21/243/A33","http://ar.linkedin.com/pub/pablo-mazzini/21/243/A33")</f>
        <v>http://ar.linkedin.com/pub/pablo-mazzini/21/243/A33</v>
      </c>
      <c r="I5267" s="2" t="s">
        <v>105</v>
      </c>
      <c r="J5267" s="2" t="s">
        <v>21</v>
      </c>
      <c r="K5267" s="2" t="s">
        <v>10184</v>
      </c>
    </row>
    <row r="5268" ht="15.75" customHeight="1">
      <c r="A5268" s="2">
        <v>10301.0</v>
      </c>
      <c r="B5268" s="2" t="s">
        <v>152</v>
      </c>
      <c r="C5268" s="2" t="s">
        <v>503</v>
      </c>
      <c r="D5268" s="2" t="s">
        <v>10608</v>
      </c>
      <c r="E5268" s="2" t="s">
        <v>20</v>
      </c>
      <c r="F5268" s="2">
        <v>5.0</v>
      </c>
      <c r="G5268" s="2">
        <v>189.0</v>
      </c>
      <c r="H5268" s="3" t="str">
        <f>HYPERLINK("http://ar.linkedin.com/in/edytab","http://ar.linkedin.com/in/edytab")</f>
        <v>http://ar.linkedin.com/in/edytab</v>
      </c>
      <c r="I5268" s="2" t="s">
        <v>15</v>
      </c>
      <c r="J5268" s="2" t="s">
        <v>21</v>
      </c>
      <c r="K5268" s="2" t="s">
        <v>10609</v>
      </c>
    </row>
    <row r="5269" ht="15.75" customHeight="1">
      <c r="A5269" s="2">
        <v>10314.0</v>
      </c>
      <c r="B5269" s="2" t="s">
        <v>5078</v>
      </c>
      <c r="C5269" s="2" t="s">
        <v>10610</v>
      </c>
      <c r="D5269" s="2" t="s">
        <v>10611</v>
      </c>
      <c r="E5269" s="2" t="s">
        <v>20</v>
      </c>
      <c r="F5269" s="2">
        <v>2.0</v>
      </c>
      <c r="G5269" s="2">
        <v>239.0</v>
      </c>
      <c r="H5269" s="3" t="str">
        <f>HYPERLINK("http://ar.linkedin.com/pub/diego-garber/27/287/2B8","http://ar.linkedin.com/pub/diego-garber/27/287/2B8")</f>
        <v>http://ar.linkedin.com/pub/diego-garber/27/287/2B8</v>
      </c>
      <c r="I5269" s="2" t="s">
        <v>69</v>
      </c>
      <c r="J5269" s="2" t="s">
        <v>21</v>
      </c>
      <c r="K5269" s="2" t="s">
        <v>10180</v>
      </c>
    </row>
    <row r="5270" ht="15.75" customHeight="1">
      <c r="A5270" s="2">
        <v>10381.0</v>
      </c>
      <c r="B5270" s="2" t="s">
        <v>418</v>
      </c>
      <c r="C5270" s="2" t="s">
        <v>6122</v>
      </c>
      <c r="D5270" s="2" t="s">
        <v>8132</v>
      </c>
      <c r="E5270" s="2" t="s">
        <v>136</v>
      </c>
      <c r="F5270" s="2">
        <v>7.0</v>
      </c>
      <c r="G5270" s="2">
        <v>290.0</v>
      </c>
      <c r="H5270" s="3" t="str">
        <f>HYPERLINK("http://www.linkedin.com/in/ivaramme","http://www.linkedin.com/in/ivaramme")</f>
        <v>http://www.linkedin.com/in/ivaramme</v>
      </c>
      <c r="I5270" s="2" t="s">
        <v>69</v>
      </c>
      <c r="J5270" s="2" t="s">
        <v>102</v>
      </c>
      <c r="K5270" s="2" t="s">
        <v>10286</v>
      </c>
    </row>
    <row r="5271" ht="15.75" customHeight="1">
      <c r="A5271" s="2">
        <v>10432.0</v>
      </c>
      <c r="B5271" s="2" t="s">
        <v>18</v>
      </c>
      <c r="C5271" s="2" t="s">
        <v>3581</v>
      </c>
      <c r="D5271" s="2" t="s">
        <v>10407</v>
      </c>
      <c r="E5271" s="2" t="s">
        <v>235</v>
      </c>
      <c r="F5271" s="2">
        <v>2.0</v>
      </c>
      <c r="G5271" s="2">
        <v>168.0</v>
      </c>
      <c r="H5271" s="3" t="str">
        <f>HYPERLINK("http://www.linkedin.com/in/mauriciogentile","http://www.linkedin.com/in/mauriciogentile")</f>
        <v>http://www.linkedin.com/in/mauriciogentile</v>
      </c>
      <c r="I5271" s="2" t="s">
        <v>1679</v>
      </c>
      <c r="J5271" s="2" t="s">
        <v>102</v>
      </c>
      <c r="K5271" s="2" t="s">
        <v>10206</v>
      </c>
    </row>
    <row r="5272" ht="15.75" customHeight="1">
      <c r="A5272" s="2">
        <v>10441.0</v>
      </c>
      <c r="B5272" s="2" t="s">
        <v>6061</v>
      </c>
      <c r="C5272" s="2" t="s">
        <v>10612</v>
      </c>
      <c r="D5272" s="2"/>
      <c r="E5272" s="2" t="s">
        <v>20</v>
      </c>
      <c r="F5272" s="2">
        <v>3.0</v>
      </c>
      <c r="G5272" s="2">
        <v>500.0</v>
      </c>
      <c r="H5272" s="3" t="str">
        <f>HYPERLINK("https://www.linkedin.com/in/agustindl","https://www.linkedin.com/in/agustindl")</f>
        <v>https://www.linkedin.com/in/agustindl</v>
      </c>
      <c r="I5272" s="2" t="s">
        <v>69</v>
      </c>
      <c r="J5272" s="2" t="s">
        <v>21</v>
      </c>
      <c r="K5272" s="2" t="s">
        <v>10187</v>
      </c>
    </row>
    <row r="5273" ht="15.75" customHeight="1">
      <c r="A5273" s="2">
        <v>10448.0</v>
      </c>
      <c r="B5273" s="2" t="s">
        <v>7859</v>
      </c>
      <c r="C5273" s="2" t="s">
        <v>2975</v>
      </c>
      <c r="D5273" s="2" t="s">
        <v>10613</v>
      </c>
      <c r="E5273" s="2" t="s">
        <v>20</v>
      </c>
      <c r="F5273" s="2">
        <v>5.0</v>
      </c>
      <c r="G5273" s="2">
        <v>500.0</v>
      </c>
      <c r="H5273" s="3" t="str">
        <f>HYPERLINK("http://ar.linkedin.com/in/juanambrosini","http://ar.linkedin.com/in/juanambrosini")</f>
        <v>http://ar.linkedin.com/in/juanambrosini</v>
      </c>
      <c r="I5273" s="2" t="s">
        <v>15</v>
      </c>
      <c r="J5273" s="2" t="s">
        <v>21</v>
      </c>
      <c r="K5273" s="2" t="s">
        <v>10196</v>
      </c>
    </row>
    <row r="5274" ht="15.75" customHeight="1">
      <c r="A5274" s="2">
        <v>10492.0</v>
      </c>
      <c r="B5274" s="2" t="s">
        <v>637</v>
      </c>
      <c r="C5274" s="2" t="s">
        <v>10614</v>
      </c>
      <c r="D5274" s="2" t="s">
        <v>10615</v>
      </c>
      <c r="E5274" s="2" t="s">
        <v>20</v>
      </c>
      <c r="F5274" s="2">
        <v>0.0</v>
      </c>
      <c r="G5274" s="2">
        <v>211.0</v>
      </c>
      <c r="H5274" s="3" t="str">
        <f>HYPERLINK("http://ar.linkedin.com/in/leonardosanvitale","http://ar.linkedin.com/in/leonardosanvitale")</f>
        <v>http://ar.linkedin.com/in/leonardosanvitale</v>
      </c>
      <c r="I5274" s="2" t="s">
        <v>15</v>
      </c>
      <c r="J5274" s="2" t="s">
        <v>21</v>
      </c>
      <c r="K5274" s="2" t="s">
        <v>10224</v>
      </c>
    </row>
    <row r="5275" ht="15.75" customHeight="1">
      <c r="A5275" s="2">
        <v>10501.0</v>
      </c>
      <c r="B5275" s="2" t="s">
        <v>940</v>
      </c>
      <c r="C5275" s="2" t="s">
        <v>10616</v>
      </c>
      <c r="D5275" s="2" t="s">
        <v>42</v>
      </c>
      <c r="E5275" s="2" t="s">
        <v>762</v>
      </c>
      <c r="F5275" s="2">
        <v>19.0</v>
      </c>
      <c r="G5275" s="2">
        <v>500.0</v>
      </c>
      <c r="H5275" s="3" t="str">
        <f>HYPERLINK("http://www.linkedin.com/in/blackard","http://www.linkedin.com/in/blackard")</f>
        <v>http://www.linkedin.com/in/blackard</v>
      </c>
      <c r="I5275" s="2" t="s">
        <v>15</v>
      </c>
      <c r="J5275" s="2" t="s">
        <v>102</v>
      </c>
      <c r="K5275" s="2" t="s">
        <v>10245</v>
      </c>
    </row>
    <row r="5276" ht="15.75" customHeight="1">
      <c r="A5276" s="2">
        <v>10503.0</v>
      </c>
      <c r="B5276" s="2" t="s">
        <v>842</v>
      </c>
      <c r="C5276" s="2" t="s">
        <v>10617</v>
      </c>
      <c r="D5276" s="2" t="s">
        <v>10618</v>
      </c>
      <c r="E5276" s="2" t="s">
        <v>1209</v>
      </c>
      <c r="F5276" s="2">
        <v>17.0</v>
      </c>
      <c r="G5276" s="2">
        <v>500.0</v>
      </c>
      <c r="H5276" s="3" t="str">
        <f>HYPERLINK("http://www.linkedin.com/in/stuartc","http://www.linkedin.com/in/stuartc")</f>
        <v>http://www.linkedin.com/in/stuartc</v>
      </c>
      <c r="I5276" s="2" t="s">
        <v>240</v>
      </c>
      <c r="J5276" s="2" t="s">
        <v>102</v>
      </c>
      <c r="K5276" s="2" t="s">
        <v>10619</v>
      </c>
    </row>
    <row r="5277" ht="15.75" customHeight="1">
      <c r="A5277" s="2">
        <v>10506.0</v>
      </c>
      <c r="B5277" s="2" t="s">
        <v>2202</v>
      </c>
      <c r="C5277" s="2" t="s">
        <v>10620</v>
      </c>
      <c r="D5277" s="2" t="s">
        <v>8123</v>
      </c>
      <c r="E5277" s="2" t="s">
        <v>1407</v>
      </c>
      <c r="F5277" s="2">
        <v>0.0</v>
      </c>
      <c r="G5277" s="2">
        <v>308.0</v>
      </c>
      <c r="H5277" s="3" t="str">
        <f>HYPERLINK("http://www.linkedin.com/pub/arun-hariharan/4/997/9B3","http://www.linkedin.com/pub/arun-hariharan/4/997/9B3")</f>
        <v>http://www.linkedin.com/pub/arun-hariharan/4/997/9B3</v>
      </c>
      <c r="I5277" s="2" t="s">
        <v>15</v>
      </c>
      <c r="J5277" s="2" t="s">
        <v>102</v>
      </c>
      <c r="K5277" s="2" t="s">
        <v>10184</v>
      </c>
    </row>
    <row r="5278" ht="15.75" customHeight="1">
      <c r="A5278" s="2">
        <v>10509.0</v>
      </c>
      <c r="B5278" s="2" t="s">
        <v>10276</v>
      </c>
      <c r="C5278" s="2" t="s">
        <v>10621</v>
      </c>
      <c r="D5278" s="2" t="s">
        <v>10622</v>
      </c>
      <c r="E5278" s="2" t="s">
        <v>1407</v>
      </c>
      <c r="F5278" s="2">
        <v>5.0</v>
      </c>
      <c r="G5278" s="2">
        <v>483.0</v>
      </c>
      <c r="H5278" s="3" t="str">
        <f>HYPERLINK("http://www.linkedin.com/pub/adarsh-gosu/4/802/A13","http://www.linkedin.com/pub/adarsh-gosu/4/802/A13")</f>
        <v>http://www.linkedin.com/pub/adarsh-gosu/4/802/A13</v>
      </c>
      <c r="I5278" s="2" t="s">
        <v>57</v>
      </c>
      <c r="J5278" s="2" t="s">
        <v>102</v>
      </c>
      <c r="K5278" s="2" t="s">
        <v>10184</v>
      </c>
    </row>
    <row r="5279" ht="15.75" customHeight="1">
      <c r="A5279" s="2">
        <v>10535.0</v>
      </c>
      <c r="B5279" s="2" t="s">
        <v>677</v>
      </c>
      <c r="C5279" s="2" t="s">
        <v>10623</v>
      </c>
      <c r="D5279" s="2" t="s">
        <v>380</v>
      </c>
      <c r="E5279" s="2" t="s">
        <v>20</v>
      </c>
      <c r="F5279" s="2">
        <v>0.0</v>
      </c>
      <c r="G5279" s="2">
        <v>138.0</v>
      </c>
      <c r="H5279" s="3" t="str">
        <f>HYPERLINK("http://ar.linkedin.com/pub/daniel-pabon/22/783/5B4","http://ar.linkedin.com/pub/daniel-pabon/22/783/5B4")</f>
        <v>http://ar.linkedin.com/pub/daniel-pabon/22/783/5B4</v>
      </c>
      <c r="I5279" s="2" t="s">
        <v>240</v>
      </c>
      <c r="J5279" s="2" t="s">
        <v>21</v>
      </c>
      <c r="K5279" s="2" t="s">
        <v>10209</v>
      </c>
    </row>
    <row r="5280" ht="15.75" customHeight="1">
      <c r="A5280" s="2">
        <v>10595.0</v>
      </c>
      <c r="B5280" s="2" t="s">
        <v>7027</v>
      </c>
      <c r="C5280" s="2" t="s">
        <v>10624</v>
      </c>
      <c r="D5280" s="2" t="s">
        <v>10625</v>
      </c>
      <c r="E5280" s="2" t="s">
        <v>20</v>
      </c>
      <c r="F5280" s="2">
        <v>11.0</v>
      </c>
      <c r="G5280" s="2">
        <v>500.0</v>
      </c>
      <c r="H5280" s="3" t="str">
        <f>HYPERLINK("http://ar.linkedin.com/in/agustinaparra","http://ar.linkedin.com/in/agustinaparra")</f>
        <v>http://ar.linkedin.com/in/agustinaparra</v>
      </c>
      <c r="I5280" s="2" t="s">
        <v>69</v>
      </c>
      <c r="J5280" s="2" t="s">
        <v>21</v>
      </c>
      <c r="K5280" s="2" t="s">
        <v>10196</v>
      </c>
    </row>
    <row r="5281" ht="15.75" customHeight="1">
      <c r="A5281" s="2">
        <v>10628.0</v>
      </c>
      <c r="B5281" s="2" t="s">
        <v>2622</v>
      </c>
      <c r="C5281" s="2" t="s">
        <v>10626</v>
      </c>
      <c r="D5281" s="2" t="s">
        <v>10627</v>
      </c>
      <c r="E5281" s="2" t="s">
        <v>1190</v>
      </c>
      <c r="F5281" s="2">
        <v>0.0</v>
      </c>
      <c r="G5281" s="2">
        <v>500.0</v>
      </c>
      <c r="H5281" s="3" t="str">
        <f>HYPERLINK("http://www.linkedin.com/pub/jessica-troller/4/A72/7A7","http://www.linkedin.com/pub/jessica-troller/4/A72/7A7")</f>
        <v>http://www.linkedin.com/pub/jessica-troller/4/A72/7A7</v>
      </c>
      <c r="I5281" s="2" t="s">
        <v>195</v>
      </c>
      <c r="J5281" s="2" t="s">
        <v>102</v>
      </c>
      <c r="K5281" s="2" t="s">
        <v>10209</v>
      </c>
    </row>
    <row r="5282" ht="15.75" customHeight="1">
      <c r="A5282" s="2">
        <v>10654.0</v>
      </c>
      <c r="B5282" s="2" t="s">
        <v>5922</v>
      </c>
      <c r="C5282" s="2" t="s">
        <v>10628</v>
      </c>
      <c r="D5282" s="2" t="s">
        <v>10629</v>
      </c>
      <c r="E5282" s="2" t="s">
        <v>20</v>
      </c>
      <c r="F5282" s="2">
        <v>6.0</v>
      </c>
      <c r="G5282" s="2">
        <v>500.0</v>
      </c>
      <c r="H5282" s="3" t="str">
        <f>HYPERLINK("http://ar.linkedin.com/in/gabrielaherbszteinrrhh","http://ar.linkedin.com/in/gabrielaherbszteinrrhh")</f>
        <v>http://ar.linkedin.com/in/gabrielaherbszteinrrhh</v>
      </c>
      <c r="I5282" s="2" t="s">
        <v>458</v>
      </c>
      <c r="J5282" s="2" t="s">
        <v>21</v>
      </c>
      <c r="K5282" s="2" t="s">
        <v>10371</v>
      </c>
    </row>
    <row r="5283" ht="15.75" customHeight="1">
      <c r="A5283" s="2">
        <v>10665.0</v>
      </c>
      <c r="B5283" s="2" t="s">
        <v>238</v>
      </c>
      <c r="C5283" s="2" t="s">
        <v>10630</v>
      </c>
      <c r="D5283" s="2" t="s">
        <v>10631</v>
      </c>
      <c r="E5283" s="2" t="s">
        <v>20</v>
      </c>
      <c r="F5283" s="2">
        <v>1.0</v>
      </c>
      <c r="G5283" s="2">
        <v>127.0</v>
      </c>
      <c r="H5283" s="3" t="str">
        <f>HYPERLINK("http://ar.linkedin.com/pub/juan-grinberg/4/7B5/530","http://ar.linkedin.com/pub/juan-grinberg/4/7B5/530")</f>
        <v>http://ar.linkedin.com/pub/juan-grinberg/4/7B5/530</v>
      </c>
      <c r="I5283" s="2" t="s">
        <v>15</v>
      </c>
      <c r="J5283" s="2" t="s">
        <v>21</v>
      </c>
      <c r="K5283" s="2" t="s">
        <v>10173</v>
      </c>
    </row>
    <row r="5284" ht="15.75" customHeight="1">
      <c r="A5284" s="2">
        <v>10686.0</v>
      </c>
      <c r="B5284" s="2" t="s">
        <v>358</v>
      </c>
      <c r="C5284" s="2" t="s">
        <v>5555</v>
      </c>
      <c r="D5284" s="2" t="s">
        <v>4235</v>
      </c>
      <c r="E5284" s="2" t="s">
        <v>1190</v>
      </c>
      <c r="F5284" s="2">
        <v>8.0</v>
      </c>
      <c r="G5284" s="2">
        <v>500.0</v>
      </c>
      <c r="H5284" s="3" t="str">
        <f>HYPERLINK("http://www.linkedin.com/pub/marcelo-costa/0/104/19","http://www.linkedin.com/pub/marcelo-costa/0/104/19")</f>
        <v>http://www.linkedin.com/pub/marcelo-costa/0/104/19</v>
      </c>
      <c r="I5284" s="2" t="s">
        <v>15</v>
      </c>
      <c r="J5284" s="2" t="s">
        <v>102</v>
      </c>
      <c r="K5284" s="2" t="s">
        <v>10184</v>
      </c>
    </row>
    <row r="5285" ht="15.75" customHeight="1">
      <c r="A5285" s="2">
        <v>10690.0</v>
      </c>
      <c r="B5285" s="2" t="s">
        <v>1919</v>
      </c>
      <c r="C5285" s="2" t="s">
        <v>10632</v>
      </c>
      <c r="D5285" s="2" t="s">
        <v>10633</v>
      </c>
      <c r="E5285" s="2" t="s">
        <v>301</v>
      </c>
      <c r="F5285" s="2">
        <v>7.0</v>
      </c>
      <c r="G5285" s="2">
        <v>500.0</v>
      </c>
      <c r="H5285" s="3" t="str">
        <f>HYPERLINK("http://www.linkedin.com/in/larrylandau","http://www.linkedin.com/in/larrylandau")</f>
        <v>http://www.linkedin.com/in/larrylandau</v>
      </c>
      <c r="I5285" s="2" t="s">
        <v>279</v>
      </c>
      <c r="J5285" s="2" t="s">
        <v>102</v>
      </c>
      <c r="K5285" s="2" t="s">
        <v>10206</v>
      </c>
    </row>
    <row r="5286" ht="15.75" customHeight="1">
      <c r="A5286" s="2">
        <v>10717.0</v>
      </c>
      <c r="B5286" s="2" t="s">
        <v>4304</v>
      </c>
      <c r="C5286" s="2" t="s">
        <v>10634</v>
      </c>
      <c r="D5286" s="2" t="s">
        <v>10635</v>
      </c>
      <c r="E5286" s="2" t="s">
        <v>20</v>
      </c>
      <c r="F5286" s="2">
        <v>8.0</v>
      </c>
      <c r="G5286" s="2">
        <v>300.0</v>
      </c>
      <c r="H5286" s="3" t="str">
        <f>HYPERLINK("http://ar.linkedin.com/pub/leandro-reox/1A/864/817","http://ar.linkedin.com/pub/leandro-reox/1A/864/817")</f>
        <v>http://ar.linkedin.com/pub/leandro-reox/1A/864/817</v>
      </c>
      <c r="I5286" s="2" t="s">
        <v>69</v>
      </c>
      <c r="J5286" s="2" t="s">
        <v>21</v>
      </c>
      <c r="K5286" s="2" t="s">
        <v>10196</v>
      </c>
    </row>
    <row r="5287" ht="15.75" customHeight="1">
      <c r="A5287" s="2">
        <v>10724.0</v>
      </c>
      <c r="B5287" s="2" t="s">
        <v>2567</v>
      </c>
      <c r="C5287" s="2" t="s">
        <v>10636</v>
      </c>
      <c r="D5287" s="2" t="s">
        <v>10637</v>
      </c>
      <c r="E5287" s="2" t="s">
        <v>166</v>
      </c>
      <c r="F5287" s="2">
        <v>11.0</v>
      </c>
      <c r="G5287" s="2">
        <v>265.0</v>
      </c>
      <c r="H5287" s="3" t="str">
        <f>HYPERLINK("http://www.linkedin.com/in/ccanevit","http://www.linkedin.com/in/ccanevit")</f>
        <v>http://www.linkedin.com/in/ccanevit</v>
      </c>
      <c r="I5287" s="2" t="s">
        <v>77</v>
      </c>
      <c r="J5287" s="2" t="s">
        <v>102</v>
      </c>
      <c r="K5287" s="2" t="s">
        <v>10638</v>
      </c>
    </row>
    <row r="5288" ht="15.75" customHeight="1">
      <c r="A5288" s="2">
        <v>10765.0</v>
      </c>
      <c r="B5288" s="2" t="s">
        <v>362</v>
      </c>
      <c r="C5288" s="2" t="s">
        <v>10639</v>
      </c>
      <c r="D5288" s="2" t="s">
        <v>10640</v>
      </c>
      <c r="E5288" s="2" t="s">
        <v>20</v>
      </c>
      <c r="F5288" s="2">
        <v>13.0</v>
      </c>
      <c r="G5288" s="2">
        <v>374.0</v>
      </c>
      <c r="H5288" s="3" t="str">
        <f>HYPERLINK("http://ar.linkedin.com/in/javiermonzon","http://ar.linkedin.com/in/javiermonzon")</f>
        <v>http://ar.linkedin.com/in/javiermonzon</v>
      </c>
      <c r="I5288" s="2" t="s">
        <v>15</v>
      </c>
      <c r="J5288" s="2" t="s">
        <v>21</v>
      </c>
      <c r="K5288" s="2" t="s">
        <v>10178</v>
      </c>
    </row>
    <row r="5289" ht="15.75" customHeight="1">
      <c r="A5289" s="2">
        <v>10769.0</v>
      </c>
      <c r="B5289" s="2" t="s">
        <v>6783</v>
      </c>
      <c r="C5289" s="2" t="s">
        <v>8476</v>
      </c>
      <c r="D5289" s="2" t="s">
        <v>10641</v>
      </c>
      <c r="E5289" s="2" t="s">
        <v>491</v>
      </c>
      <c r="F5289" s="2">
        <v>1.0</v>
      </c>
      <c r="G5289" s="2">
        <v>262.0</v>
      </c>
      <c r="H5289" s="3" t="str">
        <f>HYPERLINK("http://ar.linkedin.com/pub/silvana-garrido/2A/5A8/817","http://ar.linkedin.com/pub/silvana-garrido/2A/5A8/817")</f>
        <v>http://ar.linkedin.com/pub/silvana-garrido/2A/5A8/817</v>
      </c>
      <c r="I5289" s="2" t="s">
        <v>15</v>
      </c>
      <c r="J5289" s="2" t="s">
        <v>220</v>
      </c>
      <c r="K5289" s="2" t="s">
        <v>10206</v>
      </c>
    </row>
    <row r="5290" ht="15.75" customHeight="1">
      <c r="A5290" s="2">
        <v>10783.0</v>
      </c>
      <c r="B5290" s="2" t="s">
        <v>3059</v>
      </c>
      <c r="C5290" s="2" t="s">
        <v>6196</v>
      </c>
      <c r="D5290" s="2" t="s">
        <v>1865</v>
      </c>
      <c r="E5290" s="2" t="s">
        <v>20</v>
      </c>
      <c r="F5290" s="2">
        <v>0.0</v>
      </c>
      <c r="G5290" s="2">
        <v>219.0</v>
      </c>
      <c r="H5290" s="3" t="str">
        <f>HYPERLINK("http://ar.linkedin.com/pub/isabel-acevedo/4/75/86","http://ar.linkedin.com/pub/isabel-acevedo/4/75/86")</f>
        <v>http://ar.linkedin.com/pub/isabel-acevedo/4/75/86</v>
      </c>
      <c r="I5290" s="2" t="s">
        <v>15</v>
      </c>
      <c r="J5290" s="2" t="s">
        <v>21</v>
      </c>
      <c r="K5290" s="2" t="s">
        <v>10173</v>
      </c>
    </row>
    <row r="5291" ht="15.75" customHeight="1">
      <c r="A5291" s="2">
        <v>10808.0</v>
      </c>
      <c r="B5291" s="2" t="s">
        <v>1499</v>
      </c>
      <c r="C5291" s="2" t="s">
        <v>10642</v>
      </c>
      <c r="D5291" s="2" t="s">
        <v>10643</v>
      </c>
      <c r="E5291" s="2" t="s">
        <v>20</v>
      </c>
      <c r="F5291" s="2">
        <v>2.0</v>
      </c>
      <c r="G5291" s="2">
        <v>288.0</v>
      </c>
      <c r="H5291" s="3" t="str">
        <f>HYPERLINK("http://ar.linkedin.com/in/adriankogutek","http://ar.linkedin.com/in/adriankogutek")</f>
        <v>http://ar.linkedin.com/in/adriankogutek</v>
      </c>
      <c r="I5291" s="2" t="s">
        <v>48</v>
      </c>
      <c r="J5291" s="2" t="s">
        <v>21</v>
      </c>
      <c r="K5291" s="2" t="s">
        <v>10196</v>
      </c>
    </row>
    <row r="5292" ht="15.75" customHeight="1">
      <c r="A5292" s="2">
        <v>10828.0</v>
      </c>
      <c r="B5292" s="2" t="s">
        <v>5803</v>
      </c>
      <c r="C5292" s="2" t="s">
        <v>8364</v>
      </c>
      <c r="D5292" s="2" t="s">
        <v>10644</v>
      </c>
      <c r="E5292" s="2" t="s">
        <v>20</v>
      </c>
      <c r="F5292" s="2">
        <v>2.0</v>
      </c>
      <c r="G5292" s="2">
        <v>198.0</v>
      </c>
      <c r="H5292" s="3" t="str">
        <f>HYPERLINK("http://ar.linkedin.com/pub/mariano-bianco/21/608/214","http://ar.linkedin.com/pub/mariano-bianco/21/608/214")</f>
        <v>http://ar.linkedin.com/pub/mariano-bianco/21/608/214</v>
      </c>
      <c r="I5292" s="2" t="s">
        <v>15</v>
      </c>
      <c r="J5292" s="2" t="s">
        <v>21</v>
      </c>
      <c r="K5292" s="2" t="s">
        <v>10196</v>
      </c>
    </row>
    <row r="5293" ht="15.75" customHeight="1">
      <c r="A5293" s="2">
        <v>10836.0</v>
      </c>
      <c r="B5293" s="2" t="s">
        <v>18</v>
      </c>
      <c r="C5293" s="2" t="s">
        <v>10645</v>
      </c>
      <c r="D5293" s="2" t="s">
        <v>10646</v>
      </c>
      <c r="E5293" s="2" t="s">
        <v>1190</v>
      </c>
      <c r="F5293" s="2">
        <v>0.0</v>
      </c>
      <c r="G5293" s="2">
        <v>500.0</v>
      </c>
      <c r="H5293" s="3" t="str">
        <f>HYPERLINK("http://www.linkedin.com/pub/mauricio-lorenzetti/3/828/254","http://www.linkedin.com/pub/mauricio-lorenzetti/3/828/254")</f>
        <v>http://www.linkedin.com/pub/mauricio-lorenzetti/3/828/254</v>
      </c>
      <c r="I5293" s="2" t="s">
        <v>279</v>
      </c>
      <c r="J5293" s="2" t="s">
        <v>102</v>
      </c>
      <c r="K5293" s="2" t="s">
        <v>10187</v>
      </c>
    </row>
    <row r="5294" ht="15.75" customHeight="1">
      <c r="A5294" s="2">
        <v>10864.0</v>
      </c>
      <c r="B5294" s="2" t="s">
        <v>10647</v>
      </c>
      <c r="C5294" s="2" t="s">
        <v>10648</v>
      </c>
      <c r="D5294" s="2" t="s">
        <v>10649</v>
      </c>
      <c r="E5294" s="2" t="s">
        <v>20</v>
      </c>
      <c r="F5294" s="2">
        <v>3.0</v>
      </c>
      <c r="G5294" s="2">
        <v>453.0</v>
      </c>
      <c r="H5294" s="3" t="str">
        <f>HYPERLINK("http://ar.linkedin.com/pub/marcelo-alejandro-portela/24/491/313","http://ar.linkedin.com/pub/marcelo-alejandro-portela/24/491/313")</f>
        <v>http://ar.linkedin.com/pub/marcelo-alejandro-portela/24/491/313</v>
      </c>
      <c r="I5294" s="2" t="s">
        <v>15</v>
      </c>
      <c r="J5294" s="2" t="s">
        <v>21</v>
      </c>
      <c r="K5294" s="2" t="s">
        <v>10196</v>
      </c>
    </row>
    <row r="5295" ht="15.75" customHeight="1">
      <c r="A5295" s="2">
        <v>10939.0</v>
      </c>
      <c r="B5295" s="2" t="s">
        <v>5723</v>
      </c>
      <c r="C5295" s="2" t="s">
        <v>6207</v>
      </c>
      <c r="D5295" s="2" t="s">
        <v>5790</v>
      </c>
      <c r="E5295" s="2" t="s">
        <v>155</v>
      </c>
      <c r="F5295" s="2">
        <v>3.0</v>
      </c>
      <c r="G5295" s="2">
        <v>500.0</v>
      </c>
      <c r="H5295" s="3" t="str">
        <f>HYPERLINK("http://www.linkedin.com/in/pablonalvarez","http://www.linkedin.com/in/pablonalvarez")</f>
        <v>http://www.linkedin.com/in/pablonalvarez</v>
      </c>
      <c r="I5295" s="2" t="s">
        <v>69</v>
      </c>
      <c r="J5295" s="2" t="s">
        <v>102</v>
      </c>
      <c r="K5295" s="2" t="s">
        <v>10650</v>
      </c>
    </row>
    <row r="5296" ht="15.75" customHeight="1">
      <c r="A5296" s="2">
        <v>10977.0</v>
      </c>
      <c r="B5296" s="2" t="s">
        <v>4304</v>
      </c>
      <c r="C5296" s="2" t="s">
        <v>10651</v>
      </c>
      <c r="D5296" s="2" t="s">
        <v>10652</v>
      </c>
      <c r="E5296" s="2" t="s">
        <v>1190</v>
      </c>
      <c r="F5296" s="2">
        <v>4.0</v>
      </c>
      <c r="G5296" s="2">
        <v>363.0</v>
      </c>
      <c r="H5296" s="3" t="str">
        <f>HYPERLINK("http://www.linkedin.com/pub/leandro-lozada/0/2B6/383","http://www.linkedin.com/pub/leandro-lozada/0/2B6/383")</f>
        <v>http://www.linkedin.com/pub/leandro-lozada/0/2B6/383</v>
      </c>
      <c r="I5296" s="2" t="s">
        <v>48</v>
      </c>
      <c r="J5296" s="2" t="s">
        <v>102</v>
      </c>
      <c r="K5296" s="2" t="s">
        <v>10184</v>
      </c>
    </row>
    <row r="5297" ht="15.75" customHeight="1">
      <c r="A5297" s="2">
        <v>11023.0</v>
      </c>
      <c r="B5297" s="2" t="s">
        <v>353</v>
      </c>
      <c r="C5297" s="2" t="s">
        <v>10653</v>
      </c>
      <c r="D5297" s="2" t="s">
        <v>10654</v>
      </c>
      <c r="E5297" s="2" t="s">
        <v>20</v>
      </c>
      <c r="F5297" s="2">
        <v>3.0</v>
      </c>
      <c r="G5297" s="2">
        <v>500.0</v>
      </c>
      <c r="H5297" s="3" t="str">
        <f>HYPERLINK("http://ar.linkedin.com/in/alejandropapuzynski","http://ar.linkedin.com/in/alejandropapuzynski")</f>
        <v>http://ar.linkedin.com/in/alejandropapuzynski</v>
      </c>
      <c r="I5297" s="2" t="s">
        <v>48</v>
      </c>
      <c r="J5297" s="2" t="s">
        <v>21</v>
      </c>
      <c r="K5297" s="2" t="s">
        <v>10196</v>
      </c>
    </row>
    <row r="5298" ht="15.75" customHeight="1">
      <c r="A5298" s="2">
        <v>11026.0</v>
      </c>
      <c r="B5298" s="2" t="s">
        <v>637</v>
      </c>
      <c r="C5298" s="2" t="s">
        <v>6600</v>
      </c>
      <c r="D5298" s="2" t="s">
        <v>10655</v>
      </c>
      <c r="E5298" s="2" t="s">
        <v>20</v>
      </c>
      <c r="F5298" s="2">
        <v>3.0</v>
      </c>
      <c r="G5298" s="2">
        <v>500.0</v>
      </c>
      <c r="H5298" s="3" t="str">
        <f>HYPERLINK("http://ar.linkedin.com/pub/leonardo-flores/B/483/85","http://ar.linkedin.com/pub/leonardo-flores/B/483/85")</f>
        <v>http://ar.linkedin.com/pub/leonardo-flores/B/483/85</v>
      </c>
      <c r="I5298" s="2" t="s">
        <v>48</v>
      </c>
      <c r="J5298" s="2" t="s">
        <v>21</v>
      </c>
      <c r="K5298" s="2" t="s">
        <v>10196</v>
      </c>
    </row>
    <row r="5299" ht="15.75" customHeight="1">
      <c r="A5299" s="2">
        <v>11102.0</v>
      </c>
      <c r="B5299" s="2" t="s">
        <v>10656</v>
      </c>
      <c r="C5299" s="2" t="s">
        <v>10657</v>
      </c>
      <c r="D5299" s="2" t="s">
        <v>2274</v>
      </c>
      <c r="E5299" s="2" t="s">
        <v>10658</v>
      </c>
      <c r="F5299" s="2">
        <v>7.0</v>
      </c>
      <c r="G5299" s="2">
        <v>314.0</v>
      </c>
      <c r="H5299" s="3" t="str">
        <f>HYPERLINK("http://www.linkedin.com/pub/anoush-farhangi/5/647/A9B","http://www.linkedin.com/pub/anoush-farhangi/5/647/A9B")</f>
        <v>http://www.linkedin.com/pub/anoush-farhangi/5/647/A9B</v>
      </c>
      <c r="I5299" s="2" t="s">
        <v>696</v>
      </c>
      <c r="J5299" s="2" t="s">
        <v>102</v>
      </c>
      <c r="K5299" s="2" t="s">
        <v>10384</v>
      </c>
    </row>
    <row r="5300" ht="15.75" customHeight="1">
      <c r="A5300" s="2">
        <v>11113.0</v>
      </c>
      <c r="B5300" s="2" t="s">
        <v>677</v>
      </c>
      <c r="C5300" s="2" t="s">
        <v>10659</v>
      </c>
      <c r="D5300" s="2" t="s">
        <v>10660</v>
      </c>
      <c r="E5300" s="2" t="s">
        <v>20</v>
      </c>
      <c r="F5300" s="2">
        <v>3.0</v>
      </c>
      <c r="G5300" s="2">
        <v>500.0</v>
      </c>
      <c r="H5300" s="3" t="str">
        <f>HYPERLINK("http://www.linkedin.com/pub/daniel-bianchin/7/93a/bb0","http://www.linkedin.com/pub/daniel-bianchin/7/93a/bb0")</f>
        <v>http://www.linkedin.com/pub/daniel-bianchin/7/93a/bb0</v>
      </c>
      <c r="I5300" s="2" t="s">
        <v>48</v>
      </c>
      <c r="J5300" s="2" t="s">
        <v>21</v>
      </c>
      <c r="K5300" s="2" t="s">
        <v>10196</v>
      </c>
    </row>
    <row r="5301" ht="15.75" customHeight="1">
      <c r="A5301" s="2">
        <v>11115.0</v>
      </c>
      <c r="B5301" s="2" t="s">
        <v>671</v>
      </c>
      <c r="C5301" s="2" t="s">
        <v>10661</v>
      </c>
      <c r="D5301" s="2" t="s">
        <v>13</v>
      </c>
      <c r="E5301" s="2" t="s">
        <v>20</v>
      </c>
      <c r="F5301" s="2">
        <v>2.0</v>
      </c>
      <c r="G5301" s="2">
        <v>500.0</v>
      </c>
      <c r="H5301" s="3" t="str">
        <f>HYPERLINK("http://www.linkedin.com/pub/mariana-rodr%C3%ADguez-iglesias/14/369/348","http://www.linkedin.com/pub/mariana-rodr%C3%ADguez-iglesias/14/369/348")</f>
        <v>http://www.linkedin.com/pub/mariana-rodr%C3%ADguez-iglesias/14/369/348</v>
      </c>
      <c r="I5301" s="2" t="s">
        <v>1259</v>
      </c>
      <c r="J5301" s="2" t="s">
        <v>21</v>
      </c>
      <c r="K5301" s="2" t="s">
        <v>10187</v>
      </c>
    </row>
    <row r="5302" ht="15.75" customHeight="1">
      <c r="A5302" s="2">
        <v>11123.0</v>
      </c>
      <c r="B5302" s="2" t="s">
        <v>6467</v>
      </c>
      <c r="C5302" s="2" t="s">
        <v>10662</v>
      </c>
      <c r="D5302" s="2" t="s">
        <v>10663</v>
      </c>
      <c r="E5302" s="2" t="s">
        <v>136</v>
      </c>
      <c r="F5302" s="2">
        <v>11.0</v>
      </c>
      <c r="G5302" s="2">
        <v>500.0</v>
      </c>
      <c r="H5302" s="3" t="str">
        <f>HYPERLINK("http://www.linkedin.com/in/florenciapettigrewprada","http://www.linkedin.com/in/florenciapettigrewprada")</f>
        <v>http://www.linkedin.com/in/florenciapettigrewprada</v>
      </c>
      <c r="I5302" s="2" t="s">
        <v>4132</v>
      </c>
      <c r="J5302" s="2" t="s">
        <v>102</v>
      </c>
      <c r="K5302" s="2" t="s">
        <v>10206</v>
      </c>
    </row>
    <row r="5303" ht="15.75" customHeight="1">
      <c r="A5303" s="2">
        <v>11128.0</v>
      </c>
      <c r="B5303" s="2" t="s">
        <v>1545</v>
      </c>
      <c r="C5303" s="2" t="s">
        <v>10664</v>
      </c>
      <c r="D5303" s="2" t="s">
        <v>13</v>
      </c>
      <c r="E5303" s="2" t="s">
        <v>136</v>
      </c>
      <c r="F5303" s="2">
        <v>0.0</v>
      </c>
      <c r="G5303" s="2">
        <v>500.0</v>
      </c>
      <c r="H5303" s="3" t="str">
        <f>HYPERLINK("http://www.linkedin.com/in/chanezon","http://www.linkedin.com/in/chanezon")</f>
        <v>http://www.linkedin.com/in/chanezon</v>
      </c>
      <c r="I5303" s="2" t="s">
        <v>48</v>
      </c>
      <c r="J5303" s="2" t="s">
        <v>102</v>
      </c>
      <c r="K5303" s="2" t="s">
        <v>10245</v>
      </c>
    </row>
    <row r="5304" ht="15.75" customHeight="1">
      <c r="A5304" s="2">
        <v>11131.0</v>
      </c>
      <c r="B5304" s="2" t="s">
        <v>221</v>
      </c>
      <c r="C5304" s="2" t="s">
        <v>10665</v>
      </c>
      <c r="D5304" s="2" t="s">
        <v>10666</v>
      </c>
      <c r="E5304" s="2" t="s">
        <v>301</v>
      </c>
      <c r="F5304" s="2">
        <v>3.0</v>
      </c>
      <c r="G5304" s="2">
        <v>309.0</v>
      </c>
      <c r="H5304" s="3" t="str">
        <f>HYPERLINK("http://www.linkedin.com/pub/miguel-ravina/2/17/146","http://www.linkedin.com/pub/miguel-ravina/2/17/146")</f>
        <v>http://www.linkedin.com/pub/miguel-ravina/2/17/146</v>
      </c>
      <c r="I5304" s="2" t="s">
        <v>279</v>
      </c>
      <c r="J5304" s="2" t="s">
        <v>102</v>
      </c>
      <c r="K5304" s="2" t="s">
        <v>10206</v>
      </c>
    </row>
    <row r="5305" ht="15.75" customHeight="1">
      <c r="A5305" s="2">
        <v>11134.0</v>
      </c>
      <c r="B5305" s="2" t="s">
        <v>1767</v>
      </c>
      <c r="C5305" s="2" t="s">
        <v>2027</v>
      </c>
      <c r="D5305" s="2" t="s">
        <v>10667</v>
      </c>
      <c r="E5305" s="2" t="s">
        <v>301</v>
      </c>
      <c r="F5305" s="2">
        <v>23.0</v>
      </c>
      <c r="G5305" s="2">
        <v>371.0</v>
      </c>
      <c r="H5305" s="3" t="str">
        <f>HYPERLINK("http://www.linkedin.com/in/erikdillon","http://www.linkedin.com/in/erikdillon")</f>
        <v>http://www.linkedin.com/in/erikdillon</v>
      </c>
      <c r="I5305" s="2" t="s">
        <v>873</v>
      </c>
      <c r="J5305" s="2" t="s">
        <v>102</v>
      </c>
      <c r="K5305" s="2" t="s">
        <v>10206</v>
      </c>
    </row>
    <row r="5306" ht="15.75" customHeight="1">
      <c r="A5306" s="2">
        <v>11146.0</v>
      </c>
      <c r="B5306" s="2" t="s">
        <v>358</v>
      </c>
      <c r="C5306" s="2" t="s">
        <v>10668</v>
      </c>
      <c r="D5306" s="2" t="s">
        <v>118</v>
      </c>
      <c r="E5306" s="2" t="s">
        <v>20</v>
      </c>
      <c r="F5306" s="2">
        <v>2.0</v>
      </c>
      <c r="G5306" s="2">
        <v>500.0</v>
      </c>
      <c r="H5306" s="3" t="str">
        <f>HYPERLINK("http://ar.linkedin.com/pub/marcelo-grisafi/4/A2/6A6","http://ar.linkedin.com/pub/marcelo-grisafi/4/A2/6A6")</f>
        <v>http://ar.linkedin.com/pub/marcelo-grisafi/4/A2/6A6</v>
      </c>
      <c r="I5306" s="2" t="s">
        <v>279</v>
      </c>
      <c r="J5306" s="2" t="s">
        <v>21</v>
      </c>
      <c r="K5306" s="2" t="s">
        <v>10206</v>
      </c>
    </row>
    <row r="5307" ht="15.75" customHeight="1">
      <c r="A5307" s="2">
        <v>11156.0</v>
      </c>
      <c r="B5307" s="2" t="s">
        <v>492</v>
      </c>
      <c r="C5307" s="2" t="s">
        <v>10669</v>
      </c>
      <c r="D5307" s="2" t="s">
        <v>10670</v>
      </c>
      <c r="E5307" s="2" t="s">
        <v>914</v>
      </c>
      <c r="F5307" s="2">
        <v>15.0</v>
      </c>
      <c r="G5307" s="2">
        <v>500.0</v>
      </c>
      <c r="H5307" s="3" t="str">
        <f>HYPERLINK("http://www.linkedin.com/in/klarreich","http://www.linkedin.com/in/klarreich")</f>
        <v>http://www.linkedin.com/in/klarreich</v>
      </c>
      <c r="I5307" s="2" t="s">
        <v>48</v>
      </c>
      <c r="J5307" s="2" t="s">
        <v>102</v>
      </c>
      <c r="K5307" s="2" t="s">
        <v>10343</v>
      </c>
    </row>
    <row r="5308" ht="15.75" customHeight="1">
      <c r="A5308" s="2">
        <v>11161.0</v>
      </c>
      <c r="B5308" s="2" t="s">
        <v>3550</v>
      </c>
      <c r="C5308" s="2" t="s">
        <v>10671</v>
      </c>
      <c r="D5308" s="2" t="s">
        <v>10672</v>
      </c>
      <c r="E5308" s="2" t="s">
        <v>1190</v>
      </c>
      <c r="F5308" s="2">
        <v>7.0</v>
      </c>
      <c r="G5308" s="2">
        <v>500.0</v>
      </c>
      <c r="H5308" s="3" t="str">
        <f>HYPERLINK("http://www.linkedin.com/pub/nicolas-severino/0/315/31B","http://www.linkedin.com/pub/nicolas-severino/0/315/31B")</f>
        <v>http://www.linkedin.com/pub/nicolas-severino/0/315/31B</v>
      </c>
      <c r="I5308" s="2" t="s">
        <v>15</v>
      </c>
      <c r="J5308" s="2" t="s">
        <v>102</v>
      </c>
      <c r="K5308" s="2" t="s">
        <v>10233</v>
      </c>
    </row>
    <row r="5309" ht="15.75" customHeight="1">
      <c r="A5309" s="2">
        <v>11182.0</v>
      </c>
      <c r="B5309" s="2" t="s">
        <v>703</v>
      </c>
      <c r="C5309" s="2" t="s">
        <v>10673</v>
      </c>
      <c r="D5309" s="2" t="s">
        <v>841</v>
      </c>
      <c r="E5309" s="2" t="s">
        <v>20</v>
      </c>
      <c r="F5309" s="2">
        <v>0.0</v>
      </c>
      <c r="G5309" s="2">
        <v>329.0</v>
      </c>
      <c r="H5309" s="3" t="str">
        <f>HYPERLINK("http://ar.linkedin.com/pub/rafael-garcia-gonzalez/A/77A/931","http://ar.linkedin.com/pub/rafael-garcia-gonzalez/A/77A/931")</f>
        <v>http://ar.linkedin.com/pub/rafael-garcia-gonzalez/A/77A/931</v>
      </c>
      <c r="I5309" s="2" t="s">
        <v>252</v>
      </c>
      <c r="J5309" s="2" t="s">
        <v>21</v>
      </c>
      <c r="K5309" s="2" t="s">
        <v>10674</v>
      </c>
    </row>
    <row r="5310" ht="15.75" customHeight="1">
      <c r="A5310" s="2">
        <v>11208.0</v>
      </c>
      <c r="B5310" s="2" t="s">
        <v>1919</v>
      </c>
      <c r="C5310" s="2" t="s">
        <v>10458</v>
      </c>
      <c r="D5310" s="2"/>
      <c r="E5310" s="2" t="s">
        <v>2058</v>
      </c>
      <c r="F5310" s="2">
        <v>18.0</v>
      </c>
      <c r="G5310" s="2">
        <v>500.0</v>
      </c>
      <c r="H5310" s="3" t="str">
        <f>HYPERLINK("http://www.linkedin.com/pub/larry-schott/1/7A0/142","http://www.linkedin.com/pub/larry-schott/1/7A0/142")</f>
        <v>http://www.linkedin.com/pub/larry-schott/1/7A0/142</v>
      </c>
      <c r="I5310" s="2" t="s">
        <v>105</v>
      </c>
      <c r="J5310" s="2" t="s">
        <v>102</v>
      </c>
      <c r="K5310" s="2" t="s">
        <v>10209</v>
      </c>
    </row>
    <row r="5311" ht="15.75" customHeight="1">
      <c r="A5311" s="2">
        <v>11239.0</v>
      </c>
      <c r="B5311" s="2" t="s">
        <v>10675</v>
      </c>
      <c r="C5311" s="2" t="s">
        <v>10676</v>
      </c>
      <c r="D5311" s="2" t="s">
        <v>10677</v>
      </c>
      <c r="E5311" s="2" t="s">
        <v>136</v>
      </c>
      <c r="F5311" s="2">
        <v>2.0</v>
      </c>
      <c r="G5311" s="2">
        <v>288.0</v>
      </c>
      <c r="H5311" s="3" t="str">
        <f>HYPERLINK("http://www.linkedin.com/in/seanimler","http://www.linkedin.com/in/seanimler")</f>
        <v>http://www.linkedin.com/in/seanimler</v>
      </c>
      <c r="I5311" s="2" t="s">
        <v>27</v>
      </c>
      <c r="J5311" s="2" t="s">
        <v>102</v>
      </c>
      <c r="K5311" s="2" t="s">
        <v>10206</v>
      </c>
    </row>
    <row r="5312" ht="15.75" customHeight="1">
      <c r="A5312" s="2">
        <v>11244.0</v>
      </c>
      <c r="B5312" s="2" t="s">
        <v>5791</v>
      </c>
      <c r="C5312" s="2" t="s">
        <v>10678</v>
      </c>
      <c r="D5312" s="2" t="s">
        <v>13</v>
      </c>
      <c r="E5312" s="2" t="s">
        <v>20</v>
      </c>
      <c r="F5312" s="2">
        <v>0.0</v>
      </c>
      <c r="G5312" s="2">
        <v>500.0</v>
      </c>
      <c r="H5312" s="3" t="str">
        <f>HYPERLINK("http://ar.linkedin.com/in/matiasgavino","http://ar.linkedin.com/in/matiasgavino")</f>
        <v>http://ar.linkedin.com/in/matiasgavino</v>
      </c>
      <c r="I5312" s="2" t="s">
        <v>69</v>
      </c>
      <c r="J5312" s="2" t="s">
        <v>21</v>
      </c>
      <c r="K5312" s="2" t="s">
        <v>10173</v>
      </c>
    </row>
    <row r="5313" ht="15.75" customHeight="1">
      <c r="A5313" s="2">
        <v>11248.0</v>
      </c>
      <c r="B5313" s="2" t="s">
        <v>193</v>
      </c>
      <c r="C5313" s="2" t="s">
        <v>10679</v>
      </c>
      <c r="D5313" s="2" t="s">
        <v>42</v>
      </c>
      <c r="E5313" s="2" t="s">
        <v>20</v>
      </c>
      <c r="F5313" s="2">
        <v>3.0</v>
      </c>
      <c r="G5313" s="2">
        <v>88.0</v>
      </c>
      <c r="H5313" s="3" t="str">
        <f>HYPERLINK("http://ar.linkedin.com/in/guillermobeviacqua","http://ar.linkedin.com/in/guillermobeviacqua")</f>
        <v>http://ar.linkedin.com/in/guillermobeviacqua</v>
      </c>
      <c r="I5313" s="2" t="s">
        <v>69</v>
      </c>
      <c r="J5313" s="2" t="s">
        <v>21</v>
      </c>
      <c r="K5313" s="2" t="s">
        <v>10196</v>
      </c>
    </row>
    <row r="5314" ht="15.75" customHeight="1">
      <c r="A5314" s="2">
        <v>11251.0</v>
      </c>
      <c r="B5314" s="2" t="s">
        <v>6870</v>
      </c>
      <c r="C5314" s="2" t="s">
        <v>10680</v>
      </c>
      <c r="D5314" s="2" t="s">
        <v>10681</v>
      </c>
      <c r="E5314" s="2" t="s">
        <v>20</v>
      </c>
      <c r="F5314" s="2">
        <v>2.0</v>
      </c>
      <c r="G5314" s="2">
        <v>283.0</v>
      </c>
      <c r="H5314" s="3" t="str">
        <f>HYPERLINK("http://ar.linkedin.com/in/melinamarich","http://ar.linkedin.com/in/melinamarich")</f>
        <v>http://ar.linkedin.com/in/melinamarich</v>
      </c>
      <c r="I5314" s="2" t="s">
        <v>48</v>
      </c>
      <c r="J5314" s="2" t="s">
        <v>21</v>
      </c>
      <c r="K5314" s="2" t="s">
        <v>10196</v>
      </c>
    </row>
    <row r="5315" ht="15.75" customHeight="1">
      <c r="A5315" s="2">
        <v>11262.0</v>
      </c>
      <c r="B5315" s="2" t="s">
        <v>3036</v>
      </c>
      <c r="C5315" s="2" t="s">
        <v>2549</v>
      </c>
      <c r="D5315" s="2" t="s">
        <v>10682</v>
      </c>
      <c r="E5315" s="2" t="s">
        <v>136</v>
      </c>
      <c r="F5315" s="2">
        <v>11.0</v>
      </c>
      <c r="G5315" s="2">
        <v>500.0</v>
      </c>
      <c r="H5315" s="3" t="str">
        <f>HYPERLINK("http://www.linkedin.com/in/saraohearn","http://www.linkedin.com/in/saraohearn")</f>
        <v>http://www.linkedin.com/in/saraohearn</v>
      </c>
      <c r="I5315" s="2" t="s">
        <v>48</v>
      </c>
      <c r="J5315" s="2" t="s">
        <v>102</v>
      </c>
      <c r="K5315" s="2" t="s">
        <v>10245</v>
      </c>
    </row>
    <row r="5316" ht="15.75" customHeight="1">
      <c r="A5316" s="2">
        <v>11264.0</v>
      </c>
      <c r="B5316" s="2" t="s">
        <v>866</v>
      </c>
      <c r="C5316" s="2" t="s">
        <v>3955</v>
      </c>
      <c r="D5316" s="2"/>
      <c r="E5316" s="2" t="s">
        <v>914</v>
      </c>
      <c r="F5316" s="2">
        <v>1.0</v>
      </c>
      <c r="G5316" s="2">
        <v>421.0</v>
      </c>
      <c r="H5316" s="3" t="str">
        <f>HYPERLINK("http://www.linkedin.com/pub/nicole-shaw/3/4B8/435","http://www.linkedin.com/pub/nicole-shaw/3/4B8/435")</f>
        <v>http://www.linkedin.com/pub/nicole-shaw/3/4B8/435</v>
      </c>
      <c r="I5316" s="2" t="s">
        <v>48</v>
      </c>
      <c r="J5316" s="2" t="s">
        <v>102</v>
      </c>
      <c r="K5316" s="2" t="s">
        <v>10184</v>
      </c>
    </row>
    <row r="5317" ht="15.75" customHeight="1">
      <c r="A5317" s="2">
        <v>11267.0</v>
      </c>
      <c r="B5317" s="2" t="s">
        <v>1422</v>
      </c>
      <c r="C5317" s="2" t="s">
        <v>10683</v>
      </c>
      <c r="D5317" s="2" t="s">
        <v>10684</v>
      </c>
      <c r="E5317" s="2" t="s">
        <v>914</v>
      </c>
      <c r="F5317" s="2">
        <v>3.0</v>
      </c>
      <c r="G5317" s="2">
        <v>500.0</v>
      </c>
      <c r="H5317" s="3" t="str">
        <f>HYPERLINK("http://www.linkedin.com/in/roniburd","http://www.linkedin.com/in/roniburd")</f>
        <v>http://www.linkedin.com/in/roniburd</v>
      </c>
      <c r="I5317" s="2" t="s">
        <v>48</v>
      </c>
      <c r="J5317" s="2" t="s">
        <v>102</v>
      </c>
      <c r="K5317" s="2" t="s">
        <v>10263</v>
      </c>
    </row>
    <row r="5318" ht="15.75" customHeight="1">
      <c r="A5318" s="2">
        <v>11334.0</v>
      </c>
      <c r="B5318" s="2" t="s">
        <v>10685</v>
      </c>
      <c r="C5318" s="2" t="s">
        <v>10686</v>
      </c>
      <c r="D5318" s="2"/>
      <c r="E5318" s="2" t="s">
        <v>2263</v>
      </c>
      <c r="F5318" s="2">
        <v>4.0</v>
      </c>
      <c r="G5318" s="2">
        <v>500.0</v>
      </c>
      <c r="H5318" s="3" t="str">
        <f>HYPERLINK("http://www.linkedin.com/pub/vladimir-bronstein/0/13/570","http://www.linkedin.com/pub/vladimir-bronstein/0/13/570")</f>
        <v>http://www.linkedin.com/pub/vladimir-bronstein/0/13/570</v>
      </c>
      <c r="I5318" s="2" t="s">
        <v>77</v>
      </c>
      <c r="J5318" s="2" t="s">
        <v>102</v>
      </c>
      <c r="K5318" s="2" t="s">
        <v>10209</v>
      </c>
    </row>
    <row r="5319" ht="15.75" customHeight="1">
      <c r="A5319" s="2">
        <v>11339.0</v>
      </c>
      <c r="B5319" s="2" t="s">
        <v>10687</v>
      </c>
      <c r="C5319" s="2" t="s">
        <v>10688</v>
      </c>
      <c r="D5319" s="2" t="s">
        <v>10689</v>
      </c>
      <c r="E5319" s="2" t="s">
        <v>136</v>
      </c>
      <c r="F5319" s="2">
        <v>10.0</v>
      </c>
      <c r="G5319" s="2">
        <v>500.0</v>
      </c>
      <c r="H5319" s="3" t="str">
        <f>HYPERLINK("http://www.linkedin.com/pub/gershon-schatzberg/0/41/145","http://www.linkedin.com/pub/gershon-schatzberg/0/41/145")</f>
        <v>http://www.linkedin.com/pub/gershon-schatzberg/0/41/145</v>
      </c>
      <c r="I5319" s="2" t="s">
        <v>873</v>
      </c>
      <c r="J5319" s="2" t="s">
        <v>102</v>
      </c>
      <c r="K5319" s="2" t="s">
        <v>10206</v>
      </c>
    </row>
    <row r="5320" ht="15.75" customHeight="1">
      <c r="A5320" s="2">
        <v>11346.0</v>
      </c>
      <c r="B5320" s="2" t="s">
        <v>10690</v>
      </c>
      <c r="C5320" s="2" t="s">
        <v>10691</v>
      </c>
      <c r="D5320" s="2" t="s">
        <v>10692</v>
      </c>
      <c r="E5320" s="2" t="s">
        <v>325</v>
      </c>
      <c r="F5320" s="2">
        <v>4.0</v>
      </c>
      <c r="G5320" s="2">
        <v>296.0</v>
      </c>
      <c r="H5320" s="3" t="str">
        <f>HYPERLINK("http://www.linkedin.com/in/rsivan","http://www.linkedin.com/in/rsivan")</f>
        <v>http://www.linkedin.com/in/rsivan</v>
      </c>
      <c r="I5320" s="2" t="s">
        <v>48</v>
      </c>
      <c r="J5320" s="2" t="s">
        <v>102</v>
      </c>
      <c r="K5320" s="2" t="s">
        <v>10176</v>
      </c>
    </row>
    <row r="5321" ht="15.75" customHeight="1">
      <c r="A5321" s="2">
        <v>11358.0</v>
      </c>
      <c r="B5321" s="2" t="s">
        <v>10693</v>
      </c>
      <c r="C5321" s="2" t="s">
        <v>10694</v>
      </c>
      <c r="D5321" s="2" t="s">
        <v>10695</v>
      </c>
      <c r="E5321" s="2" t="s">
        <v>20</v>
      </c>
      <c r="F5321" s="2">
        <v>15.0</v>
      </c>
      <c r="G5321" s="2">
        <v>500.0</v>
      </c>
      <c r="H5321" s="3" t="str">
        <f>HYPERLINK("http://ar.linkedin.com/in/nathaliaheim","http://ar.linkedin.com/in/nathaliaheim")</f>
        <v>http://ar.linkedin.com/in/nathaliaheim</v>
      </c>
      <c r="I5321" s="2" t="s">
        <v>69</v>
      </c>
      <c r="J5321" s="2" t="s">
        <v>21</v>
      </c>
      <c r="K5321" s="2" t="s">
        <v>10196</v>
      </c>
    </row>
    <row r="5322" ht="15.75" customHeight="1">
      <c r="A5322" s="2">
        <v>11371.0</v>
      </c>
      <c r="B5322" s="2" t="s">
        <v>1032</v>
      </c>
      <c r="C5322" s="2" t="s">
        <v>10696</v>
      </c>
      <c r="D5322" s="2" t="s">
        <v>7152</v>
      </c>
      <c r="E5322" s="2" t="s">
        <v>1407</v>
      </c>
      <c r="F5322" s="2">
        <v>0.0</v>
      </c>
      <c r="G5322" s="2">
        <v>354.0</v>
      </c>
      <c r="H5322" s="3" t="str">
        <f>HYPERLINK("http://www.linkedin.com/pub/ravi-kolli/4/560/3B1","http://www.linkedin.com/pub/ravi-kolli/4/560/3B1")</f>
        <v>http://www.linkedin.com/pub/ravi-kolli/4/560/3B1</v>
      </c>
      <c r="I5322" s="2" t="s">
        <v>15</v>
      </c>
      <c r="J5322" s="2" t="s">
        <v>102</v>
      </c>
      <c r="K5322" s="2" t="s">
        <v>10371</v>
      </c>
    </row>
    <row r="5323" ht="15.75" customHeight="1">
      <c r="A5323" s="2">
        <v>11374.0</v>
      </c>
      <c r="B5323" s="2" t="s">
        <v>1015</v>
      </c>
      <c r="C5323" s="2" t="s">
        <v>10697</v>
      </c>
      <c r="D5323" s="2" t="s">
        <v>10698</v>
      </c>
      <c r="E5323" s="2" t="s">
        <v>1407</v>
      </c>
      <c r="F5323" s="2">
        <v>1.0</v>
      </c>
      <c r="G5323" s="2">
        <v>233.0</v>
      </c>
      <c r="H5323" s="3" t="str">
        <f>HYPERLINK("http://www.linkedin.com/pub/brian-mccloskey/1/A36/682","http://www.linkedin.com/pub/brian-mccloskey/1/A36/682")</f>
        <v>http://www.linkedin.com/pub/brian-mccloskey/1/A36/682</v>
      </c>
      <c r="I5323" s="2" t="s">
        <v>69</v>
      </c>
      <c r="J5323" s="2" t="s">
        <v>102</v>
      </c>
      <c r="K5323" s="2" t="s">
        <v>10176</v>
      </c>
    </row>
    <row r="5324" ht="15.75" customHeight="1">
      <c r="A5324" s="2">
        <v>11376.0</v>
      </c>
      <c r="B5324" s="2" t="s">
        <v>3282</v>
      </c>
      <c r="C5324" s="2" t="s">
        <v>10699</v>
      </c>
      <c r="D5324" s="2" t="s">
        <v>10700</v>
      </c>
      <c r="E5324" s="2" t="s">
        <v>1407</v>
      </c>
      <c r="F5324" s="2">
        <v>0.0</v>
      </c>
      <c r="G5324" s="2">
        <v>288.0</v>
      </c>
      <c r="H5324" s="3" t="str">
        <f>HYPERLINK("http://www.linkedin.com/in/ananthkamath","http://www.linkedin.com/in/ananthkamath")</f>
        <v>http://www.linkedin.com/in/ananthkamath</v>
      </c>
      <c r="I5324" s="2" t="s">
        <v>15</v>
      </c>
      <c r="J5324" s="2" t="s">
        <v>102</v>
      </c>
      <c r="K5324" s="2" t="s">
        <v>10184</v>
      </c>
    </row>
    <row r="5325" ht="15.75" customHeight="1">
      <c r="A5325" s="2">
        <v>11377.0</v>
      </c>
      <c r="B5325" s="2" t="s">
        <v>5763</v>
      </c>
      <c r="C5325" s="2" t="s">
        <v>10701</v>
      </c>
      <c r="D5325" s="2" t="s">
        <v>13</v>
      </c>
      <c r="E5325" s="2" t="s">
        <v>20</v>
      </c>
      <c r="F5325" s="2">
        <v>12.0</v>
      </c>
      <c r="G5325" s="2">
        <v>321.0</v>
      </c>
      <c r="H5325" s="3" t="str">
        <f>HYPERLINK("http://www.linkedin.com/in/eactisgrosso","http://www.linkedin.com/in/eactisgrosso")</f>
        <v>http://www.linkedin.com/in/eactisgrosso</v>
      </c>
      <c r="I5325" s="2" t="s">
        <v>48</v>
      </c>
      <c r="J5325" s="2" t="s">
        <v>21</v>
      </c>
      <c r="K5325" s="2" t="s">
        <v>10173</v>
      </c>
    </row>
    <row r="5326" ht="15.75" customHeight="1">
      <c r="A5326" s="2">
        <v>11414.0</v>
      </c>
      <c r="B5326" s="2" t="s">
        <v>70</v>
      </c>
      <c r="C5326" s="2" t="s">
        <v>10702</v>
      </c>
      <c r="D5326" s="2" t="s">
        <v>400</v>
      </c>
      <c r="E5326" s="2" t="s">
        <v>20</v>
      </c>
      <c r="F5326" s="2">
        <v>3.0</v>
      </c>
      <c r="G5326" s="2">
        <v>359.0</v>
      </c>
      <c r="H5326" s="3" t="str">
        <f>HYPERLINK("http://ar.linkedin.com/in/stefanigustavo","http://ar.linkedin.com/in/stefanigustavo")</f>
        <v>http://ar.linkedin.com/in/stefanigustavo</v>
      </c>
      <c r="I5326" s="2" t="s">
        <v>1931</v>
      </c>
      <c r="J5326" s="2" t="s">
        <v>21</v>
      </c>
      <c r="K5326" s="2" t="s">
        <v>10176</v>
      </c>
    </row>
    <row r="5327" ht="15.75" customHeight="1">
      <c r="A5327" s="2">
        <v>11421.0</v>
      </c>
      <c r="B5327" s="2" t="s">
        <v>10703</v>
      </c>
      <c r="C5327" s="2" t="s">
        <v>3943</v>
      </c>
      <c r="D5327" s="2" t="s">
        <v>7152</v>
      </c>
      <c r="E5327" s="2" t="s">
        <v>20</v>
      </c>
      <c r="F5327" s="2">
        <v>0.0</v>
      </c>
      <c r="G5327" s="2">
        <v>144.0</v>
      </c>
      <c r="H5327" s="3" t="str">
        <f>HYPERLINK("http://ar.linkedin.com/pub/dario-ignacio-rodriguez/22/956/933","http://ar.linkedin.com/pub/dario-ignacio-rodriguez/22/956/933")</f>
        <v>http://ar.linkedin.com/pub/dario-ignacio-rodriguez/22/956/933</v>
      </c>
      <c r="I5327" s="2" t="s">
        <v>15</v>
      </c>
      <c r="J5327" s="2" t="s">
        <v>21</v>
      </c>
      <c r="K5327" s="2" t="s">
        <v>10173</v>
      </c>
    </row>
    <row r="5328" ht="15.75" customHeight="1">
      <c r="A5328" s="2">
        <v>11447.0</v>
      </c>
      <c r="B5328" s="2" t="s">
        <v>752</v>
      </c>
      <c r="C5328" s="2" t="s">
        <v>10704</v>
      </c>
      <c r="D5328" s="2" t="s">
        <v>42</v>
      </c>
      <c r="E5328" s="2" t="s">
        <v>1155</v>
      </c>
      <c r="F5328" s="2">
        <v>2.0</v>
      </c>
      <c r="G5328" s="2">
        <v>500.0</v>
      </c>
      <c r="H5328" s="3" t="str">
        <f>HYPERLINK("http://www.linkedin.com/pub/jim-gifford/8/455/6A7","http://www.linkedin.com/pub/jim-gifford/8/455/6A7")</f>
        <v>http://www.linkedin.com/pub/jim-gifford/8/455/6A7</v>
      </c>
      <c r="I5328" s="2" t="s">
        <v>248</v>
      </c>
      <c r="J5328" s="2" t="s">
        <v>102</v>
      </c>
      <c r="K5328" s="2" t="s">
        <v>10380</v>
      </c>
    </row>
    <row r="5329" ht="15.75" customHeight="1">
      <c r="A5329" s="2">
        <v>11460.0</v>
      </c>
      <c r="B5329" s="2" t="s">
        <v>6793</v>
      </c>
      <c r="C5329" s="2" t="s">
        <v>10705</v>
      </c>
      <c r="D5329" s="2" t="s">
        <v>10706</v>
      </c>
      <c r="E5329" s="2" t="s">
        <v>20</v>
      </c>
      <c r="F5329" s="2">
        <v>11.0</v>
      </c>
      <c r="G5329" s="2">
        <v>500.0</v>
      </c>
      <c r="H5329" s="3" t="str">
        <f>HYPERLINK("http://ar.linkedin.com/in/augustomar","http://ar.linkedin.com/in/augustomar")</f>
        <v>http://ar.linkedin.com/in/augustomar</v>
      </c>
      <c r="I5329" s="2" t="s">
        <v>15</v>
      </c>
      <c r="J5329" s="2" t="s">
        <v>21</v>
      </c>
      <c r="K5329" s="2" t="s">
        <v>10196</v>
      </c>
    </row>
    <row r="5330" ht="15.75" customHeight="1">
      <c r="A5330" s="2">
        <v>11472.0</v>
      </c>
      <c r="B5330" s="2" t="s">
        <v>3793</v>
      </c>
      <c r="C5330" s="2" t="s">
        <v>3190</v>
      </c>
      <c r="D5330" s="2" t="s">
        <v>10707</v>
      </c>
      <c r="E5330" s="2" t="s">
        <v>628</v>
      </c>
      <c r="F5330" s="2">
        <v>13.0</v>
      </c>
      <c r="G5330" s="2">
        <v>500.0</v>
      </c>
      <c r="H5330" s="3" t="str">
        <f>HYPERLINK("http://www.linkedin.com/pub/jill-henry/4/261/622","http://www.linkedin.com/pub/jill-henry/4/261/622")</f>
        <v>http://www.linkedin.com/pub/jill-henry/4/261/622</v>
      </c>
      <c r="I5330" s="2" t="s">
        <v>69</v>
      </c>
      <c r="J5330" s="2" t="s">
        <v>102</v>
      </c>
      <c r="K5330" s="2" t="s">
        <v>10245</v>
      </c>
    </row>
    <row r="5331" ht="15.75" customHeight="1">
      <c r="A5331" s="2">
        <v>11474.0</v>
      </c>
      <c r="B5331" s="2" t="s">
        <v>10708</v>
      </c>
      <c r="C5331" s="2" t="s">
        <v>3375</v>
      </c>
      <c r="D5331" s="2" t="s">
        <v>10709</v>
      </c>
      <c r="E5331" s="2" t="s">
        <v>628</v>
      </c>
      <c r="F5331" s="2">
        <v>9.0</v>
      </c>
      <c r="G5331" s="2">
        <v>287.0</v>
      </c>
      <c r="H5331" s="3" t="str">
        <f>HYPERLINK("http://www.linkedin.com/in/olegrubin","http://www.linkedin.com/in/olegrubin")</f>
        <v>http://www.linkedin.com/in/olegrubin</v>
      </c>
      <c r="I5331" s="2" t="s">
        <v>669</v>
      </c>
      <c r="J5331" s="2" t="s">
        <v>102</v>
      </c>
      <c r="K5331" s="2" t="s">
        <v>10209</v>
      </c>
    </row>
    <row r="5332" ht="15.75" customHeight="1">
      <c r="A5332" s="2">
        <v>11475.0</v>
      </c>
      <c r="B5332" s="2" t="s">
        <v>784</v>
      </c>
      <c r="C5332" s="2" t="s">
        <v>3028</v>
      </c>
      <c r="D5332" s="2" t="s">
        <v>8875</v>
      </c>
      <c r="E5332" s="2" t="s">
        <v>628</v>
      </c>
      <c r="F5332" s="2">
        <v>0.0</v>
      </c>
      <c r="G5332" s="2">
        <v>500.0</v>
      </c>
      <c r="H5332" s="3" t="str">
        <f>HYPERLINK("http://www.linkedin.com/pub/jeff-wallace/0/36A/48B","http://www.linkedin.com/pub/jeff-wallace/0/36A/48B")</f>
        <v>http://www.linkedin.com/pub/jeff-wallace/0/36A/48B</v>
      </c>
      <c r="I5332" s="2" t="s">
        <v>48</v>
      </c>
      <c r="J5332" s="2" t="s">
        <v>102</v>
      </c>
      <c r="K5332" s="2" t="s">
        <v>10233</v>
      </c>
    </row>
    <row r="5333" ht="15.75" customHeight="1">
      <c r="A5333" s="2">
        <v>11476.0</v>
      </c>
      <c r="B5333" s="2" t="s">
        <v>10710</v>
      </c>
      <c r="C5333" s="2" t="s">
        <v>348</v>
      </c>
      <c r="D5333" s="2" t="s">
        <v>8875</v>
      </c>
      <c r="E5333" s="2" t="s">
        <v>1547</v>
      </c>
      <c r="F5333" s="2">
        <v>4.0</v>
      </c>
      <c r="G5333" s="2">
        <v>162.0</v>
      </c>
      <c r="H5333" s="3" t="str">
        <f>HYPERLINK("http://www.linkedin.com/pub/ik-kim/8/548/B34","http://www.linkedin.com/pub/ik-kim/8/548/B34")</f>
        <v>http://www.linkedin.com/pub/ik-kim/8/548/B34</v>
      </c>
      <c r="I5333" s="2" t="s">
        <v>15</v>
      </c>
      <c r="J5333" s="2" t="s">
        <v>102</v>
      </c>
      <c r="K5333" s="2" t="s">
        <v>10184</v>
      </c>
    </row>
    <row r="5334" ht="15.75" customHeight="1">
      <c r="A5334" s="2">
        <v>11519.0</v>
      </c>
      <c r="B5334" s="2" t="s">
        <v>6467</v>
      </c>
      <c r="C5334" s="2" t="s">
        <v>10711</v>
      </c>
      <c r="D5334" s="2" t="s">
        <v>10712</v>
      </c>
      <c r="E5334" s="2" t="s">
        <v>20</v>
      </c>
      <c r="F5334" s="2">
        <v>4.0</v>
      </c>
      <c r="G5334" s="2">
        <v>500.0</v>
      </c>
      <c r="H5334" s="3" t="str">
        <f>HYPERLINK("http://ar.linkedin.com/in/fsotoconti","http://ar.linkedin.com/in/fsotoconti")</f>
        <v>http://ar.linkedin.com/in/fsotoconti</v>
      </c>
      <c r="I5334" s="2" t="s">
        <v>15</v>
      </c>
      <c r="J5334" s="2" t="s">
        <v>21</v>
      </c>
      <c r="K5334" s="2" t="s">
        <v>10196</v>
      </c>
    </row>
    <row r="5335" ht="15.75" customHeight="1">
      <c r="A5335" s="2">
        <v>11521.0</v>
      </c>
      <c r="B5335" s="2" t="s">
        <v>10713</v>
      </c>
      <c r="C5335" s="2" t="s">
        <v>852</v>
      </c>
      <c r="D5335" s="2"/>
      <c r="E5335" s="2" t="s">
        <v>235</v>
      </c>
      <c r="F5335" s="2">
        <v>5.0</v>
      </c>
      <c r="G5335" s="2">
        <v>152.0</v>
      </c>
      <c r="H5335" s="3" t="str">
        <f>HYPERLINK("http://www.linkedin.com/pub/mark-a-alexander/0/556/687","http://www.linkedin.com/pub/mark-a-alexander/0/556/687")</f>
        <v>http://www.linkedin.com/pub/mark-a-alexander/0/556/687</v>
      </c>
      <c r="I5335" s="2" t="s">
        <v>77</v>
      </c>
      <c r="J5335" s="2" t="s">
        <v>102</v>
      </c>
      <c r="K5335" s="2" t="s">
        <v>10209</v>
      </c>
    </row>
    <row r="5336" ht="15.75" customHeight="1">
      <c r="A5336" s="2">
        <v>11522.0</v>
      </c>
      <c r="B5336" s="2" t="s">
        <v>10714</v>
      </c>
      <c r="C5336" s="2" t="s">
        <v>10715</v>
      </c>
      <c r="D5336" s="2" t="s">
        <v>7149</v>
      </c>
      <c r="E5336" s="2" t="s">
        <v>2968</v>
      </c>
      <c r="F5336" s="2">
        <v>0.0</v>
      </c>
      <c r="G5336" s="2">
        <v>166.0</v>
      </c>
      <c r="H5336" s="3" t="str">
        <f>HYPERLINK("http://www.linkedin.com/pub/cg-simmons/10/8BB/354","http://www.linkedin.com/pub/cg-simmons/10/8BB/354")</f>
        <v>http://www.linkedin.com/pub/cg-simmons/10/8BB/354</v>
      </c>
      <c r="I5336" s="2" t="s">
        <v>77</v>
      </c>
      <c r="J5336" s="2" t="s">
        <v>102</v>
      </c>
      <c r="K5336" s="2" t="s">
        <v>10394</v>
      </c>
    </row>
    <row r="5337" ht="15.75" customHeight="1">
      <c r="A5337" s="2">
        <v>11523.0</v>
      </c>
      <c r="B5337" s="2" t="s">
        <v>1015</v>
      </c>
      <c r="C5337" s="2" t="s">
        <v>1742</v>
      </c>
      <c r="D5337" s="2" t="s">
        <v>10716</v>
      </c>
      <c r="E5337" s="2" t="s">
        <v>2968</v>
      </c>
      <c r="F5337" s="2">
        <v>3.0</v>
      </c>
      <c r="G5337" s="2">
        <v>202.0</v>
      </c>
      <c r="H5337" s="3" t="str">
        <f>HYPERLINK("http://www.linkedin.com/in/briancnewman","http://www.linkedin.com/in/briancnewman")</f>
        <v>http://www.linkedin.com/in/briancnewman</v>
      </c>
      <c r="I5337" s="2" t="s">
        <v>15</v>
      </c>
      <c r="J5337" s="2" t="s">
        <v>102</v>
      </c>
      <c r="K5337" s="2" t="s">
        <v>10245</v>
      </c>
    </row>
    <row r="5338" ht="15.75" customHeight="1">
      <c r="A5338" s="2">
        <v>11525.0</v>
      </c>
      <c r="B5338" s="2" t="s">
        <v>1004</v>
      </c>
      <c r="C5338" s="2" t="s">
        <v>10717</v>
      </c>
      <c r="D5338" s="2" t="s">
        <v>2723</v>
      </c>
      <c r="E5338" s="2" t="s">
        <v>2968</v>
      </c>
      <c r="F5338" s="2">
        <v>13.0</v>
      </c>
      <c r="G5338" s="2">
        <v>400.0</v>
      </c>
      <c r="H5338" s="3" t="str">
        <f>HYPERLINK("http://www.linkedin.com/in/scottballenger","http://www.linkedin.com/in/scottballenger")</f>
        <v>http://www.linkedin.com/in/scottballenger</v>
      </c>
      <c r="I5338" s="2" t="s">
        <v>48</v>
      </c>
      <c r="J5338" s="2" t="s">
        <v>102</v>
      </c>
      <c r="K5338" s="2" t="s">
        <v>10233</v>
      </c>
    </row>
    <row r="5339" ht="15.75" customHeight="1">
      <c r="A5339" s="2">
        <v>11528.0</v>
      </c>
      <c r="B5339" s="2" t="s">
        <v>2202</v>
      </c>
      <c r="C5339" s="2" t="s">
        <v>10718</v>
      </c>
      <c r="D5339" s="2" t="s">
        <v>2331</v>
      </c>
      <c r="E5339" s="2" t="s">
        <v>136</v>
      </c>
      <c r="F5339" s="2">
        <v>13.0</v>
      </c>
      <c r="G5339" s="2">
        <v>382.0</v>
      </c>
      <c r="H5339" s="3" t="str">
        <f>HYPERLINK("http://www.linkedin.com/pub/arun-iyer-venkiteswara-/2/5B6/489","http://www.linkedin.com/pub/arun-iyer-venkiteswara-/2/5B6/489")</f>
        <v>http://www.linkedin.com/pub/arun-iyer-venkiteswara-/2/5B6/489</v>
      </c>
      <c r="I5339" s="2" t="s">
        <v>48</v>
      </c>
      <c r="J5339" s="2" t="s">
        <v>102</v>
      </c>
      <c r="K5339" s="2" t="s">
        <v>10176</v>
      </c>
    </row>
    <row r="5340" ht="15.75" customHeight="1">
      <c r="A5340" s="2">
        <v>11529.0</v>
      </c>
      <c r="B5340" s="2" t="s">
        <v>10719</v>
      </c>
      <c r="C5340" s="2" t="s">
        <v>10720</v>
      </c>
      <c r="D5340" s="2" t="s">
        <v>10721</v>
      </c>
      <c r="E5340" s="2" t="s">
        <v>2968</v>
      </c>
      <c r="F5340" s="2">
        <v>13.0</v>
      </c>
      <c r="G5340" s="2">
        <v>326.0</v>
      </c>
      <c r="H5340" s="3" t="str">
        <f>HYPERLINK("http://www.linkedin.com/pub/stacy-gapper/5/812/A35","http://www.linkedin.com/pub/stacy-gapper/5/812/A35")</f>
        <v>http://www.linkedin.com/pub/stacy-gapper/5/812/A35</v>
      </c>
      <c r="I5340" s="2" t="s">
        <v>77</v>
      </c>
      <c r="J5340" s="2" t="s">
        <v>102</v>
      </c>
      <c r="K5340" s="2" t="s">
        <v>10384</v>
      </c>
    </row>
    <row r="5341" ht="15.75" customHeight="1">
      <c r="A5341" s="2">
        <v>11531.0</v>
      </c>
      <c r="B5341" s="2" t="s">
        <v>10722</v>
      </c>
      <c r="C5341" s="2" t="s">
        <v>2586</v>
      </c>
      <c r="D5341" s="2" t="s">
        <v>10723</v>
      </c>
      <c r="E5341" s="2" t="s">
        <v>1041</v>
      </c>
      <c r="F5341" s="2">
        <v>2.0</v>
      </c>
      <c r="G5341" s="2">
        <v>188.0</v>
      </c>
      <c r="H5341" s="3" t="str">
        <f>HYPERLINK("http://www.linkedin.com/pub/janis-lawrence/4/798/364","http://www.linkedin.com/pub/janis-lawrence/4/798/364")</f>
        <v>http://www.linkedin.com/pub/janis-lawrence/4/798/364</v>
      </c>
      <c r="I5341" s="2" t="s">
        <v>77</v>
      </c>
      <c r="J5341" s="2" t="s">
        <v>102</v>
      </c>
      <c r="K5341" s="2" t="s">
        <v>10384</v>
      </c>
    </row>
    <row r="5342" ht="15.75" customHeight="1">
      <c r="A5342" s="2">
        <v>11532.0</v>
      </c>
      <c r="B5342" s="2" t="s">
        <v>10724</v>
      </c>
      <c r="C5342" s="2" t="s">
        <v>2009</v>
      </c>
      <c r="D5342" s="2" t="s">
        <v>8123</v>
      </c>
      <c r="E5342" s="2" t="s">
        <v>2968</v>
      </c>
      <c r="F5342" s="2">
        <v>0.0</v>
      </c>
      <c r="G5342" s="2">
        <v>332.0</v>
      </c>
      <c r="H5342" s="3" t="str">
        <f>HYPERLINK("http://www.linkedin.com/in/frederickwinter","http://www.linkedin.com/in/frederickwinter")</f>
        <v>http://www.linkedin.com/in/frederickwinter</v>
      </c>
      <c r="I5342" s="2" t="s">
        <v>77</v>
      </c>
      <c r="J5342" s="2" t="s">
        <v>102</v>
      </c>
      <c r="K5342" s="2" t="s">
        <v>10187</v>
      </c>
    </row>
    <row r="5343" ht="15.75" customHeight="1">
      <c r="A5343" s="2">
        <v>11534.0</v>
      </c>
      <c r="B5343" s="2" t="s">
        <v>879</v>
      </c>
      <c r="C5343" s="2" t="s">
        <v>10725</v>
      </c>
      <c r="D5343" s="2" t="s">
        <v>10726</v>
      </c>
      <c r="E5343" s="2" t="s">
        <v>728</v>
      </c>
      <c r="F5343" s="2">
        <v>10.0</v>
      </c>
      <c r="G5343" s="2">
        <v>71.0</v>
      </c>
      <c r="H5343" s="3" t="str">
        <f>HYPERLINK("http://www.linkedin.com/in/richardlhagan","http://www.linkedin.com/in/richardlhagan")</f>
        <v>http://www.linkedin.com/in/richardlhagan</v>
      </c>
      <c r="I5343" s="2" t="s">
        <v>15</v>
      </c>
      <c r="J5343" s="2" t="s">
        <v>102</v>
      </c>
      <c r="K5343" s="2" t="s">
        <v>10727</v>
      </c>
    </row>
    <row r="5344" ht="15.75" customHeight="1">
      <c r="A5344" s="2">
        <v>11535.0</v>
      </c>
      <c r="B5344" s="2" t="s">
        <v>1173</v>
      </c>
      <c r="C5344" s="2" t="s">
        <v>1527</v>
      </c>
      <c r="D5344" s="2"/>
      <c r="E5344" s="2" t="s">
        <v>2968</v>
      </c>
      <c r="F5344" s="2">
        <v>0.0</v>
      </c>
      <c r="G5344" s="2">
        <v>156.0</v>
      </c>
      <c r="H5344" s="3" t="str">
        <f>HYPERLINK("http://www.linkedin.com/pub/steve-clark/0/329/875","http://www.linkedin.com/pub/steve-clark/0/329/875")</f>
        <v>http://www.linkedin.com/pub/steve-clark/0/329/875</v>
      </c>
      <c r="I5344" s="2" t="s">
        <v>15</v>
      </c>
      <c r="J5344" s="2" t="s">
        <v>102</v>
      </c>
      <c r="K5344" s="2" t="s">
        <v>10184</v>
      </c>
    </row>
    <row r="5345" ht="15.75" customHeight="1">
      <c r="A5345" s="2">
        <v>11536.0</v>
      </c>
      <c r="B5345" s="2" t="s">
        <v>10728</v>
      </c>
      <c r="C5345" s="2" t="s">
        <v>10729</v>
      </c>
      <c r="D5345" s="2" t="s">
        <v>1865</v>
      </c>
      <c r="E5345" s="2" t="s">
        <v>2968</v>
      </c>
      <c r="F5345" s="2">
        <v>0.0</v>
      </c>
      <c r="G5345" s="2">
        <v>69.0</v>
      </c>
      <c r="H5345" s="3" t="str">
        <f>HYPERLINK("http://www.linkedin.com/pub/jenny-ford/5/801/219","http://www.linkedin.com/pub/jenny-ford/5/801/219")</f>
        <v>http://www.linkedin.com/pub/jenny-ford/5/801/219</v>
      </c>
      <c r="I5345" s="2" t="s">
        <v>15</v>
      </c>
      <c r="J5345" s="2" t="s">
        <v>102</v>
      </c>
      <c r="K5345" s="2" t="s">
        <v>10263</v>
      </c>
    </row>
    <row r="5346" ht="15.75" customHeight="1">
      <c r="A5346" s="2">
        <v>11539.0</v>
      </c>
      <c r="B5346" s="2" t="s">
        <v>2109</v>
      </c>
      <c r="C5346" s="2" t="s">
        <v>820</v>
      </c>
      <c r="D5346" s="2"/>
      <c r="E5346" s="2" t="s">
        <v>101</v>
      </c>
      <c r="F5346" s="2">
        <v>0.0</v>
      </c>
      <c r="G5346" s="2">
        <v>307.0</v>
      </c>
      <c r="H5346" s="3" t="str">
        <f>HYPERLINK("http://www.linkedin.com/pub/rob-moore/1/2AB/622","http://www.linkedin.com/pub/rob-moore/1/2AB/622")</f>
        <v>http://www.linkedin.com/pub/rob-moore/1/2AB/622</v>
      </c>
      <c r="I5346" s="2" t="s">
        <v>77</v>
      </c>
      <c r="J5346" s="2" t="s">
        <v>102</v>
      </c>
      <c r="K5346" s="2" t="s">
        <v>10187</v>
      </c>
    </row>
    <row r="5347" ht="15.75" customHeight="1">
      <c r="A5347" s="2">
        <v>11542.0</v>
      </c>
      <c r="B5347" s="2" t="s">
        <v>3550</v>
      </c>
      <c r="C5347" s="2" t="s">
        <v>10730</v>
      </c>
      <c r="D5347" s="2" t="s">
        <v>10731</v>
      </c>
      <c r="E5347" s="2" t="s">
        <v>20</v>
      </c>
      <c r="F5347" s="2">
        <v>1.0</v>
      </c>
      <c r="G5347" s="2">
        <v>96.0</v>
      </c>
      <c r="H5347" s="3" t="str">
        <f>HYPERLINK("http://ar.linkedin.com/pub/nicolas-rossotti/22/153/325","http://ar.linkedin.com/pub/nicolas-rossotti/22/153/325")</f>
        <v>http://ar.linkedin.com/pub/nicolas-rossotti/22/153/325</v>
      </c>
      <c r="I5347" s="2" t="s">
        <v>15</v>
      </c>
      <c r="J5347" s="2" t="s">
        <v>21</v>
      </c>
      <c r="K5347" s="2" t="s">
        <v>10337</v>
      </c>
    </row>
    <row r="5348" ht="15.75" customHeight="1">
      <c r="A5348" s="2">
        <v>11547.0</v>
      </c>
      <c r="B5348" s="2" t="s">
        <v>193</v>
      </c>
      <c r="C5348" s="2" t="s">
        <v>10732</v>
      </c>
      <c r="D5348" s="2" t="s">
        <v>10254</v>
      </c>
      <c r="E5348" s="2" t="s">
        <v>20</v>
      </c>
      <c r="F5348" s="2">
        <v>2.0</v>
      </c>
      <c r="G5348" s="2">
        <v>299.0</v>
      </c>
      <c r="H5348" s="3" t="str">
        <f>HYPERLINK("http://ar.linkedin.com/pub/guillermo-carreras/9/AB5/7B","http://ar.linkedin.com/pub/guillermo-carreras/9/AB5/7B")</f>
        <v>http://ar.linkedin.com/pub/guillermo-carreras/9/AB5/7B</v>
      </c>
      <c r="I5348" s="2" t="s">
        <v>15</v>
      </c>
      <c r="J5348" s="2" t="s">
        <v>21</v>
      </c>
      <c r="K5348" s="2" t="s">
        <v>10196</v>
      </c>
    </row>
    <row r="5349" ht="15.75" customHeight="1">
      <c r="A5349" s="2">
        <v>11552.0</v>
      </c>
      <c r="B5349" s="2" t="s">
        <v>10733</v>
      </c>
      <c r="C5349" s="2" t="s">
        <v>5914</v>
      </c>
      <c r="D5349" s="2" t="s">
        <v>13</v>
      </c>
      <c r="E5349" s="2" t="s">
        <v>20</v>
      </c>
      <c r="F5349" s="2">
        <v>0.0</v>
      </c>
      <c r="G5349" s="2">
        <v>278.0</v>
      </c>
      <c r="H5349" s="3" t="str">
        <f>HYPERLINK("http://ar.linkedin.com/pub/jorgelina-sanabria/5/400/32","http://ar.linkedin.com/pub/jorgelina-sanabria/5/400/32")</f>
        <v>http://ar.linkedin.com/pub/jorgelina-sanabria/5/400/32</v>
      </c>
      <c r="I5349" s="2" t="s">
        <v>15</v>
      </c>
      <c r="J5349" s="2" t="s">
        <v>21</v>
      </c>
      <c r="K5349" s="2" t="s">
        <v>10734</v>
      </c>
    </row>
    <row r="5350" ht="15.75" customHeight="1">
      <c r="A5350" s="2">
        <v>11553.0</v>
      </c>
      <c r="B5350" s="2" t="s">
        <v>677</v>
      </c>
      <c r="C5350" s="2" t="s">
        <v>10735</v>
      </c>
      <c r="D5350" s="2" t="s">
        <v>8716</v>
      </c>
      <c r="E5350" s="2" t="s">
        <v>20</v>
      </c>
      <c r="F5350" s="2">
        <v>7.0</v>
      </c>
      <c r="G5350" s="2">
        <v>263.0</v>
      </c>
      <c r="H5350" s="3" t="str">
        <f>HYPERLINK("http://ar.linkedin.com/in/dojerez","http://ar.linkedin.com/in/dojerez")</f>
        <v>http://ar.linkedin.com/in/dojerez</v>
      </c>
      <c r="I5350" s="2" t="s">
        <v>15</v>
      </c>
      <c r="J5350" s="2" t="s">
        <v>21</v>
      </c>
      <c r="K5350" s="2" t="s">
        <v>10196</v>
      </c>
    </row>
    <row r="5351" ht="15.75" customHeight="1">
      <c r="A5351" s="2">
        <v>11587.0</v>
      </c>
      <c r="B5351" s="2" t="s">
        <v>4954</v>
      </c>
      <c r="C5351" s="2" t="s">
        <v>10736</v>
      </c>
      <c r="D5351" s="2" t="s">
        <v>13</v>
      </c>
      <c r="E5351" s="2" t="s">
        <v>728</v>
      </c>
      <c r="F5351" s="2">
        <v>0.0</v>
      </c>
      <c r="G5351" s="2">
        <v>500.0</v>
      </c>
      <c r="H5351" s="3" t="str">
        <f>HYPERLINK("http://www.linkedin.com/pub/carolyn-koehnen-pmp-csm/0/66a/890","http://www.linkedin.com/pub/carolyn-koehnen-pmp-csm/0/66a/890")</f>
        <v>http://www.linkedin.com/pub/carolyn-koehnen-pmp-csm/0/66a/890</v>
      </c>
      <c r="I5351" s="2" t="s">
        <v>15</v>
      </c>
      <c r="J5351" s="2" t="s">
        <v>102</v>
      </c>
      <c r="K5351" s="2" t="s">
        <v>10184</v>
      </c>
    </row>
    <row r="5352" ht="15.75" customHeight="1">
      <c r="A5352" s="2">
        <v>11589.0</v>
      </c>
      <c r="B5352" s="2" t="s">
        <v>2198</v>
      </c>
      <c r="C5352" s="2" t="s">
        <v>1585</v>
      </c>
      <c r="D5352" s="2" t="s">
        <v>10218</v>
      </c>
      <c r="E5352" s="2" t="s">
        <v>3516</v>
      </c>
      <c r="F5352" s="2">
        <v>4.0</v>
      </c>
      <c r="G5352" s="2">
        <v>500.0</v>
      </c>
      <c r="H5352" s="3" t="str">
        <f>HYPERLINK("http://www.linkedin.com/pub/neil-thomas-mba-pmp/3/A62/116","http://www.linkedin.com/pub/neil-thomas-mba-pmp/3/A62/116")</f>
        <v>http://www.linkedin.com/pub/neil-thomas-mba-pmp/3/A62/116</v>
      </c>
      <c r="I5352" s="2" t="s">
        <v>579</v>
      </c>
      <c r="J5352" s="2" t="s">
        <v>102</v>
      </c>
      <c r="K5352" s="2" t="s">
        <v>10737</v>
      </c>
    </row>
    <row r="5353" ht="15.75" customHeight="1">
      <c r="A5353" s="2">
        <v>11593.0</v>
      </c>
      <c r="B5353" s="2" t="s">
        <v>1173</v>
      </c>
      <c r="C5353" s="2" t="s">
        <v>10738</v>
      </c>
      <c r="D5353" s="2"/>
      <c r="E5353" s="2" t="s">
        <v>728</v>
      </c>
      <c r="F5353" s="2">
        <v>2.0</v>
      </c>
      <c r="G5353" s="2">
        <v>463.0</v>
      </c>
      <c r="H5353" s="3" t="str">
        <f>HYPERLINK("http://www.linkedin.com/pub/steve-fling/0/93A/136","http://www.linkedin.com/pub/steve-fling/0/93A/136")</f>
        <v>http://www.linkedin.com/pub/steve-fling/0/93A/136</v>
      </c>
      <c r="I5353" s="2" t="s">
        <v>279</v>
      </c>
      <c r="J5353" s="2" t="s">
        <v>102</v>
      </c>
      <c r="K5353" s="2" t="s">
        <v>10187</v>
      </c>
    </row>
    <row r="5354" ht="15.75" customHeight="1">
      <c r="A5354" s="2">
        <v>11594.0</v>
      </c>
      <c r="B5354" s="2" t="s">
        <v>10739</v>
      </c>
      <c r="C5354" s="2" t="s">
        <v>10740</v>
      </c>
      <c r="D5354" s="2" t="s">
        <v>10741</v>
      </c>
      <c r="E5354" s="2" t="s">
        <v>728</v>
      </c>
      <c r="F5354" s="2">
        <v>3.0</v>
      </c>
      <c r="G5354" s="2">
        <v>500.0</v>
      </c>
      <c r="H5354" s="3" t="str">
        <f>HYPERLINK("http://www.linkedin.com/in/artweeast","http://www.linkedin.com/in/artweeast")</f>
        <v>http://www.linkedin.com/in/artweeast</v>
      </c>
      <c r="I5354" s="2" t="s">
        <v>440</v>
      </c>
      <c r="J5354" s="2" t="s">
        <v>102</v>
      </c>
      <c r="K5354" s="2" t="s">
        <v>10674</v>
      </c>
    </row>
    <row r="5355" ht="15.75" customHeight="1">
      <c r="A5355" s="2">
        <v>11597.0</v>
      </c>
      <c r="B5355" s="2" t="s">
        <v>845</v>
      </c>
      <c r="C5355" s="2" t="s">
        <v>10742</v>
      </c>
      <c r="D5355" s="2"/>
      <c r="E5355" s="2" t="s">
        <v>728</v>
      </c>
      <c r="F5355" s="2">
        <v>8.0</v>
      </c>
      <c r="G5355" s="2">
        <v>500.0</v>
      </c>
      <c r="H5355" s="3" t="str">
        <f>HYPERLINK("http://www.linkedin.com/in/kerbybarrett","http://www.linkedin.com/in/kerbybarrett")</f>
        <v>http://www.linkedin.com/in/kerbybarrett</v>
      </c>
      <c r="I5355" s="2" t="s">
        <v>15</v>
      </c>
      <c r="J5355" s="2" t="s">
        <v>102</v>
      </c>
      <c r="K5355" s="2" t="s">
        <v>10233</v>
      </c>
    </row>
    <row r="5356" ht="15.75" customHeight="1">
      <c r="A5356" s="2">
        <v>11602.0</v>
      </c>
      <c r="B5356" s="2" t="s">
        <v>631</v>
      </c>
      <c r="C5356" s="2" t="s">
        <v>10743</v>
      </c>
      <c r="D5356" s="2" t="s">
        <v>10744</v>
      </c>
      <c r="E5356" s="2" t="s">
        <v>235</v>
      </c>
      <c r="F5356" s="2">
        <v>0.0</v>
      </c>
      <c r="G5356" s="2">
        <v>169.0</v>
      </c>
      <c r="H5356" s="3" t="str">
        <f>HYPERLINK("http://www.linkedin.com/pub/chris-poppe/4/5A4/7AB","http://www.linkedin.com/pub/chris-poppe/4/5A4/7AB")</f>
        <v>http://www.linkedin.com/pub/chris-poppe/4/5A4/7AB</v>
      </c>
      <c r="I5356" s="2" t="s">
        <v>15</v>
      </c>
      <c r="J5356" s="2" t="s">
        <v>102</v>
      </c>
      <c r="K5356" s="2" t="s">
        <v>10233</v>
      </c>
    </row>
    <row r="5357" ht="15.75" customHeight="1">
      <c r="A5357" s="2">
        <v>11604.0</v>
      </c>
      <c r="B5357" s="2" t="s">
        <v>1173</v>
      </c>
      <c r="C5357" s="2" t="s">
        <v>10745</v>
      </c>
      <c r="D5357" s="2" t="s">
        <v>10746</v>
      </c>
      <c r="E5357" s="2" t="s">
        <v>10747</v>
      </c>
      <c r="F5357" s="2">
        <v>2.0</v>
      </c>
      <c r="G5357" s="2">
        <v>131.0</v>
      </c>
      <c r="H5357" s="3" t="str">
        <f>HYPERLINK("http://www.linkedin.com/pub/steve-mullenix/4/319/A43","http://www.linkedin.com/pub/steve-mullenix/4/319/A43")</f>
        <v>http://www.linkedin.com/pub/steve-mullenix/4/319/A43</v>
      </c>
      <c r="I5357" s="2" t="s">
        <v>15</v>
      </c>
      <c r="J5357" s="2" t="s">
        <v>102</v>
      </c>
      <c r="K5357" s="2" t="s">
        <v>10184</v>
      </c>
    </row>
    <row r="5358" ht="15.75" customHeight="1">
      <c r="A5358" s="2">
        <v>11608.0</v>
      </c>
      <c r="B5358" s="2" t="s">
        <v>10748</v>
      </c>
      <c r="C5358" s="2" t="s">
        <v>10749</v>
      </c>
      <c r="D5358" s="2" t="s">
        <v>10750</v>
      </c>
      <c r="E5358" s="2" t="s">
        <v>728</v>
      </c>
      <c r="F5358" s="2">
        <v>4.0</v>
      </c>
      <c r="G5358" s="2">
        <v>500.0</v>
      </c>
      <c r="H5358" s="3" t="str">
        <f>HYPERLINK("http://www.linkedin.com/pub/marsha-bogart/5/123/A75","http://www.linkedin.com/pub/marsha-bogart/5/123/A75")</f>
        <v>http://www.linkedin.com/pub/marsha-bogart/5/123/A75</v>
      </c>
      <c r="I5358" s="2" t="s">
        <v>15</v>
      </c>
      <c r="J5358" s="2" t="s">
        <v>102</v>
      </c>
      <c r="K5358" s="2" t="s">
        <v>10182</v>
      </c>
    </row>
    <row r="5359" ht="15.75" customHeight="1">
      <c r="A5359" s="2">
        <v>11644.0</v>
      </c>
      <c r="B5359" s="2" t="s">
        <v>70</v>
      </c>
      <c r="C5359" s="2" t="s">
        <v>10751</v>
      </c>
      <c r="D5359" s="2" t="s">
        <v>13</v>
      </c>
      <c r="E5359" s="2" t="s">
        <v>20</v>
      </c>
      <c r="F5359" s="2">
        <v>2.0</v>
      </c>
      <c r="G5359" s="2">
        <v>500.0</v>
      </c>
      <c r="H5359" s="3" t="str">
        <f>HYPERLINK("http://www.linkedin.com/in/gnarcisi","http://www.linkedin.com/in/gnarcisi")</f>
        <v>http://www.linkedin.com/in/gnarcisi</v>
      </c>
      <c r="I5359" s="2" t="s">
        <v>48</v>
      </c>
      <c r="J5359" s="2" t="s">
        <v>21</v>
      </c>
      <c r="K5359" s="2" t="s">
        <v>10752</v>
      </c>
    </row>
    <row r="5360" ht="15.75" customHeight="1">
      <c r="A5360" s="2">
        <v>11648.0</v>
      </c>
      <c r="B5360" s="2" t="s">
        <v>6061</v>
      </c>
      <c r="C5360" s="2" t="s">
        <v>10753</v>
      </c>
      <c r="D5360" s="2" t="s">
        <v>10754</v>
      </c>
      <c r="E5360" s="2" t="s">
        <v>20</v>
      </c>
      <c r="F5360" s="2">
        <v>11.0</v>
      </c>
      <c r="G5360" s="2">
        <v>491.0</v>
      </c>
      <c r="H5360" s="3" t="str">
        <f>HYPERLINK("http://ar.linkedin.com/in/agustinortueta","http://ar.linkedin.com/in/agustinortueta")</f>
        <v>http://ar.linkedin.com/in/agustinortueta</v>
      </c>
      <c r="I5360" s="2" t="s">
        <v>69</v>
      </c>
      <c r="J5360" s="2" t="s">
        <v>21</v>
      </c>
      <c r="K5360" s="2" t="s">
        <v>10196</v>
      </c>
    </row>
    <row r="5361" ht="15.75" customHeight="1">
      <c r="A5361" s="2">
        <v>11657.0</v>
      </c>
      <c r="B5361" s="2" t="s">
        <v>10755</v>
      </c>
      <c r="C5361" s="2" t="s">
        <v>10756</v>
      </c>
      <c r="D5361" s="2" t="s">
        <v>10757</v>
      </c>
      <c r="E5361" s="2" t="s">
        <v>2058</v>
      </c>
      <c r="F5361" s="2">
        <v>2.0</v>
      </c>
      <c r="G5361" s="2">
        <v>191.0</v>
      </c>
      <c r="H5361" s="3" t="str">
        <f>HYPERLINK("http://www.linkedin.com/in/vivekmsen","http://www.linkedin.com/in/vivekmsen")</f>
        <v>http://www.linkedin.com/in/vivekmsen</v>
      </c>
      <c r="I5361" s="2" t="s">
        <v>69</v>
      </c>
      <c r="J5361" s="2" t="s">
        <v>102</v>
      </c>
      <c r="K5361" s="2" t="s">
        <v>10245</v>
      </c>
    </row>
    <row r="5362" ht="15.75" customHeight="1">
      <c r="A5362" s="2">
        <v>11659.0</v>
      </c>
      <c r="B5362" s="2" t="s">
        <v>3299</v>
      </c>
      <c r="C5362" s="2" t="s">
        <v>10758</v>
      </c>
      <c r="D5362" s="2" t="s">
        <v>1277</v>
      </c>
      <c r="E5362" s="2" t="s">
        <v>2058</v>
      </c>
      <c r="F5362" s="2">
        <v>31.0</v>
      </c>
      <c r="G5362" s="2">
        <v>500.0</v>
      </c>
      <c r="H5362" s="3" t="str">
        <f>HYPERLINK("https://www.linkedin.com/in/fabianschonholz","https://www.linkedin.com/in/fabianschonholz")</f>
        <v>https://www.linkedin.com/in/fabianschonholz</v>
      </c>
      <c r="I5362" s="2" t="s">
        <v>69</v>
      </c>
      <c r="J5362" s="2" t="s">
        <v>102</v>
      </c>
      <c r="K5362" s="2" t="s">
        <v>10245</v>
      </c>
    </row>
    <row r="5363" ht="15.75" customHeight="1">
      <c r="A5363" s="2">
        <v>11660.0</v>
      </c>
      <c r="B5363" s="2" t="s">
        <v>862</v>
      </c>
      <c r="C5363" s="2" t="s">
        <v>10759</v>
      </c>
      <c r="D5363" s="2" t="s">
        <v>10760</v>
      </c>
      <c r="E5363" s="2" t="s">
        <v>20</v>
      </c>
      <c r="F5363" s="2">
        <v>4.0</v>
      </c>
      <c r="G5363" s="2">
        <v>500.0</v>
      </c>
      <c r="H5363" s="3" t="str">
        <f>HYPERLINK("http://ar.linkedin.com/pub/gabriel-stock/1/922/A43","http://ar.linkedin.com/pub/gabriel-stock/1/922/A43")</f>
        <v>http://ar.linkedin.com/pub/gabriel-stock/1/922/A43</v>
      </c>
      <c r="I5363" s="2" t="s">
        <v>143</v>
      </c>
      <c r="J5363" s="2" t="s">
        <v>21</v>
      </c>
      <c r="K5363" s="2" t="s">
        <v>10196</v>
      </c>
    </row>
    <row r="5364" ht="15.75" customHeight="1">
      <c r="A5364" s="2">
        <v>11678.0</v>
      </c>
      <c r="B5364" s="2" t="s">
        <v>10761</v>
      </c>
      <c r="C5364" s="2" t="s">
        <v>10762</v>
      </c>
      <c r="D5364" s="2" t="s">
        <v>10763</v>
      </c>
      <c r="E5364" s="2" t="s">
        <v>20</v>
      </c>
      <c r="F5364" s="2">
        <v>2.0</v>
      </c>
      <c r="G5364" s="2">
        <v>381.0</v>
      </c>
      <c r="H5364" s="3" t="str">
        <f>HYPERLINK("http://ar.linkedin.com/in/ritarestaino","http://ar.linkedin.com/in/ritarestaino")</f>
        <v>http://ar.linkedin.com/in/ritarestaino</v>
      </c>
      <c r="I5364" s="2" t="s">
        <v>15</v>
      </c>
      <c r="J5364" s="2" t="s">
        <v>21</v>
      </c>
      <c r="K5364" s="2" t="s">
        <v>10196</v>
      </c>
    </row>
    <row r="5365" ht="15.75" customHeight="1">
      <c r="A5365" s="2">
        <v>11681.0</v>
      </c>
      <c r="B5365" s="2" t="s">
        <v>637</v>
      </c>
      <c r="C5365" s="2" t="s">
        <v>10764</v>
      </c>
      <c r="D5365" s="2" t="s">
        <v>10765</v>
      </c>
      <c r="E5365" s="2" t="s">
        <v>20</v>
      </c>
      <c r="F5365" s="2">
        <v>2.0</v>
      </c>
      <c r="G5365" s="2">
        <v>472.0</v>
      </c>
      <c r="H5365" s="3" t="str">
        <f>HYPERLINK("http://www.linkedin.com/in/leonardobosi","http://www.linkedin.com/in/leonardobosi")</f>
        <v>http://www.linkedin.com/in/leonardobosi</v>
      </c>
      <c r="I5365" s="2" t="s">
        <v>15</v>
      </c>
      <c r="J5365" s="2" t="s">
        <v>21</v>
      </c>
      <c r="K5365" s="2" t="s">
        <v>10196</v>
      </c>
    </row>
    <row r="5366" ht="15.75" customHeight="1">
      <c r="A5366" s="2">
        <v>11700.0</v>
      </c>
      <c r="B5366" s="2" t="s">
        <v>5723</v>
      </c>
      <c r="C5366" s="2" t="s">
        <v>4481</v>
      </c>
      <c r="D5366" s="2" t="s">
        <v>10766</v>
      </c>
      <c r="E5366" s="2" t="s">
        <v>20</v>
      </c>
      <c r="F5366" s="2">
        <v>7.0</v>
      </c>
      <c r="G5366" s="2">
        <v>481.0</v>
      </c>
      <c r="H5366" s="3" t="str">
        <f>HYPERLINK("http://ar.linkedin.com/pub/pablo-villar/5/1BB/570","http://ar.linkedin.com/pub/pablo-villar/5/1BB/570")</f>
        <v>http://ar.linkedin.com/pub/pablo-villar/5/1BB/570</v>
      </c>
      <c r="I5366" s="2" t="s">
        <v>15</v>
      </c>
      <c r="J5366" s="2" t="s">
        <v>21</v>
      </c>
      <c r="K5366" s="2" t="s">
        <v>10196</v>
      </c>
    </row>
    <row r="5367" ht="15.75" customHeight="1">
      <c r="A5367" s="2">
        <v>11714.0</v>
      </c>
      <c r="B5367" s="2" t="s">
        <v>10767</v>
      </c>
      <c r="C5367" s="2" t="s">
        <v>4233</v>
      </c>
      <c r="D5367" s="2" t="s">
        <v>10768</v>
      </c>
      <c r="E5367" s="2" t="s">
        <v>20</v>
      </c>
      <c r="F5367" s="2">
        <v>9.0</v>
      </c>
      <c r="G5367" s="2">
        <v>500.0</v>
      </c>
      <c r="H5367" s="3" t="str">
        <f>HYPERLINK("http://www.linkedin.com/in/marianaveronicagonzalez","http://www.linkedin.com/in/marianaveronicagonzalez")</f>
        <v>http://www.linkedin.com/in/marianaveronicagonzalez</v>
      </c>
      <c r="I5367" s="2" t="s">
        <v>446</v>
      </c>
      <c r="J5367" s="2" t="s">
        <v>21</v>
      </c>
      <c r="K5367" s="2" t="s">
        <v>10196</v>
      </c>
    </row>
    <row r="5368" ht="15.75" customHeight="1">
      <c r="A5368" s="2">
        <v>11718.0</v>
      </c>
      <c r="B5368" s="2" t="s">
        <v>3015</v>
      </c>
      <c r="C5368" s="2" t="s">
        <v>10769</v>
      </c>
      <c r="D5368" s="2" t="s">
        <v>10770</v>
      </c>
      <c r="E5368" s="2" t="s">
        <v>20</v>
      </c>
      <c r="F5368" s="2">
        <v>8.0</v>
      </c>
      <c r="G5368" s="2">
        <v>500.0</v>
      </c>
      <c r="H5368" s="3" t="str">
        <f>HYPERLINK("http://ar.linkedin.com/in/lucianotolfo","http://ar.linkedin.com/in/lucianotolfo")</f>
        <v>http://ar.linkedin.com/in/lucianotolfo</v>
      </c>
      <c r="I5368" s="2" t="s">
        <v>48</v>
      </c>
      <c r="J5368" s="2" t="s">
        <v>21</v>
      </c>
      <c r="K5368" s="2" t="s">
        <v>10206</v>
      </c>
    </row>
    <row r="5369" ht="15.75" customHeight="1">
      <c r="A5369" s="2">
        <v>11723.0</v>
      </c>
      <c r="B5369" s="2" t="s">
        <v>10771</v>
      </c>
      <c r="C5369" s="2" t="s">
        <v>6896</v>
      </c>
      <c r="D5369" s="2" t="s">
        <v>10772</v>
      </c>
      <c r="E5369" s="2" t="s">
        <v>20</v>
      </c>
      <c r="F5369" s="2">
        <v>0.0</v>
      </c>
      <c r="G5369" s="2">
        <v>406.0</v>
      </c>
      <c r="H5369" s="3" t="str">
        <f>HYPERLINK("http://ar.linkedin.com/in/carinancastro","http://ar.linkedin.com/in/carinancastro")</f>
        <v>http://ar.linkedin.com/in/carinancastro</v>
      </c>
      <c r="I5369" s="2" t="s">
        <v>105</v>
      </c>
      <c r="J5369" s="2" t="s">
        <v>21</v>
      </c>
      <c r="K5369" s="2" t="s">
        <v>10184</v>
      </c>
    </row>
    <row r="5370" ht="15.75" customHeight="1">
      <c r="A5370" s="2">
        <v>11729.0</v>
      </c>
      <c r="B5370" s="2" t="s">
        <v>8024</v>
      </c>
      <c r="C5370" s="2" t="s">
        <v>10773</v>
      </c>
      <c r="D5370" s="2" t="s">
        <v>10774</v>
      </c>
      <c r="E5370" s="2" t="s">
        <v>20</v>
      </c>
      <c r="F5370" s="2">
        <v>3.0</v>
      </c>
      <c r="G5370" s="2">
        <v>247.0</v>
      </c>
      <c r="H5370" s="3" t="str">
        <f>HYPERLINK("http://ar.linkedin.com/pub/jose-maria-polo/21/414/533","http://ar.linkedin.com/pub/jose-maria-polo/21/414/533")</f>
        <v>http://ar.linkedin.com/pub/jose-maria-polo/21/414/533</v>
      </c>
      <c r="I5370" s="2" t="s">
        <v>15</v>
      </c>
      <c r="J5370" s="2" t="s">
        <v>21</v>
      </c>
      <c r="K5370" s="2" t="s">
        <v>10178</v>
      </c>
    </row>
    <row r="5371" ht="15.75" customHeight="1">
      <c r="A5371" s="2">
        <v>11734.0</v>
      </c>
      <c r="B5371" s="2" t="s">
        <v>10775</v>
      </c>
      <c r="C5371" s="2" t="s">
        <v>4608</v>
      </c>
      <c r="D5371" s="2"/>
      <c r="E5371" s="2" t="s">
        <v>10776</v>
      </c>
      <c r="F5371" s="2">
        <v>6.0</v>
      </c>
      <c r="G5371" s="2">
        <v>278.0</v>
      </c>
      <c r="H5371" s="3" t="str">
        <f>HYPERLINK("http://www.linkedin.com/pub/svetlana-west/3/560/B94","http://www.linkedin.com/pub/svetlana-west/3/560/B94")</f>
        <v>http://www.linkedin.com/pub/svetlana-west/3/560/B94</v>
      </c>
      <c r="I5371" s="2" t="s">
        <v>48</v>
      </c>
      <c r="J5371" s="2" t="s">
        <v>102</v>
      </c>
      <c r="K5371" s="2" t="s">
        <v>10184</v>
      </c>
    </row>
    <row r="5372" ht="15.75" customHeight="1">
      <c r="A5372" s="2">
        <v>11736.0</v>
      </c>
      <c r="B5372" s="2" t="s">
        <v>10777</v>
      </c>
      <c r="C5372" s="2" t="s">
        <v>10778</v>
      </c>
      <c r="D5372" s="2" t="s">
        <v>10244</v>
      </c>
      <c r="E5372" s="2" t="s">
        <v>235</v>
      </c>
      <c r="F5372" s="2">
        <v>0.0</v>
      </c>
      <c r="G5372" s="2">
        <v>47.0</v>
      </c>
      <c r="H5372" s="3" t="str">
        <f>HYPERLINK("http://www.linkedin.com/pub/rita-nassuna/1A/3A6/3A6","http://www.linkedin.com/pub/rita-nassuna/1A/3A6/3A6")</f>
        <v>http://www.linkedin.com/pub/rita-nassuna/1A/3A6/3A6</v>
      </c>
      <c r="I5372" s="2" t="s">
        <v>15</v>
      </c>
      <c r="J5372" s="2" t="s">
        <v>102</v>
      </c>
      <c r="K5372" s="2" t="s">
        <v>10233</v>
      </c>
    </row>
    <row r="5373" ht="15.75" customHeight="1">
      <c r="A5373" s="2">
        <v>11737.0</v>
      </c>
      <c r="B5373" s="2" t="s">
        <v>10779</v>
      </c>
      <c r="C5373" s="2" t="s">
        <v>10780</v>
      </c>
      <c r="D5373" s="2" t="s">
        <v>13</v>
      </c>
      <c r="E5373" s="2" t="s">
        <v>992</v>
      </c>
      <c r="F5373" s="2">
        <v>0.0</v>
      </c>
      <c r="G5373" s="2">
        <v>168.0</v>
      </c>
      <c r="H5373" s="3" t="str">
        <f>HYPERLINK("http://www.linkedin.com/pub/kandipan-sivanandhan/12/A46/85B","http://www.linkedin.com/pub/kandipan-sivanandhan/12/A46/85B")</f>
        <v>http://www.linkedin.com/pub/kandipan-sivanandhan/12/A46/85B</v>
      </c>
      <c r="I5373" s="2" t="s">
        <v>440</v>
      </c>
      <c r="J5373" s="2" t="s">
        <v>102</v>
      </c>
      <c r="K5373" s="2" t="s">
        <v>10394</v>
      </c>
    </row>
    <row r="5374" ht="15.75" customHeight="1">
      <c r="A5374" s="2">
        <v>11738.0</v>
      </c>
      <c r="B5374" s="2" t="s">
        <v>10781</v>
      </c>
      <c r="C5374" s="2" t="s">
        <v>10782</v>
      </c>
      <c r="D5374" s="2" t="s">
        <v>13</v>
      </c>
      <c r="E5374" s="2" t="s">
        <v>992</v>
      </c>
      <c r="F5374" s="2">
        <v>0.0</v>
      </c>
      <c r="G5374" s="2">
        <v>413.0</v>
      </c>
      <c r="H5374" s="3" t="str">
        <f>HYPERLINK("http://www.linkedin.com/pub/danny-gottovi/2/327/B90","http://www.linkedin.com/pub/danny-gottovi/2/327/B90")</f>
        <v>http://www.linkedin.com/pub/danny-gottovi/2/327/B90</v>
      </c>
      <c r="I5374" s="2" t="s">
        <v>15</v>
      </c>
      <c r="J5374" s="2" t="s">
        <v>102</v>
      </c>
      <c r="K5374" s="2" t="s">
        <v>10233</v>
      </c>
    </row>
    <row r="5375" ht="15.75" customHeight="1">
      <c r="A5375" s="2">
        <v>11739.0</v>
      </c>
      <c r="B5375" s="2" t="s">
        <v>10783</v>
      </c>
      <c r="C5375" s="2" t="s">
        <v>10784</v>
      </c>
      <c r="D5375" s="2" t="s">
        <v>10785</v>
      </c>
      <c r="E5375" s="2" t="s">
        <v>235</v>
      </c>
      <c r="F5375" s="2">
        <v>2.0</v>
      </c>
      <c r="G5375" s="2">
        <v>116.0</v>
      </c>
      <c r="H5375" s="3" t="str">
        <f>HYPERLINK("http://www.linkedin.com/pub/chandy-varghese/6/5A7/A38","http://www.linkedin.com/pub/chandy-varghese/6/5A7/A38")</f>
        <v>http://www.linkedin.com/pub/chandy-varghese/6/5A7/A38</v>
      </c>
      <c r="I5375" s="2" t="s">
        <v>306</v>
      </c>
      <c r="J5375" s="2" t="s">
        <v>102</v>
      </c>
      <c r="K5375" s="2" t="s">
        <v>10206</v>
      </c>
    </row>
    <row r="5376" ht="15.75" customHeight="1">
      <c r="A5376" s="2">
        <v>11741.0</v>
      </c>
      <c r="B5376" s="2" t="s">
        <v>1309</v>
      </c>
      <c r="C5376" s="2" t="s">
        <v>7146</v>
      </c>
      <c r="D5376" s="2" t="s">
        <v>10786</v>
      </c>
      <c r="E5376" s="2" t="s">
        <v>235</v>
      </c>
      <c r="F5376" s="2">
        <v>0.0</v>
      </c>
      <c r="G5376" s="2">
        <v>500.0</v>
      </c>
      <c r="H5376" s="3" t="str">
        <f>HYPERLINK("http://www.linkedin.com/in/alfredoramosv","http://www.linkedin.com/in/alfredoramosv")</f>
        <v>http://www.linkedin.com/in/alfredoramosv</v>
      </c>
      <c r="I5376" s="2" t="s">
        <v>69</v>
      </c>
      <c r="J5376" s="2" t="s">
        <v>102</v>
      </c>
      <c r="K5376" s="2" t="s">
        <v>10263</v>
      </c>
    </row>
    <row r="5377" ht="15.75" customHeight="1">
      <c r="A5377" s="2">
        <v>11742.0</v>
      </c>
      <c r="B5377" s="2" t="s">
        <v>10787</v>
      </c>
      <c r="C5377" s="2" t="s">
        <v>10788</v>
      </c>
      <c r="D5377" s="2" t="s">
        <v>10789</v>
      </c>
      <c r="E5377" s="2" t="s">
        <v>235</v>
      </c>
      <c r="F5377" s="2">
        <v>1.0</v>
      </c>
      <c r="G5377" s="2">
        <v>93.0</v>
      </c>
      <c r="H5377" s="3" t="str">
        <f>HYPERLINK("http://www.linkedin.com/pub/bhavani-koneru/12/17/538","http://www.linkedin.com/pub/bhavani-koneru/12/17/538")</f>
        <v>http://www.linkedin.com/pub/bhavani-koneru/12/17/538</v>
      </c>
      <c r="I5377" s="2" t="s">
        <v>440</v>
      </c>
      <c r="J5377" s="2" t="s">
        <v>102</v>
      </c>
      <c r="K5377" s="2" t="s">
        <v>10572</v>
      </c>
    </row>
    <row r="5378" ht="15.75" customHeight="1">
      <c r="A5378" s="2">
        <v>11743.0</v>
      </c>
      <c r="B5378" s="2" t="s">
        <v>10790</v>
      </c>
      <c r="C5378" s="2" t="s">
        <v>10791</v>
      </c>
      <c r="D5378" s="2"/>
      <c r="E5378" s="2" t="s">
        <v>992</v>
      </c>
      <c r="F5378" s="2">
        <v>5.0</v>
      </c>
      <c r="G5378" s="2">
        <v>500.0</v>
      </c>
      <c r="H5378" s="3" t="str">
        <f>HYPERLINK("http://www.linkedin.com/pub/annie-mitchual/2/985/6A2","http://www.linkedin.com/pub/annie-mitchual/2/985/6A2")</f>
        <v>http://www.linkedin.com/pub/annie-mitchual/2/985/6A2</v>
      </c>
      <c r="I5378" s="2" t="s">
        <v>15</v>
      </c>
      <c r="J5378" s="2" t="s">
        <v>102</v>
      </c>
      <c r="K5378" s="2" t="s">
        <v>10184</v>
      </c>
    </row>
    <row r="5379" ht="15.75" customHeight="1">
      <c r="A5379" s="2">
        <v>11745.0</v>
      </c>
      <c r="B5379" s="2" t="s">
        <v>1479</v>
      </c>
      <c r="C5379" s="2" t="s">
        <v>8043</v>
      </c>
      <c r="D5379" s="2" t="s">
        <v>10447</v>
      </c>
      <c r="E5379" s="2" t="s">
        <v>235</v>
      </c>
      <c r="F5379" s="2">
        <v>2.0</v>
      </c>
      <c r="G5379" s="2">
        <v>258.0</v>
      </c>
      <c r="H5379" s="3" t="str">
        <f>HYPERLINK("http://www.linkedin.com/pub/frank-da-silva/4/7B/B55","http://www.linkedin.com/pub/frank-da-silva/4/7B/B55")</f>
        <v>http://www.linkedin.com/pub/frank-da-silva/4/7B/B55</v>
      </c>
      <c r="I5379" s="2" t="s">
        <v>15</v>
      </c>
      <c r="J5379" s="2" t="s">
        <v>102</v>
      </c>
      <c r="K5379" s="2" t="s">
        <v>10245</v>
      </c>
    </row>
    <row r="5380" ht="15.75" customHeight="1">
      <c r="A5380" s="2">
        <v>11746.0</v>
      </c>
      <c r="B5380" s="2" t="s">
        <v>9240</v>
      </c>
      <c r="C5380" s="2" t="s">
        <v>10792</v>
      </c>
      <c r="D5380" s="2" t="s">
        <v>8716</v>
      </c>
      <c r="E5380" s="2" t="s">
        <v>992</v>
      </c>
      <c r="F5380" s="2">
        <v>4.0</v>
      </c>
      <c r="G5380" s="2">
        <v>226.0</v>
      </c>
      <c r="H5380" s="3" t="str">
        <f>HYPERLINK("http://www.linkedin.com/in/ramaraparthi","http://www.linkedin.com/in/ramaraparthi")</f>
        <v>http://www.linkedin.com/in/ramaraparthi</v>
      </c>
      <c r="I5380" s="2" t="s">
        <v>15</v>
      </c>
      <c r="J5380" s="2" t="s">
        <v>102</v>
      </c>
      <c r="K5380" s="2" t="s">
        <v>10184</v>
      </c>
    </row>
    <row r="5381" ht="15.75" customHeight="1">
      <c r="A5381" s="2">
        <v>11748.0</v>
      </c>
      <c r="B5381" s="2" t="s">
        <v>353</v>
      </c>
      <c r="C5381" s="2" t="s">
        <v>10793</v>
      </c>
      <c r="D5381" s="2" t="s">
        <v>10794</v>
      </c>
      <c r="E5381" s="2" t="s">
        <v>20</v>
      </c>
      <c r="F5381" s="2">
        <v>4.0</v>
      </c>
      <c r="G5381" s="2">
        <v>231.0</v>
      </c>
      <c r="H5381" s="3" t="str">
        <f>HYPERLINK("http://ar.linkedin.com/in/alejandrodinucci","http://ar.linkedin.com/in/alejandrodinucci")</f>
        <v>http://ar.linkedin.com/in/alejandrodinucci</v>
      </c>
      <c r="I5381" s="2" t="s">
        <v>15</v>
      </c>
      <c r="J5381" s="2" t="s">
        <v>21</v>
      </c>
      <c r="K5381" s="2" t="s">
        <v>10196</v>
      </c>
    </row>
    <row r="5382" ht="15.75" customHeight="1">
      <c r="A5382" s="2">
        <v>11757.0</v>
      </c>
      <c r="B5382" s="2" t="s">
        <v>10795</v>
      </c>
      <c r="C5382" s="2" t="s">
        <v>10796</v>
      </c>
      <c r="D5382" s="2"/>
      <c r="E5382" s="2" t="s">
        <v>628</v>
      </c>
      <c r="F5382" s="2">
        <v>0.0</v>
      </c>
      <c r="G5382" s="2">
        <v>170.0</v>
      </c>
      <c r="H5382" s="3" t="str">
        <f>HYPERLINK("http://www.linkedin.com/pub/olga-godlevska/1/894/B1B","http://www.linkedin.com/pub/olga-godlevska/1/894/B1B")</f>
        <v>http://www.linkedin.com/pub/olga-godlevska/1/894/B1B</v>
      </c>
      <c r="I5382" s="2" t="s">
        <v>15</v>
      </c>
      <c r="J5382" s="2" t="s">
        <v>102</v>
      </c>
      <c r="K5382" s="2" t="s">
        <v>10184</v>
      </c>
    </row>
    <row r="5383" ht="15.75" customHeight="1">
      <c r="A5383" s="2">
        <v>11759.0</v>
      </c>
      <c r="B5383" s="2" t="s">
        <v>492</v>
      </c>
      <c r="C5383" s="2" t="s">
        <v>10797</v>
      </c>
      <c r="D5383" s="2" t="s">
        <v>10798</v>
      </c>
      <c r="E5383" s="2" t="s">
        <v>1329</v>
      </c>
      <c r="F5383" s="2">
        <v>6.0</v>
      </c>
      <c r="G5383" s="2">
        <v>249.0</v>
      </c>
      <c r="H5383" s="3" t="str">
        <f>HYPERLINK("http://www.linkedin.com/in/luntsevichs","http://www.linkedin.com/in/luntsevichs")</f>
        <v>http://www.linkedin.com/in/luntsevichs</v>
      </c>
      <c r="I5383" s="2" t="s">
        <v>15</v>
      </c>
      <c r="J5383" s="2" t="s">
        <v>102</v>
      </c>
      <c r="K5383" s="2" t="s">
        <v>10799</v>
      </c>
    </row>
    <row r="5384" ht="15.75" customHeight="1">
      <c r="A5384" s="2">
        <v>11764.0</v>
      </c>
      <c r="B5384" s="2" t="s">
        <v>1087</v>
      </c>
      <c r="C5384" s="2" t="s">
        <v>10800</v>
      </c>
      <c r="D5384" s="2" t="s">
        <v>2532</v>
      </c>
      <c r="E5384" s="2" t="s">
        <v>628</v>
      </c>
      <c r="F5384" s="2">
        <v>9.0</v>
      </c>
      <c r="G5384" s="2">
        <v>177.0</v>
      </c>
      <c r="H5384" s="3" t="str">
        <f>HYPERLINK("http://www.linkedin.com/in/jamesbierlein","http://www.linkedin.com/in/jamesbierlein")</f>
        <v>http://www.linkedin.com/in/jamesbierlein</v>
      </c>
      <c r="I5384" s="2" t="s">
        <v>15</v>
      </c>
      <c r="J5384" s="2" t="s">
        <v>102</v>
      </c>
      <c r="K5384" s="2" t="s">
        <v>10801</v>
      </c>
    </row>
    <row r="5385" ht="15.75" customHeight="1">
      <c r="A5385" s="2">
        <v>11766.0</v>
      </c>
      <c r="B5385" s="2" t="s">
        <v>379</v>
      </c>
      <c r="C5385" s="2" t="s">
        <v>10802</v>
      </c>
      <c r="D5385" s="2" t="s">
        <v>10803</v>
      </c>
      <c r="E5385" s="2" t="s">
        <v>628</v>
      </c>
      <c r="F5385" s="2">
        <v>1.0</v>
      </c>
      <c r="G5385" s="2">
        <v>280.0</v>
      </c>
      <c r="H5385" s="3" t="str">
        <f>HYPERLINK("http://www.linkedin.com/in/romanshulman","http://www.linkedin.com/in/romanshulman")</f>
        <v>http://www.linkedin.com/in/romanshulman</v>
      </c>
      <c r="I5385" s="2" t="s">
        <v>844</v>
      </c>
      <c r="J5385" s="2" t="s">
        <v>102</v>
      </c>
      <c r="K5385" s="2" t="s">
        <v>10206</v>
      </c>
    </row>
    <row r="5386" ht="15.75" customHeight="1">
      <c r="A5386" s="2">
        <v>11770.0</v>
      </c>
      <c r="B5386" s="2" t="s">
        <v>10804</v>
      </c>
      <c r="C5386" s="2" t="s">
        <v>308</v>
      </c>
      <c r="D5386" s="2" t="s">
        <v>10805</v>
      </c>
      <c r="E5386" s="2" t="s">
        <v>628</v>
      </c>
      <c r="F5386" s="2">
        <v>6.0</v>
      </c>
      <c r="G5386" s="2">
        <v>216.0</v>
      </c>
      <c r="H5386" s="3" t="str">
        <f>HYPERLINK("http://www.linkedin.com/pub/chetna-gupta/1/768/8A6","http://www.linkedin.com/pub/chetna-gupta/1/768/8A6")</f>
        <v>http://www.linkedin.com/pub/chetna-gupta/1/768/8A6</v>
      </c>
      <c r="I5386" s="2" t="s">
        <v>48</v>
      </c>
      <c r="J5386" s="2" t="s">
        <v>102</v>
      </c>
      <c r="K5386" s="2" t="s">
        <v>10184</v>
      </c>
    </row>
    <row r="5387" ht="15.75" customHeight="1">
      <c r="A5387" s="2">
        <v>11785.0</v>
      </c>
      <c r="B5387" s="2" t="s">
        <v>5803</v>
      </c>
      <c r="C5387" s="2" t="s">
        <v>4233</v>
      </c>
      <c r="D5387" s="2" t="s">
        <v>10806</v>
      </c>
      <c r="E5387" s="2" t="s">
        <v>20</v>
      </c>
      <c r="F5387" s="2">
        <v>16.0</v>
      </c>
      <c r="G5387" s="2">
        <v>500.0</v>
      </c>
      <c r="H5387" s="3" t="str">
        <f>HYPERLINK("http://www.linkedin.com/in/gonzalezmariano","http://www.linkedin.com/in/gonzalezmariano")</f>
        <v>http://www.linkedin.com/in/gonzalezmariano</v>
      </c>
      <c r="I5387" s="2" t="s">
        <v>15</v>
      </c>
      <c r="J5387" s="2" t="s">
        <v>21</v>
      </c>
      <c r="K5387" s="2" t="s">
        <v>10196</v>
      </c>
    </row>
    <row r="5388" ht="15.75" customHeight="1">
      <c r="A5388" s="2">
        <v>11786.0</v>
      </c>
      <c r="B5388" s="2" t="s">
        <v>6417</v>
      </c>
      <c r="C5388" s="2" t="s">
        <v>2256</v>
      </c>
      <c r="D5388" s="2" t="s">
        <v>118</v>
      </c>
      <c r="E5388" s="2" t="s">
        <v>20</v>
      </c>
      <c r="F5388" s="2">
        <v>5.0</v>
      </c>
      <c r="G5388" s="2">
        <v>367.0</v>
      </c>
      <c r="H5388" s="3" t="str">
        <f>HYPERLINK("http://ar.linkedin.com/in/gonzaloa","http://ar.linkedin.com/in/gonzaloa")</f>
        <v>http://ar.linkedin.com/in/gonzaloa</v>
      </c>
      <c r="I5388" s="2" t="s">
        <v>15</v>
      </c>
      <c r="J5388" s="2" t="s">
        <v>21</v>
      </c>
      <c r="K5388" s="2" t="s">
        <v>10178</v>
      </c>
    </row>
    <row r="5389" ht="15.75" customHeight="1">
      <c r="A5389" s="2">
        <v>11812.0</v>
      </c>
      <c r="B5389" s="2" t="s">
        <v>10807</v>
      </c>
      <c r="C5389" s="2" t="s">
        <v>2213</v>
      </c>
      <c r="D5389" s="2" t="s">
        <v>2385</v>
      </c>
      <c r="E5389" s="2" t="s">
        <v>397</v>
      </c>
      <c r="F5389" s="2">
        <v>20.0</v>
      </c>
      <c r="G5389" s="2">
        <v>500.0</v>
      </c>
      <c r="H5389" s="3" t="str">
        <f>HYPERLINK("http://www.linkedin.com/pub/parimala-rao/5/813/A97","http://www.linkedin.com/pub/parimala-rao/5/813/A97")</f>
        <v>http://www.linkedin.com/pub/parimala-rao/5/813/A97</v>
      </c>
      <c r="I5389" s="2" t="s">
        <v>15</v>
      </c>
      <c r="J5389" s="2" t="s">
        <v>102</v>
      </c>
      <c r="K5389" s="2" t="s">
        <v>10184</v>
      </c>
    </row>
    <row r="5390" ht="15.75" customHeight="1">
      <c r="A5390" s="2">
        <v>11814.0</v>
      </c>
      <c r="B5390" s="2" t="s">
        <v>242</v>
      </c>
      <c r="C5390" s="2" t="s">
        <v>10808</v>
      </c>
      <c r="D5390" s="2" t="s">
        <v>13</v>
      </c>
      <c r="E5390" s="2" t="s">
        <v>136</v>
      </c>
      <c r="F5390" s="2">
        <v>0.0</v>
      </c>
      <c r="G5390" s="2">
        <v>500.0</v>
      </c>
      <c r="H5390" s="3" t="str">
        <f>HYPERLINK("https://www.linkedin.com/in/annavergeles","https://www.linkedin.com/in/annavergeles")</f>
        <v>https://www.linkedin.com/in/annavergeles</v>
      </c>
      <c r="I5390" s="2" t="s">
        <v>15</v>
      </c>
      <c r="J5390" s="2" t="s">
        <v>102</v>
      </c>
      <c r="K5390" s="2" t="s">
        <v>10206</v>
      </c>
    </row>
    <row r="5391" ht="15.75" customHeight="1">
      <c r="A5391" s="2">
        <v>11815.0</v>
      </c>
      <c r="B5391" s="2" t="s">
        <v>10809</v>
      </c>
      <c r="C5391" s="2" t="s">
        <v>10810</v>
      </c>
      <c r="D5391" s="2" t="s">
        <v>10811</v>
      </c>
      <c r="E5391" s="2" t="s">
        <v>136</v>
      </c>
      <c r="F5391" s="2">
        <v>0.0</v>
      </c>
      <c r="G5391" s="2">
        <v>114.0</v>
      </c>
      <c r="H5391" s="3" t="str">
        <f>HYPERLINK("http://www.linkedin.com/pub/grigory-grosman/4/857/23A","http://www.linkedin.com/pub/grigory-grosman/4/857/23A")</f>
        <v>http://www.linkedin.com/pub/grigory-grosman/4/857/23A</v>
      </c>
      <c r="I5391" s="2" t="s">
        <v>48</v>
      </c>
      <c r="J5391" s="2" t="s">
        <v>102</v>
      </c>
      <c r="K5391" s="2" t="s">
        <v>10233</v>
      </c>
    </row>
    <row r="5392" ht="15.75" customHeight="1">
      <c r="A5392" s="2">
        <v>11818.0</v>
      </c>
      <c r="B5392" s="2" t="s">
        <v>3432</v>
      </c>
      <c r="C5392" s="2" t="s">
        <v>10812</v>
      </c>
      <c r="D5392" s="2" t="s">
        <v>10813</v>
      </c>
      <c r="E5392" s="2" t="s">
        <v>136</v>
      </c>
      <c r="F5392" s="2">
        <v>16.0</v>
      </c>
      <c r="G5392" s="2">
        <v>250.0</v>
      </c>
      <c r="H5392" s="3" t="str">
        <f>HYPERLINK("http://www.linkedin.com/in/josephvu","http://www.linkedin.com/in/josephvu")</f>
        <v>http://www.linkedin.com/in/josephvu</v>
      </c>
      <c r="I5392" s="2" t="s">
        <v>69</v>
      </c>
      <c r="J5392" s="2" t="s">
        <v>102</v>
      </c>
      <c r="K5392" s="2" t="s">
        <v>10176</v>
      </c>
    </row>
    <row r="5393" ht="15.75" customHeight="1">
      <c r="A5393" s="2">
        <v>11819.0</v>
      </c>
      <c r="B5393" s="2" t="s">
        <v>1366</v>
      </c>
      <c r="C5393" s="2" t="s">
        <v>10814</v>
      </c>
      <c r="D5393" s="2" t="s">
        <v>10815</v>
      </c>
      <c r="E5393" s="2" t="s">
        <v>136</v>
      </c>
      <c r="F5393" s="2">
        <v>18.0</v>
      </c>
      <c r="G5393" s="2">
        <v>325.0</v>
      </c>
      <c r="H5393" s="3" t="str">
        <f>HYPERLINK("http://www.linkedin.com/in/psalas","http://www.linkedin.com/in/psalas")</f>
        <v>http://www.linkedin.com/in/psalas</v>
      </c>
      <c r="I5393" s="2" t="s">
        <v>48</v>
      </c>
      <c r="J5393" s="2" t="s">
        <v>102</v>
      </c>
      <c r="K5393" s="2" t="s">
        <v>10245</v>
      </c>
    </row>
    <row r="5394" ht="15.75" customHeight="1">
      <c r="A5394" s="2">
        <v>11820.0</v>
      </c>
      <c r="B5394" s="2" t="s">
        <v>1173</v>
      </c>
      <c r="C5394" s="2" t="s">
        <v>10816</v>
      </c>
      <c r="D5394" s="2" t="s">
        <v>10817</v>
      </c>
      <c r="E5394" s="2" t="s">
        <v>136</v>
      </c>
      <c r="F5394" s="2">
        <v>6.0</v>
      </c>
      <c r="G5394" s="2">
        <v>163.0</v>
      </c>
      <c r="H5394" s="3" t="str">
        <f>HYPERLINK("http://www.linkedin.com/in/stevelandes","http://www.linkedin.com/in/stevelandes")</f>
        <v>http://www.linkedin.com/in/stevelandes</v>
      </c>
      <c r="I5394" s="2" t="s">
        <v>77</v>
      </c>
      <c r="J5394" s="2" t="s">
        <v>102</v>
      </c>
      <c r="K5394" s="2" t="s">
        <v>10384</v>
      </c>
    </row>
    <row r="5395" ht="15.75" customHeight="1">
      <c r="A5395" s="2">
        <v>11822.0</v>
      </c>
      <c r="B5395" s="2" t="s">
        <v>1545</v>
      </c>
      <c r="C5395" s="2" t="s">
        <v>10818</v>
      </c>
      <c r="D5395" s="2" t="s">
        <v>42</v>
      </c>
      <c r="E5395" s="2" t="s">
        <v>166</v>
      </c>
      <c r="F5395" s="2">
        <v>1.0</v>
      </c>
      <c r="G5395" s="2">
        <v>367.0</v>
      </c>
      <c r="H5395" s="3" t="str">
        <f>HYPERLINK("http://www.linkedin.com/pub/patrick-daly/3/901/811","http://www.linkedin.com/pub/patrick-daly/3/901/811")</f>
        <v>http://www.linkedin.com/pub/patrick-daly/3/901/811</v>
      </c>
      <c r="I5395" s="2" t="s">
        <v>15</v>
      </c>
      <c r="J5395" s="2" t="s">
        <v>102</v>
      </c>
      <c r="K5395" s="2" t="s">
        <v>10233</v>
      </c>
    </row>
    <row r="5396" ht="15.75" customHeight="1">
      <c r="A5396" s="2">
        <v>11833.0</v>
      </c>
      <c r="B5396" s="2" t="s">
        <v>1748</v>
      </c>
      <c r="C5396" s="2" t="s">
        <v>10819</v>
      </c>
      <c r="D5396" s="2" t="s">
        <v>10820</v>
      </c>
      <c r="E5396" s="2" t="s">
        <v>1407</v>
      </c>
      <c r="F5396" s="2">
        <v>7.0</v>
      </c>
      <c r="G5396" s="2">
        <v>500.0</v>
      </c>
      <c r="H5396" s="3" t="str">
        <f>HYPERLINK("http://www.linkedin.com/in/srtarbet","http://www.linkedin.com/in/srtarbet")</f>
        <v>http://www.linkedin.com/in/srtarbet</v>
      </c>
      <c r="I5396" s="2" t="s">
        <v>1931</v>
      </c>
      <c r="J5396" s="2" t="s">
        <v>102</v>
      </c>
      <c r="K5396" s="2" t="s">
        <v>10209</v>
      </c>
    </row>
    <row r="5397" ht="15.75" customHeight="1">
      <c r="A5397" s="2">
        <v>11844.0</v>
      </c>
      <c r="B5397" s="2" t="s">
        <v>10821</v>
      </c>
      <c r="C5397" s="2" t="s">
        <v>4990</v>
      </c>
      <c r="D5397" s="2" t="s">
        <v>10822</v>
      </c>
      <c r="E5397" s="2" t="s">
        <v>136</v>
      </c>
      <c r="F5397" s="2">
        <v>0.0</v>
      </c>
      <c r="G5397" s="2">
        <v>241.0</v>
      </c>
      <c r="H5397" s="3" t="str">
        <f>HYPERLINK("http://www.linkedin.com/pub/damie-green/9/45B/7B5","http://www.linkedin.com/pub/damie-green/9/45B/7B5")</f>
        <v>http://www.linkedin.com/pub/damie-green/9/45B/7B5</v>
      </c>
      <c r="I5397" s="2" t="s">
        <v>48</v>
      </c>
      <c r="J5397" s="2" t="s">
        <v>102</v>
      </c>
      <c r="K5397" s="2" t="s">
        <v>10263</v>
      </c>
    </row>
    <row r="5398" ht="15.75" customHeight="1">
      <c r="A5398" s="2">
        <v>11848.0</v>
      </c>
      <c r="B5398" s="2" t="s">
        <v>631</v>
      </c>
      <c r="C5398" s="2" t="s">
        <v>10823</v>
      </c>
      <c r="D5398" s="2"/>
      <c r="E5398" s="2" t="s">
        <v>10824</v>
      </c>
      <c r="F5398" s="2">
        <v>1.0</v>
      </c>
      <c r="G5398" s="2">
        <v>500.0</v>
      </c>
      <c r="H5398" s="3" t="str">
        <f>HYPERLINK("http://www.linkedin.com/pub/chris-knappick/0/B17/92","http://www.linkedin.com/pub/chris-knappick/0/B17/92")</f>
        <v>http://www.linkedin.com/pub/chris-knappick/0/B17/92</v>
      </c>
      <c r="I5398" s="2" t="s">
        <v>69</v>
      </c>
      <c r="J5398" s="2" t="s">
        <v>926</v>
      </c>
      <c r="K5398" s="2" t="s">
        <v>10173</v>
      </c>
    </row>
    <row r="5399" ht="15.75" customHeight="1">
      <c r="A5399" s="2">
        <v>11849.0</v>
      </c>
      <c r="B5399" s="2" t="s">
        <v>10825</v>
      </c>
      <c r="C5399" s="2" t="s">
        <v>1144</v>
      </c>
      <c r="D5399" s="2" t="s">
        <v>10218</v>
      </c>
      <c r="E5399" s="2" t="s">
        <v>1407</v>
      </c>
      <c r="F5399" s="2">
        <v>1.0</v>
      </c>
      <c r="G5399" s="2">
        <v>158.0</v>
      </c>
      <c r="H5399" s="3" t="str">
        <f>HYPERLINK("http://www.linkedin.com/pub/margie-allen/4/735/73","http://www.linkedin.com/pub/margie-allen/4/735/73")</f>
        <v>http://www.linkedin.com/pub/margie-allen/4/735/73</v>
      </c>
      <c r="I5399" s="2" t="s">
        <v>1421</v>
      </c>
      <c r="J5399" s="2" t="s">
        <v>102</v>
      </c>
      <c r="K5399" s="2" t="s">
        <v>10229</v>
      </c>
    </row>
    <row r="5400" ht="15.75" customHeight="1">
      <c r="A5400" s="2">
        <v>11855.0</v>
      </c>
      <c r="B5400" s="2" t="s">
        <v>84</v>
      </c>
      <c r="C5400" s="2" t="s">
        <v>3869</v>
      </c>
      <c r="D5400" s="2" t="s">
        <v>289</v>
      </c>
      <c r="E5400" s="2" t="s">
        <v>728</v>
      </c>
      <c r="F5400" s="2">
        <v>0.0</v>
      </c>
      <c r="G5400" s="2">
        <v>304.0</v>
      </c>
      <c r="H5400" s="3" t="str">
        <f>HYPERLINK("http://www.linkedin.com/pub/deepak-williams/6/850/787","http://www.linkedin.com/pub/deepak-williams/6/850/787")</f>
        <v>http://www.linkedin.com/pub/deepak-williams/6/850/787</v>
      </c>
      <c r="I5400" s="2" t="s">
        <v>252</v>
      </c>
      <c r="J5400" s="2" t="s">
        <v>102</v>
      </c>
      <c r="K5400" s="2" t="s">
        <v>10286</v>
      </c>
    </row>
    <row r="5401" ht="15.75" customHeight="1">
      <c r="A5401" s="2">
        <v>11864.0</v>
      </c>
      <c r="B5401" s="2" t="s">
        <v>1335</v>
      </c>
      <c r="C5401" s="2" t="s">
        <v>10826</v>
      </c>
      <c r="D5401" s="2" t="s">
        <v>289</v>
      </c>
      <c r="E5401" s="2" t="s">
        <v>20</v>
      </c>
      <c r="F5401" s="2">
        <v>13.0</v>
      </c>
      <c r="G5401" s="2">
        <v>282.0</v>
      </c>
      <c r="H5401" s="3" t="str">
        <f>HYPERLINK("http://ar.linkedin.com/pub/jose-gonzalez-alonso/4/BB2/179","http://ar.linkedin.com/pub/jose-gonzalez-alonso/4/BB2/179")</f>
        <v>http://ar.linkedin.com/pub/jose-gonzalez-alonso/4/BB2/179</v>
      </c>
      <c r="I5401" s="2" t="s">
        <v>15</v>
      </c>
      <c r="J5401" s="2" t="s">
        <v>21</v>
      </c>
      <c r="K5401" s="2" t="s">
        <v>10196</v>
      </c>
    </row>
    <row r="5402" ht="15.75" customHeight="1">
      <c r="A5402" s="2">
        <v>11876.0</v>
      </c>
      <c r="B5402" s="2" t="s">
        <v>1499</v>
      </c>
      <c r="C5402" s="2" t="s">
        <v>10827</v>
      </c>
      <c r="D5402" s="2" t="s">
        <v>10828</v>
      </c>
      <c r="E5402" s="2" t="s">
        <v>20</v>
      </c>
      <c r="F5402" s="2">
        <v>1.0</v>
      </c>
      <c r="G5402" s="2">
        <v>390.0</v>
      </c>
      <c r="H5402" s="3" t="str">
        <f>HYPERLINK("http://ar.linkedin.com/in/adrianbinda","http://ar.linkedin.com/in/adrianbinda")</f>
        <v>http://ar.linkedin.com/in/adrianbinda</v>
      </c>
      <c r="I5402" s="2" t="s">
        <v>48</v>
      </c>
      <c r="J5402" s="2" t="s">
        <v>21</v>
      </c>
      <c r="K5402" s="2" t="s">
        <v>10173</v>
      </c>
    </row>
    <row r="5403" ht="15.75" customHeight="1">
      <c r="A5403" s="2">
        <v>11882.0</v>
      </c>
      <c r="B5403" s="2" t="s">
        <v>5723</v>
      </c>
      <c r="C5403" s="2" t="s">
        <v>10829</v>
      </c>
      <c r="D5403" s="2" t="s">
        <v>42</v>
      </c>
      <c r="E5403" s="2" t="s">
        <v>20</v>
      </c>
      <c r="F5403" s="2">
        <v>0.0</v>
      </c>
      <c r="G5403" s="2">
        <v>103.0</v>
      </c>
      <c r="H5403" s="3" t="str">
        <f>HYPERLINK("http://ar.linkedin.com/pub/pablo-folonier/7/274/858","http://ar.linkedin.com/pub/pablo-folonier/7/274/858")</f>
        <v>http://ar.linkedin.com/pub/pablo-folonier/7/274/858</v>
      </c>
      <c r="I5403" s="2" t="s">
        <v>621</v>
      </c>
      <c r="J5403" s="2" t="s">
        <v>21</v>
      </c>
      <c r="K5403" s="2" t="s">
        <v>10206</v>
      </c>
    </row>
    <row r="5404" ht="15.75" customHeight="1">
      <c r="A5404" s="2">
        <v>11900.0</v>
      </c>
      <c r="B5404" s="2" t="s">
        <v>10830</v>
      </c>
      <c r="C5404" s="2" t="s">
        <v>10831</v>
      </c>
      <c r="D5404" s="2" t="s">
        <v>8962</v>
      </c>
      <c r="E5404" s="2" t="s">
        <v>20</v>
      </c>
      <c r="F5404" s="2">
        <v>1.0</v>
      </c>
      <c r="G5404" s="2">
        <v>352.0</v>
      </c>
      <c r="H5404" s="3" t="str">
        <f>HYPERLINK("http://ar.linkedin.com/in/federicca","http://ar.linkedin.com/in/federicca")</f>
        <v>http://ar.linkedin.com/in/federicca</v>
      </c>
      <c r="I5404" s="2" t="s">
        <v>69</v>
      </c>
      <c r="J5404" s="2" t="s">
        <v>21</v>
      </c>
      <c r="K5404" s="2" t="s">
        <v>10173</v>
      </c>
    </row>
    <row r="5405" ht="15.75" customHeight="1">
      <c r="A5405" s="2">
        <v>11929.0</v>
      </c>
      <c r="B5405" s="2" t="s">
        <v>2622</v>
      </c>
      <c r="C5405" s="2" t="s">
        <v>10832</v>
      </c>
      <c r="D5405" s="2" t="s">
        <v>10833</v>
      </c>
      <c r="E5405" s="2" t="s">
        <v>301</v>
      </c>
      <c r="F5405" s="2">
        <v>2.0</v>
      </c>
      <c r="G5405" s="2">
        <v>500.0</v>
      </c>
      <c r="H5405" s="3" t="str">
        <f>HYPERLINK("http://www.linkedin.com/in/jessicacheung","http://www.linkedin.com/in/jessicacheung")</f>
        <v>http://www.linkedin.com/in/jessicacheung</v>
      </c>
      <c r="I5405" s="2" t="s">
        <v>105</v>
      </c>
      <c r="J5405" s="2" t="s">
        <v>102</v>
      </c>
      <c r="K5405" s="2" t="s">
        <v>10482</v>
      </c>
    </row>
    <row r="5406" ht="15.75" customHeight="1">
      <c r="A5406" s="2">
        <v>11939.0</v>
      </c>
      <c r="B5406" s="2" t="s">
        <v>10834</v>
      </c>
      <c r="C5406" s="2" t="s">
        <v>10835</v>
      </c>
      <c r="D5406" s="2" t="s">
        <v>13</v>
      </c>
      <c r="E5406" s="2" t="s">
        <v>1605</v>
      </c>
      <c r="F5406" s="2">
        <v>6.0</v>
      </c>
      <c r="G5406" s="2">
        <v>500.0</v>
      </c>
      <c r="H5406" s="3" t="str">
        <f>HYPERLINK("http://www.linkedin.com/in/amllano","http://www.linkedin.com/in/amllano")</f>
        <v>http://www.linkedin.com/in/amllano</v>
      </c>
      <c r="I5406" s="2" t="s">
        <v>15</v>
      </c>
      <c r="J5406" s="2" t="s">
        <v>44</v>
      </c>
      <c r="K5406" s="2" t="s">
        <v>10836</v>
      </c>
    </row>
    <row r="5407" ht="15.75" customHeight="1">
      <c r="A5407" s="2">
        <v>11940.0</v>
      </c>
      <c r="B5407" s="2" t="s">
        <v>6417</v>
      </c>
      <c r="C5407" s="2" t="s">
        <v>10837</v>
      </c>
      <c r="D5407" s="2" t="s">
        <v>6202</v>
      </c>
      <c r="E5407" s="2" t="s">
        <v>20</v>
      </c>
      <c r="F5407" s="2">
        <v>6.0</v>
      </c>
      <c r="G5407" s="2">
        <v>405.0</v>
      </c>
      <c r="H5407" s="3" t="str">
        <f>HYPERLINK("http://ar.linkedin.com/in/gonzaloaune","http://ar.linkedin.com/in/gonzaloaune")</f>
        <v>http://ar.linkedin.com/in/gonzaloaune</v>
      </c>
      <c r="I5407" s="2" t="s">
        <v>69</v>
      </c>
      <c r="J5407" s="2" t="s">
        <v>21</v>
      </c>
      <c r="K5407" s="2" t="s">
        <v>10196</v>
      </c>
    </row>
    <row r="5408" ht="15.75" customHeight="1">
      <c r="A5408" s="2">
        <v>11943.0</v>
      </c>
      <c r="B5408" s="2" t="s">
        <v>3550</v>
      </c>
      <c r="C5408" s="2" t="s">
        <v>10410</v>
      </c>
      <c r="D5408" s="2" t="s">
        <v>10838</v>
      </c>
      <c r="E5408" s="2" t="s">
        <v>20</v>
      </c>
      <c r="F5408" s="2">
        <v>3.0</v>
      </c>
      <c r="G5408" s="2">
        <v>198.0</v>
      </c>
      <c r="H5408" s="3" t="str">
        <f>HYPERLINK("http://ar.linkedin.com/in/nicolasrusconi","http://ar.linkedin.com/in/nicolasrusconi")</f>
        <v>http://ar.linkedin.com/in/nicolasrusconi</v>
      </c>
      <c r="I5408" s="2" t="s">
        <v>48</v>
      </c>
      <c r="J5408" s="2" t="s">
        <v>21</v>
      </c>
      <c r="K5408" s="2" t="s">
        <v>10839</v>
      </c>
    </row>
    <row r="5409" ht="15.75" customHeight="1">
      <c r="A5409" s="2">
        <v>11945.0</v>
      </c>
      <c r="B5409" s="2" t="s">
        <v>10840</v>
      </c>
      <c r="C5409" s="2" t="s">
        <v>10841</v>
      </c>
      <c r="D5409" s="2" t="s">
        <v>10842</v>
      </c>
      <c r="E5409" s="2" t="s">
        <v>1179</v>
      </c>
      <c r="F5409" s="2">
        <v>1.0</v>
      </c>
      <c r="G5409" s="2">
        <v>28.0</v>
      </c>
      <c r="H5409" s="3" t="str">
        <f>HYPERLINK("http://www.linkedin.com/pub/stan-vierhaus/24/944/25","http://www.linkedin.com/pub/stan-vierhaus/24/944/25")</f>
        <v>http://www.linkedin.com/pub/stan-vierhaus/24/944/25</v>
      </c>
      <c r="I5409" s="2" t="s">
        <v>69</v>
      </c>
      <c r="J5409" s="2" t="s">
        <v>102</v>
      </c>
      <c r="K5409" s="2" t="s">
        <v>10843</v>
      </c>
    </row>
    <row r="5410" ht="15.75" customHeight="1">
      <c r="A5410" s="2">
        <v>11946.0</v>
      </c>
      <c r="B5410" s="2" t="s">
        <v>10844</v>
      </c>
      <c r="C5410" s="2" t="s">
        <v>10845</v>
      </c>
      <c r="D5410" s="2" t="s">
        <v>10846</v>
      </c>
      <c r="E5410" s="2" t="s">
        <v>136</v>
      </c>
      <c r="F5410" s="2">
        <v>2.0</v>
      </c>
      <c r="G5410" s="2">
        <v>283.0</v>
      </c>
      <c r="H5410" s="3" t="str">
        <f>HYPERLINK("http://www.linkedin.com/in/eihabshadeed","http://www.linkedin.com/in/eihabshadeed")</f>
        <v>http://www.linkedin.com/in/eihabshadeed</v>
      </c>
      <c r="I5410" s="2" t="s">
        <v>15</v>
      </c>
      <c r="J5410" s="2" t="s">
        <v>102</v>
      </c>
      <c r="K5410" s="2" t="s">
        <v>10847</v>
      </c>
    </row>
    <row r="5411" ht="15.75" customHeight="1">
      <c r="A5411" s="2">
        <v>11947.0</v>
      </c>
      <c r="B5411" s="2" t="s">
        <v>4371</v>
      </c>
      <c r="C5411" s="2" t="s">
        <v>10848</v>
      </c>
      <c r="D5411" s="2" t="s">
        <v>10849</v>
      </c>
      <c r="E5411" s="2" t="s">
        <v>136</v>
      </c>
      <c r="F5411" s="2">
        <v>7.0</v>
      </c>
      <c r="G5411" s="2">
        <v>394.0</v>
      </c>
      <c r="H5411" s="3" t="str">
        <f>HYPERLINK("http://www.linkedin.com/pub/neeraj-tolmare/0/866/608","http://www.linkedin.com/pub/neeraj-tolmare/0/866/608")</f>
        <v>http://www.linkedin.com/pub/neeraj-tolmare/0/866/608</v>
      </c>
      <c r="I5411" s="2" t="s">
        <v>1452</v>
      </c>
      <c r="J5411" s="2" t="s">
        <v>102</v>
      </c>
      <c r="K5411" s="2" t="s">
        <v>10187</v>
      </c>
    </row>
    <row r="5412" ht="15.75" customHeight="1">
      <c r="A5412" s="2">
        <v>11948.0</v>
      </c>
      <c r="B5412" s="2" t="s">
        <v>1254</v>
      </c>
      <c r="C5412" s="2" t="s">
        <v>10850</v>
      </c>
      <c r="D5412" s="2" t="s">
        <v>10851</v>
      </c>
      <c r="E5412" s="2" t="s">
        <v>136</v>
      </c>
      <c r="F5412" s="2">
        <v>15.0</v>
      </c>
      <c r="G5412" s="2">
        <v>500.0</v>
      </c>
      <c r="H5412" s="3" t="str">
        <f>HYPERLINK("http://www.linkedin.com/in/rickwootten","http://www.linkedin.com/in/rickwootten")</f>
        <v>http://www.linkedin.com/in/rickwootten</v>
      </c>
      <c r="I5412" s="2" t="s">
        <v>119</v>
      </c>
      <c r="J5412" s="2" t="s">
        <v>102</v>
      </c>
      <c r="K5412" s="2" t="s">
        <v>10384</v>
      </c>
    </row>
    <row r="5413" ht="15.75" customHeight="1">
      <c r="A5413" s="2">
        <v>11949.0</v>
      </c>
      <c r="B5413" s="2" t="s">
        <v>10852</v>
      </c>
      <c r="C5413" s="2" t="s">
        <v>10853</v>
      </c>
      <c r="D5413" s="2"/>
      <c r="E5413" s="2" t="s">
        <v>10854</v>
      </c>
      <c r="F5413" s="2">
        <v>5.0</v>
      </c>
      <c r="G5413" s="2">
        <v>129.0</v>
      </c>
      <c r="H5413" s="3" t="str">
        <f>HYPERLINK("http://www.linkedin.com/pub/laxmi-penukula/1/619/984","http://www.linkedin.com/pub/laxmi-penukula/1/619/984")</f>
        <v>http://www.linkedin.com/pub/laxmi-penukula/1/619/984</v>
      </c>
      <c r="I5413" s="2" t="s">
        <v>48</v>
      </c>
      <c r="J5413" s="2" t="s">
        <v>102</v>
      </c>
      <c r="K5413" s="2" t="s">
        <v>10184</v>
      </c>
    </row>
    <row r="5414" ht="15.75" customHeight="1">
      <c r="A5414" s="2">
        <v>11952.0</v>
      </c>
      <c r="B5414" s="2" t="s">
        <v>10840</v>
      </c>
      <c r="C5414" s="2" t="s">
        <v>10855</v>
      </c>
      <c r="D5414" s="2"/>
      <c r="E5414" s="2" t="s">
        <v>1179</v>
      </c>
      <c r="F5414" s="2">
        <v>19.0</v>
      </c>
      <c r="G5414" s="2">
        <v>447.0</v>
      </c>
      <c r="H5414" s="3" t="str">
        <f>HYPERLINK("http://www.linkedin.com/pub/stan-strocher/0/AA2/670","http://www.linkedin.com/pub/stan-strocher/0/AA2/670")</f>
        <v>http://www.linkedin.com/pub/stan-strocher/0/AA2/670</v>
      </c>
      <c r="I5414" s="2" t="s">
        <v>3044</v>
      </c>
      <c r="J5414" s="2" t="s">
        <v>102</v>
      </c>
      <c r="K5414" s="2" t="s">
        <v>10206</v>
      </c>
    </row>
    <row r="5415" ht="15.75" customHeight="1">
      <c r="A5415" s="2">
        <v>11953.0</v>
      </c>
      <c r="B5415" s="2" t="s">
        <v>703</v>
      </c>
      <c r="C5415" s="2" t="s">
        <v>10856</v>
      </c>
      <c r="D5415" s="2"/>
      <c r="E5415" s="2" t="s">
        <v>136</v>
      </c>
      <c r="F5415" s="2">
        <v>0.0</v>
      </c>
      <c r="G5415" s="2">
        <v>189.0</v>
      </c>
      <c r="H5415" s="3" t="str">
        <f>HYPERLINK("http://www.linkedin.com/in/elrafa","http://www.linkedin.com/in/elrafa")</f>
        <v>http://www.linkedin.com/in/elrafa</v>
      </c>
      <c r="I5415" s="2" t="s">
        <v>69</v>
      </c>
      <c r="J5415" s="2" t="s">
        <v>102</v>
      </c>
      <c r="K5415" s="2" t="s">
        <v>10857</v>
      </c>
    </row>
    <row r="5416" ht="15.75" customHeight="1">
      <c r="A5416" s="2">
        <v>11955.0</v>
      </c>
      <c r="B5416" s="2" t="s">
        <v>631</v>
      </c>
      <c r="C5416" s="2" t="s">
        <v>10858</v>
      </c>
      <c r="D5416" s="2" t="s">
        <v>4224</v>
      </c>
      <c r="E5416" s="2" t="s">
        <v>136</v>
      </c>
      <c r="F5416" s="2">
        <v>8.0</v>
      </c>
      <c r="G5416" s="2">
        <v>500.0</v>
      </c>
      <c r="H5416" s="3" t="str">
        <f>HYPERLINK("http://www.linkedin.com/in/escorocks","http://www.linkedin.com/in/escorocks")</f>
        <v>http://www.linkedin.com/in/escorocks</v>
      </c>
      <c r="I5416" s="2" t="s">
        <v>69</v>
      </c>
      <c r="J5416" s="2" t="s">
        <v>102</v>
      </c>
      <c r="K5416" s="2" t="s">
        <v>10286</v>
      </c>
    </row>
    <row r="5417" ht="15.75" customHeight="1">
      <c r="A5417" s="2">
        <v>11957.0</v>
      </c>
      <c r="B5417" s="2" t="s">
        <v>3409</v>
      </c>
      <c r="C5417" s="2" t="s">
        <v>10859</v>
      </c>
      <c r="D5417" s="2" t="s">
        <v>10860</v>
      </c>
      <c r="E5417" s="2" t="s">
        <v>136</v>
      </c>
      <c r="F5417" s="2">
        <v>17.0</v>
      </c>
      <c r="G5417" s="2">
        <v>500.0</v>
      </c>
      <c r="H5417" s="3" t="str">
        <f>HYPERLINK("https://www.linkedin.com/in/judyhoffmann","https://www.linkedin.com/in/judyhoffmann")</f>
        <v>https://www.linkedin.com/in/judyhoffmann</v>
      </c>
      <c r="I5417" s="2" t="s">
        <v>160</v>
      </c>
      <c r="J5417" s="2" t="s">
        <v>102</v>
      </c>
      <c r="K5417" s="2" t="s">
        <v>10206</v>
      </c>
    </row>
    <row r="5418" ht="15.75" customHeight="1">
      <c r="A5418" s="2">
        <v>11961.0</v>
      </c>
      <c r="B5418" s="2" t="s">
        <v>3806</v>
      </c>
      <c r="C5418" s="2" t="s">
        <v>10861</v>
      </c>
      <c r="D5418" s="2"/>
      <c r="E5418" s="2" t="s">
        <v>136</v>
      </c>
      <c r="F5418" s="2">
        <v>3.0</v>
      </c>
      <c r="G5418" s="2">
        <v>382.0</v>
      </c>
      <c r="H5418" s="3" t="str">
        <f>HYPERLINK("http://www.linkedin.com/pub/dawn-dagucon/1/256/384","http://www.linkedin.com/pub/dawn-dagucon/1/256/384")</f>
        <v>http://www.linkedin.com/pub/dawn-dagucon/1/256/384</v>
      </c>
      <c r="I5418" s="2" t="s">
        <v>105</v>
      </c>
      <c r="J5418" s="2" t="s">
        <v>102</v>
      </c>
      <c r="K5418" s="2" t="s">
        <v>10209</v>
      </c>
    </row>
    <row r="5419" ht="15.75" customHeight="1">
      <c r="A5419" s="2">
        <v>12014.0</v>
      </c>
      <c r="B5419" s="2" t="s">
        <v>10862</v>
      </c>
      <c r="C5419" s="2" t="s">
        <v>296</v>
      </c>
      <c r="D5419" s="2" t="s">
        <v>304</v>
      </c>
      <c r="E5419" s="2" t="s">
        <v>122</v>
      </c>
      <c r="F5419" s="2">
        <v>1.0</v>
      </c>
      <c r="G5419" s="2">
        <v>369.0</v>
      </c>
      <c r="H5419" s="3" t="str">
        <f>HYPERLINK("http://uk.linkedin.com/pub/claire-delaney/19/41B/9B8","http://uk.linkedin.com/pub/claire-delaney/19/41B/9B8")</f>
        <v>http://uk.linkedin.com/pub/claire-delaney/19/41B/9B8</v>
      </c>
      <c r="I5419" s="2" t="s">
        <v>1094</v>
      </c>
      <c r="J5419" s="2" t="s">
        <v>53</v>
      </c>
      <c r="K5419" s="2" t="s">
        <v>10605</v>
      </c>
    </row>
    <row r="5420" ht="15.75" customHeight="1">
      <c r="A5420" s="2">
        <v>12021.0</v>
      </c>
      <c r="B5420" s="2" t="s">
        <v>10863</v>
      </c>
      <c r="C5420" s="2" t="s">
        <v>2344</v>
      </c>
      <c r="D5420" s="2" t="s">
        <v>10864</v>
      </c>
      <c r="E5420" s="2" t="s">
        <v>10865</v>
      </c>
      <c r="F5420" s="2">
        <v>5.0</v>
      </c>
      <c r="G5420" s="2">
        <v>500.0</v>
      </c>
      <c r="H5420" s="3" t="str">
        <f>HYPERLINK("http://uk.linkedin.com/pub/john-gibson/24/B7B/381","http://uk.linkedin.com/pub/john-gibson/24/B7B/381")</f>
        <v>http://uk.linkedin.com/pub/john-gibson/24/B7B/381</v>
      </c>
      <c r="I5420" s="2" t="s">
        <v>1094</v>
      </c>
      <c r="J5420" s="2" t="s">
        <v>53</v>
      </c>
      <c r="K5420" s="2" t="s">
        <v>10184</v>
      </c>
    </row>
    <row r="5421" ht="15.75" customHeight="1">
      <c r="A5421" s="2">
        <v>12025.0</v>
      </c>
      <c r="B5421" s="2" t="s">
        <v>3550</v>
      </c>
      <c r="C5421" s="2" t="s">
        <v>1729</v>
      </c>
      <c r="D5421" s="2" t="s">
        <v>10866</v>
      </c>
      <c r="E5421" s="2" t="s">
        <v>10867</v>
      </c>
      <c r="F5421" s="2">
        <v>2.0</v>
      </c>
      <c r="G5421" s="2">
        <v>312.0</v>
      </c>
      <c r="H5421" s="3" t="str">
        <f>HYPERLINK("http://ar.linkedin.com/pub/nicolas-martinez/20/B55/1B4","http://ar.linkedin.com/pub/nicolas-martinez/20/B55/1B4")</f>
        <v>http://ar.linkedin.com/pub/nicolas-martinez/20/B55/1B4</v>
      </c>
      <c r="I5421" s="2" t="s">
        <v>15</v>
      </c>
      <c r="J5421" s="2" t="s">
        <v>102</v>
      </c>
      <c r="K5421" s="2" t="s">
        <v>10184</v>
      </c>
    </row>
    <row r="5422" ht="15.75" customHeight="1">
      <c r="A5422" s="2">
        <v>12043.0</v>
      </c>
      <c r="B5422" s="2" t="s">
        <v>7655</v>
      </c>
      <c r="C5422" s="2" t="s">
        <v>7188</v>
      </c>
      <c r="D5422" s="2" t="s">
        <v>114</v>
      </c>
      <c r="E5422" s="2" t="s">
        <v>20</v>
      </c>
      <c r="F5422" s="2">
        <v>1.0</v>
      </c>
      <c r="G5422" s="2">
        <v>500.0</v>
      </c>
      <c r="H5422" s="3" t="str">
        <f>HYPERLINK("http://ar.linkedin.com/in/edgardovazquez","http://ar.linkedin.com/in/edgardovazquez")</f>
        <v>http://ar.linkedin.com/in/edgardovazquez</v>
      </c>
      <c r="I5422" s="2" t="s">
        <v>172</v>
      </c>
      <c r="J5422" s="2" t="s">
        <v>21</v>
      </c>
      <c r="K5422" s="2" t="s">
        <v>10184</v>
      </c>
    </row>
    <row r="5423" ht="15.75" customHeight="1">
      <c r="A5423" s="2">
        <v>12074.0</v>
      </c>
      <c r="B5423" s="2" t="s">
        <v>10868</v>
      </c>
      <c r="C5423" s="2" t="s">
        <v>10869</v>
      </c>
      <c r="D5423" s="2" t="s">
        <v>13</v>
      </c>
      <c r="E5423" s="2" t="s">
        <v>20</v>
      </c>
      <c r="F5423" s="2">
        <v>0.0</v>
      </c>
      <c r="G5423" s="2">
        <v>331.0</v>
      </c>
      <c r="H5423" s="3" t="str">
        <f>HYPERLINK("http://www.linkedin.com/pub/dar%C3%ADo-ariel-cariboni/1/a69/38","http://www.linkedin.com/pub/dar%C3%ADo-ariel-cariboni/1/a69/38")</f>
        <v>http://www.linkedin.com/pub/dar%C3%ADo-ariel-cariboni/1/a69/38</v>
      </c>
      <c r="I5423" s="2" t="s">
        <v>621</v>
      </c>
      <c r="J5423" s="2" t="s">
        <v>21</v>
      </c>
      <c r="K5423" s="2" t="s">
        <v>10196</v>
      </c>
    </row>
    <row r="5424" ht="15.75" customHeight="1">
      <c r="A5424" s="2">
        <v>12077.0</v>
      </c>
      <c r="B5424" s="2" t="s">
        <v>433</v>
      </c>
      <c r="C5424" s="2" t="s">
        <v>563</v>
      </c>
      <c r="D5424" s="2" t="s">
        <v>13</v>
      </c>
      <c r="E5424" s="2" t="s">
        <v>20</v>
      </c>
      <c r="F5424" s="2">
        <v>0.0</v>
      </c>
      <c r="G5424" s="2">
        <v>500.0</v>
      </c>
      <c r="H5424" s="3" t="str">
        <f>HYPERLINK("http://www.linkedin.com/in/awerner","http://www.linkedin.com/in/awerner")</f>
        <v>http://www.linkedin.com/in/awerner</v>
      </c>
      <c r="I5424" s="2" t="s">
        <v>1679</v>
      </c>
      <c r="J5424" s="2" t="s">
        <v>21</v>
      </c>
      <c r="K5424" s="2" t="s">
        <v>10482</v>
      </c>
    </row>
    <row r="5425" ht="15.75" customHeight="1">
      <c r="A5425" s="2">
        <v>12082.0</v>
      </c>
      <c r="B5425" s="2" t="s">
        <v>353</v>
      </c>
      <c r="C5425" s="2" t="s">
        <v>10870</v>
      </c>
      <c r="D5425" s="2" t="s">
        <v>13</v>
      </c>
      <c r="E5425" s="2" t="s">
        <v>181</v>
      </c>
      <c r="F5425" s="2">
        <v>7.0</v>
      </c>
      <c r="G5425" s="2">
        <v>500.0</v>
      </c>
      <c r="H5425" s="3" t="str">
        <f>HYPERLINK("http://www.linkedin.com/in/acamposcarles","http://www.linkedin.com/in/acamposcarles")</f>
        <v>http://www.linkedin.com/in/acamposcarles</v>
      </c>
      <c r="I5425" s="2" t="s">
        <v>105</v>
      </c>
      <c r="J5425" s="2" t="s">
        <v>102</v>
      </c>
      <c r="K5425" s="2" t="s">
        <v>10182</v>
      </c>
    </row>
    <row r="5426" ht="15.75" customHeight="1">
      <c r="A5426" s="2">
        <v>12103.0</v>
      </c>
      <c r="B5426" s="2" t="s">
        <v>3015</v>
      </c>
      <c r="C5426" s="2" t="s">
        <v>10871</v>
      </c>
      <c r="D5426" s="2" t="s">
        <v>10872</v>
      </c>
      <c r="E5426" s="2" t="s">
        <v>20</v>
      </c>
      <c r="F5426" s="2">
        <v>2.0</v>
      </c>
      <c r="G5426" s="2">
        <v>54.0</v>
      </c>
      <c r="H5426" s="3" t="str">
        <f>HYPERLINK("http://ar.linkedin.com/pub/luciano-campanelli/25/402/828","http://ar.linkedin.com/pub/luciano-campanelli/25/402/828")</f>
        <v>http://ar.linkedin.com/pub/luciano-campanelli/25/402/828</v>
      </c>
      <c r="I5426" s="2" t="s">
        <v>69</v>
      </c>
      <c r="J5426" s="2" t="s">
        <v>21</v>
      </c>
      <c r="K5426" s="2" t="s">
        <v>10196</v>
      </c>
    </row>
    <row r="5427" ht="15.75" customHeight="1">
      <c r="A5427" s="2">
        <v>12116.0</v>
      </c>
      <c r="B5427" s="2" t="s">
        <v>10873</v>
      </c>
      <c r="C5427" s="2" t="s">
        <v>10874</v>
      </c>
      <c r="D5427" s="2" t="s">
        <v>13</v>
      </c>
      <c r="E5427" s="2" t="s">
        <v>20</v>
      </c>
      <c r="F5427" s="2">
        <v>5.0</v>
      </c>
      <c r="G5427" s="2">
        <v>500.0</v>
      </c>
      <c r="H5427" s="3" t="str">
        <f>HYPERLINK("http://www.linkedin.com/pub/maria-teresa-di-rico/a/614/a97","http://www.linkedin.com/pub/maria-teresa-di-rico/a/614/a97")</f>
        <v>http://www.linkedin.com/pub/maria-teresa-di-rico/a/614/a97</v>
      </c>
      <c r="I5427" s="2" t="s">
        <v>15</v>
      </c>
      <c r="J5427" s="2" t="s">
        <v>21</v>
      </c>
      <c r="K5427" s="2" t="s">
        <v>10196</v>
      </c>
    </row>
    <row r="5428" ht="15.75" customHeight="1">
      <c r="A5428" s="2">
        <v>12128.0</v>
      </c>
      <c r="B5428" s="2" t="s">
        <v>201</v>
      </c>
      <c r="C5428" s="2" t="s">
        <v>10875</v>
      </c>
      <c r="D5428" s="2" t="s">
        <v>10876</v>
      </c>
      <c r="E5428" s="2" t="s">
        <v>20</v>
      </c>
      <c r="F5428" s="2">
        <v>8.0</v>
      </c>
      <c r="G5428" s="2">
        <v>500.0</v>
      </c>
      <c r="H5428" s="3" t="str">
        <f>HYPERLINK("http://ar.linkedin.com/pub/natalia-gil/B/921/572","http://ar.linkedin.com/pub/natalia-gil/B/921/572")</f>
        <v>http://ar.linkedin.com/pub/natalia-gil/B/921/572</v>
      </c>
      <c r="I5428" s="2" t="s">
        <v>1094</v>
      </c>
      <c r="J5428" s="2" t="s">
        <v>21</v>
      </c>
      <c r="K5428" s="2" t="s">
        <v>10229</v>
      </c>
    </row>
    <row r="5429" ht="15.75" customHeight="1">
      <c r="A5429" s="2">
        <v>12129.0</v>
      </c>
      <c r="B5429" s="2" t="s">
        <v>184</v>
      </c>
      <c r="C5429" s="2" t="s">
        <v>10877</v>
      </c>
      <c r="D5429" s="2" t="s">
        <v>380</v>
      </c>
      <c r="E5429" s="2" t="s">
        <v>20</v>
      </c>
      <c r="F5429" s="2">
        <v>12.0</v>
      </c>
      <c r="G5429" s="2">
        <v>500.0</v>
      </c>
      <c r="H5429" s="3" t="str">
        <f>HYPERLINK("http://ar.linkedin.com/in/celsoarabetti","http://ar.linkedin.com/in/celsoarabetti")</f>
        <v>http://ar.linkedin.com/in/celsoarabetti</v>
      </c>
      <c r="I5429" s="2" t="s">
        <v>225</v>
      </c>
      <c r="J5429" s="2" t="s">
        <v>21</v>
      </c>
      <c r="K5429" s="2" t="s">
        <v>10176</v>
      </c>
    </row>
    <row r="5430" ht="15.75" customHeight="1">
      <c r="A5430" s="2">
        <v>12260.0</v>
      </c>
      <c r="B5430" s="2" t="s">
        <v>264</v>
      </c>
      <c r="C5430" s="2" t="s">
        <v>10878</v>
      </c>
      <c r="D5430" s="2" t="s">
        <v>10879</v>
      </c>
      <c r="E5430" s="2" t="s">
        <v>20</v>
      </c>
      <c r="F5430" s="2">
        <v>0.0</v>
      </c>
      <c r="G5430" s="2">
        <v>453.0</v>
      </c>
      <c r="H5430" s="3" t="str">
        <f>HYPERLINK("http://ar.linkedin.com/pub/andres-leal/7/365/517","http://ar.linkedin.com/pub/andres-leal/7/365/517")</f>
        <v>http://ar.linkedin.com/pub/andres-leal/7/365/517</v>
      </c>
      <c r="I5430" s="2" t="s">
        <v>910</v>
      </c>
      <c r="J5430" s="2" t="s">
        <v>21</v>
      </c>
      <c r="K5430" s="2" t="s">
        <v>10880</v>
      </c>
    </row>
    <row r="5431" ht="15.75" customHeight="1">
      <c r="A5431" s="2">
        <v>12365.0</v>
      </c>
      <c r="B5431" s="2" t="s">
        <v>59</v>
      </c>
      <c r="C5431" s="2" t="s">
        <v>10881</v>
      </c>
      <c r="D5431" s="2" t="s">
        <v>13</v>
      </c>
      <c r="E5431" s="2" t="s">
        <v>1351</v>
      </c>
      <c r="F5431" s="2">
        <v>1.0</v>
      </c>
      <c r="G5431" s="2">
        <v>444.0</v>
      </c>
      <c r="H5431" s="3" t="str">
        <f>HYPERLINK("http://www.linkedin.com/pub/martin-tardio-velasco-pmp/0/583/611","http://www.linkedin.com/pub/martin-tardio-velasco-pmp/0/583/611")</f>
        <v>http://www.linkedin.com/pub/martin-tardio-velasco-pmp/0/583/611</v>
      </c>
      <c r="I5431" s="2" t="s">
        <v>579</v>
      </c>
      <c r="J5431" s="2" t="s">
        <v>1353</v>
      </c>
      <c r="K5431" s="2" t="s">
        <v>10187</v>
      </c>
    </row>
    <row r="5432" ht="15.75" customHeight="1">
      <c r="A5432" s="2">
        <v>12573.0</v>
      </c>
      <c r="B5432" s="2" t="s">
        <v>5808</v>
      </c>
      <c r="C5432" s="2" t="s">
        <v>10882</v>
      </c>
      <c r="D5432" s="2" t="s">
        <v>10883</v>
      </c>
      <c r="E5432" s="2" t="s">
        <v>20</v>
      </c>
      <c r="F5432" s="2">
        <v>12.0</v>
      </c>
      <c r="G5432" s="2">
        <v>281.0</v>
      </c>
      <c r="H5432" s="3" t="str">
        <f>HYPERLINK("http://ar.linkedin.com/pub/matias-olivera/4/671/A75","http://ar.linkedin.com/pub/matias-olivera/4/671/A75")</f>
        <v>http://ar.linkedin.com/pub/matias-olivera/4/671/A75</v>
      </c>
      <c r="I5432" s="2" t="s">
        <v>15</v>
      </c>
      <c r="J5432" s="2" t="s">
        <v>21</v>
      </c>
      <c r="K5432" s="2" t="s">
        <v>10196</v>
      </c>
    </row>
    <row r="5433" ht="15.75" customHeight="1">
      <c r="A5433" s="2">
        <v>12981.0</v>
      </c>
      <c r="B5433" s="2" t="s">
        <v>3692</v>
      </c>
      <c r="C5433" s="2" t="s">
        <v>10884</v>
      </c>
      <c r="D5433" s="2"/>
      <c r="E5433" s="2" t="s">
        <v>122</v>
      </c>
      <c r="F5433" s="2">
        <v>7.0</v>
      </c>
      <c r="G5433" s="2">
        <v>500.0</v>
      </c>
      <c r="H5433" s="3" t="str">
        <f>HYPERLINK("http://uk.linkedin.com/pub/federico-sartori/2/371/758","http://uk.linkedin.com/pub/federico-sartori/2/371/758")</f>
        <v>http://uk.linkedin.com/pub/federico-sartori/2/371/758</v>
      </c>
      <c r="I5433" s="2" t="s">
        <v>15</v>
      </c>
      <c r="J5433" s="2" t="s">
        <v>53</v>
      </c>
      <c r="K5433" s="2" t="s">
        <v>10187</v>
      </c>
    </row>
    <row r="5434" ht="15.75" customHeight="1">
      <c r="A5434" s="2">
        <v>12984.0</v>
      </c>
      <c r="B5434" s="2" t="s">
        <v>1087</v>
      </c>
      <c r="C5434" s="2" t="s">
        <v>313</v>
      </c>
      <c r="D5434" s="2"/>
      <c r="E5434" s="2" t="s">
        <v>10885</v>
      </c>
      <c r="F5434" s="2">
        <v>20.0</v>
      </c>
      <c r="G5434" s="2">
        <v>408.0</v>
      </c>
      <c r="H5434" s="3" t="str">
        <f>HYPERLINK("http://www.linkedin.com/in/jamesqa","http://www.linkedin.com/in/jamesqa")</f>
        <v>http://www.linkedin.com/in/jamesqa</v>
      </c>
      <c r="I5434" s="2" t="s">
        <v>48</v>
      </c>
      <c r="J5434" s="2" t="s">
        <v>102</v>
      </c>
      <c r="K5434" s="2" t="s">
        <v>10184</v>
      </c>
    </row>
    <row r="5435" ht="15.75" customHeight="1">
      <c r="A5435" s="2">
        <v>12985.0</v>
      </c>
      <c r="B5435" s="2" t="s">
        <v>460</v>
      </c>
      <c r="C5435" s="2" t="s">
        <v>1088</v>
      </c>
      <c r="D5435" s="2"/>
      <c r="E5435" s="2" t="s">
        <v>10885</v>
      </c>
      <c r="F5435" s="2">
        <v>6.0</v>
      </c>
      <c r="G5435" s="2">
        <v>386.0</v>
      </c>
      <c r="H5435" s="3" t="str">
        <f>HYPERLINK("http://www.linkedin.com/in/john1328","http://www.linkedin.com/in/john1328")</f>
        <v>http://www.linkedin.com/in/john1328</v>
      </c>
      <c r="I5435" s="2" t="s">
        <v>48</v>
      </c>
      <c r="J5435" s="2" t="s">
        <v>102</v>
      </c>
      <c r="K5435" s="2" t="s">
        <v>10184</v>
      </c>
    </row>
    <row r="5436" ht="15.75" customHeight="1">
      <c r="A5436" s="2">
        <v>12988.0</v>
      </c>
      <c r="B5436" s="2" t="s">
        <v>10886</v>
      </c>
      <c r="C5436" s="2" t="s">
        <v>10887</v>
      </c>
      <c r="D5436" s="2" t="s">
        <v>13</v>
      </c>
      <c r="E5436" s="2" t="s">
        <v>136</v>
      </c>
      <c r="F5436" s="2">
        <v>0.0</v>
      </c>
      <c r="G5436" s="2">
        <v>491.0</v>
      </c>
      <c r="H5436" s="3" t="str">
        <f>HYPERLINK("https://www.linkedin.com/pub/namita-prabhu/8/27/39a","https://www.linkedin.com/pub/namita-prabhu/8/27/39a")</f>
        <v>https://www.linkedin.com/pub/namita-prabhu/8/27/39a</v>
      </c>
      <c r="I5436" s="2" t="s">
        <v>15</v>
      </c>
      <c r="J5436" s="2" t="s">
        <v>102</v>
      </c>
      <c r="K5436" s="2" t="s">
        <v>10245</v>
      </c>
    </row>
    <row r="5437" ht="15.75" customHeight="1">
      <c r="A5437" s="2">
        <v>12990.0</v>
      </c>
      <c r="B5437" s="2" t="s">
        <v>4488</v>
      </c>
      <c r="C5437" s="2" t="s">
        <v>2421</v>
      </c>
      <c r="D5437" s="2" t="s">
        <v>10888</v>
      </c>
      <c r="E5437" s="2" t="s">
        <v>542</v>
      </c>
      <c r="F5437" s="2">
        <v>4.0</v>
      </c>
      <c r="G5437" s="2">
        <v>441.0</v>
      </c>
      <c r="H5437" s="3" t="str">
        <f>HYPERLINK("http://www.linkedin.com/in/heatherwong","http://www.linkedin.com/in/heatherwong")</f>
        <v>http://www.linkedin.com/in/heatherwong</v>
      </c>
      <c r="I5437" s="2" t="s">
        <v>48</v>
      </c>
      <c r="J5437" s="2" t="s">
        <v>102</v>
      </c>
      <c r="K5437" s="2" t="s">
        <v>10184</v>
      </c>
    </row>
    <row r="5438" ht="15.75" customHeight="1">
      <c r="A5438" s="2">
        <v>13031.0</v>
      </c>
      <c r="B5438" s="2" t="s">
        <v>6765</v>
      </c>
      <c r="C5438" s="2" t="s">
        <v>10889</v>
      </c>
      <c r="D5438" s="2" t="s">
        <v>10890</v>
      </c>
      <c r="E5438" s="2" t="s">
        <v>20</v>
      </c>
      <c r="F5438" s="2">
        <v>3.0</v>
      </c>
      <c r="G5438" s="2">
        <v>414.0</v>
      </c>
      <c r="H5438" s="3" t="str">
        <f>HYPERLINK("http://ar.linkedin.com/in/gastonsalgueiro","http://ar.linkedin.com/in/gastonsalgueiro")</f>
        <v>http://ar.linkedin.com/in/gastonsalgueiro</v>
      </c>
      <c r="I5438" s="2" t="s">
        <v>69</v>
      </c>
      <c r="J5438" s="2" t="s">
        <v>21</v>
      </c>
      <c r="K5438" s="2" t="s">
        <v>10482</v>
      </c>
    </row>
    <row r="5439" ht="15.75" customHeight="1">
      <c r="A5439" s="2">
        <v>13046.0</v>
      </c>
      <c r="B5439" s="2" t="s">
        <v>10891</v>
      </c>
      <c r="C5439" s="2" t="s">
        <v>10892</v>
      </c>
      <c r="D5439" s="2"/>
      <c r="E5439" s="2" t="s">
        <v>713</v>
      </c>
      <c r="F5439" s="2">
        <v>0.0</v>
      </c>
      <c r="G5439" s="2">
        <v>228.0</v>
      </c>
      <c r="H5439" s="3" t="str">
        <f>HYPERLINK("http://www.linkedin.com/pub/marion-khonin/1/94A/354","http://www.linkedin.com/pub/marion-khonin/1/94A/354")</f>
        <v>http://www.linkedin.com/pub/marion-khonin/1/94A/354</v>
      </c>
      <c r="I5439" s="2" t="s">
        <v>48</v>
      </c>
      <c r="J5439" s="2" t="s">
        <v>102</v>
      </c>
      <c r="K5439" s="2" t="s">
        <v>10184</v>
      </c>
    </row>
    <row r="5440" ht="15.75" customHeight="1">
      <c r="A5440" s="2">
        <v>13047.0</v>
      </c>
      <c r="B5440" s="2" t="s">
        <v>353</v>
      </c>
      <c r="C5440" s="2" t="s">
        <v>5869</v>
      </c>
      <c r="D5440" s="2"/>
      <c r="E5440" s="2" t="s">
        <v>3264</v>
      </c>
      <c r="F5440" s="2">
        <v>2.0</v>
      </c>
      <c r="G5440" s="2">
        <v>500.0</v>
      </c>
      <c r="H5440" s="3" t="str">
        <f>HYPERLINK("http://www.linkedin.com/pub/alejandro-ventre/2/B7A/967","http://www.linkedin.com/pub/alejandro-ventre/2/B7A/967")</f>
        <v>http://www.linkedin.com/pub/alejandro-ventre/2/B7A/967</v>
      </c>
      <c r="I5440" s="2" t="s">
        <v>48</v>
      </c>
      <c r="J5440" s="2" t="s">
        <v>102</v>
      </c>
      <c r="K5440" s="2" t="s">
        <v>10184</v>
      </c>
    </row>
    <row r="5441" ht="15.75" customHeight="1">
      <c r="A5441" s="2">
        <v>13054.0</v>
      </c>
      <c r="B5441" s="2" t="s">
        <v>6765</v>
      </c>
      <c r="C5441" s="2" t="s">
        <v>10893</v>
      </c>
      <c r="D5441" s="2" t="s">
        <v>13</v>
      </c>
      <c r="E5441" s="2" t="s">
        <v>20</v>
      </c>
      <c r="F5441" s="2">
        <v>0.0</v>
      </c>
      <c r="G5441" s="2">
        <v>111.0</v>
      </c>
      <c r="H5441" s="3" t="str">
        <f>HYPERLINK("http://www.linkedin.com/pub/gaston-dubra/11/b24/260","http://www.linkedin.com/pub/gaston-dubra/11/b24/260")</f>
        <v>http://www.linkedin.com/pub/gaston-dubra/11/b24/260</v>
      </c>
      <c r="I5441" s="2" t="s">
        <v>15</v>
      </c>
      <c r="J5441" s="2" t="s">
        <v>21</v>
      </c>
      <c r="K5441" s="2" t="s">
        <v>10173</v>
      </c>
    </row>
    <row r="5442" ht="15.75" customHeight="1">
      <c r="A5442" s="2">
        <v>13056.0</v>
      </c>
      <c r="B5442" s="2" t="s">
        <v>5808</v>
      </c>
      <c r="C5442" s="2" t="s">
        <v>10894</v>
      </c>
      <c r="D5442" s="2" t="s">
        <v>10895</v>
      </c>
      <c r="E5442" s="2" t="s">
        <v>10896</v>
      </c>
      <c r="F5442" s="2">
        <v>5.0</v>
      </c>
      <c r="G5442" s="2">
        <v>500.0</v>
      </c>
      <c r="H5442" s="3" t="str">
        <f>HYPERLINK("https://www.linkedin.com/pub/matias-kochman/4/528/92a","https://www.linkedin.com/pub/matias-kochman/4/528/92a")</f>
        <v>https://www.linkedin.com/pub/matias-kochman/4/528/92a</v>
      </c>
      <c r="I5442" s="2" t="s">
        <v>2843</v>
      </c>
      <c r="J5442" s="2" t="s">
        <v>65</v>
      </c>
      <c r="K5442" s="2" t="s">
        <v>10196</v>
      </c>
    </row>
    <row r="5443" ht="15.75" customHeight="1">
      <c r="A5443" s="2">
        <v>13080.0</v>
      </c>
      <c r="B5443" s="2" t="s">
        <v>2173</v>
      </c>
      <c r="C5443" s="2" t="s">
        <v>10897</v>
      </c>
      <c r="D5443" s="2" t="s">
        <v>10898</v>
      </c>
      <c r="E5443" s="2" t="s">
        <v>136</v>
      </c>
      <c r="F5443" s="2">
        <v>3.0</v>
      </c>
      <c r="G5443" s="2">
        <v>500.0</v>
      </c>
      <c r="H5443" s="3" t="str">
        <f>HYPERLINK("http://www.linkedin.com/pub/ike-duncan/8/17/506","http://www.linkedin.com/pub/ike-duncan/8/17/506")</f>
        <v>http://www.linkedin.com/pub/ike-duncan/8/17/506</v>
      </c>
      <c r="I5443" s="2" t="s">
        <v>15</v>
      </c>
      <c r="J5443" s="2" t="s">
        <v>102</v>
      </c>
      <c r="K5443" s="2" t="s">
        <v>10286</v>
      </c>
    </row>
    <row r="5444" ht="15.75" customHeight="1">
      <c r="A5444" s="2">
        <v>13084.0</v>
      </c>
      <c r="B5444" s="2" t="s">
        <v>3847</v>
      </c>
      <c r="C5444" s="2" t="s">
        <v>10899</v>
      </c>
      <c r="D5444" s="2" t="s">
        <v>3319</v>
      </c>
      <c r="E5444" s="2" t="s">
        <v>136</v>
      </c>
      <c r="F5444" s="2">
        <v>9.0</v>
      </c>
      <c r="G5444" s="2">
        <v>500.0</v>
      </c>
      <c r="H5444" s="3" t="str">
        <f>HYPERLINK("http://www.linkedin.com/in/vicalcazar","http://www.linkedin.com/in/vicalcazar")</f>
        <v>http://www.linkedin.com/in/vicalcazar</v>
      </c>
      <c r="I5444" s="2" t="s">
        <v>15</v>
      </c>
      <c r="J5444" s="2" t="s">
        <v>102</v>
      </c>
      <c r="K5444" s="2" t="s">
        <v>10900</v>
      </c>
    </row>
    <row r="5445" ht="15.75" customHeight="1">
      <c r="A5445" s="2">
        <v>13095.0</v>
      </c>
      <c r="B5445" s="2" t="s">
        <v>940</v>
      </c>
      <c r="C5445" s="2" t="s">
        <v>10901</v>
      </c>
      <c r="D5445" s="2" t="s">
        <v>9727</v>
      </c>
      <c r="E5445" s="2" t="s">
        <v>1407</v>
      </c>
      <c r="F5445" s="2">
        <v>2.0</v>
      </c>
      <c r="G5445" s="2">
        <v>233.0</v>
      </c>
      <c r="H5445" s="3" t="str">
        <f>HYPERLINK("http://www.linkedin.com/pub/bob-bolduc/1/166/510","http://www.linkedin.com/pub/bob-bolduc/1/166/510")</f>
        <v>http://www.linkedin.com/pub/bob-bolduc/1/166/510</v>
      </c>
      <c r="I5445" s="2" t="s">
        <v>15</v>
      </c>
      <c r="J5445" s="2" t="s">
        <v>102</v>
      </c>
      <c r="K5445" s="2" t="s">
        <v>10184</v>
      </c>
    </row>
    <row r="5446" ht="15.75" customHeight="1">
      <c r="A5446" s="2">
        <v>13098.0</v>
      </c>
      <c r="B5446" s="2" t="s">
        <v>211</v>
      </c>
      <c r="C5446" s="2" t="s">
        <v>10902</v>
      </c>
      <c r="D5446" s="2"/>
      <c r="E5446" s="2" t="s">
        <v>1407</v>
      </c>
      <c r="F5446" s="2">
        <v>12.0</v>
      </c>
      <c r="G5446" s="2">
        <v>388.0</v>
      </c>
      <c r="H5446" s="3" t="str">
        <f>HYPERLINK("http://www.linkedin.com/in/kitykity","http://www.linkedin.com/in/kitykity")</f>
        <v>http://www.linkedin.com/in/kitykity</v>
      </c>
      <c r="I5446" s="2" t="s">
        <v>15</v>
      </c>
      <c r="J5446" s="2" t="s">
        <v>102</v>
      </c>
      <c r="K5446" s="2" t="s">
        <v>10184</v>
      </c>
    </row>
    <row r="5447" ht="15.75" customHeight="1">
      <c r="A5447" s="2">
        <v>13100.0</v>
      </c>
      <c r="B5447" s="2" t="s">
        <v>1548</v>
      </c>
      <c r="C5447" s="2" t="s">
        <v>3092</v>
      </c>
      <c r="D5447" s="2" t="s">
        <v>10903</v>
      </c>
      <c r="E5447" s="2" t="s">
        <v>1407</v>
      </c>
      <c r="F5447" s="2">
        <v>0.0</v>
      </c>
      <c r="G5447" s="2">
        <v>253.0</v>
      </c>
      <c r="H5447" s="3" t="str">
        <f>HYPERLINK("http://www.linkedin.com/pub/nirav-patel/6/200/680","http://www.linkedin.com/pub/nirav-patel/6/200/680")</f>
        <v>http://www.linkedin.com/pub/nirav-patel/6/200/680</v>
      </c>
      <c r="I5447" s="2" t="s">
        <v>252</v>
      </c>
      <c r="J5447" s="2" t="s">
        <v>102</v>
      </c>
      <c r="K5447" s="2" t="s">
        <v>10229</v>
      </c>
    </row>
    <row r="5448" ht="15.75" customHeight="1">
      <c r="A5448" s="2">
        <v>13119.0</v>
      </c>
      <c r="B5448" s="2" t="s">
        <v>238</v>
      </c>
      <c r="C5448" s="2" t="s">
        <v>7632</v>
      </c>
      <c r="D5448" s="2" t="s">
        <v>10904</v>
      </c>
      <c r="E5448" s="2" t="s">
        <v>20</v>
      </c>
      <c r="F5448" s="2">
        <v>6.0</v>
      </c>
      <c r="G5448" s="2">
        <v>256.0</v>
      </c>
      <c r="H5448" s="3" t="str">
        <f>HYPERLINK("http://ar.linkedin.com/in/juanbecerra","http://ar.linkedin.com/in/juanbecerra")</f>
        <v>http://ar.linkedin.com/in/juanbecerra</v>
      </c>
      <c r="I5448" s="2" t="s">
        <v>15</v>
      </c>
      <c r="J5448" s="2" t="s">
        <v>21</v>
      </c>
      <c r="K5448" s="2" t="s">
        <v>10196</v>
      </c>
    </row>
    <row r="5449" ht="15.75" customHeight="1">
      <c r="A5449" s="2">
        <v>13162.0</v>
      </c>
      <c r="B5449" s="2" t="s">
        <v>2198</v>
      </c>
      <c r="C5449" s="2" t="s">
        <v>10905</v>
      </c>
      <c r="D5449" s="2"/>
      <c r="E5449" s="2" t="s">
        <v>1407</v>
      </c>
      <c r="F5449" s="2">
        <v>8.0</v>
      </c>
      <c r="G5449" s="2">
        <v>500.0</v>
      </c>
      <c r="H5449" s="3" t="str">
        <f>HYPERLINK("http://www.linkedin.com/pub/neil-nobie/0/358/206","http://www.linkedin.com/pub/neil-nobie/0/358/206")</f>
        <v>http://www.linkedin.com/pub/neil-nobie/0/358/206</v>
      </c>
      <c r="I5449" s="2" t="s">
        <v>15</v>
      </c>
      <c r="J5449" s="2" t="s">
        <v>102</v>
      </c>
      <c r="K5449" s="2" t="s">
        <v>10371</v>
      </c>
    </row>
    <row r="5450" ht="15.75" customHeight="1">
      <c r="A5450" s="2">
        <v>13170.0</v>
      </c>
      <c r="B5450" s="2" t="s">
        <v>515</v>
      </c>
      <c r="C5450" s="2" t="s">
        <v>1462</v>
      </c>
      <c r="D5450" s="2" t="s">
        <v>13</v>
      </c>
      <c r="E5450" s="2" t="s">
        <v>20</v>
      </c>
      <c r="F5450" s="2">
        <v>0.0</v>
      </c>
      <c r="G5450" s="2">
        <v>421.0</v>
      </c>
      <c r="H5450" s="3" t="str">
        <f>HYPERLINK("http://www.linkedin.com/pub/juan-ignacio-fernandes/14/369/63a","http://www.linkedin.com/pub/juan-ignacio-fernandes/14/369/63a")</f>
        <v>http://www.linkedin.com/pub/juan-ignacio-fernandes/14/369/63a</v>
      </c>
      <c r="I5450" s="2" t="s">
        <v>77</v>
      </c>
      <c r="J5450" s="2" t="s">
        <v>21</v>
      </c>
      <c r="K5450" s="2" t="s">
        <v>10173</v>
      </c>
    </row>
    <row r="5451" ht="15.75" customHeight="1">
      <c r="A5451" s="2">
        <v>13172.0</v>
      </c>
      <c r="B5451" s="2" t="s">
        <v>6339</v>
      </c>
      <c r="C5451" s="2" t="s">
        <v>10906</v>
      </c>
      <c r="D5451" s="2" t="s">
        <v>10907</v>
      </c>
      <c r="E5451" s="2" t="s">
        <v>20</v>
      </c>
      <c r="F5451" s="2">
        <v>0.0</v>
      </c>
      <c r="G5451" s="2">
        <v>150.0</v>
      </c>
      <c r="H5451" s="3" t="str">
        <f>HYPERLINK("http://ar.linkedin.com/pub/esteban-almir%C3%B3n/B/94B/260","http://ar.linkedin.com/pub/esteban-almir%C3%B3n/B/94B/260")</f>
        <v>http://ar.linkedin.com/pub/esteban-almir%C3%B3n/B/94B/260</v>
      </c>
      <c r="I5451" s="2" t="s">
        <v>15</v>
      </c>
      <c r="J5451" s="2" t="s">
        <v>21</v>
      </c>
      <c r="K5451" s="2" t="s">
        <v>10173</v>
      </c>
    </row>
    <row r="5452" ht="15.75" customHeight="1">
      <c r="A5452" s="2">
        <v>13186.0</v>
      </c>
      <c r="B5452" s="2" t="s">
        <v>1821</v>
      </c>
      <c r="C5452" s="2" t="s">
        <v>10908</v>
      </c>
      <c r="D5452" s="2" t="s">
        <v>400</v>
      </c>
      <c r="E5452" s="2" t="s">
        <v>2058</v>
      </c>
      <c r="F5452" s="2">
        <v>0.0</v>
      </c>
      <c r="G5452" s="2">
        <v>500.0</v>
      </c>
      <c r="H5452" s="3" t="str">
        <f>HYPERLINK("http://www.linkedin.com/pub/keith-cohn/24/378/334","http://www.linkedin.com/pub/keith-cohn/24/378/334")</f>
        <v>http://www.linkedin.com/pub/keith-cohn/24/378/334</v>
      </c>
      <c r="I5452" s="2" t="s">
        <v>105</v>
      </c>
      <c r="J5452" s="2" t="s">
        <v>102</v>
      </c>
      <c r="K5452" s="2" t="s">
        <v>10209</v>
      </c>
    </row>
    <row r="5453" ht="15.75" customHeight="1">
      <c r="A5453" s="2">
        <v>13189.0</v>
      </c>
      <c r="B5453" s="2" t="s">
        <v>10909</v>
      </c>
      <c r="C5453" s="2" t="s">
        <v>10910</v>
      </c>
      <c r="D5453" s="2" t="s">
        <v>517</v>
      </c>
      <c r="E5453" s="2" t="s">
        <v>808</v>
      </c>
      <c r="F5453" s="2">
        <v>31.0</v>
      </c>
      <c r="G5453" s="2">
        <v>500.0</v>
      </c>
      <c r="H5453" s="3" t="str">
        <f>HYPERLINK("http://www.linkedin.com/in/vishdaswani","http://www.linkedin.com/in/vishdaswani")</f>
        <v>http://www.linkedin.com/in/vishdaswani</v>
      </c>
      <c r="I5453" s="2" t="s">
        <v>105</v>
      </c>
      <c r="J5453" s="2" t="s">
        <v>102</v>
      </c>
      <c r="K5453" s="2" t="s">
        <v>10182</v>
      </c>
    </row>
    <row r="5454" ht="15.75" customHeight="1">
      <c r="A5454" s="2">
        <v>13193.0</v>
      </c>
      <c r="B5454" s="2" t="s">
        <v>10911</v>
      </c>
      <c r="C5454" s="2" t="s">
        <v>10912</v>
      </c>
      <c r="D5454" s="2" t="s">
        <v>10913</v>
      </c>
      <c r="E5454" s="2" t="s">
        <v>971</v>
      </c>
      <c r="F5454" s="2">
        <v>4.0</v>
      </c>
      <c r="G5454" s="2">
        <v>500.0</v>
      </c>
      <c r="H5454" s="3" t="str">
        <f>HYPERLINK("http://www.linkedin.com/pub/john-harris/28/27B/631","http://www.linkedin.com/pub/john-harris/28/27B/631")</f>
        <v>http://www.linkedin.com/pub/john-harris/28/27B/631</v>
      </c>
      <c r="I5454" s="2" t="s">
        <v>105</v>
      </c>
      <c r="J5454" s="2" t="s">
        <v>102</v>
      </c>
      <c r="K5454" s="2" t="s">
        <v>10206</v>
      </c>
    </row>
    <row r="5455" ht="15.75" customHeight="1">
      <c r="A5455" s="2">
        <v>13197.0</v>
      </c>
      <c r="B5455" s="2" t="s">
        <v>2547</v>
      </c>
      <c r="C5455" s="2" t="s">
        <v>10914</v>
      </c>
      <c r="D5455" s="2" t="s">
        <v>8349</v>
      </c>
      <c r="E5455" s="2" t="s">
        <v>20</v>
      </c>
      <c r="F5455" s="2">
        <v>6.0</v>
      </c>
      <c r="G5455" s="2">
        <v>132.0</v>
      </c>
      <c r="H5455" s="3" t="str">
        <f>HYPERLINK("http://ar.linkedin.com/pub/franco-borghesi/6/79B/8A6","http://ar.linkedin.com/pub/franco-borghesi/6/79B/8A6")</f>
        <v>http://ar.linkedin.com/pub/franco-borghesi/6/79B/8A6</v>
      </c>
      <c r="I5455" s="2" t="s">
        <v>15</v>
      </c>
      <c r="J5455" s="2" t="s">
        <v>21</v>
      </c>
      <c r="K5455" s="2" t="s">
        <v>10196</v>
      </c>
    </row>
    <row r="5456" ht="15.75" customHeight="1">
      <c r="A5456" s="2">
        <v>13213.0</v>
      </c>
      <c r="B5456" s="2" t="s">
        <v>193</v>
      </c>
      <c r="C5456" s="2" t="s">
        <v>10915</v>
      </c>
      <c r="D5456" s="2" t="s">
        <v>13</v>
      </c>
      <c r="E5456" s="2" t="s">
        <v>10916</v>
      </c>
      <c r="F5456" s="2">
        <v>0.0</v>
      </c>
      <c r="G5456" s="2">
        <v>500.0</v>
      </c>
      <c r="H5456" s="3" t="str">
        <f>HYPERLINK("http://www.linkedin.com/pub/guillermo-kussy/8/bba/b35","http://www.linkedin.com/pub/guillermo-kussy/8/bba/b35")</f>
        <v>http://www.linkedin.com/pub/guillermo-kussy/8/bba/b35</v>
      </c>
      <c r="I5456" s="2" t="s">
        <v>15</v>
      </c>
      <c r="J5456" s="2" t="s">
        <v>102</v>
      </c>
      <c r="K5456" s="2" t="s">
        <v>10286</v>
      </c>
    </row>
    <row r="5457" ht="15.75" customHeight="1">
      <c r="A5457" s="2">
        <v>13233.0</v>
      </c>
      <c r="B5457" s="2" t="s">
        <v>5813</v>
      </c>
      <c r="C5457" s="2" t="s">
        <v>10917</v>
      </c>
      <c r="D5457" s="2" t="s">
        <v>13</v>
      </c>
      <c r="E5457" s="2" t="s">
        <v>20</v>
      </c>
      <c r="F5457" s="2">
        <v>0.0</v>
      </c>
      <c r="G5457" s="2">
        <v>500.0</v>
      </c>
      <c r="H5457" s="3" t="str">
        <f>HYPERLINK("http://www.linkedin.com/pub/emanuel-aguanno/9/765/264","http://www.linkedin.com/pub/emanuel-aguanno/9/765/264")</f>
        <v>http://www.linkedin.com/pub/emanuel-aguanno/9/765/264</v>
      </c>
      <c r="I5457" s="2" t="s">
        <v>15</v>
      </c>
      <c r="J5457" s="2" t="s">
        <v>21</v>
      </c>
      <c r="K5457" s="2" t="s">
        <v>10206</v>
      </c>
    </row>
    <row r="5458" ht="15.75" customHeight="1">
      <c r="A5458" s="2">
        <v>13235.0</v>
      </c>
      <c r="B5458" s="2" t="s">
        <v>5078</v>
      </c>
      <c r="C5458" s="2" t="s">
        <v>8053</v>
      </c>
      <c r="D5458" s="2" t="s">
        <v>10918</v>
      </c>
      <c r="E5458" s="2" t="s">
        <v>20</v>
      </c>
      <c r="F5458" s="2">
        <v>5.0</v>
      </c>
      <c r="G5458" s="2">
        <v>500.0</v>
      </c>
      <c r="H5458" s="3" t="str">
        <f>HYPERLINK("http://ar.linkedin.com/pub/diego-scapusio/2A/241/22A","http://ar.linkedin.com/pub/diego-scapusio/2A/241/22A")</f>
        <v>http://ar.linkedin.com/pub/diego-scapusio/2A/241/22A</v>
      </c>
      <c r="I5458" s="2" t="s">
        <v>15</v>
      </c>
      <c r="J5458" s="2" t="s">
        <v>21</v>
      </c>
      <c r="K5458" s="2" t="s">
        <v>10196</v>
      </c>
    </row>
    <row r="5459" ht="15.75" customHeight="1">
      <c r="A5459" s="2">
        <v>13240.0</v>
      </c>
      <c r="B5459" s="2" t="s">
        <v>10919</v>
      </c>
      <c r="C5459" s="2" t="s">
        <v>206</v>
      </c>
      <c r="D5459" s="2" t="s">
        <v>13</v>
      </c>
      <c r="E5459" s="2" t="s">
        <v>20</v>
      </c>
      <c r="F5459" s="2">
        <v>0.0</v>
      </c>
      <c r="G5459" s="2">
        <v>276.0</v>
      </c>
      <c r="H5459" s="3" t="str">
        <f>HYPERLINK("http://www.linkedin.com/pub/leandro-gaston-garcia/9/6b2/430","http://www.linkedin.com/pub/leandro-gaston-garcia/9/6b2/430")</f>
        <v>http://www.linkedin.com/pub/leandro-gaston-garcia/9/6b2/430</v>
      </c>
      <c r="I5459" s="2" t="s">
        <v>15</v>
      </c>
      <c r="J5459" s="2" t="s">
        <v>21</v>
      </c>
      <c r="K5459" s="2" t="s">
        <v>10173</v>
      </c>
    </row>
    <row r="5460" ht="15.75" customHeight="1">
      <c r="A5460" s="2">
        <v>13256.0</v>
      </c>
      <c r="B5460" s="2" t="s">
        <v>5849</v>
      </c>
      <c r="C5460" s="2" t="s">
        <v>10920</v>
      </c>
      <c r="D5460" s="2" t="s">
        <v>10921</v>
      </c>
      <c r="E5460" s="2" t="s">
        <v>20</v>
      </c>
      <c r="F5460" s="2">
        <v>29.0</v>
      </c>
      <c r="G5460" s="2">
        <v>500.0</v>
      </c>
      <c r="H5460" s="3" t="str">
        <f>HYPERLINK("http://ar.linkedin.com/in/ftomaselli","http://ar.linkedin.com/in/ftomaselli")</f>
        <v>http://ar.linkedin.com/in/ftomaselli</v>
      </c>
      <c r="I5460" s="2" t="s">
        <v>15</v>
      </c>
      <c r="J5460" s="2" t="s">
        <v>21</v>
      </c>
      <c r="K5460" s="2" t="s">
        <v>10196</v>
      </c>
    </row>
    <row r="5461" ht="15.75" customHeight="1">
      <c r="A5461" s="2">
        <v>13265.0</v>
      </c>
      <c r="B5461" s="2" t="s">
        <v>547</v>
      </c>
      <c r="C5461" s="2" t="s">
        <v>10922</v>
      </c>
      <c r="D5461" s="2" t="s">
        <v>10923</v>
      </c>
      <c r="E5461" s="2" t="s">
        <v>914</v>
      </c>
      <c r="F5461" s="2">
        <v>5.0</v>
      </c>
      <c r="G5461" s="2">
        <v>228.0</v>
      </c>
      <c r="H5461" s="3" t="str">
        <f>HYPERLINK("http://www.linkedin.com/pub/geoff-hazel/A/326/B18","http://www.linkedin.com/pub/geoff-hazel/A/326/B18")</f>
        <v>http://www.linkedin.com/pub/geoff-hazel/A/326/B18</v>
      </c>
      <c r="I5461" s="2" t="s">
        <v>77</v>
      </c>
      <c r="J5461" s="2" t="s">
        <v>102</v>
      </c>
      <c r="K5461" s="2" t="s">
        <v>10229</v>
      </c>
    </row>
    <row r="5462" ht="15.75" customHeight="1">
      <c r="A5462" s="2">
        <v>13266.0</v>
      </c>
      <c r="B5462" s="2" t="s">
        <v>5931</v>
      </c>
      <c r="C5462" s="2" t="s">
        <v>10924</v>
      </c>
      <c r="D5462" s="2" t="s">
        <v>10925</v>
      </c>
      <c r="E5462" s="2" t="s">
        <v>914</v>
      </c>
      <c r="F5462" s="2">
        <v>2.0</v>
      </c>
      <c r="G5462" s="2">
        <v>141.0</v>
      </c>
      <c r="H5462" s="3" t="str">
        <f>HYPERLINK("http://www.linkedin.com/pub/ralph-kuehn/9/38A/3B4","http://www.linkedin.com/pub/ralph-kuehn/9/38A/3B4")</f>
        <v>http://www.linkedin.com/pub/ralph-kuehn/9/38A/3B4</v>
      </c>
      <c r="I5462" s="2" t="s">
        <v>1421</v>
      </c>
      <c r="J5462" s="2" t="s">
        <v>102</v>
      </c>
      <c r="K5462" s="2" t="s">
        <v>10206</v>
      </c>
    </row>
    <row r="5463" ht="15.75" customHeight="1">
      <c r="A5463" s="2">
        <v>13267.0</v>
      </c>
      <c r="B5463" s="2" t="s">
        <v>2353</v>
      </c>
      <c r="C5463" s="2" t="s">
        <v>10926</v>
      </c>
      <c r="D5463" s="2"/>
      <c r="E5463" s="2" t="s">
        <v>914</v>
      </c>
      <c r="F5463" s="2">
        <v>5.0</v>
      </c>
      <c r="G5463" s="2">
        <v>106.0</v>
      </c>
      <c r="H5463" s="3" t="str">
        <f>HYPERLINK("http://www.linkedin.com/pub/sarah-forrest/1/9A2/498","http://www.linkedin.com/pub/sarah-forrest/1/9A2/498")</f>
        <v>http://www.linkedin.com/pub/sarah-forrest/1/9A2/498</v>
      </c>
      <c r="I5463" s="2" t="s">
        <v>15</v>
      </c>
      <c r="J5463" s="2" t="s">
        <v>102</v>
      </c>
      <c r="K5463" s="2" t="s">
        <v>10184</v>
      </c>
    </row>
    <row r="5464" ht="15.75" customHeight="1">
      <c r="A5464" s="2">
        <v>13294.0</v>
      </c>
      <c r="B5464" s="2" t="s">
        <v>6309</v>
      </c>
      <c r="C5464" s="2" t="s">
        <v>5745</v>
      </c>
      <c r="D5464" s="2" t="s">
        <v>10927</v>
      </c>
      <c r="E5464" s="2" t="s">
        <v>20</v>
      </c>
      <c r="F5464" s="2">
        <v>3.0</v>
      </c>
      <c r="G5464" s="2">
        <v>500.0</v>
      </c>
      <c r="H5464" s="3" t="str">
        <f>HYPERLINK("http://ar.linkedin.com/pub/mar-a-bel-n-otero/11/4BB/B28","http://ar.linkedin.com/pub/mar-a-bel-n-otero/11/4BB/B28")</f>
        <v>http://ar.linkedin.com/pub/mar-a-bel-n-otero/11/4BB/B28</v>
      </c>
      <c r="I5464" s="2" t="s">
        <v>15</v>
      </c>
      <c r="J5464" s="2" t="s">
        <v>21</v>
      </c>
      <c r="K5464" s="2" t="s">
        <v>10196</v>
      </c>
    </row>
    <row r="5465" ht="15.75" customHeight="1">
      <c r="A5465" s="2">
        <v>13297.0</v>
      </c>
      <c r="B5465" s="2" t="s">
        <v>7168</v>
      </c>
      <c r="C5465" s="2" t="s">
        <v>10928</v>
      </c>
      <c r="D5465" s="2" t="s">
        <v>13</v>
      </c>
      <c r="E5465" s="2" t="s">
        <v>20</v>
      </c>
      <c r="F5465" s="2">
        <v>0.0</v>
      </c>
      <c r="G5465" s="2">
        <v>205.0</v>
      </c>
      <c r="H5465" s="3" t="str">
        <f>HYPERLINK("http://www.linkedin.com/pub/lisandro-ipuche/26/413/723","http://www.linkedin.com/pub/lisandro-ipuche/26/413/723")</f>
        <v>http://www.linkedin.com/pub/lisandro-ipuche/26/413/723</v>
      </c>
      <c r="I5465" s="2" t="s">
        <v>15</v>
      </c>
      <c r="J5465" s="2" t="s">
        <v>21</v>
      </c>
      <c r="K5465" s="2" t="s">
        <v>10196</v>
      </c>
    </row>
    <row r="5466" ht="15.75" customHeight="1">
      <c r="A5466" s="2">
        <v>13312.0</v>
      </c>
      <c r="B5466" s="2" t="s">
        <v>10929</v>
      </c>
      <c r="C5466" s="2" t="s">
        <v>10930</v>
      </c>
      <c r="D5466" s="2"/>
      <c r="E5466" s="2" t="s">
        <v>720</v>
      </c>
      <c r="F5466" s="2">
        <v>7.0</v>
      </c>
      <c r="G5466" s="2">
        <v>245.0</v>
      </c>
      <c r="H5466" s="3" t="str">
        <f>HYPERLINK("http://www.linkedin.com/pub/angie-giardina/3/8A/9A3","http://www.linkedin.com/pub/angie-giardina/3/8A/9A3")</f>
        <v>http://www.linkedin.com/pub/angie-giardina/3/8A/9A3</v>
      </c>
      <c r="I5466" s="2" t="s">
        <v>160</v>
      </c>
      <c r="J5466" s="2" t="s">
        <v>102</v>
      </c>
      <c r="K5466" s="2" t="s">
        <v>10209</v>
      </c>
    </row>
    <row r="5467" ht="15.75" customHeight="1">
      <c r="A5467" s="2">
        <v>13318.0</v>
      </c>
      <c r="B5467" s="2" t="s">
        <v>414</v>
      </c>
      <c r="C5467" s="2" t="s">
        <v>10931</v>
      </c>
      <c r="D5467" s="2" t="s">
        <v>10932</v>
      </c>
      <c r="E5467" s="2" t="s">
        <v>251</v>
      </c>
      <c r="F5467" s="2">
        <v>9.0</v>
      </c>
      <c r="G5467" s="2">
        <v>500.0</v>
      </c>
      <c r="H5467" s="3" t="str">
        <f>HYPERLINK("http://www.linkedin.com/pub/tom-rima/0/B70/239","http://www.linkedin.com/pub/tom-rima/0/B70/239")</f>
        <v>http://www.linkedin.com/pub/tom-rima/0/B70/239</v>
      </c>
      <c r="I5467" s="2" t="s">
        <v>279</v>
      </c>
      <c r="J5467" s="2" t="s">
        <v>102</v>
      </c>
      <c r="K5467" s="2" t="s">
        <v>10206</v>
      </c>
    </row>
    <row r="5468" ht="15.75" customHeight="1">
      <c r="A5468" s="2">
        <v>13319.0</v>
      </c>
      <c r="B5468" s="2" t="s">
        <v>511</v>
      </c>
      <c r="C5468" s="2" t="s">
        <v>10933</v>
      </c>
      <c r="D5468" s="2" t="s">
        <v>13</v>
      </c>
      <c r="E5468" s="2" t="s">
        <v>101</v>
      </c>
      <c r="F5468" s="2">
        <v>0.0</v>
      </c>
      <c r="G5468" s="2">
        <v>500.0</v>
      </c>
      <c r="H5468" s="3" t="str">
        <f>HYPERLINK("http://www.linkedin.com/in/mbrandsma","http://www.linkedin.com/in/mbrandsma")</f>
        <v>http://www.linkedin.com/in/mbrandsma</v>
      </c>
      <c r="I5468" s="2" t="s">
        <v>143</v>
      </c>
      <c r="J5468" s="2" t="s">
        <v>102</v>
      </c>
      <c r="K5468" s="2" t="s">
        <v>10245</v>
      </c>
    </row>
    <row r="5469" ht="15.75" customHeight="1">
      <c r="A5469" s="2">
        <v>13331.0</v>
      </c>
      <c r="B5469" s="2" t="s">
        <v>1275</v>
      </c>
      <c r="C5469" s="2" t="s">
        <v>10934</v>
      </c>
      <c r="D5469" s="2" t="s">
        <v>2910</v>
      </c>
      <c r="E5469" s="2" t="s">
        <v>136</v>
      </c>
      <c r="F5469" s="2">
        <v>6.0</v>
      </c>
      <c r="G5469" s="2">
        <v>500.0</v>
      </c>
      <c r="H5469" s="3" t="str">
        <f>HYPERLINK("http://www.linkedin.com/in/bkekst","http://www.linkedin.com/in/bkekst")</f>
        <v>http://www.linkedin.com/in/bkekst</v>
      </c>
      <c r="I5469" s="2" t="s">
        <v>48</v>
      </c>
      <c r="J5469" s="2" t="s">
        <v>102</v>
      </c>
      <c r="K5469" s="2" t="s">
        <v>10245</v>
      </c>
    </row>
    <row r="5470" ht="15.75" customHeight="1">
      <c r="A5470" s="2">
        <v>13332.0</v>
      </c>
      <c r="B5470" s="2" t="s">
        <v>1087</v>
      </c>
      <c r="C5470" s="2" t="s">
        <v>10935</v>
      </c>
      <c r="D5470" s="2"/>
      <c r="E5470" s="2" t="s">
        <v>136</v>
      </c>
      <c r="F5470" s="2">
        <v>5.0</v>
      </c>
      <c r="G5470" s="2">
        <v>500.0</v>
      </c>
      <c r="H5470" s="3" t="str">
        <f>HYPERLINK("http://www.linkedin.com/in/jamesmusick","http://www.linkedin.com/in/jamesmusick")</f>
        <v>http://www.linkedin.com/in/jamesmusick</v>
      </c>
      <c r="I5470" s="2" t="s">
        <v>714</v>
      </c>
      <c r="J5470" s="2" t="s">
        <v>102</v>
      </c>
      <c r="K5470" s="2" t="s">
        <v>10206</v>
      </c>
    </row>
    <row r="5471" ht="15.75" customHeight="1">
      <c r="A5471" s="2">
        <v>13333.0</v>
      </c>
      <c r="B5471" s="2" t="s">
        <v>59</v>
      </c>
      <c r="C5471" s="2" t="s">
        <v>10351</v>
      </c>
      <c r="D5471" s="2" t="s">
        <v>10936</v>
      </c>
      <c r="E5471" s="2" t="s">
        <v>20</v>
      </c>
      <c r="F5471" s="2">
        <v>16.0</v>
      </c>
      <c r="G5471" s="2">
        <v>500.0</v>
      </c>
      <c r="H5471" s="3" t="str">
        <f>HYPERLINK("http://ar.linkedin.com/in/mmendez","http://ar.linkedin.com/in/mmendez")</f>
        <v>http://ar.linkedin.com/in/mmendez</v>
      </c>
      <c r="I5471" s="2" t="s">
        <v>579</v>
      </c>
      <c r="J5471" s="2" t="s">
        <v>21</v>
      </c>
      <c r="K5471" s="2" t="s">
        <v>10572</v>
      </c>
    </row>
    <row r="5472" ht="15.75" customHeight="1">
      <c r="A5472" s="2">
        <v>13338.0</v>
      </c>
      <c r="B5472" s="2" t="s">
        <v>1071</v>
      </c>
      <c r="C5472" s="2" t="s">
        <v>10937</v>
      </c>
      <c r="D5472" s="2" t="s">
        <v>10938</v>
      </c>
      <c r="E5472" s="2" t="s">
        <v>20</v>
      </c>
      <c r="F5472" s="2">
        <v>11.0</v>
      </c>
      <c r="G5472" s="2">
        <v>465.0</v>
      </c>
      <c r="H5472" s="3" t="str">
        <f>HYPERLINK("http://ar.linkedin.com/in/ericlattanzi","http://ar.linkedin.com/in/ericlattanzi")</f>
        <v>http://ar.linkedin.com/in/ericlattanzi</v>
      </c>
      <c r="I5472" s="2" t="s">
        <v>15</v>
      </c>
      <c r="J5472" s="2" t="s">
        <v>21</v>
      </c>
      <c r="K5472" s="2" t="s">
        <v>10196</v>
      </c>
    </row>
    <row r="5473" ht="15.75" customHeight="1">
      <c r="A5473" s="2">
        <v>13367.0</v>
      </c>
      <c r="B5473" s="2" t="s">
        <v>7213</v>
      </c>
      <c r="C5473" s="2" t="s">
        <v>10939</v>
      </c>
      <c r="D5473" s="2" t="s">
        <v>13</v>
      </c>
      <c r="E5473" s="2" t="s">
        <v>20</v>
      </c>
      <c r="F5473" s="2">
        <v>6.0</v>
      </c>
      <c r="G5473" s="2">
        <v>500.0</v>
      </c>
      <c r="H5473" s="3" t="str">
        <f>HYPERLINK("http://www.linkedin.com/pub/maria-clara-morixe/7/447/11","http://www.linkedin.com/pub/maria-clara-morixe/7/447/11")</f>
        <v>http://www.linkedin.com/pub/maria-clara-morixe/7/447/11</v>
      </c>
      <c r="I5473" s="2" t="s">
        <v>57</v>
      </c>
      <c r="J5473" s="2" t="s">
        <v>21</v>
      </c>
      <c r="K5473" s="2" t="s">
        <v>10940</v>
      </c>
    </row>
    <row r="5474" ht="15.75" customHeight="1">
      <c r="A5474" s="2">
        <v>13374.0</v>
      </c>
      <c r="B5474" s="2" t="s">
        <v>3692</v>
      </c>
      <c r="C5474" s="2" t="s">
        <v>5924</v>
      </c>
      <c r="D5474" s="2" t="s">
        <v>10941</v>
      </c>
      <c r="E5474" s="2" t="s">
        <v>20</v>
      </c>
      <c r="F5474" s="2">
        <v>2.0</v>
      </c>
      <c r="G5474" s="2">
        <v>409.0</v>
      </c>
      <c r="H5474" s="3" t="str">
        <f>HYPERLINK("http://ar.linkedin.com/pub/federico-alonso/8/73A/A1A","http://ar.linkedin.com/pub/federico-alonso/8/73A/A1A")</f>
        <v>http://ar.linkedin.com/pub/federico-alonso/8/73A/A1A</v>
      </c>
      <c r="I5474" s="2" t="s">
        <v>15</v>
      </c>
      <c r="J5474" s="2" t="s">
        <v>21</v>
      </c>
      <c r="K5474" s="2" t="s">
        <v>10180</v>
      </c>
    </row>
    <row r="5475" ht="15.75" customHeight="1">
      <c r="A5475" s="2">
        <v>13379.0</v>
      </c>
      <c r="B5475" s="2" t="s">
        <v>10942</v>
      </c>
      <c r="C5475" s="2" t="s">
        <v>10943</v>
      </c>
      <c r="D5475" s="2" t="s">
        <v>10944</v>
      </c>
      <c r="E5475" s="2" t="s">
        <v>1407</v>
      </c>
      <c r="F5475" s="2">
        <v>11.0</v>
      </c>
      <c r="G5475" s="2">
        <v>500.0</v>
      </c>
      <c r="H5475" s="3" t="str">
        <f>HYPERLINK("http://www.linkedin.com/in/abhiraj","http://www.linkedin.com/in/abhiraj")</f>
        <v>http://www.linkedin.com/in/abhiraj</v>
      </c>
      <c r="I5475" s="2" t="s">
        <v>96</v>
      </c>
      <c r="J5475" s="2" t="s">
        <v>102</v>
      </c>
      <c r="K5475" s="2" t="s">
        <v>10206</v>
      </c>
    </row>
    <row r="5476" ht="15.75" customHeight="1">
      <c r="A5476" s="2">
        <v>13380.0</v>
      </c>
      <c r="B5476" s="2" t="s">
        <v>1827</v>
      </c>
      <c r="C5476" s="2" t="s">
        <v>10945</v>
      </c>
      <c r="D5476" s="2" t="s">
        <v>10946</v>
      </c>
      <c r="E5476" s="2" t="s">
        <v>1407</v>
      </c>
      <c r="F5476" s="2">
        <v>0.0</v>
      </c>
      <c r="G5476" s="2">
        <v>298.0</v>
      </c>
      <c r="H5476" s="3" t="str">
        <f>HYPERLINK("http://www.linkedin.com/pub/seema-dwarakish/7/B74/60B","http://www.linkedin.com/pub/seema-dwarakish/7/B74/60B")</f>
        <v>http://www.linkedin.com/pub/seema-dwarakish/7/B74/60B</v>
      </c>
      <c r="I5476" s="2" t="s">
        <v>1421</v>
      </c>
      <c r="J5476" s="2" t="s">
        <v>102</v>
      </c>
      <c r="K5476" s="2" t="s">
        <v>10209</v>
      </c>
    </row>
    <row r="5477" ht="15.75" customHeight="1">
      <c r="A5477" s="2">
        <v>13383.0</v>
      </c>
      <c r="B5477" s="2" t="s">
        <v>10947</v>
      </c>
      <c r="C5477" s="2" t="s">
        <v>1776</v>
      </c>
      <c r="D5477" s="2" t="s">
        <v>10948</v>
      </c>
      <c r="E5477" s="2" t="s">
        <v>992</v>
      </c>
      <c r="F5477" s="2">
        <v>7.0</v>
      </c>
      <c r="G5477" s="2">
        <v>390.0</v>
      </c>
      <c r="H5477" s="3" t="str">
        <f>HYPERLINK("http://www.linkedin.com/in/tallgal","http://www.linkedin.com/in/tallgal")</f>
        <v>http://www.linkedin.com/in/tallgal</v>
      </c>
      <c r="I5477" s="2" t="s">
        <v>1237</v>
      </c>
      <c r="J5477" s="2" t="s">
        <v>102</v>
      </c>
      <c r="K5477" s="2" t="s">
        <v>10180</v>
      </c>
    </row>
    <row r="5478" ht="15.75" customHeight="1">
      <c r="A5478" s="2">
        <v>13384.0</v>
      </c>
      <c r="B5478" s="2" t="s">
        <v>10949</v>
      </c>
      <c r="C5478" s="2" t="s">
        <v>10950</v>
      </c>
      <c r="D5478" s="2"/>
      <c r="E5478" s="2" t="s">
        <v>1407</v>
      </c>
      <c r="F5478" s="2">
        <v>2.0</v>
      </c>
      <c r="G5478" s="2">
        <v>500.0</v>
      </c>
      <c r="H5478" s="3" t="str">
        <f>HYPERLINK("http://www.linkedin.com/pub/gururaj-mallur/1/363/A82","http://www.linkedin.com/pub/gururaj-mallur/1/363/A82")</f>
        <v>http://www.linkedin.com/pub/gururaj-mallur/1/363/A82</v>
      </c>
      <c r="I5478" s="2" t="s">
        <v>1421</v>
      </c>
      <c r="J5478" s="2" t="s">
        <v>102</v>
      </c>
      <c r="K5478" s="2" t="s">
        <v>10206</v>
      </c>
    </row>
    <row r="5479" ht="15.75" customHeight="1">
      <c r="A5479" s="2">
        <v>13407.0</v>
      </c>
      <c r="B5479" s="2" t="s">
        <v>10951</v>
      </c>
      <c r="C5479" s="2" t="s">
        <v>10952</v>
      </c>
      <c r="D5479" s="2" t="s">
        <v>10953</v>
      </c>
      <c r="E5479" s="2" t="s">
        <v>20</v>
      </c>
      <c r="F5479" s="2">
        <v>12.0</v>
      </c>
      <c r="G5479" s="2">
        <v>500.0</v>
      </c>
      <c r="H5479" s="3" t="str">
        <f>HYPERLINK("http://www.linkedin.com/in/cmsalvatore","http://www.linkedin.com/in/cmsalvatore")</f>
        <v>http://www.linkedin.com/in/cmsalvatore</v>
      </c>
      <c r="I5479" s="2" t="s">
        <v>48</v>
      </c>
      <c r="J5479" s="2" t="s">
        <v>21</v>
      </c>
      <c r="K5479" s="2" t="s">
        <v>10178</v>
      </c>
    </row>
    <row r="5480" ht="15.75" customHeight="1">
      <c r="A5480" s="2">
        <v>13418.0</v>
      </c>
      <c r="B5480" s="2" t="s">
        <v>852</v>
      </c>
      <c r="C5480" s="2" t="s">
        <v>10954</v>
      </c>
      <c r="D5480" s="2" t="s">
        <v>13</v>
      </c>
      <c r="E5480" s="2" t="s">
        <v>1918</v>
      </c>
      <c r="F5480" s="2">
        <v>0.0</v>
      </c>
      <c r="G5480" s="2">
        <v>359.0</v>
      </c>
      <c r="H5480" s="3" t="str">
        <f>HYPERLINK("http://www.linkedin.com/pub/alexander-pulido/3/901/95","http://www.linkedin.com/pub/alexander-pulido/3/901/95")</f>
        <v>http://www.linkedin.com/pub/alexander-pulido/3/901/95</v>
      </c>
      <c r="I5480" s="2" t="s">
        <v>15</v>
      </c>
      <c r="J5480" s="2" t="s">
        <v>102</v>
      </c>
      <c r="K5480" s="2" t="s">
        <v>10184</v>
      </c>
    </row>
    <row r="5481" ht="15.75" customHeight="1">
      <c r="A5481" s="2">
        <v>13431.0</v>
      </c>
      <c r="B5481" s="2" t="s">
        <v>1143</v>
      </c>
      <c r="C5481" s="2" t="s">
        <v>5335</v>
      </c>
      <c r="D5481" s="2"/>
      <c r="E5481" s="2" t="s">
        <v>2429</v>
      </c>
      <c r="F5481" s="2">
        <v>16.0</v>
      </c>
      <c r="G5481" s="2">
        <v>500.0</v>
      </c>
      <c r="H5481" s="3" t="str">
        <f>HYPERLINK("http://www.linkedin.com/pub/wade-harris/0/B55/528","http://www.linkedin.com/pub/wade-harris/0/B55/528")</f>
        <v>http://www.linkedin.com/pub/wade-harris/0/B55/528</v>
      </c>
      <c r="I5481" s="2" t="s">
        <v>48</v>
      </c>
      <c r="J5481" s="2" t="s">
        <v>102</v>
      </c>
      <c r="K5481" s="2" t="s">
        <v>10184</v>
      </c>
    </row>
    <row r="5482" ht="15.75" customHeight="1">
      <c r="A5482" s="2">
        <v>13432.0</v>
      </c>
      <c r="B5482" s="2" t="s">
        <v>10955</v>
      </c>
      <c r="C5482" s="2" t="s">
        <v>10956</v>
      </c>
      <c r="D5482" s="2" t="s">
        <v>8132</v>
      </c>
      <c r="E5482" s="2" t="s">
        <v>136</v>
      </c>
      <c r="F5482" s="2">
        <v>1.0</v>
      </c>
      <c r="G5482" s="2">
        <v>401.0</v>
      </c>
      <c r="H5482" s="3" t="str">
        <f>HYPERLINK("http://www.linkedin.com/pub/chaitanya-bhuskute/0/908/503","http://www.linkedin.com/pub/chaitanya-bhuskute/0/908/503")</f>
        <v>http://www.linkedin.com/pub/chaitanya-bhuskute/0/908/503</v>
      </c>
      <c r="I5482" s="2" t="s">
        <v>69</v>
      </c>
      <c r="J5482" s="2" t="s">
        <v>102</v>
      </c>
      <c r="K5482" s="2" t="s">
        <v>10184</v>
      </c>
    </row>
    <row r="5483" ht="15.75" customHeight="1">
      <c r="A5483" s="2">
        <v>13434.0</v>
      </c>
      <c r="B5483" s="2" t="s">
        <v>2609</v>
      </c>
      <c r="C5483" s="2" t="s">
        <v>6186</v>
      </c>
      <c r="D5483" s="2" t="s">
        <v>10957</v>
      </c>
      <c r="E5483" s="2" t="s">
        <v>325</v>
      </c>
      <c r="F5483" s="2">
        <v>3.0</v>
      </c>
      <c r="G5483" s="2">
        <v>190.0</v>
      </c>
      <c r="H5483" s="3" t="str">
        <f>HYPERLINK("http://www.linkedin.com/pub/carl-chandler/2/134/79B","http://www.linkedin.com/pub/carl-chandler/2/134/79B")</f>
        <v>http://www.linkedin.com/pub/carl-chandler/2/134/79B</v>
      </c>
      <c r="I5483" s="2" t="s">
        <v>1390</v>
      </c>
      <c r="J5483" s="2" t="s">
        <v>102</v>
      </c>
      <c r="K5483" s="2" t="s">
        <v>10206</v>
      </c>
    </row>
    <row r="5484" ht="15.75" customHeight="1">
      <c r="A5484" s="2">
        <v>13437.0</v>
      </c>
      <c r="B5484" s="2" t="s">
        <v>10958</v>
      </c>
      <c r="C5484" s="2" t="s">
        <v>3452</v>
      </c>
      <c r="D5484" s="2" t="s">
        <v>10959</v>
      </c>
      <c r="E5484" s="2" t="s">
        <v>166</v>
      </c>
      <c r="F5484" s="2">
        <v>4.0</v>
      </c>
      <c r="G5484" s="2">
        <v>71.0</v>
      </c>
      <c r="H5484" s="3" t="str">
        <f>HYPERLINK("http://www.linkedin.com/in/rolandjonesphd","http://www.linkedin.com/in/rolandjonesphd")</f>
        <v>http://www.linkedin.com/in/rolandjonesphd</v>
      </c>
      <c r="I5484" s="2" t="s">
        <v>15</v>
      </c>
      <c r="J5484" s="2" t="s">
        <v>102</v>
      </c>
      <c r="K5484" s="2" t="s">
        <v>10176</v>
      </c>
    </row>
    <row r="5485" ht="15.75" customHeight="1">
      <c r="A5485" s="2">
        <v>13482.0</v>
      </c>
      <c r="B5485" s="2" t="s">
        <v>523</v>
      </c>
      <c r="C5485" s="2" t="s">
        <v>10960</v>
      </c>
      <c r="D5485" s="2" t="s">
        <v>6098</v>
      </c>
      <c r="E5485" s="2" t="s">
        <v>20</v>
      </c>
      <c r="F5485" s="2">
        <v>11.0</v>
      </c>
      <c r="G5485" s="2">
        <v>500.0</v>
      </c>
      <c r="H5485" s="3" t="str">
        <f>HYPERLINK("http://ar.linkedin.com/in/raffanacho","http://ar.linkedin.com/in/raffanacho")</f>
        <v>http://ar.linkedin.com/in/raffanacho</v>
      </c>
      <c r="I5485" s="2" t="s">
        <v>48</v>
      </c>
      <c r="J5485" s="2" t="s">
        <v>21</v>
      </c>
      <c r="K5485" s="2" t="s">
        <v>10196</v>
      </c>
    </row>
    <row r="5486" ht="15.75" customHeight="1">
      <c r="A5486" s="2">
        <v>13496.0</v>
      </c>
      <c r="B5486" s="2" t="s">
        <v>1284</v>
      </c>
      <c r="C5486" s="2" t="s">
        <v>10961</v>
      </c>
      <c r="D5486" s="2"/>
      <c r="E5486" s="2" t="s">
        <v>2058</v>
      </c>
      <c r="F5486" s="2">
        <v>0.0</v>
      </c>
      <c r="G5486" s="2">
        <v>235.0</v>
      </c>
      <c r="H5486" s="3" t="str">
        <f>HYPERLINK("http://www.linkedin.com/pub/anthony-markovich/1/475/126","http://www.linkedin.com/pub/anthony-markovich/1/475/126")</f>
        <v>http://www.linkedin.com/pub/anthony-markovich/1/475/126</v>
      </c>
      <c r="I5486" s="2" t="s">
        <v>458</v>
      </c>
      <c r="J5486" s="2" t="s">
        <v>102</v>
      </c>
      <c r="K5486" s="2" t="s">
        <v>10187</v>
      </c>
    </row>
    <row r="5487" ht="15.75" customHeight="1">
      <c r="A5487" s="2">
        <v>13497.0</v>
      </c>
      <c r="B5487" s="2" t="s">
        <v>460</v>
      </c>
      <c r="C5487" s="2" t="s">
        <v>755</v>
      </c>
      <c r="D5487" s="2" t="s">
        <v>100</v>
      </c>
      <c r="E5487" s="2" t="s">
        <v>136</v>
      </c>
      <c r="F5487" s="2">
        <v>1.0</v>
      </c>
      <c r="G5487" s="2">
        <v>500.0</v>
      </c>
      <c r="H5487" s="3" t="str">
        <f>HYPERLINK("http://www.linkedin.com/pub/john-walsh/0/394/B22","http://www.linkedin.com/pub/john-walsh/0/394/B22")</f>
        <v>http://www.linkedin.com/pub/john-walsh/0/394/B22</v>
      </c>
      <c r="I5487" s="2" t="s">
        <v>1012</v>
      </c>
      <c r="J5487" s="2" t="s">
        <v>102</v>
      </c>
      <c r="K5487" s="2" t="s">
        <v>10799</v>
      </c>
    </row>
    <row r="5488" ht="15.75" customHeight="1">
      <c r="A5488" s="2">
        <v>13499.0</v>
      </c>
      <c r="B5488" s="2" t="s">
        <v>3472</v>
      </c>
      <c r="C5488" s="2" t="s">
        <v>10962</v>
      </c>
      <c r="D5488" s="2" t="s">
        <v>10963</v>
      </c>
      <c r="E5488" s="2" t="s">
        <v>2058</v>
      </c>
      <c r="F5488" s="2">
        <v>1.0</v>
      </c>
      <c r="G5488" s="2">
        <v>430.0</v>
      </c>
      <c r="H5488" s="3" t="str">
        <f>HYPERLINK("http://www.linkedin.com/in/sandeepchordia","http://www.linkedin.com/in/sandeepchordia")</f>
        <v>http://www.linkedin.com/in/sandeepchordia</v>
      </c>
      <c r="I5488" s="2" t="s">
        <v>910</v>
      </c>
      <c r="J5488" s="2" t="s">
        <v>102</v>
      </c>
      <c r="K5488" s="2" t="s">
        <v>10380</v>
      </c>
    </row>
    <row r="5489" ht="15.75" customHeight="1">
      <c r="A5489" s="2">
        <v>13501.0</v>
      </c>
      <c r="B5489" s="2" t="s">
        <v>4226</v>
      </c>
      <c r="C5489" s="2" t="s">
        <v>10964</v>
      </c>
      <c r="D5489" s="2" t="s">
        <v>10965</v>
      </c>
      <c r="E5489" s="2" t="s">
        <v>136</v>
      </c>
      <c r="F5489" s="2">
        <v>0.0</v>
      </c>
      <c r="G5489" s="2">
        <v>500.0</v>
      </c>
      <c r="H5489" s="3" t="str">
        <f>HYPERLINK("http://www.linkedin.com/in/hilaryswanson","http://www.linkedin.com/in/hilaryswanson")</f>
        <v>http://www.linkedin.com/in/hilaryswanson</v>
      </c>
      <c r="I5489" s="2" t="s">
        <v>57</v>
      </c>
      <c r="J5489" s="2" t="s">
        <v>102</v>
      </c>
      <c r="K5489" s="2" t="s">
        <v>10187</v>
      </c>
    </row>
    <row r="5490" ht="15.75" customHeight="1">
      <c r="A5490" s="2">
        <v>13558.0</v>
      </c>
      <c r="B5490" s="2" t="s">
        <v>10966</v>
      </c>
      <c r="C5490" s="2" t="s">
        <v>10967</v>
      </c>
      <c r="D5490" s="2"/>
      <c r="E5490" s="2" t="s">
        <v>1466</v>
      </c>
      <c r="F5490" s="2">
        <v>3.0</v>
      </c>
      <c r="G5490" s="2">
        <v>500.0</v>
      </c>
      <c r="H5490" s="3" t="str">
        <f>HYPERLINK("http://www.linkedin.com/in/ataivanov","http://www.linkedin.com/in/ataivanov")</f>
        <v>http://www.linkedin.com/in/ataivanov</v>
      </c>
      <c r="I5490" s="2" t="s">
        <v>48</v>
      </c>
      <c r="J5490" s="2" t="s">
        <v>102</v>
      </c>
      <c r="K5490" s="2" t="s">
        <v>10184</v>
      </c>
    </row>
    <row r="5491" ht="15.75" customHeight="1">
      <c r="A5491" s="2">
        <v>13559.0</v>
      </c>
      <c r="B5491" s="2" t="s">
        <v>1144</v>
      </c>
      <c r="C5491" s="2" t="s">
        <v>3750</v>
      </c>
      <c r="D5491" s="2" t="s">
        <v>10968</v>
      </c>
      <c r="E5491" s="2" t="s">
        <v>136</v>
      </c>
      <c r="F5491" s="2">
        <v>0.0</v>
      </c>
      <c r="G5491" s="2">
        <v>500.0</v>
      </c>
      <c r="H5491" s="3" t="str">
        <f>HYPERLINK("http://www.linkedin.com/pub/allen-chan/11/675/661","http://www.linkedin.com/pub/allen-chan/11/675/661")</f>
        <v>http://www.linkedin.com/pub/allen-chan/11/675/661</v>
      </c>
      <c r="I5491" s="2" t="s">
        <v>1496</v>
      </c>
      <c r="J5491" s="2" t="s">
        <v>102</v>
      </c>
      <c r="K5491" s="2" t="s">
        <v>10187</v>
      </c>
    </row>
    <row r="5492" ht="15.75" customHeight="1">
      <c r="A5492" s="2">
        <v>13561.0</v>
      </c>
      <c r="B5492" s="2" t="s">
        <v>1004</v>
      </c>
      <c r="C5492" s="2" t="s">
        <v>10969</v>
      </c>
      <c r="D5492" s="2" t="s">
        <v>9208</v>
      </c>
      <c r="E5492" s="2" t="s">
        <v>136</v>
      </c>
      <c r="F5492" s="2">
        <v>11.0</v>
      </c>
      <c r="G5492" s="2">
        <v>500.0</v>
      </c>
      <c r="H5492" s="3" t="str">
        <f>HYPERLINK("http://www.linkedin.com/in/scottmccomas","http://www.linkedin.com/in/scottmccomas")</f>
        <v>http://www.linkedin.com/in/scottmccomas</v>
      </c>
      <c r="I5492" s="2" t="s">
        <v>160</v>
      </c>
      <c r="J5492" s="2" t="s">
        <v>102</v>
      </c>
      <c r="K5492" s="2" t="s">
        <v>10970</v>
      </c>
    </row>
    <row r="5493" ht="15.75" customHeight="1">
      <c r="A5493" s="2">
        <v>13563.0</v>
      </c>
      <c r="B5493" s="2" t="s">
        <v>5723</v>
      </c>
      <c r="C5493" s="2" t="s">
        <v>10971</v>
      </c>
      <c r="D5493" s="2" t="s">
        <v>10972</v>
      </c>
      <c r="E5493" s="2" t="s">
        <v>20</v>
      </c>
      <c r="F5493" s="2">
        <v>2.0</v>
      </c>
      <c r="G5493" s="2">
        <v>485.0</v>
      </c>
      <c r="H5493" s="3" t="str">
        <f>HYPERLINK("http://ar.linkedin.com/in/pduranti","http://ar.linkedin.com/in/pduranti")</f>
        <v>http://ar.linkedin.com/in/pduranti</v>
      </c>
      <c r="I5493" s="2" t="s">
        <v>69</v>
      </c>
      <c r="J5493" s="2" t="s">
        <v>21</v>
      </c>
      <c r="K5493" s="2" t="s">
        <v>10196</v>
      </c>
    </row>
    <row r="5494" ht="15.75" customHeight="1">
      <c r="A5494" s="2">
        <v>13564.0</v>
      </c>
      <c r="B5494" s="2" t="s">
        <v>10973</v>
      </c>
      <c r="C5494" s="2" t="s">
        <v>10974</v>
      </c>
      <c r="D5494" s="2" t="s">
        <v>10975</v>
      </c>
      <c r="E5494" s="2" t="s">
        <v>136</v>
      </c>
      <c r="F5494" s="2">
        <v>10.0</v>
      </c>
      <c r="G5494" s="2">
        <v>393.0</v>
      </c>
      <c r="H5494" s="3" t="str">
        <f>HYPERLINK("http://www.linkedin.com/in/joannafong21","http://www.linkedin.com/in/joannafong21")</f>
        <v>http://www.linkedin.com/in/joannafong21</v>
      </c>
      <c r="I5494" s="2" t="s">
        <v>15</v>
      </c>
      <c r="J5494" s="2" t="s">
        <v>102</v>
      </c>
      <c r="K5494" s="2" t="s">
        <v>10976</v>
      </c>
    </row>
    <row r="5495" ht="15.75" customHeight="1">
      <c r="A5495" s="2">
        <v>13574.0</v>
      </c>
      <c r="B5495" s="2" t="s">
        <v>10977</v>
      </c>
      <c r="C5495" s="2" t="s">
        <v>399</v>
      </c>
      <c r="D5495" s="2" t="s">
        <v>13</v>
      </c>
      <c r="E5495" s="2" t="s">
        <v>397</v>
      </c>
      <c r="F5495" s="2">
        <v>0.0</v>
      </c>
      <c r="G5495" s="2">
        <v>500.0</v>
      </c>
      <c r="H5495" s="3" t="str">
        <f>HYPERLINK("http://www.linkedin.com/in/sajijohnson","http://www.linkedin.com/in/sajijohnson")</f>
        <v>http://www.linkedin.com/in/sajijohnson</v>
      </c>
      <c r="I5495" s="2" t="s">
        <v>709</v>
      </c>
      <c r="J5495" s="2" t="s">
        <v>102</v>
      </c>
      <c r="K5495" s="2" t="s">
        <v>10182</v>
      </c>
    </row>
    <row r="5496" ht="15.75" customHeight="1">
      <c r="A5496" s="2">
        <v>13586.0</v>
      </c>
      <c r="B5496" s="2" t="s">
        <v>1004</v>
      </c>
      <c r="C5496" s="2" t="s">
        <v>10978</v>
      </c>
      <c r="D5496" s="2" t="s">
        <v>10979</v>
      </c>
      <c r="E5496" s="2" t="s">
        <v>1407</v>
      </c>
      <c r="F5496" s="2">
        <v>6.0</v>
      </c>
      <c r="G5496" s="2">
        <v>446.0</v>
      </c>
      <c r="H5496" s="3" t="str">
        <f>HYPERLINK("http://www.linkedin.com/pub/scott-abramson/0/42B/A45","http://www.linkedin.com/pub/scott-abramson/0/42B/A45")</f>
        <v>http://www.linkedin.com/pub/scott-abramson/0/42B/A45</v>
      </c>
      <c r="I5496" s="2" t="s">
        <v>15</v>
      </c>
      <c r="J5496" s="2" t="s">
        <v>102</v>
      </c>
      <c r="K5496" s="2" t="s">
        <v>10184</v>
      </c>
    </row>
    <row r="5497" ht="15.75" customHeight="1">
      <c r="A5497" s="2">
        <v>13591.0</v>
      </c>
      <c r="B5497" s="2" t="s">
        <v>5922</v>
      </c>
      <c r="C5497" s="2" t="s">
        <v>10980</v>
      </c>
      <c r="D5497" s="2" t="s">
        <v>10981</v>
      </c>
      <c r="E5497" s="2" t="s">
        <v>1241</v>
      </c>
      <c r="F5497" s="2">
        <v>2.0</v>
      </c>
      <c r="G5497" s="2">
        <v>478.0</v>
      </c>
      <c r="H5497" s="3" t="str">
        <f>HYPERLINK("http://ar.linkedin.com/pub/gabriela-lopez-ruiz/2/A65/866","http://ar.linkedin.com/pub/gabriela-lopez-ruiz/2/A65/866")</f>
        <v>http://ar.linkedin.com/pub/gabriela-lopez-ruiz/2/A65/866</v>
      </c>
      <c r="I5497" s="2" t="s">
        <v>48</v>
      </c>
      <c r="J5497" s="2" t="s">
        <v>65</v>
      </c>
      <c r="K5497" s="2" t="s">
        <v>10196</v>
      </c>
    </row>
    <row r="5498" ht="15.75" customHeight="1">
      <c r="A5498" s="2">
        <v>13592.0</v>
      </c>
      <c r="B5498" s="2" t="s">
        <v>6252</v>
      </c>
      <c r="C5498" s="2" t="s">
        <v>10982</v>
      </c>
      <c r="D5498" s="2" t="s">
        <v>13</v>
      </c>
      <c r="E5498" s="2" t="s">
        <v>20</v>
      </c>
      <c r="F5498" s="2">
        <v>0.0</v>
      </c>
      <c r="G5498" s="2">
        <v>457.0</v>
      </c>
      <c r="H5498" s="3" t="str">
        <f>HYPERLINK("https://www.linkedin.com/in/ssotomayor89","https://www.linkedin.com/in/ssotomayor89")</f>
        <v>https://www.linkedin.com/in/ssotomayor89</v>
      </c>
      <c r="I5498" s="2" t="s">
        <v>48</v>
      </c>
      <c r="J5498" s="2" t="s">
        <v>21</v>
      </c>
      <c r="K5498" s="2" t="s">
        <v>10206</v>
      </c>
    </row>
    <row r="5499" ht="15.75" customHeight="1">
      <c r="A5499" s="2">
        <v>13595.0</v>
      </c>
      <c r="B5499" s="2" t="s">
        <v>1545</v>
      </c>
      <c r="C5499" s="2" t="s">
        <v>10983</v>
      </c>
      <c r="D5499" s="2" t="s">
        <v>10984</v>
      </c>
      <c r="E5499" s="2" t="s">
        <v>136</v>
      </c>
      <c r="F5499" s="2">
        <v>1.0</v>
      </c>
      <c r="G5499" s="2">
        <v>500.0</v>
      </c>
      <c r="H5499" s="3" t="str">
        <f>HYPERLINK("http://www.linkedin.com/pub/patrick-o-leary/1/58/177","http://www.linkedin.com/pub/patrick-o-leary/1/58/177")</f>
        <v>http://www.linkedin.com/pub/patrick-o-leary/1/58/177</v>
      </c>
      <c r="I5499" s="2" t="s">
        <v>15</v>
      </c>
      <c r="J5499" s="2" t="s">
        <v>102</v>
      </c>
      <c r="K5499" s="2" t="s">
        <v>10184</v>
      </c>
    </row>
    <row r="5500" ht="15.75" customHeight="1">
      <c r="A5500" s="2">
        <v>13596.0</v>
      </c>
      <c r="B5500" s="2" t="s">
        <v>10985</v>
      </c>
      <c r="C5500" s="2" t="s">
        <v>10986</v>
      </c>
      <c r="D5500" s="2" t="s">
        <v>10987</v>
      </c>
      <c r="E5500" s="2" t="s">
        <v>136</v>
      </c>
      <c r="F5500" s="2">
        <v>20.0</v>
      </c>
      <c r="G5500" s="2">
        <v>500.0</v>
      </c>
      <c r="H5500" s="3" t="str">
        <f>HYPERLINK("http://www.linkedin.com/in/sorendetering","http://www.linkedin.com/in/sorendetering")</f>
        <v>http://www.linkedin.com/in/sorendetering</v>
      </c>
      <c r="I5500" s="2" t="s">
        <v>15</v>
      </c>
      <c r="J5500" s="2" t="s">
        <v>102</v>
      </c>
      <c r="K5500" s="2" t="s">
        <v>10988</v>
      </c>
    </row>
    <row r="5501" ht="15.75" customHeight="1">
      <c r="A5501" s="2">
        <v>13597.0</v>
      </c>
      <c r="B5501" s="2" t="s">
        <v>2014</v>
      </c>
      <c r="C5501" s="2" t="s">
        <v>1789</v>
      </c>
      <c r="D5501" s="2" t="s">
        <v>10989</v>
      </c>
      <c r="E5501" s="2" t="s">
        <v>136</v>
      </c>
      <c r="F5501" s="2">
        <v>9.0</v>
      </c>
      <c r="G5501" s="2">
        <v>475.0</v>
      </c>
      <c r="H5501" s="3" t="str">
        <f>HYPERLINK("http://www.linkedin.com/pub/ken-wilson/1/80A/8A7","http://www.linkedin.com/pub/ken-wilson/1/80A/8A7")</f>
        <v>http://www.linkedin.com/pub/ken-wilson/1/80A/8A7</v>
      </c>
      <c r="I5501" s="2" t="s">
        <v>15</v>
      </c>
      <c r="J5501" s="2" t="s">
        <v>102</v>
      </c>
      <c r="K5501" s="2" t="s">
        <v>10306</v>
      </c>
    </row>
    <row r="5502" ht="15.75" customHeight="1">
      <c r="A5502" s="2">
        <v>13621.0</v>
      </c>
      <c r="B5502" s="2" t="s">
        <v>9414</v>
      </c>
      <c r="C5502" s="2" t="s">
        <v>10990</v>
      </c>
      <c r="D5502" s="2" t="s">
        <v>10991</v>
      </c>
      <c r="E5502" s="2" t="s">
        <v>20</v>
      </c>
      <c r="F5502" s="2">
        <v>5.0</v>
      </c>
      <c r="G5502" s="2">
        <v>500.0</v>
      </c>
      <c r="H5502" s="3" t="str">
        <f>HYPERLINK("http://ar.linkedin.com/in/dianaivaldi","http://ar.linkedin.com/in/dianaivaldi")</f>
        <v>http://ar.linkedin.com/in/dianaivaldi</v>
      </c>
      <c r="I5502" s="2" t="s">
        <v>69</v>
      </c>
      <c r="J5502" s="2" t="s">
        <v>21</v>
      </c>
      <c r="K5502" s="2" t="s">
        <v>10196</v>
      </c>
    </row>
    <row r="5503" ht="15.75" customHeight="1">
      <c r="A5503" s="2">
        <v>13635.0</v>
      </c>
      <c r="B5503" s="2" t="s">
        <v>353</v>
      </c>
      <c r="C5503" s="2" t="s">
        <v>10992</v>
      </c>
      <c r="D5503" s="2" t="s">
        <v>1647</v>
      </c>
      <c r="E5503" s="2" t="s">
        <v>10993</v>
      </c>
      <c r="F5503" s="2">
        <v>6.0</v>
      </c>
      <c r="G5503" s="2">
        <v>356.0</v>
      </c>
      <c r="H5503" s="3" t="str">
        <f>HYPERLINK("http://ar.linkedin.com/in/alejandrokoretzky","http://ar.linkedin.com/in/alejandrokoretzky")</f>
        <v>http://ar.linkedin.com/in/alejandrokoretzky</v>
      </c>
      <c r="I5503" s="2" t="s">
        <v>15</v>
      </c>
      <c r="J5503" s="2" t="s">
        <v>44</v>
      </c>
      <c r="K5503" s="2" t="s">
        <v>10994</v>
      </c>
    </row>
    <row r="5504" ht="15.75" customHeight="1">
      <c r="A5504" s="2">
        <v>13648.0</v>
      </c>
      <c r="B5504" s="2" t="s">
        <v>3477</v>
      </c>
      <c r="C5504" s="2" t="s">
        <v>10995</v>
      </c>
      <c r="D5504" s="2" t="s">
        <v>10996</v>
      </c>
      <c r="E5504" s="2" t="s">
        <v>235</v>
      </c>
      <c r="F5504" s="2">
        <v>2.0</v>
      </c>
      <c r="G5504" s="2">
        <v>302.0</v>
      </c>
      <c r="H5504" s="3" t="str">
        <f>HYPERLINK("http://ar.linkedin.com/in/joshgoldfein","http://ar.linkedin.com/in/joshgoldfein")</f>
        <v>http://ar.linkedin.com/in/joshgoldfein</v>
      </c>
      <c r="I5504" s="2" t="s">
        <v>77</v>
      </c>
      <c r="J5504" s="2" t="s">
        <v>102</v>
      </c>
      <c r="K5504" s="2" t="s">
        <v>10178</v>
      </c>
    </row>
    <row r="5505" ht="15.75" customHeight="1">
      <c r="A5505" s="2">
        <v>13679.0</v>
      </c>
      <c r="B5505" s="2" t="s">
        <v>677</v>
      </c>
      <c r="C5505" s="2" t="s">
        <v>10997</v>
      </c>
      <c r="D5505" s="2" t="s">
        <v>10271</v>
      </c>
      <c r="E5505" s="2" t="s">
        <v>136</v>
      </c>
      <c r="F5505" s="2">
        <v>4.0</v>
      </c>
      <c r="G5505" s="2">
        <v>500.0</v>
      </c>
      <c r="H5505" s="3" t="str">
        <f>HYPERLINK("http://www.linkedin.com/in/dsolmirano","http://www.linkedin.com/in/dsolmirano")</f>
        <v>http://www.linkedin.com/in/dsolmirano</v>
      </c>
      <c r="I5505" s="2" t="s">
        <v>48</v>
      </c>
      <c r="J5505" s="2" t="s">
        <v>102</v>
      </c>
      <c r="K5505" s="2" t="s">
        <v>10245</v>
      </c>
    </row>
    <row r="5506" ht="15.75" customHeight="1">
      <c r="A5506" s="2">
        <v>13681.0</v>
      </c>
      <c r="B5506" s="2" t="s">
        <v>1919</v>
      </c>
      <c r="C5506" s="2" t="s">
        <v>10998</v>
      </c>
      <c r="D5506" s="2"/>
      <c r="E5506" s="2" t="s">
        <v>10999</v>
      </c>
      <c r="F5506" s="2">
        <v>7.0</v>
      </c>
      <c r="G5506" s="2">
        <v>357.0</v>
      </c>
      <c r="H5506" s="3" t="str">
        <f>HYPERLINK("http://www.linkedin.com/pub/larry-hartsook/0/B08/112","http://www.linkedin.com/pub/larry-hartsook/0/B08/112")</f>
        <v>http://www.linkedin.com/pub/larry-hartsook/0/B08/112</v>
      </c>
      <c r="I5506" s="2" t="s">
        <v>48</v>
      </c>
      <c r="J5506" s="2" t="s">
        <v>102</v>
      </c>
      <c r="K5506" s="2" t="s">
        <v>10184</v>
      </c>
    </row>
    <row r="5507" ht="15.75" customHeight="1">
      <c r="A5507" s="2">
        <v>13692.0</v>
      </c>
      <c r="B5507" s="2" t="s">
        <v>471</v>
      </c>
      <c r="C5507" s="2" t="s">
        <v>11000</v>
      </c>
      <c r="D5507" s="2" t="s">
        <v>11001</v>
      </c>
      <c r="E5507" s="2" t="s">
        <v>628</v>
      </c>
      <c r="F5507" s="2">
        <v>10.0</v>
      </c>
      <c r="G5507" s="2">
        <v>500.0</v>
      </c>
      <c r="H5507" s="3" t="str">
        <f>HYPERLINK("http://www.linkedin.com/in/dannorris","http://www.linkedin.com/in/dannorris")</f>
        <v>http://www.linkedin.com/in/dannorris</v>
      </c>
      <c r="I5507" s="2" t="s">
        <v>48</v>
      </c>
      <c r="J5507" s="2" t="s">
        <v>102</v>
      </c>
      <c r="K5507" s="2" t="s">
        <v>10184</v>
      </c>
    </row>
    <row r="5508" ht="15.75" customHeight="1">
      <c r="A5508" s="2">
        <v>13727.0</v>
      </c>
      <c r="B5508" s="2" t="s">
        <v>3692</v>
      </c>
      <c r="C5508" s="2" t="s">
        <v>11002</v>
      </c>
      <c r="D5508" s="2" t="s">
        <v>11003</v>
      </c>
      <c r="E5508" s="2" t="s">
        <v>20</v>
      </c>
      <c r="F5508" s="2">
        <v>4.0</v>
      </c>
      <c r="G5508" s="2">
        <v>432.0</v>
      </c>
      <c r="H5508" s="3" t="str">
        <f>HYPERLINK("http://ar.linkedin.com/in/federicocherchyk","http://ar.linkedin.com/in/federicocherchyk")</f>
        <v>http://ar.linkedin.com/in/federicocherchyk</v>
      </c>
      <c r="I5508" s="2" t="s">
        <v>15</v>
      </c>
      <c r="J5508" s="2" t="s">
        <v>21</v>
      </c>
      <c r="K5508" s="2" t="s">
        <v>10180</v>
      </c>
    </row>
    <row r="5509" ht="15.75" customHeight="1">
      <c r="A5509" s="2">
        <v>13730.0</v>
      </c>
      <c r="B5509" s="2" t="s">
        <v>11004</v>
      </c>
      <c r="C5509" s="2" t="s">
        <v>11005</v>
      </c>
      <c r="D5509" s="2" t="s">
        <v>13</v>
      </c>
      <c r="E5509" s="2" t="s">
        <v>355</v>
      </c>
      <c r="F5509" s="2">
        <v>0.0</v>
      </c>
      <c r="G5509" s="2">
        <v>500.0</v>
      </c>
      <c r="H5509" s="3" t="str">
        <f>HYPERLINK("http://www.linkedin.com/pub/gonzalo-hernan-rolnik/1a/b33/345","http://www.linkedin.com/pub/gonzalo-hernan-rolnik/1a/b33/345")</f>
        <v>http://www.linkedin.com/pub/gonzalo-hernan-rolnik/1a/b33/345</v>
      </c>
      <c r="I5509" s="2" t="s">
        <v>15</v>
      </c>
      <c r="J5509" s="2" t="s">
        <v>28</v>
      </c>
      <c r="K5509" s="2" t="s">
        <v>10233</v>
      </c>
    </row>
    <row r="5510" ht="15.75" customHeight="1">
      <c r="A5510" s="2">
        <v>13750.0</v>
      </c>
      <c r="B5510" s="2" t="s">
        <v>784</v>
      </c>
      <c r="C5510" s="2" t="s">
        <v>11006</v>
      </c>
      <c r="D5510" s="2" t="s">
        <v>11007</v>
      </c>
      <c r="E5510" s="2" t="s">
        <v>713</v>
      </c>
      <c r="F5510" s="2">
        <v>0.0</v>
      </c>
      <c r="G5510" s="2">
        <v>153.0</v>
      </c>
      <c r="H5510" s="3" t="str">
        <f>HYPERLINK("http://www.linkedin.com/pub/jeff-setrin/2/A99/5AB","http://www.linkedin.com/pub/jeff-setrin/2/A99/5AB")</f>
        <v>http://www.linkedin.com/pub/jeff-setrin/2/A99/5AB</v>
      </c>
      <c r="I5510" s="2" t="s">
        <v>48</v>
      </c>
      <c r="J5510" s="2" t="s">
        <v>102</v>
      </c>
      <c r="K5510" s="2" t="s">
        <v>10184</v>
      </c>
    </row>
    <row r="5511" ht="15.75" customHeight="1">
      <c r="A5511" s="2">
        <v>13765.0</v>
      </c>
      <c r="B5511" s="2" t="s">
        <v>36</v>
      </c>
      <c r="C5511" s="2" t="s">
        <v>2135</v>
      </c>
      <c r="D5511" s="2" t="s">
        <v>11008</v>
      </c>
      <c r="E5511" s="2" t="s">
        <v>971</v>
      </c>
      <c r="F5511" s="2">
        <v>6.0</v>
      </c>
      <c r="G5511" s="2">
        <v>266.0</v>
      </c>
      <c r="H5511" s="3" t="str">
        <f>HYPERLINK("http://www.linkedin.com/in/adrianagutierrezsarmiento","http://www.linkedin.com/in/adrianagutierrezsarmiento")</f>
        <v>http://www.linkedin.com/in/adrianagutierrezsarmiento</v>
      </c>
      <c r="I5511" s="2" t="s">
        <v>48</v>
      </c>
      <c r="J5511" s="2" t="s">
        <v>102</v>
      </c>
      <c r="K5511" s="2" t="s">
        <v>10176</v>
      </c>
    </row>
    <row r="5512" ht="15.75" customHeight="1">
      <c r="A5512" s="2">
        <v>13812.0</v>
      </c>
      <c r="B5512" s="2" t="s">
        <v>6417</v>
      </c>
      <c r="C5512" s="2" t="s">
        <v>2135</v>
      </c>
      <c r="D5512" s="2" t="s">
        <v>11009</v>
      </c>
      <c r="E5512" s="2" t="s">
        <v>20</v>
      </c>
      <c r="F5512" s="2">
        <v>2.0</v>
      </c>
      <c r="G5512" s="2">
        <v>170.0</v>
      </c>
      <c r="H5512" s="3" t="str">
        <f>HYPERLINK("http://ar.linkedin.com/in/gmgutierrez","http://ar.linkedin.com/in/gmgutierrez")</f>
        <v>http://ar.linkedin.com/in/gmgutierrez</v>
      </c>
      <c r="I5512" s="2" t="s">
        <v>15</v>
      </c>
      <c r="J5512" s="2" t="s">
        <v>21</v>
      </c>
      <c r="K5512" s="2" t="s">
        <v>10178</v>
      </c>
    </row>
    <row r="5513" ht="15.75" customHeight="1">
      <c r="A5513" s="2">
        <v>13820.0</v>
      </c>
      <c r="B5513" s="2" t="s">
        <v>1004</v>
      </c>
      <c r="C5513" s="2" t="s">
        <v>11010</v>
      </c>
      <c r="D5513" s="2" t="s">
        <v>11011</v>
      </c>
      <c r="E5513" s="2" t="s">
        <v>301</v>
      </c>
      <c r="F5513" s="2">
        <v>0.0</v>
      </c>
      <c r="G5513" s="2">
        <v>301.0</v>
      </c>
      <c r="H5513" s="3" t="str">
        <f>HYPERLINK("http://www.linkedin.com/in/showie","http://www.linkedin.com/in/showie")</f>
        <v>http://www.linkedin.com/in/showie</v>
      </c>
      <c r="I5513" s="2" t="s">
        <v>15</v>
      </c>
      <c r="J5513" s="2" t="s">
        <v>102</v>
      </c>
      <c r="K5513" s="2" t="s">
        <v>10184</v>
      </c>
    </row>
    <row r="5514" ht="15.75" customHeight="1">
      <c r="A5514" s="2">
        <v>13823.0</v>
      </c>
      <c r="B5514" s="2" t="s">
        <v>3143</v>
      </c>
      <c r="C5514" s="2" t="s">
        <v>11012</v>
      </c>
      <c r="D5514" s="2" t="s">
        <v>11013</v>
      </c>
      <c r="E5514" s="2" t="s">
        <v>301</v>
      </c>
      <c r="F5514" s="2">
        <v>16.0</v>
      </c>
      <c r="G5514" s="2">
        <v>455.0</v>
      </c>
      <c r="H5514" s="3" t="str">
        <f>HYPERLINK("http://www.linkedin.com/pub/miriam-shapiro/3/8A0/1A3","http://www.linkedin.com/pub/miriam-shapiro/3/8A0/1A3")</f>
        <v>http://www.linkedin.com/pub/miriam-shapiro/3/8A0/1A3</v>
      </c>
      <c r="I5514" s="2" t="s">
        <v>1740</v>
      </c>
      <c r="J5514" s="2" t="s">
        <v>102</v>
      </c>
      <c r="K5514" s="2" t="s">
        <v>10206</v>
      </c>
    </row>
    <row r="5515" ht="15.75" customHeight="1">
      <c r="A5515" s="2">
        <v>13826.0</v>
      </c>
      <c r="B5515" s="2" t="s">
        <v>11014</v>
      </c>
      <c r="C5515" s="2" t="s">
        <v>11015</v>
      </c>
      <c r="D5515" s="2" t="s">
        <v>11016</v>
      </c>
      <c r="E5515" s="2" t="s">
        <v>301</v>
      </c>
      <c r="F5515" s="2">
        <v>9.0</v>
      </c>
      <c r="G5515" s="2">
        <v>500.0</v>
      </c>
      <c r="H5515" s="3" t="str">
        <f>HYPERLINK("http://www.linkedin.com/in/coraflaster","http://www.linkedin.com/in/coraflaster")</f>
        <v>http://www.linkedin.com/in/coraflaster</v>
      </c>
      <c r="I5515" s="2" t="s">
        <v>105</v>
      </c>
      <c r="J5515" s="2" t="s">
        <v>102</v>
      </c>
      <c r="K5515" s="2" t="s">
        <v>10206</v>
      </c>
    </row>
    <row r="5516" ht="15.75" customHeight="1">
      <c r="A5516" s="2">
        <v>13829.0</v>
      </c>
      <c r="B5516" s="2" t="s">
        <v>862</v>
      </c>
      <c r="C5516" s="2" t="s">
        <v>11017</v>
      </c>
      <c r="D5516" s="2" t="s">
        <v>11018</v>
      </c>
      <c r="E5516" s="2" t="s">
        <v>155</v>
      </c>
      <c r="F5516" s="2">
        <v>19.0</v>
      </c>
      <c r="G5516" s="2">
        <v>500.0</v>
      </c>
      <c r="H5516" s="3" t="str">
        <f>HYPERLINK("http://www.linkedin.com/pub/gabriel-isaacs-gabe/5/4a1/251","http://www.linkedin.com/pub/gabriel-isaacs-gabe/5/4a1/251")</f>
        <v>http://www.linkedin.com/pub/gabriel-isaacs-gabe/5/4a1/251</v>
      </c>
      <c r="I5516" s="2" t="s">
        <v>105</v>
      </c>
      <c r="J5516" s="2" t="s">
        <v>102</v>
      </c>
      <c r="K5516" s="2" t="s">
        <v>10182</v>
      </c>
    </row>
    <row r="5517" ht="15.75" customHeight="1">
      <c r="A5517" s="2">
        <v>13834.0</v>
      </c>
      <c r="B5517" s="2" t="s">
        <v>993</v>
      </c>
      <c r="C5517" s="2" t="s">
        <v>11019</v>
      </c>
      <c r="D5517" s="2" t="s">
        <v>13</v>
      </c>
      <c r="E5517" s="2" t="s">
        <v>181</v>
      </c>
      <c r="F5517" s="2">
        <v>0.0</v>
      </c>
      <c r="G5517" s="2">
        <v>500.0</v>
      </c>
      <c r="H5517" s="3" t="str">
        <f>HYPERLINK("http://www.linkedin.com/in/jhackett305","http://www.linkedin.com/in/jhackett305")</f>
        <v>http://www.linkedin.com/in/jhackett305</v>
      </c>
      <c r="I5517" s="2" t="s">
        <v>105</v>
      </c>
      <c r="J5517" s="2" t="s">
        <v>102</v>
      </c>
      <c r="K5517" s="2" t="s">
        <v>10206</v>
      </c>
    </row>
    <row r="5518" ht="15.75" customHeight="1">
      <c r="A5518" s="2">
        <v>13837.0</v>
      </c>
      <c r="B5518" s="2" t="s">
        <v>540</v>
      </c>
      <c r="C5518" s="2" t="s">
        <v>11020</v>
      </c>
      <c r="D5518" s="2" t="s">
        <v>11021</v>
      </c>
      <c r="E5518" s="2" t="s">
        <v>301</v>
      </c>
      <c r="F5518" s="2">
        <v>5.0</v>
      </c>
      <c r="G5518" s="2">
        <v>500.0</v>
      </c>
      <c r="H5518" s="3" t="str">
        <f>HYPERLINK("http://www.linkedin.com/in/chrisrauh","http://www.linkedin.com/in/chrisrauh")</f>
        <v>http://www.linkedin.com/in/chrisrauh</v>
      </c>
      <c r="I5518" s="2" t="s">
        <v>105</v>
      </c>
      <c r="J5518" s="2" t="s">
        <v>102</v>
      </c>
      <c r="K5518" s="2" t="s">
        <v>10206</v>
      </c>
    </row>
    <row r="5519" ht="15.75" customHeight="1">
      <c r="A5519" s="2">
        <v>13862.0</v>
      </c>
      <c r="B5519" s="2" t="s">
        <v>70</v>
      </c>
      <c r="C5519" s="2" t="s">
        <v>11022</v>
      </c>
      <c r="D5519" s="2" t="s">
        <v>11023</v>
      </c>
      <c r="E5519" s="2" t="s">
        <v>20</v>
      </c>
      <c r="F5519" s="2">
        <v>4.0</v>
      </c>
      <c r="G5519" s="2">
        <v>236.0</v>
      </c>
      <c r="H5519" s="3" t="str">
        <f>HYPERLINK("http://ar.linkedin.com/in/gustavobarreiros","http://ar.linkedin.com/in/gustavobarreiros")</f>
        <v>http://ar.linkedin.com/in/gustavobarreiros</v>
      </c>
      <c r="I5519" s="2" t="s">
        <v>15</v>
      </c>
      <c r="J5519" s="2" t="s">
        <v>21</v>
      </c>
      <c r="K5519" s="2" t="s">
        <v>10187</v>
      </c>
    </row>
    <row r="5520" ht="15.75" customHeight="1">
      <c r="A5520" s="2">
        <v>13910.0</v>
      </c>
      <c r="B5520" s="2" t="s">
        <v>752</v>
      </c>
      <c r="C5520" s="2" t="s">
        <v>11024</v>
      </c>
      <c r="D5520" s="2">
        <v>1.0</v>
      </c>
      <c r="E5520" s="2" t="s">
        <v>11025</v>
      </c>
      <c r="F5520" s="2">
        <v>2.0</v>
      </c>
      <c r="G5520" s="2">
        <v>44.0</v>
      </c>
      <c r="H5520" s="3" t="str">
        <f>HYPERLINK("http://www.linkedin.com/pub/jim-hohmeister/A/572/935","http://www.linkedin.com/pub/jim-hohmeister/A/572/935")</f>
        <v>http://www.linkedin.com/pub/jim-hohmeister/A/572/935</v>
      </c>
      <c r="I5520" s="2" t="s">
        <v>865</v>
      </c>
      <c r="J5520" s="2" t="s">
        <v>102</v>
      </c>
      <c r="K5520" s="2" t="s">
        <v>10187</v>
      </c>
    </row>
    <row r="5521" ht="15.75" customHeight="1">
      <c r="A5521" s="2">
        <v>13925.0</v>
      </c>
      <c r="B5521" s="2" t="s">
        <v>460</v>
      </c>
      <c r="C5521" s="2" t="s">
        <v>11026</v>
      </c>
      <c r="D5521" s="2" t="s">
        <v>841</v>
      </c>
      <c r="E5521" s="2" t="s">
        <v>505</v>
      </c>
      <c r="F5521" s="2">
        <v>3.0</v>
      </c>
      <c r="G5521" s="2">
        <v>500.0</v>
      </c>
      <c r="H5521" s="3" t="str">
        <f>HYPERLINK("http://www.linkedin.com/in/johnharman","http://www.linkedin.com/in/johnharman")</f>
        <v>http://www.linkedin.com/in/johnharman</v>
      </c>
      <c r="I5521" s="2" t="s">
        <v>356</v>
      </c>
      <c r="J5521" s="2" t="s">
        <v>102</v>
      </c>
      <c r="K5521" s="2" t="s">
        <v>10206</v>
      </c>
    </row>
    <row r="5522" ht="15.75" customHeight="1">
      <c r="A5522" s="2">
        <v>13930.0</v>
      </c>
      <c r="B5522" s="2" t="s">
        <v>5803</v>
      </c>
      <c r="C5522" s="2" t="s">
        <v>11027</v>
      </c>
      <c r="D5522" s="2" t="s">
        <v>11028</v>
      </c>
      <c r="E5522" s="2" t="s">
        <v>122</v>
      </c>
      <c r="F5522" s="2">
        <v>0.0</v>
      </c>
      <c r="G5522" s="2">
        <v>500.0</v>
      </c>
      <c r="H5522" s="3" t="str">
        <f>HYPERLINK("http://uk.linkedin.com/pub/mariano-groiso/0/59/7A9","http://uk.linkedin.com/pub/mariano-groiso/0/59/7A9")</f>
        <v>http://uk.linkedin.com/pub/mariano-groiso/0/59/7A9</v>
      </c>
      <c r="I5522" s="2" t="s">
        <v>15</v>
      </c>
      <c r="J5522" s="2" t="s">
        <v>53</v>
      </c>
      <c r="K5522" s="2" t="s">
        <v>10206</v>
      </c>
    </row>
    <row r="5523" ht="15.75" customHeight="1">
      <c r="A5523" s="2">
        <v>13943.0</v>
      </c>
      <c r="B5523" s="2" t="s">
        <v>7744</v>
      </c>
      <c r="C5523" s="2" t="s">
        <v>11029</v>
      </c>
      <c r="D5523" s="2" t="s">
        <v>13</v>
      </c>
      <c r="E5523" s="2" t="s">
        <v>20</v>
      </c>
      <c r="F5523" s="2">
        <v>0.0</v>
      </c>
      <c r="G5523" s="2">
        <v>500.0</v>
      </c>
      <c r="H5523" s="3" t="str">
        <f>HYPERLINK("http://www.linkedin.com/pub/oscar-piroli/1/807/264","http://www.linkedin.com/pub/oscar-piroli/1/807/264")</f>
        <v>http://www.linkedin.com/pub/oscar-piroli/1/807/264</v>
      </c>
      <c r="I5523" s="2" t="s">
        <v>15</v>
      </c>
      <c r="J5523" s="2" t="s">
        <v>21</v>
      </c>
      <c r="K5523" s="2" t="s">
        <v>10343</v>
      </c>
    </row>
    <row r="5524" ht="15.75" customHeight="1">
      <c r="A5524" s="2">
        <v>14030.0</v>
      </c>
      <c r="B5524" s="2" t="s">
        <v>492</v>
      </c>
      <c r="C5524" s="2" t="s">
        <v>11030</v>
      </c>
      <c r="D5524" s="2" t="s">
        <v>289</v>
      </c>
      <c r="E5524" s="2" t="s">
        <v>20</v>
      </c>
      <c r="F5524" s="2">
        <v>0.0</v>
      </c>
      <c r="G5524" s="2">
        <v>374.0</v>
      </c>
      <c r="H5524" s="3" t="str">
        <f>HYPERLINK("http://ar.linkedin.com/pub/sergio-messing/13/8B7/511","http://ar.linkedin.com/pub/sergio-messing/13/8B7/511")</f>
        <v>http://ar.linkedin.com/pub/sergio-messing/13/8B7/511</v>
      </c>
      <c r="I5524" s="2" t="s">
        <v>57</v>
      </c>
      <c r="J5524" s="2" t="s">
        <v>21</v>
      </c>
      <c r="K5524" s="2" t="s">
        <v>10184</v>
      </c>
    </row>
    <row r="5525" ht="15.75" customHeight="1">
      <c r="A5525" s="2">
        <v>14032.0</v>
      </c>
      <c r="B5525" s="2" t="s">
        <v>7215</v>
      </c>
      <c r="C5525" s="2" t="s">
        <v>11031</v>
      </c>
      <c r="D5525" s="2" t="s">
        <v>13</v>
      </c>
      <c r="E5525" s="2" t="s">
        <v>20</v>
      </c>
      <c r="F5525" s="2">
        <v>0.0</v>
      </c>
      <c r="G5525" s="2">
        <v>303.0</v>
      </c>
      <c r="H5525" s="3" t="str">
        <f>HYPERLINK("http://www.linkedin.com/pub/cintia-rullo/7/469/b55","http://www.linkedin.com/pub/cintia-rullo/7/469/b55")</f>
        <v>http://www.linkedin.com/pub/cintia-rullo/7/469/b55</v>
      </c>
      <c r="I5525" s="2" t="s">
        <v>15</v>
      </c>
      <c r="J5525" s="2" t="s">
        <v>21</v>
      </c>
      <c r="K5525" s="2" t="s">
        <v>11032</v>
      </c>
    </row>
    <row r="5526" ht="15.75" customHeight="1">
      <c r="A5526" s="2">
        <v>14059.0</v>
      </c>
      <c r="B5526" s="2" t="s">
        <v>634</v>
      </c>
      <c r="C5526" s="2" t="s">
        <v>11033</v>
      </c>
      <c r="D5526" s="2" t="s">
        <v>13</v>
      </c>
      <c r="E5526" s="2" t="s">
        <v>20</v>
      </c>
      <c r="F5526" s="2">
        <v>0.0</v>
      </c>
      <c r="G5526" s="2">
        <v>86.0</v>
      </c>
      <c r="H5526" s="3" t="str">
        <f>HYPERLINK("http://www.linkedin.com/pub/flavio-alzueta-santa-cruz/2a/53/a24","http://www.linkedin.com/pub/flavio-alzueta-santa-cruz/2a/53/a24")</f>
        <v>http://www.linkedin.com/pub/flavio-alzueta-santa-cruz/2a/53/a24</v>
      </c>
      <c r="I5526" s="2" t="s">
        <v>77</v>
      </c>
      <c r="J5526" s="2" t="s">
        <v>21</v>
      </c>
      <c r="K5526" s="2" t="s">
        <v>10384</v>
      </c>
    </row>
    <row r="5527" ht="15.75" customHeight="1">
      <c r="A5527" s="2">
        <v>14140.0</v>
      </c>
      <c r="B5527" s="2" t="s">
        <v>11034</v>
      </c>
      <c r="C5527" s="2" t="s">
        <v>11035</v>
      </c>
      <c r="D5527" s="2" t="s">
        <v>11036</v>
      </c>
      <c r="E5527" s="2" t="s">
        <v>808</v>
      </c>
      <c r="F5527" s="2">
        <v>43.0</v>
      </c>
      <c r="G5527" s="2">
        <v>500.0</v>
      </c>
      <c r="H5527" s="3" t="str">
        <f>HYPERLINK("http://www.linkedin.com/in/henri","http://www.linkedin.com/in/henri")</f>
        <v>http://www.linkedin.com/in/henri</v>
      </c>
      <c r="I5527" s="2" t="s">
        <v>910</v>
      </c>
      <c r="J5527" s="2" t="s">
        <v>102</v>
      </c>
      <c r="K5527" s="2" t="s">
        <v>10229</v>
      </c>
    </row>
    <row r="5528" ht="15.75" customHeight="1">
      <c r="A5528" s="2">
        <v>14147.0</v>
      </c>
      <c r="B5528" s="2" t="s">
        <v>6496</v>
      </c>
      <c r="C5528" s="2" t="s">
        <v>11037</v>
      </c>
      <c r="D5528" s="2" t="s">
        <v>1966</v>
      </c>
      <c r="E5528" s="2" t="s">
        <v>155</v>
      </c>
      <c r="F5528" s="2">
        <v>13.0</v>
      </c>
      <c r="G5528" s="2">
        <v>500.0</v>
      </c>
      <c r="H5528" s="3" t="str">
        <f>HYPERLINK("http://www.linkedin.com/in/kgoldrajch","http://www.linkedin.com/in/kgoldrajch")</f>
        <v>http://www.linkedin.com/in/kgoldrajch</v>
      </c>
      <c r="I5528" s="2" t="s">
        <v>69</v>
      </c>
      <c r="J5528" s="2" t="s">
        <v>102</v>
      </c>
      <c r="K5528" s="2" t="s">
        <v>10176</v>
      </c>
    </row>
    <row r="5529" ht="15.75" customHeight="1">
      <c r="A5529" s="2">
        <v>14148.0</v>
      </c>
      <c r="B5529" s="2" t="s">
        <v>11038</v>
      </c>
      <c r="C5529" s="2" t="s">
        <v>11039</v>
      </c>
      <c r="D5529" s="2" t="s">
        <v>2274</v>
      </c>
      <c r="E5529" s="2" t="s">
        <v>713</v>
      </c>
      <c r="F5529" s="2">
        <v>5.0</v>
      </c>
      <c r="G5529" s="2">
        <v>500.0</v>
      </c>
      <c r="H5529" s="3" t="str">
        <f>HYPERLINK("http://www.linkedin.com/in/zigurd","http://www.linkedin.com/in/zigurd")</f>
        <v>http://www.linkedin.com/in/zigurd</v>
      </c>
      <c r="I5529" s="2" t="s">
        <v>77</v>
      </c>
      <c r="J5529" s="2" t="s">
        <v>102</v>
      </c>
      <c r="K5529" s="2" t="s">
        <v>10229</v>
      </c>
    </row>
    <row r="5530" ht="15.75" customHeight="1">
      <c r="A5530" s="2">
        <v>14162.0</v>
      </c>
      <c r="B5530" s="2" t="s">
        <v>11040</v>
      </c>
      <c r="C5530" s="2" t="s">
        <v>11041</v>
      </c>
      <c r="D5530" s="2" t="s">
        <v>11042</v>
      </c>
      <c r="E5530" s="2" t="s">
        <v>3213</v>
      </c>
      <c r="F5530" s="2">
        <v>14.0</v>
      </c>
      <c r="G5530" s="2">
        <v>500.0</v>
      </c>
      <c r="H5530" s="3" t="str">
        <f>HYPERLINK("http://in.linkedin.com/pub/shweta-mahajan/2/B02/529","http://in.linkedin.com/pub/shweta-mahajan/2/B02/529")</f>
        <v>http://in.linkedin.com/pub/shweta-mahajan/2/B02/529</v>
      </c>
      <c r="I5530" s="2" t="s">
        <v>910</v>
      </c>
      <c r="J5530" s="2" t="s">
        <v>87</v>
      </c>
      <c r="K5530" s="2" t="s">
        <v>10206</v>
      </c>
    </row>
    <row r="5531" ht="15.75" customHeight="1">
      <c r="A5531" s="2">
        <v>14209.0</v>
      </c>
      <c r="B5531" s="2" t="s">
        <v>11043</v>
      </c>
      <c r="C5531" s="2" t="s">
        <v>5020</v>
      </c>
      <c r="D5531" s="2" t="s">
        <v>11044</v>
      </c>
      <c r="E5531" s="2" t="s">
        <v>39</v>
      </c>
      <c r="F5531" s="2">
        <v>33.0</v>
      </c>
      <c r="G5531" s="2">
        <v>500.0</v>
      </c>
      <c r="H5531" s="3" t="str">
        <f>HYPERLINK("http://br.linkedin.com/in/edsonbrandi","http://br.linkedin.com/in/edsonbrandi")</f>
        <v>http://br.linkedin.com/in/edsonbrandi</v>
      </c>
      <c r="I5531" s="2" t="s">
        <v>69</v>
      </c>
      <c r="J5531" s="2" t="s">
        <v>34</v>
      </c>
      <c r="K5531" s="2" t="s">
        <v>10187</v>
      </c>
    </row>
    <row r="5532" ht="15.75" customHeight="1">
      <c r="A5532" s="2">
        <v>14294.0</v>
      </c>
      <c r="B5532" s="2" t="s">
        <v>11045</v>
      </c>
      <c r="C5532" s="2" t="s">
        <v>11046</v>
      </c>
      <c r="D5532" s="2" t="s">
        <v>11047</v>
      </c>
      <c r="E5532" s="2" t="s">
        <v>2058</v>
      </c>
      <c r="F5532" s="2">
        <v>0.0</v>
      </c>
      <c r="G5532" s="2">
        <v>273.0</v>
      </c>
      <c r="H5532" s="3" t="str">
        <f>HYPERLINK("http://www.linkedin.com/pub/phong-q-rock/4/4/260","http://www.linkedin.com/pub/phong-q-rock/4/4/260")</f>
        <v>http://www.linkedin.com/pub/phong-q-rock/4/4/260</v>
      </c>
      <c r="I5532" s="2" t="s">
        <v>57</v>
      </c>
      <c r="J5532" s="2" t="s">
        <v>102</v>
      </c>
      <c r="K5532" s="2" t="s">
        <v>10209</v>
      </c>
    </row>
    <row r="5533" ht="15.75" customHeight="1">
      <c r="A5533" s="2">
        <v>14405.0</v>
      </c>
      <c r="B5533" s="2" t="s">
        <v>11048</v>
      </c>
      <c r="C5533" s="2" t="s">
        <v>11049</v>
      </c>
      <c r="D5533" s="2" t="s">
        <v>11050</v>
      </c>
      <c r="E5533" s="2" t="s">
        <v>235</v>
      </c>
      <c r="F5533" s="2">
        <v>12.0</v>
      </c>
      <c r="G5533" s="2">
        <v>500.0</v>
      </c>
      <c r="H5533" s="3" t="str">
        <f>HYPERLINK("http://www.linkedin.com/in/marcus","http://www.linkedin.com/in/marcus")</f>
        <v>http://www.linkedin.com/in/marcus</v>
      </c>
      <c r="I5533" s="2" t="s">
        <v>77</v>
      </c>
      <c r="J5533" s="2" t="s">
        <v>102</v>
      </c>
      <c r="K5533" s="2" t="s">
        <v>10384</v>
      </c>
    </row>
    <row r="5534" ht="15.75" customHeight="1">
      <c r="A5534" s="2">
        <v>14418.0</v>
      </c>
      <c r="B5534" s="2" t="s">
        <v>4551</v>
      </c>
      <c r="C5534" s="2" t="s">
        <v>31</v>
      </c>
      <c r="D5534" s="2" t="s">
        <v>11051</v>
      </c>
      <c r="E5534" s="2" t="s">
        <v>768</v>
      </c>
      <c r="F5534" s="2">
        <v>4.0</v>
      </c>
      <c r="G5534" s="2">
        <v>500.0</v>
      </c>
      <c r="H5534" s="3" t="str">
        <f>HYPERLINK("http://www.linkedin.com/pub/marcio-silveira/3/990/229","http://www.linkedin.com/pub/marcio-silveira/3/990/229")</f>
        <v>http://www.linkedin.com/pub/marcio-silveira/3/990/229</v>
      </c>
      <c r="I5534" s="2" t="s">
        <v>15</v>
      </c>
      <c r="J5534" s="2" t="s">
        <v>34</v>
      </c>
      <c r="K5534" s="2" t="s">
        <v>10286</v>
      </c>
    </row>
    <row r="5535" ht="15.75" customHeight="1">
      <c r="A5535" s="2">
        <v>14452.0</v>
      </c>
      <c r="B5535" s="2" t="s">
        <v>5265</v>
      </c>
      <c r="C5535" s="2" t="s">
        <v>11052</v>
      </c>
      <c r="D5535" s="2"/>
      <c r="E5535" s="2" t="s">
        <v>3987</v>
      </c>
      <c r="F5535" s="2">
        <v>1.0</v>
      </c>
      <c r="G5535" s="2">
        <v>500.0</v>
      </c>
      <c r="H5535" s="3" t="str">
        <f>HYPERLINK("http://www.linkedin.com/pub/lance-spitzner/1/BA/AB","http://www.linkedin.com/pub/lance-spitzner/1/BA/AB")</f>
        <v>http://www.linkedin.com/pub/lance-spitzner/1/BA/AB</v>
      </c>
      <c r="I5535" s="2" t="s">
        <v>160</v>
      </c>
      <c r="J5535" s="2" t="s">
        <v>102</v>
      </c>
      <c r="K5535" s="2" t="s">
        <v>10187</v>
      </c>
    </row>
    <row r="5536" ht="15.75" customHeight="1">
      <c r="A5536" s="2">
        <v>14472.0</v>
      </c>
      <c r="B5536" s="2" t="s">
        <v>2436</v>
      </c>
      <c r="C5536" s="2" t="s">
        <v>2531</v>
      </c>
      <c r="D5536" s="2" t="s">
        <v>11053</v>
      </c>
      <c r="E5536" s="2" t="s">
        <v>1407</v>
      </c>
      <c r="F5536" s="2">
        <v>21.0</v>
      </c>
      <c r="G5536" s="2">
        <v>314.0</v>
      </c>
      <c r="H5536" s="3" t="str">
        <f>HYPERLINK("http://www.linkedin.com/in/antoniochavez","http://www.linkedin.com/in/antoniochavez")</f>
        <v>http://www.linkedin.com/in/antoniochavez</v>
      </c>
      <c r="I5536" s="2" t="s">
        <v>77</v>
      </c>
      <c r="J5536" s="2" t="s">
        <v>102</v>
      </c>
      <c r="K5536" s="2" t="s">
        <v>10674</v>
      </c>
    </row>
    <row r="5537" ht="15.75" customHeight="1">
      <c r="A5537" s="2">
        <v>14475.0</v>
      </c>
      <c r="B5537" s="2" t="s">
        <v>193</v>
      </c>
      <c r="C5537" s="2" t="s">
        <v>3399</v>
      </c>
      <c r="D5537" s="2" t="s">
        <v>11054</v>
      </c>
      <c r="E5537" s="2" t="s">
        <v>20</v>
      </c>
      <c r="F5537" s="2">
        <v>7.0</v>
      </c>
      <c r="G5537" s="2">
        <v>427.0</v>
      </c>
      <c r="H5537" s="3" t="str">
        <f>HYPERLINK("http://ar.linkedin.com/in/guillermomeyer","http://ar.linkedin.com/in/guillermomeyer")</f>
        <v>http://ar.linkedin.com/in/guillermomeyer</v>
      </c>
      <c r="I5537" s="2" t="s">
        <v>15</v>
      </c>
      <c r="J5537" s="2" t="s">
        <v>21</v>
      </c>
      <c r="K5537" s="2" t="s">
        <v>10196</v>
      </c>
    </row>
    <row r="5538" ht="15.75" customHeight="1">
      <c r="A5538" s="2">
        <v>14480.0</v>
      </c>
      <c r="B5538" s="2" t="s">
        <v>6622</v>
      </c>
      <c r="C5538" s="2" t="s">
        <v>11055</v>
      </c>
      <c r="D5538" s="2" t="s">
        <v>13</v>
      </c>
      <c r="E5538" s="2" t="s">
        <v>20</v>
      </c>
      <c r="F5538" s="2">
        <v>0.0</v>
      </c>
      <c r="G5538" s="2">
        <v>151.0</v>
      </c>
      <c r="H5538" s="3" t="str">
        <f>HYPERLINK("http://www.linkedin.com/pub/patricio-gimelli/7/305/775","http://www.linkedin.com/pub/patricio-gimelli/7/305/775")</f>
        <v>http://www.linkedin.com/pub/patricio-gimelli/7/305/775</v>
      </c>
      <c r="I5538" s="2" t="s">
        <v>77</v>
      </c>
      <c r="J5538" s="2" t="s">
        <v>21</v>
      </c>
      <c r="K5538" s="2" t="s">
        <v>10178</v>
      </c>
    </row>
    <row r="5539" ht="15.75" customHeight="1">
      <c r="A5539" s="2">
        <v>14488.0</v>
      </c>
      <c r="B5539" s="2" t="s">
        <v>11056</v>
      </c>
      <c r="C5539" s="2" t="s">
        <v>11057</v>
      </c>
      <c r="D5539" s="2" t="s">
        <v>11058</v>
      </c>
      <c r="E5539" s="2" t="s">
        <v>20</v>
      </c>
      <c r="F5539" s="2">
        <v>7.0</v>
      </c>
      <c r="G5539" s="2">
        <v>235.0</v>
      </c>
      <c r="H5539" s="3" t="str">
        <f>HYPERLINK("http://ar.linkedin.com/in/reymundonicolas","http://ar.linkedin.com/in/reymundonicolas")</f>
        <v>http://ar.linkedin.com/in/reymundonicolas</v>
      </c>
      <c r="I5539" s="2" t="s">
        <v>15</v>
      </c>
      <c r="J5539" s="2" t="s">
        <v>21</v>
      </c>
      <c r="K5539" s="2" t="s">
        <v>10196</v>
      </c>
    </row>
    <row r="5540" ht="15.75" customHeight="1">
      <c r="A5540" s="2">
        <v>14492.0</v>
      </c>
      <c r="B5540" s="2" t="s">
        <v>358</v>
      </c>
      <c r="C5540" s="2" t="s">
        <v>11059</v>
      </c>
      <c r="D5540" s="2" t="s">
        <v>6424</v>
      </c>
      <c r="E5540" s="2" t="s">
        <v>20</v>
      </c>
      <c r="F5540" s="2">
        <v>8.0</v>
      </c>
      <c r="G5540" s="2">
        <v>500.0</v>
      </c>
      <c r="H5540" s="3" t="str">
        <f>HYPERLINK("http://www.linkedin.com/in/marcelomorena","http://www.linkedin.com/in/marcelomorena")</f>
        <v>http://www.linkedin.com/in/marcelomorena</v>
      </c>
      <c r="I5540" s="2" t="s">
        <v>48</v>
      </c>
      <c r="J5540" s="2" t="s">
        <v>21</v>
      </c>
      <c r="K5540" s="2" t="s">
        <v>10196</v>
      </c>
    </row>
    <row r="5541" ht="15.75" customHeight="1">
      <c r="A5541" s="2">
        <v>14533.0</v>
      </c>
      <c r="B5541" s="2" t="s">
        <v>11060</v>
      </c>
      <c r="C5541" s="2" t="s">
        <v>11061</v>
      </c>
      <c r="D5541" s="2" t="s">
        <v>11062</v>
      </c>
      <c r="E5541" s="2" t="s">
        <v>301</v>
      </c>
      <c r="F5541" s="2">
        <v>2.0</v>
      </c>
      <c r="G5541" s="2">
        <v>351.0</v>
      </c>
      <c r="H5541" s="3" t="str">
        <f>HYPERLINK("http://www.linkedin.com/pub/ajay-doshi/1/841/8A3","http://www.linkedin.com/pub/ajay-doshi/1/841/8A3")</f>
        <v>http://www.linkedin.com/pub/ajay-doshi/1/841/8A3</v>
      </c>
      <c r="I5541" s="2" t="s">
        <v>1183</v>
      </c>
      <c r="J5541" s="2" t="s">
        <v>102</v>
      </c>
      <c r="K5541" s="2" t="s">
        <v>10206</v>
      </c>
    </row>
    <row r="5542" ht="15.75" customHeight="1">
      <c r="A5542" s="2">
        <v>14538.0</v>
      </c>
      <c r="B5542" s="2" t="s">
        <v>932</v>
      </c>
      <c r="C5542" s="2" t="s">
        <v>11063</v>
      </c>
      <c r="D5542" s="2"/>
      <c r="E5542" s="2" t="s">
        <v>301</v>
      </c>
      <c r="F5542" s="2">
        <v>2.0</v>
      </c>
      <c r="G5542" s="2">
        <v>233.0</v>
      </c>
      <c r="H5542" s="3" t="str">
        <f>HYPERLINK("http://www.linkedin.com/pub/garry-shamis/2/655/A7B","http://www.linkedin.com/pub/garry-shamis/2/655/A7B")</f>
        <v>http://www.linkedin.com/pub/garry-shamis/2/655/A7B</v>
      </c>
      <c r="I5542" s="2" t="s">
        <v>115</v>
      </c>
      <c r="J5542" s="2" t="s">
        <v>102</v>
      </c>
      <c r="K5542" s="2" t="s">
        <v>10206</v>
      </c>
    </row>
    <row r="5543" ht="15.75" customHeight="1">
      <c r="A5543" s="2">
        <v>14542.0</v>
      </c>
      <c r="B5543" s="2" t="s">
        <v>287</v>
      </c>
      <c r="C5543" s="2" t="s">
        <v>1218</v>
      </c>
      <c r="D5543" s="2"/>
      <c r="E5543" s="2" t="s">
        <v>122</v>
      </c>
      <c r="F5543" s="2">
        <v>1.0</v>
      </c>
      <c r="G5543" s="2">
        <v>332.0</v>
      </c>
      <c r="H5543" s="3" t="str">
        <f>HYPERLINK("http://www.linkedin.com/pub/paul-murphy/1/641/27B","http://www.linkedin.com/pub/paul-murphy/1/641/27B")</f>
        <v>http://www.linkedin.com/pub/paul-murphy/1/641/27B</v>
      </c>
      <c r="I5543" s="2" t="s">
        <v>48</v>
      </c>
      <c r="J5543" s="2" t="s">
        <v>53</v>
      </c>
      <c r="K5543" s="2" t="s">
        <v>10206</v>
      </c>
    </row>
    <row r="5544" ht="15.75" customHeight="1">
      <c r="A5544" s="2">
        <v>14549.0</v>
      </c>
      <c r="B5544" s="2" t="s">
        <v>1076</v>
      </c>
      <c r="C5544" s="2" t="s">
        <v>11064</v>
      </c>
      <c r="D5544" s="2" t="s">
        <v>1045</v>
      </c>
      <c r="E5544" s="2" t="s">
        <v>1994</v>
      </c>
      <c r="F5544" s="2">
        <v>0.0</v>
      </c>
      <c r="G5544" s="2">
        <v>500.0</v>
      </c>
      <c r="H5544" s="3" t="str">
        <f>HYPERLINK("http://www.linkedin.com/pub/jennifer-gastorf/11/466/583","http://www.linkedin.com/pub/jennifer-gastorf/11/466/583")</f>
        <v>http://www.linkedin.com/pub/jennifer-gastorf/11/466/583</v>
      </c>
      <c r="I5544" s="2" t="s">
        <v>48</v>
      </c>
      <c r="J5544" s="2" t="s">
        <v>102</v>
      </c>
      <c r="K5544" s="2" t="s">
        <v>11065</v>
      </c>
    </row>
    <row r="5545" ht="15.75" customHeight="1">
      <c r="A5545" s="2">
        <v>14601.0</v>
      </c>
      <c r="B5545" s="2" t="s">
        <v>152</v>
      </c>
      <c r="C5545" s="2" t="s">
        <v>4233</v>
      </c>
      <c r="D5545" s="2" t="s">
        <v>11066</v>
      </c>
      <c r="E5545" s="2" t="s">
        <v>20</v>
      </c>
      <c r="F5545" s="2">
        <v>1.0</v>
      </c>
      <c r="G5545" s="2">
        <v>326.0</v>
      </c>
      <c r="H5545" s="3" t="str">
        <f>HYPERLINK("http://ar.linkedin.com/pub/eduardo-gonzalez/5/116/904","http://ar.linkedin.com/pub/eduardo-gonzalez/5/116/904")</f>
        <v>http://ar.linkedin.com/pub/eduardo-gonzalez/5/116/904</v>
      </c>
      <c r="I5545" s="2" t="s">
        <v>15</v>
      </c>
      <c r="J5545" s="2" t="s">
        <v>21</v>
      </c>
      <c r="K5545" s="2" t="s">
        <v>10180</v>
      </c>
    </row>
    <row r="5546" ht="15.75" customHeight="1">
      <c r="A5546" s="2">
        <v>14612.0</v>
      </c>
      <c r="B5546" s="2" t="s">
        <v>5415</v>
      </c>
      <c r="C5546" s="2" t="s">
        <v>11067</v>
      </c>
      <c r="D5546" s="2" t="s">
        <v>11068</v>
      </c>
      <c r="E5546" s="2" t="s">
        <v>20</v>
      </c>
      <c r="F5546" s="2">
        <v>9.0</v>
      </c>
      <c r="G5546" s="2">
        <v>500.0</v>
      </c>
      <c r="H5546" s="3" t="str">
        <f>HYPERLINK("http://ar.linkedin.com/in/cristiansantander","http://ar.linkedin.com/in/cristiansantander")</f>
        <v>http://ar.linkedin.com/in/cristiansantander</v>
      </c>
      <c r="I5546" s="2" t="s">
        <v>1679</v>
      </c>
      <c r="J5546" s="2" t="s">
        <v>21</v>
      </c>
      <c r="K5546" s="2" t="s">
        <v>10184</v>
      </c>
    </row>
    <row r="5547" ht="15.75" customHeight="1">
      <c r="A5547" s="2">
        <v>14620.0</v>
      </c>
      <c r="B5547" s="2" t="s">
        <v>6988</v>
      </c>
      <c r="C5547" s="2" t="s">
        <v>11069</v>
      </c>
      <c r="D5547" s="2" t="s">
        <v>517</v>
      </c>
      <c r="E5547" s="2" t="s">
        <v>20</v>
      </c>
      <c r="F5547" s="2">
        <v>0.0</v>
      </c>
      <c r="G5547" s="2">
        <v>325.0</v>
      </c>
      <c r="H5547" s="3" t="str">
        <f>HYPERLINK("http://ar.linkedin.com/in/emislej","http://ar.linkedin.com/in/emislej")</f>
        <v>http://ar.linkedin.com/in/emislej</v>
      </c>
      <c r="I5547" s="2" t="s">
        <v>48</v>
      </c>
      <c r="J5547" s="2" t="s">
        <v>21</v>
      </c>
      <c r="K5547" s="2" t="s">
        <v>10224</v>
      </c>
    </row>
    <row r="5548" ht="15.75" customHeight="1">
      <c r="A5548" s="2">
        <v>14638.0</v>
      </c>
      <c r="B5548" s="2" t="s">
        <v>116</v>
      </c>
      <c r="C5548" s="2" t="s">
        <v>11070</v>
      </c>
      <c r="D5548" s="2" t="s">
        <v>11071</v>
      </c>
      <c r="E5548" s="2" t="s">
        <v>301</v>
      </c>
      <c r="F5548" s="2">
        <v>4.0</v>
      </c>
      <c r="G5548" s="2">
        <v>105.0</v>
      </c>
      <c r="H5548" s="3" t="str">
        <f>HYPERLINK("http://www.linkedin.com/pub/alex-khutorsky/1/62A/7A4","http://www.linkedin.com/pub/alex-khutorsky/1/62A/7A4")</f>
        <v>http://www.linkedin.com/pub/alex-khutorsky/1/62A/7A4</v>
      </c>
      <c r="I5548" s="2" t="s">
        <v>279</v>
      </c>
      <c r="J5548" s="2" t="s">
        <v>102</v>
      </c>
      <c r="K5548" s="2" t="s">
        <v>10182</v>
      </c>
    </row>
    <row r="5549" ht="15.75" customHeight="1">
      <c r="A5549" s="2">
        <v>14654.0</v>
      </c>
      <c r="B5549" s="2" t="s">
        <v>5763</v>
      </c>
      <c r="C5549" s="2" t="s">
        <v>11072</v>
      </c>
      <c r="D5549" s="2" t="s">
        <v>11073</v>
      </c>
      <c r="E5549" s="2" t="s">
        <v>20</v>
      </c>
      <c r="F5549" s="2">
        <v>5.0</v>
      </c>
      <c r="G5549" s="2">
        <v>149.0</v>
      </c>
      <c r="H5549" s="3" t="str">
        <f>HYPERLINK("http://ar.linkedin.com/pub/ezequiel-pontnau/8/3B8/78A","http://ar.linkedin.com/pub/ezequiel-pontnau/8/3B8/78A")</f>
        <v>http://ar.linkedin.com/pub/ezequiel-pontnau/8/3B8/78A</v>
      </c>
      <c r="I5549" s="2" t="s">
        <v>15</v>
      </c>
      <c r="J5549" s="2" t="s">
        <v>21</v>
      </c>
      <c r="K5549" s="2" t="s">
        <v>10196</v>
      </c>
    </row>
    <row r="5550" ht="15.75" customHeight="1">
      <c r="A5550" s="2">
        <v>14672.0</v>
      </c>
      <c r="B5550" s="2" t="s">
        <v>5723</v>
      </c>
      <c r="C5550" s="2" t="s">
        <v>11074</v>
      </c>
      <c r="D5550" s="2" t="s">
        <v>289</v>
      </c>
      <c r="E5550" s="2" t="s">
        <v>20</v>
      </c>
      <c r="F5550" s="2">
        <v>18.0</v>
      </c>
      <c r="G5550" s="2">
        <v>500.0</v>
      </c>
      <c r="H5550" s="3" t="str">
        <f>HYPERLINK("http://ar.linkedin.com/in/pablocarreno","http://ar.linkedin.com/in/pablocarreno")</f>
        <v>http://ar.linkedin.com/in/pablocarreno</v>
      </c>
      <c r="I5550" s="2" t="s">
        <v>69</v>
      </c>
      <c r="J5550" s="2" t="s">
        <v>21</v>
      </c>
      <c r="K5550" s="2" t="s">
        <v>10196</v>
      </c>
    </row>
    <row r="5551" ht="15.75" customHeight="1">
      <c r="A5551" s="2">
        <v>14680.0</v>
      </c>
      <c r="B5551" s="2" t="s">
        <v>1071</v>
      </c>
      <c r="C5551" s="2" t="s">
        <v>4983</v>
      </c>
      <c r="D5551" s="2" t="s">
        <v>13</v>
      </c>
      <c r="E5551" s="2" t="s">
        <v>136</v>
      </c>
      <c r="F5551" s="2">
        <v>1.0</v>
      </c>
      <c r="G5551" s="2">
        <v>500.0</v>
      </c>
      <c r="H5551" s="3" t="str">
        <f>HYPERLINK("http://www.linkedin.com/in/ericllam","http://www.linkedin.com/in/ericllam")</f>
        <v>http://www.linkedin.com/in/ericllam</v>
      </c>
      <c r="I5551" s="2" t="s">
        <v>326</v>
      </c>
      <c r="J5551" s="2" t="s">
        <v>102</v>
      </c>
      <c r="K5551" s="2" t="s">
        <v>10233</v>
      </c>
    </row>
    <row r="5552" ht="15.75" customHeight="1">
      <c r="A5552" s="2">
        <v>14696.0</v>
      </c>
      <c r="B5552" s="2" t="s">
        <v>6252</v>
      </c>
      <c r="C5552" s="2" t="s">
        <v>11075</v>
      </c>
      <c r="D5552" s="2" t="s">
        <v>8962</v>
      </c>
      <c r="E5552" s="2" t="s">
        <v>20</v>
      </c>
      <c r="F5552" s="2">
        <v>1.0</v>
      </c>
      <c r="G5552" s="2">
        <v>500.0</v>
      </c>
      <c r="H5552" s="3" t="str">
        <f>HYPERLINK("http://ar.linkedin.com/in/santiagocarballo","http://ar.linkedin.com/in/santiagocarballo")</f>
        <v>http://ar.linkedin.com/in/santiagocarballo</v>
      </c>
      <c r="I5552" s="2" t="s">
        <v>15</v>
      </c>
      <c r="J5552" s="2" t="s">
        <v>21</v>
      </c>
      <c r="K5552" s="2" t="s">
        <v>10206</v>
      </c>
    </row>
    <row r="5553" ht="15.75" customHeight="1">
      <c r="A5553" s="2">
        <v>14709.0</v>
      </c>
      <c r="B5553" s="2" t="s">
        <v>549</v>
      </c>
      <c r="C5553" s="2" t="s">
        <v>11076</v>
      </c>
      <c r="D5553" s="2" t="s">
        <v>11077</v>
      </c>
      <c r="E5553" s="2" t="s">
        <v>20</v>
      </c>
      <c r="F5553" s="2">
        <v>14.0</v>
      </c>
      <c r="G5553" s="2">
        <v>467.0</v>
      </c>
      <c r="H5553" s="3" t="str">
        <f>HYPERLINK("http://www.linkedin.com/in/mariopellegrino","http://www.linkedin.com/in/mariopellegrino")</f>
        <v>http://www.linkedin.com/in/mariopellegrino</v>
      </c>
      <c r="I5553" s="2" t="s">
        <v>105</v>
      </c>
      <c r="J5553" s="2" t="s">
        <v>21</v>
      </c>
      <c r="K5553" s="2" t="s">
        <v>10196</v>
      </c>
    </row>
    <row r="5554" ht="15.75" customHeight="1">
      <c r="A5554" s="2">
        <v>14727.0</v>
      </c>
      <c r="B5554" s="2" t="s">
        <v>353</v>
      </c>
      <c r="C5554" s="2" t="s">
        <v>348</v>
      </c>
      <c r="D5554" s="2" t="s">
        <v>11078</v>
      </c>
      <c r="E5554" s="2" t="s">
        <v>20</v>
      </c>
      <c r="F5554" s="2">
        <v>24.0</v>
      </c>
      <c r="G5554" s="2">
        <v>500.0</v>
      </c>
      <c r="H5554" s="3" t="str">
        <f>HYPERLINK("http://ar.linkedin.com/pub/alejandro-kim/7/11/1B0","http://ar.linkedin.com/pub/alejandro-kim/7/11/1B0")</f>
        <v>http://ar.linkedin.com/pub/alejandro-kim/7/11/1B0</v>
      </c>
      <c r="I5554" s="2" t="s">
        <v>69</v>
      </c>
      <c r="J5554" s="2" t="s">
        <v>21</v>
      </c>
      <c r="K5554" s="2" t="s">
        <v>10196</v>
      </c>
    </row>
    <row r="5555" ht="15.75" customHeight="1">
      <c r="A5555" s="2">
        <v>14732.0</v>
      </c>
      <c r="B5555" s="2" t="s">
        <v>6093</v>
      </c>
      <c r="C5555" s="2" t="s">
        <v>11079</v>
      </c>
      <c r="D5555" s="2" t="s">
        <v>289</v>
      </c>
      <c r="E5555" s="2" t="s">
        <v>20</v>
      </c>
      <c r="F5555" s="2">
        <v>1.0</v>
      </c>
      <c r="G5555" s="2">
        <v>500.0</v>
      </c>
      <c r="H5555" s="3" t="str">
        <f>HYPERLINK("http://ar.linkedin.com/in/nicochiari","http://ar.linkedin.com/in/nicochiari")</f>
        <v>http://ar.linkedin.com/in/nicochiari</v>
      </c>
      <c r="I5555" s="2" t="s">
        <v>69</v>
      </c>
      <c r="J5555" s="2" t="s">
        <v>21</v>
      </c>
      <c r="K5555" s="2" t="s">
        <v>10196</v>
      </c>
    </row>
    <row r="5556" ht="15.75" customHeight="1">
      <c r="A5556" s="2">
        <v>14733.0</v>
      </c>
      <c r="B5556" s="2" t="s">
        <v>1217</v>
      </c>
      <c r="C5556" s="2" t="s">
        <v>11080</v>
      </c>
      <c r="D5556" s="2" t="s">
        <v>11081</v>
      </c>
      <c r="E5556" s="2" t="s">
        <v>235</v>
      </c>
      <c r="F5556" s="2">
        <v>1.0</v>
      </c>
      <c r="G5556" s="2">
        <v>119.0</v>
      </c>
      <c r="H5556" s="3" t="str">
        <f>HYPERLINK("http://www.linkedin.com/pub/ian-heffernan/4/B05/B87","http://www.linkedin.com/pub/ian-heffernan/4/B05/B87")</f>
        <v>http://www.linkedin.com/pub/ian-heffernan/4/B05/B87</v>
      </c>
      <c r="I5556" s="2" t="s">
        <v>48</v>
      </c>
      <c r="J5556" s="2" t="s">
        <v>102</v>
      </c>
      <c r="K5556" s="2" t="s">
        <v>10233</v>
      </c>
    </row>
    <row r="5557" ht="15.75" customHeight="1">
      <c r="A5557" s="2">
        <v>14735.0</v>
      </c>
      <c r="B5557" s="2" t="s">
        <v>11082</v>
      </c>
      <c r="C5557" s="2" t="s">
        <v>1983</v>
      </c>
      <c r="D5557" s="2" t="s">
        <v>6098</v>
      </c>
      <c r="E5557" s="2" t="s">
        <v>20</v>
      </c>
      <c r="F5557" s="2">
        <v>7.0</v>
      </c>
      <c r="G5557" s="2">
        <v>500.0</v>
      </c>
      <c r="H5557" s="3" t="str">
        <f>HYPERLINK("http://www.linkedin.com/in/marceloquintas","http://www.linkedin.com/in/marceloquintas")</f>
        <v>http://www.linkedin.com/in/marceloquintas</v>
      </c>
      <c r="I5557" s="2" t="s">
        <v>15</v>
      </c>
      <c r="J5557" s="2" t="s">
        <v>21</v>
      </c>
      <c r="K5557" s="2" t="s">
        <v>10196</v>
      </c>
    </row>
    <row r="5558" ht="15.75" customHeight="1">
      <c r="A5558" s="2">
        <v>14736.0</v>
      </c>
      <c r="B5558" s="2" t="s">
        <v>11083</v>
      </c>
      <c r="C5558" s="2" t="s">
        <v>11061</v>
      </c>
      <c r="D5558" s="2" t="s">
        <v>11084</v>
      </c>
      <c r="E5558" s="2" t="s">
        <v>1745</v>
      </c>
      <c r="F5558" s="2">
        <v>14.0</v>
      </c>
      <c r="G5558" s="2">
        <v>468.0</v>
      </c>
      <c r="H5558" s="3" t="str">
        <f>HYPERLINK("https://www.linkedin.com/in/sunildoshi","https://www.linkedin.com/in/sunildoshi")</f>
        <v>https://www.linkedin.com/in/sunildoshi</v>
      </c>
      <c r="I5558" s="2" t="s">
        <v>326</v>
      </c>
      <c r="J5558" s="2" t="s">
        <v>102</v>
      </c>
      <c r="K5558" s="2" t="s">
        <v>10371</v>
      </c>
    </row>
    <row r="5559" ht="15.75" customHeight="1">
      <c r="A5559" s="2">
        <v>14745.0</v>
      </c>
      <c r="B5559" s="2" t="s">
        <v>1104</v>
      </c>
      <c r="C5559" s="2" t="s">
        <v>11085</v>
      </c>
      <c r="D5559" s="2" t="s">
        <v>517</v>
      </c>
      <c r="E5559" s="2" t="s">
        <v>136</v>
      </c>
      <c r="F5559" s="2">
        <v>0.0</v>
      </c>
      <c r="G5559" s="2">
        <v>396.0</v>
      </c>
      <c r="H5559" s="3" t="str">
        <f>HYPERLINK("http://www.linkedin.com/in/jaygierak","http://www.linkedin.com/in/jaygierak")</f>
        <v>http://www.linkedin.com/in/jaygierak</v>
      </c>
      <c r="I5559" s="2" t="s">
        <v>69</v>
      </c>
      <c r="J5559" s="2" t="s">
        <v>102</v>
      </c>
      <c r="K5559" s="2" t="s">
        <v>10482</v>
      </c>
    </row>
    <row r="5560" ht="15.75" customHeight="1">
      <c r="A5560" s="2">
        <v>14749.0</v>
      </c>
      <c r="B5560" s="2" t="s">
        <v>11086</v>
      </c>
      <c r="C5560" s="2" t="s">
        <v>11087</v>
      </c>
      <c r="D5560" s="2"/>
      <c r="E5560" s="2" t="s">
        <v>1190</v>
      </c>
      <c r="F5560" s="2">
        <v>6.0</v>
      </c>
      <c r="G5560" s="2">
        <v>500.0</v>
      </c>
      <c r="H5560" s="3" t="str">
        <f>HYPERLINK("http://www.linkedin.com/pub/donald-glass/0/315/131","http://www.linkedin.com/pub/donald-glass/0/315/131")</f>
        <v>http://www.linkedin.com/pub/donald-glass/0/315/131</v>
      </c>
      <c r="I5560" s="2" t="s">
        <v>15</v>
      </c>
      <c r="J5560" s="2" t="s">
        <v>102</v>
      </c>
      <c r="K5560" s="2" t="s">
        <v>10184</v>
      </c>
    </row>
    <row r="5561" ht="15.75" customHeight="1">
      <c r="A5561" s="2">
        <v>14781.0</v>
      </c>
      <c r="B5561" s="2" t="s">
        <v>845</v>
      </c>
      <c r="C5561" s="2" t="s">
        <v>11088</v>
      </c>
      <c r="D5561" s="2" t="s">
        <v>10271</v>
      </c>
      <c r="E5561" s="2" t="s">
        <v>20</v>
      </c>
      <c r="F5561" s="2">
        <v>2.0</v>
      </c>
      <c r="G5561" s="2">
        <v>200.0</v>
      </c>
      <c r="H5561" s="3" t="str">
        <f>HYPERLINK("http://ar.linkedin.com/pub/david-haimovich/22/A55/626","http://ar.linkedin.com/pub/david-haimovich/22/A55/626")</f>
        <v>http://ar.linkedin.com/pub/david-haimovich/22/A55/626</v>
      </c>
      <c r="I5561" s="2" t="s">
        <v>15</v>
      </c>
      <c r="J5561" s="2" t="s">
        <v>21</v>
      </c>
      <c r="K5561" s="2" t="s">
        <v>10196</v>
      </c>
    </row>
    <row r="5562" ht="15.75" customHeight="1">
      <c r="A5562" s="2">
        <v>14784.0</v>
      </c>
      <c r="B5562" s="2" t="s">
        <v>492</v>
      </c>
      <c r="C5562" s="2" t="s">
        <v>11089</v>
      </c>
      <c r="D5562" s="2" t="s">
        <v>5847</v>
      </c>
      <c r="E5562" s="2" t="s">
        <v>20</v>
      </c>
      <c r="F5562" s="2">
        <v>2.0</v>
      </c>
      <c r="G5562" s="2">
        <v>91.0</v>
      </c>
      <c r="H5562" s="3" t="str">
        <f>HYPERLINK("http://ar.linkedin.com/pub/sergio-bonanno/5/501/530","http://ar.linkedin.com/pub/sergio-bonanno/5/501/530")</f>
        <v>http://ar.linkedin.com/pub/sergio-bonanno/5/501/530</v>
      </c>
      <c r="I5562" s="2" t="s">
        <v>15</v>
      </c>
      <c r="J5562" s="2" t="s">
        <v>21</v>
      </c>
      <c r="K5562" s="2" t="s">
        <v>10196</v>
      </c>
    </row>
    <row r="5563" ht="15.75" customHeight="1">
      <c r="A5563" s="2">
        <v>14799.0</v>
      </c>
      <c r="B5563" s="2" t="s">
        <v>11090</v>
      </c>
      <c r="C5563" s="2" t="s">
        <v>11091</v>
      </c>
      <c r="D5563" s="2" t="s">
        <v>13</v>
      </c>
      <c r="E5563" s="2" t="s">
        <v>20</v>
      </c>
      <c r="F5563" s="2">
        <v>3.0</v>
      </c>
      <c r="G5563" s="2">
        <v>500.0</v>
      </c>
      <c r="H5563" s="3" t="str">
        <f>HYPERLINK("http://www.linkedin.com/pub/mar%C3%ADa-jimena-roveda/4/53b/633","http://www.linkedin.com/pub/mar%C3%ADa-jimena-roveda/4/53b/633")</f>
        <v>http://www.linkedin.com/pub/mar%C3%ADa-jimena-roveda/4/53b/633</v>
      </c>
      <c r="I5563" s="2" t="s">
        <v>15</v>
      </c>
      <c r="J5563" s="2" t="s">
        <v>21</v>
      </c>
      <c r="K5563" s="2" t="s">
        <v>10196</v>
      </c>
    </row>
    <row r="5564" ht="15.75" customHeight="1">
      <c r="A5564" s="2">
        <v>14805.0</v>
      </c>
      <c r="B5564" s="2" t="s">
        <v>3201</v>
      </c>
      <c r="C5564" s="2" t="s">
        <v>11092</v>
      </c>
      <c r="D5564" s="2" t="s">
        <v>11093</v>
      </c>
      <c r="E5564" s="2" t="s">
        <v>136</v>
      </c>
      <c r="F5564" s="2">
        <v>0.0</v>
      </c>
      <c r="G5564" s="2">
        <v>342.0</v>
      </c>
      <c r="H5564" s="3" t="str">
        <f>HYPERLINK("http://ar.linkedin.com/in/sebastianmaniasi","http://ar.linkedin.com/in/sebastianmaniasi")</f>
        <v>http://ar.linkedin.com/in/sebastianmaniasi</v>
      </c>
      <c r="I5564" s="2" t="s">
        <v>15</v>
      </c>
      <c r="J5564" s="2" t="s">
        <v>102</v>
      </c>
      <c r="K5564" s="2" t="s">
        <v>10263</v>
      </c>
    </row>
    <row r="5565" ht="15.75" customHeight="1">
      <c r="A5565" s="2">
        <v>14879.0</v>
      </c>
      <c r="B5565" s="2" t="s">
        <v>558</v>
      </c>
      <c r="C5565" s="2" t="s">
        <v>11094</v>
      </c>
      <c r="D5565" s="2"/>
      <c r="E5565" s="2" t="s">
        <v>1407</v>
      </c>
      <c r="F5565" s="2">
        <v>0.0</v>
      </c>
      <c r="G5565" s="2">
        <v>401.0</v>
      </c>
      <c r="H5565" s="3" t="str">
        <f>HYPERLINK("http://www.linkedin.com/pub/ted-mcdermott/0/B43/219","http://www.linkedin.com/pub/ted-mcdermott/0/B43/219")</f>
        <v>http://www.linkedin.com/pub/ted-mcdermott/0/B43/219</v>
      </c>
      <c r="I5565" s="2" t="s">
        <v>15</v>
      </c>
      <c r="J5565" s="2" t="s">
        <v>102</v>
      </c>
      <c r="K5565" s="2" t="s">
        <v>10184</v>
      </c>
    </row>
    <row r="5566" ht="15.75" customHeight="1">
      <c r="A5566" s="2">
        <v>14881.0</v>
      </c>
      <c r="B5566" s="2" t="s">
        <v>11095</v>
      </c>
      <c r="C5566" s="2" t="s">
        <v>2544</v>
      </c>
      <c r="D5566" s="2"/>
      <c r="E5566" s="2" t="s">
        <v>1407</v>
      </c>
      <c r="F5566" s="2">
        <v>4.0</v>
      </c>
      <c r="G5566" s="2">
        <v>500.0</v>
      </c>
      <c r="H5566" s="3" t="str">
        <f>HYPERLINK("http://www.linkedin.com/pub/chet-barber/1/221/274","http://www.linkedin.com/pub/chet-barber/1/221/274")</f>
        <v>http://www.linkedin.com/pub/chet-barber/1/221/274</v>
      </c>
      <c r="I5566" s="2" t="s">
        <v>48</v>
      </c>
      <c r="J5566" s="2" t="s">
        <v>102</v>
      </c>
      <c r="K5566" s="2" t="s">
        <v>10184</v>
      </c>
    </row>
    <row r="5567" ht="15.75" customHeight="1">
      <c r="A5567" s="2">
        <v>14882.0</v>
      </c>
      <c r="B5567" s="2" t="s">
        <v>1585</v>
      </c>
      <c r="C5567" s="2" t="s">
        <v>11096</v>
      </c>
      <c r="D5567" s="2" t="s">
        <v>11097</v>
      </c>
      <c r="E5567" s="2" t="s">
        <v>1407</v>
      </c>
      <c r="F5567" s="2">
        <v>22.0</v>
      </c>
      <c r="G5567" s="2">
        <v>500.0</v>
      </c>
      <c r="H5567" s="3" t="str">
        <f>HYPERLINK("http://www.linkedin.com/in/thomasmarek","http://www.linkedin.com/in/thomasmarek")</f>
        <v>http://www.linkedin.com/in/thomasmarek</v>
      </c>
      <c r="I5567" s="2" t="s">
        <v>279</v>
      </c>
      <c r="J5567" s="2" t="s">
        <v>102</v>
      </c>
      <c r="K5567" s="2" t="s">
        <v>10187</v>
      </c>
    </row>
    <row r="5568" ht="15.75" customHeight="1">
      <c r="A5568" s="2">
        <v>14883.0</v>
      </c>
      <c r="B5568" s="2" t="s">
        <v>2269</v>
      </c>
      <c r="C5568" s="2" t="s">
        <v>11098</v>
      </c>
      <c r="D5568" s="2" t="s">
        <v>100</v>
      </c>
      <c r="E5568" s="2" t="s">
        <v>1407</v>
      </c>
      <c r="F5568" s="2">
        <v>29.0</v>
      </c>
      <c r="G5568" s="2">
        <v>411.0</v>
      </c>
      <c r="H5568" s="3" t="str">
        <f>HYPERLINK("http://www.linkedin.com/in/mrama","http://www.linkedin.com/in/mrama")</f>
        <v>http://www.linkedin.com/in/mrama</v>
      </c>
      <c r="I5568" s="2" t="s">
        <v>1931</v>
      </c>
      <c r="J5568" s="2" t="s">
        <v>102</v>
      </c>
      <c r="K5568" s="2" t="s">
        <v>10184</v>
      </c>
    </row>
    <row r="5569" ht="15.75" customHeight="1">
      <c r="A5569" s="2">
        <v>14901.0</v>
      </c>
      <c r="B5569" s="2" t="s">
        <v>11099</v>
      </c>
      <c r="C5569" s="2" t="s">
        <v>3190</v>
      </c>
      <c r="D5569" s="2" t="s">
        <v>11100</v>
      </c>
      <c r="E5569" s="2" t="s">
        <v>2968</v>
      </c>
      <c r="F5569" s="2">
        <v>0.0</v>
      </c>
      <c r="G5569" s="2">
        <v>137.0</v>
      </c>
      <c r="H5569" s="3" t="str">
        <f>HYPERLINK("http://www.linkedin.com/pub/shari-henry/5/252/944","http://www.linkedin.com/pub/shari-henry/5/252/944")</f>
        <v>http://www.linkedin.com/pub/shari-henry/5/252/944</v>
      </c>
      <c r="I5569" s="2" t="s">
        <v>77</v>
      </c>
      <c r="J5569" s="2" t="s">
        <v>102</v>
      </c>
      <c r="K5569" s="2" t="s">
        <v>10988</v>
      </c>
    </row>
    <row r="5570" ht="15.75" customHeight="1">
      <c r="A5570" s="2">
        <v>14902.0</v>
      </c>
      <c r="B5570" s="2" t="s">
        <v>511</v>
      </c>
      <c r="C5570" s="2" t="s">
        <v>11101</v>
      </c>
      <c r="D5570" s="2" t="s">
        <v>10258</v>
      </c>
      <c r="E5570" s="2" t="s">
        <v>1041</v>
      </c>
      <c r="F5570" s="2">
        <v>0.0</v>
      </c>
      <c r="G5570" s="2">
        <v>93.0</v>
      </c>
      <c r="H5570" s="3" t="str">
        <f>HYPERLINK("http://www.linkedin.com/pub/mike-roda/1/AB/17A","http://www.linkedin.com/pub/mike-roda/1/AB/17A")</f>
        <v>http://www.linkedin.com/pub/mike-roda/1/AB/17A</v>
      </c>
      <c r="I5570" s="2" t="s">
        <v>48</v>
      </c>
      <c r="J5570" s="2" t="s">
        <v>102</v>
      </c>
      <c r="K5570" s="2" t="s">
        <v>10233</v>
      </c>
    </row>
    <row r="5571" ht="15.75" customHeight="1">
      <c r="A5571" s="2">
        <v>14911.0</v>
      </c>
      <c r="B5571" s="2" t="s">
        <v>1932</v>
      </c>
      <c r="C5571" s="2" t="s">
        <v>11102</v>
      </c>
      <c r="D5571" s="2" t="s">
        <v>11103</v>
      </c>
      <c r="E5571" s="2" t="s">
        <v>5396</v>
      </c>
      <c r="F5571" s="2">
        <v>9.0</v>
      </c>
      <c r="G5571" s="2">
        <v>500.0</v>
      </c>
      <c r="H5571" s="3" t="str">
        <f>HYPERLINK("http://www.linkedin.com/in/michelleivey","http://www.linkedin.com/in/michelleivey")</f>
        <v>http://www.linkedin.com/in/michelleivey</v>
      </c>
      <c r="I5571" s="2" t="s">
        <v>475</v>
      </c>
      <c r="J5571" s="2" t="s">
        <v>102</v>
      </c>
      <c r="K5571" s="2" t="s">
        <v>10206</v>
      </c>
    </row>
    <row r="5572" ht="15.75" customHeight="1">
      <c r="A5572" s="2">
        <v>14916.0</v>
      </c>
      <c r="B5572" s="2" t="s">
        <v>10272</v>
      </c>
      <c r="C5572" s="2" t="s">
        <v>11104</v>
      </c>
      <c r="D5572" s="2"/>
      <c r="E5572" s="2" t="s">
        <v>914</v>
      </c>
      <c r="F5572" s="2">
        <v>0.0</v>
      </c>
      <c r="G5572" s="2">
        <v>317.0</v>
      </c>
      <c r="H5572" s="3" t="str">
        <f>HYPERLINK("http://www.linkedin.com/pub/rajesh-kulkarni/1/5A4/BA3","http://www.linkedin.com/pub/rajesh-kulkarni/1/5A4/BA3")</f>
        <v>http://www.linkedin.com/pub/rajesh-kulkarni/1/5A4/BA3</v>
      </c>
      <c r="I5572" s="2" t="s">
        <v>69</v>
      </c>
      <c r="J5572" s="2" t="s">
        <v>102</v>
      </c>
      <c r="K5572" s="2" t="s">
        <v>10176</v>
      </c>
    </row>
    <row r="5573" ht="15.75" customHeight="1">
      <c r="A5573" s="2">
        <v>14917.0</v>
      </c>
      <c r="B5573" s="2" t="s">
        <v>11105</v>
      </c>
      <c r="C5573" s="2" t="s">
        <v>11106</v>
      </c>
      <c r="D5573" s="2" t="s">
        <v>11107</v>
      </c>
      <c r="E5573" s="2" t="s">
        <v>1407</v>
      </c>
      <c r="F5573" s="2">
        <v>1.0</v>
      </c>
      <c r="G5573" s="2">
        <v>391.0</v>
      </c>
      <c r="H5573" s="3" t="str">
        <f>HYPERLINK("http://www.linkedin.com/pub/vinay-moharil/1/989/164","http://www.linkedin.com/pub/vinay-moharil/1/989/164")</f>
        <v>http://www.linkedin.com/pub/vinay-moharil/1/989/164</v>
      </c>
      <c r="I5573" s="2" t="s">
        <v>69</v>
      </c>
      <c r="J5573" s="2" t="s">
        <v>102</v>
      </c>
      <c r="K5573" s="2" t="s">
        <v>10176</v>
      </c>
    </row>
    <row r="5574" ht="15.75" customHeight="1">
      <c r="A5574" s="2">
        <v>14924.0</v>
      </c>
      <c r="B5574" s="2" t="s">
        <v>3302</v>
      </c>
      <c r="C5574" s="2" t="s">
        <v>11108</v>
      </c>
      <c r="D5574" s="2" t="s">
        <v>1216</v>
      </c>
      <c r="E5574" s="2" t="s">
        <v>1407</v>
      </c>
      <c r="F5574" s="2">
        <v>8.0</v>
      </c>
      <c r="G5574" s="2">
        <v>303.0</v>
      </c>
      <c r="H5574" s="3" t="str">
        <f>HYPERLINK("http://www.linkedin.com/pub/cindy-hilmes-csm/0/258/723","http://www.linkedin.com/pub/cindy-hilmes-csm/0/258/723")</f>
        <v>http://www.linkedin.com/pub/cindy-hilmes-csm/0/258/723</v>
      </c>
      <c r="I5574" s="2" t="s">
        <v>15</v>
      </c>
      <c r="J5574" s="2" t="s">
        <v>102</v>
      </c>
      <c r="K5574" s="2" t="s">
        <v>10184</v>
      </c>
    </row>
    <row r="5575" ht="15.75" customHeight="1">
      <c r="A5575" s="2">
        <v>14930.0</v>
      </c>
      <c r="B5575" s="2" t="s">
        <v>940</v>
      </c>
      <c r="C5575" s="2" t="s">
        <v>11109</v>
      </c>
      <c r="D5575" s="2"/>
      <c r="E5575" s="2" t="s">
        <v>728</v>
      </c>
      <c r="F5575" s="2">
        <v>2.0</v>
      </c>
      <c r="G5575" s="2">
        <v>152.0</v>
      </c>
      <c r="H5575" s="3" t="str">
        <f>HYPERLINK("http://www.linkedin.com/pub/bob-crouse/2/417/497","http://www.linkedin.com/pub/bob-crouse/2/417/497")</f>
        <v>http://www.linkedin.com/pub/bob-crouse/2/417/497</v>
      </c>
      <c r="I5575" s="2" t="s">
        <v>57</v>
      </c>
      <c r="J5575" s="2" t="s">
        <v>102</v>
      </c>
      <c r="K5575" s="2" t="s">
        <v>10209</v>
      </c>
    </row>
    <row r="5576" ht="15.75" customHeight="1">
      <c r="A5576" s="2">
        <v>14932.0</v>
      </c>
      <c r="B5576" s="2" t="s">
        <v>1104</v>
      </c>
      <c r="C5576" s="2" t="s">
        <v>11110</v>
      </c>
      <c r="D5576" s="2" t="s">
        <v>11111</v>
      </c>
      <c r="E5576" s="2" t="s">
        <v>11112</v>
      </c>
      <c r="F5576" s="2">
        <v>59.0</v>
      </c>
      <c r="G5576" s="2">
        <v>500.0</v>
      </c>
      <c r="H5576" s="3" t="str">
        <f>HYPERLINK("http://www.linkedin.com/pub/jay-stright/4/854/B64","http://www.linkedin.com/pub/jay-stright/4/854/B64")</f>
        <v>http://www.linkedin.com/pub/jay-stright/4/854/B64</v>
      </c>
      <c r="I5576" s="2" t="s">
        <v>458</v>
      </c>
      <c r="J5576" s="2" t="s">
        <v>102</v>
      </c>
      <c r="K5576" s="2" t="s">
        <v>10206</v>
      </c>
    </row>
    <row r="5577" ht="15.75" customHeight="1">
      <c r="A5577" s="2">
        <v>14937.0</v>
      </c>
      <c r="B5577" s="2" t="s">
        <v>2109</v>
      </c>
      <c r="C5577" s="2" t="s">
        <v>11113</v>
      </c>
      <c r="D5577" s="2" t="s">
        <v>11114</v>
      </c>
      <c r="E5577" s="2" t="s">
        <v>971</v>
      </c>
      <c r="F5577" s="2">
        <v>2.0</v>
      </c>
      <c r="G5577" s="2">
        <v>317.0</v>
      </c>
      <c r="H5577" s="3" t="str">
        <f>HYPERLINK("http://www.linkedin.com/in/robholley","http://www.linkedin.com/in/robholley")</f>
        <v>http://www.linkedin.com/in/robholley</v>
      </c>
      <c r="I5577" s="2" t="s">
        <v>15</v>
      </c>
      <c r="J5577" s="2" t="s">
        <v>102</v>
      </c>
      <c r="K5577" s="2" t="s">
        <v>10245</v>
      </c>
    </row>
    <row r="5578" ht="15.75" customHeight="1">
      <c r="A5578" s="2">
        <v>14939.0</v>
      </c>
      <c r="B5578" s="2" t="s">
        <v>2601</v>
      </c>
      <c r="C5578" s="2" t="s">
        <v>11115</v>
      </c>
      <c r="D5578" s="2" t="s">
        <v>11116</v>
      </c>
      <c r="E5578" s="2" t="s">
        <v>1407</v>
      </c>
      <c r="F5578" s="2">
        <v>0.0</v>
      </c>
      <c r="G5578" s="2">
        <v>171.0</v>
      </c>
      <c r="H5578" s="3" t="str">
        <f>HYPERLINK("http://www.linkedin.com/pub/rebecca-garner/15/403/306","http://www.linkedin.com/pub/rebecca-garner/15/403/306")</f>
        <v>http://www.linkedin.com/pub/rebecca-garner/15/403/306</v>
      </c>
      <c r="I5578" s="2" t="s">
        <v>458</v>
      </c>
      <c r="J5578" s="2" t="s">
        <v>102</v>
      </c>
      <c r="K5578" s="2" t="s">
        <v>11117</v>
      </c>
    </row>
    <row r="5579" ht="15.75" customHeight="1">
      <c r="A5579" s="2">
        <v>14940.0</v>
      </c>
      <c r="B5579" s="2" t="s">
        <v>133</v>
      </c>
      <c r="C5579" s="2" t="s">
        <v>11118</v>
      </c>
      <c r="D5579" s="2" t="s">
        <v>11119</v>
      </c>
      <c r="E5579" s="2" t="s">
        <v>1407</v>
      </c>
      <c r="F5579" s="2">
        <v>1.0</v>
      </c>
      <c r="G5579" s="2">
        <v>500.0</v>
      </c>
      <c r="H5579" s="3" t="str">
        <f>HYPERLINK("http://www.linkedin.com/pub/michael-roseman/0/198/B8","http://www.linkedin.com/pub/michael-roseman/0/198/B8")</f>
        <v>http://www.linkedin.com/pub/michael-roseman/0/198/B8</v>
      </c>
      <c r="I5579" s="2" t="s">
        <v>57</v>
      </c>
      <c r="J5579" s="2" t="s">
        <v>102</v>
      </c>
      <c r="K5579" s="2" t="s">
        <v>10209</v>
      </c>
    </row>
    <row r="5580" ht="15.75" customHeight="1">
      <c r="A5580" s="2">
        <v>14941.0</v>
      </c>
      <c r="B5580" s="2" t="s">
        <v>11120</v>
      </c>
      <c r="C5580" s="2" t="s">
        <v>10450</v>
      </c>
      <c r="D5580" s="2" t="s">
        <v>11121</v>
      </c>
      <c r="E5580" s="2" t="s">
        <v>1407</v>
      </c>
      <c r="F5580" s="2">
        <v>0.0</v>
      </c>
      <c r="G5580" s="2">
        <v>369.0</v>
      </c>
      <c r="H5580" s="3" t="str">
        <f>HYPERLINK("http://www.linkedin.com/in/wesleybryan","http://www.linkedin.com/in/wesleybryan")</f>
        <v>http://www.linkedin.com/in/wesleybryan</v>
      </c>
      <c r="I5580" s="2" t="s">
        <v>458</v>
      </c>
      <c r="J5580" s="2" t="s">
        <v>102</v>
      </c>
      <c r="K5580" s="2" t="s">
        <v>10343</v>
      </c>
    </row>
    <row r="5581" ht="15.75" customHeight="1">
      <c r="A5581" s="2">
        <v>14962.0</v>
      </c>
      <c r="B5581" s="2" t="s">
        <v>11122</v>
      </c>
      <c r="C5581" s="2" t="s">
        <v>434</v>
      </c>
      <c r="D5581" s="2" t="s">
        <v>11123</v>
      </c>
      <c r="E5581" s="2" t="s">
        <v>101</v>
      </c>
      <c r="F5581" s="2">
        <v>2.0</v>
      </c>
      <c r="G5581" s="2">
        <v>377.0</v>
      </c>
      <c r="H5581" s="3" t="str">
        <f>HYPERLINK("http://www.linkedin.com/in/rontgenisaac","http://www.linkedin.com/in/rontgenisaac")</f>
        <v>http://www.linkedin.com/in/rontgenisaac</v>
      </c>
      <c r="I5581" s="2" t="s">
        <v>15</v>
      </c>
      <c r="J5581" s="2" t="s">
        <v>102</v>
      </c>
      <c r="K5581" s="2" t="s">
        <v>10184</v>
      </c>
    </row>
    <row r="5582" ht="15.75" customHeight="1">
      <c r="A5582" s="2">
        <v>14963.0</v>
      </c>
      <c r="B5582" s="2" t="s">
        <v>11124</v>
      </c>
      <c r="C5582" s="2" t="s">
        <v>7810</v>
      </c>
      <c r="D5582" s="2" t="s">
        <v>11125</v>
      </c>
      <c r="E5582" s="2" t="s">
        <v>101</v>
      </c>
      <c r="F5582" s="2">
        <v>7.0</v>
      </c>
      <c r="G5582" s="2">
        <v>384.0</v>
      </c>
      <c r="H5582" s="3" t="str">
        <f>HYPERLINK("http://www.linkedin.com/in/iftequarmohammed","http://www.linkedin.com/in/iftequarmohammed")</f>
        <v>http://www.linkedin.com/in/iftequarmohammed</v>
      </c>
      <c r="I5582" s="2" t="s">
        <v>15</v>
      </c>
      <c r="J5582" s="2" t="s">
        <v>102</v>
      </c>
      <c r="K5582" s="2" t="s">
        <v>10176</v>
      </c>
    </row>
    <row r="5583" ht="15.75" customHeight="1">
      <c r="A5583" s="2">
        <v>14983.0</v>
      </c>
      <c r="B5583" s="2" t="s">
        <v>353</v>
      </c>
      <c r="C5583" s="2" t="s">
        <v>6794</v>
      </c>
      <c r="D5583" s="2" t="s">
        <v>11126</v>
      </c>
      <c r="E5583" s="2" t="s">
        <v>20</v>
      </c>
      <c r="F5583" s="2">
        <v>14.0</v>
      </c>
      <c r="G5583" s="2">
        <v>293.0</v>
      </c>
      <c r="H5583" s="3" t="str">
        <f>HYPERLINK("http://ar.linkedin.com/in/alejandroferrari","http://ar.linkedin.com/in/alejandroferrari")</f>
        <v>http://ar.linkedin.com/in/alejandroferrari</v>
      </c>
      <c r="I5583" s="2" t="s">
        <v>69</v>
      </c>
      <c r="J5583" s="2" t="s">
        <v>21</v>
      </c>
      <c r="K5583" s="2" t="s">
        <v>11127</v>
      </c>
    </row>
    <row r="5584" ht="15.75" customHeight="1">
      <c r="A5584" s="2">
        <v>15000.0</v>
      </c>
      <c r="B5584" s="2" t="s">
        <v>501</v>
      </c>
      <c r="C5584" s="2" t="s">
        <v>11128</v>
      </c>
      <c r="D5584" s="2" t="s">
        <v>11129</v>
      </c>
      <c r="E5584" s="2" t="s">
        <v>20</v>
      </c>
      <c r="F5584" s="2">
        <v>2.0</v>
      </c>
      <c r="G5584" s="2">
        <v>190.0</v>
      </c>
      <c r="H5584" s="3" t="str">
        <f>HYPERLINK("http://ar.linkedin.com/in/franciscopugliese","http://ar.linkedin.com/in/franciscopugliese")</f>
        <v>http://ar.linkedin.com/in/franciscopugliese</v>
      </c>
      <c r="I5584" s="2" t="s">
        <v>15</v>
      </c>
      <c r="J5584" s="2" t="s">
        <v>21</v>
      </c>
      <c r="K5584" s="2" t="s">
        <v>10196</v>
      </c>
    </row>
    <row r="5585" ht="15.75" customHeight="1">
      <c r="A5585" s="2">
        <v>15020.0</v>
      </c>
      <c r="B5585" s="2" t="s">
        <v>5791</v>
      </c>
      <c r="C5585" s="2" t="s">
        <v>11130</v>
      </c>
      <c r="D5585" s="2" t="s">
        <v>6275</v>
      </c>
      <c r="E5585" s="2" t="s">
        <v>20</v>
      </c>
      <c r="F5585" s="2">
        <v>0.0</v>
      </c>
      <c r="G5585" s="2">
        <v>166.0</v>
      </c>
      <c r="H5585" s="3" t="str">
        <f>HYPERLINK("http://www.linkedin.com/pub/mat%C3%ADas-jarab/26/92b/674","http://www.linkedin.com/pub/mat%C3%ADas-jarab/26/92b/674")</f>
        <v>http://www.linkedin.com/pub/mat%C3%ADas-jarab/26/92b/674</v>
      </c>
      <c r="I5585" s="2" t="s">
        <v>15</v>
      </c>
      <c r="J5585" s="2" t="s">
        <v>21</v>
      </c>
      <c r="K5585" s="2" t="s">
        <v>10173</v>
      </c>
    </row>
    <row r="5586" ht="15.75" customHeight="1">
      <c r="A5586" s="2">
        <v>15083.0</v>
      </c>
      <c r="B5586" s="2" t="s">
        <v>11131</v>
      </c>
      <c r="C5586" s="2" t="s">
        <v>9351</v>
      </c>
      <c r="D5586" s="2" t="s">
        <v>11132</v>
      </c>
      <c r="E5586" s="2" t="s">
        <v>11133</v>
      </c>
      <c r="F5586" s="2">
        <v>16.0</v>
      </c>
      <c r="G5586" s="2">
        <v>500.0</v>
      </c>
      <c r="H5586" s="3" t="str">
        <f>HYPERLINK("http://www.linkedin.com/pub/seferino-antonio-gallardo/12/785/580","http://www.linkedin.com/pub/seferino-antonio-gallardo/12/785/580")</f>
        <v>http://www.linkedin.com/pub/seferino-antonio-gallardo/12/785/580</v>
      </c>
      <c r="I5586" s="2" t="s">
        <v>143</v>
      </c>
      <c r="J5586" s="2" t="s">
        <v>102</v>
      </c>
      <c r="K5586" s="2" t="s">
        <v>10233</v>
      </c>
    </row>
    <row r="5587" ht="15.75" customHeight="1">
      <c r="A5587" s="2">
        <v>15101.0</v>
      </c>
      <c r="B5587" s="2" t="s">
        <v>2457</v>
      </c>
      <c r="C5587" s="2" t="s">
        <v>11134</v>
      </c>
      <c r="D5587" s="2" t="s">
        <v>11135</v>
      </c>
      <c r="E5587" s="2" t="s">
        <v>628</v>
      </c>
      <c r="F5587" s="2">
        <v>6.0</v>
      </c>
      <c r="G5587" s="2">
        <v>478.0</v>
      </c>
      <c r="H5587" s="3" t="str">
        <f>HYPERLINK("http://www.linkedin.com/in/stephenyi","http://www.linkedin.com/in/stephenyi")</f>
        <v>http://www.linkedin.com/in/stephenyi</v>
      </c>
      <c r="I5587" s="2" t="s">
        <v>3562</v>
      </c>
      <c r="J5587" s="2" t="s">
        <v>102</v>
      </c>
      <c r="K5587" s="2" t="s">
        <v>10176</v>
      </c>
    </row>
    <row r="5588" ht="15.75" customHeight="1">
      <c r="A5588" s="2">
        <v>15102.0</v>
      </c>
      <c r="B5588" s="2" t="s">
        <v>1254</v>
      </c>
      <c r="C5588" s="2" t="s">
        <v>11136</v>
      </c>
      <c r="D5588" s="2" t="s">
        <v>3466</v>
      </c>
      <c r="E5588" s="2" t="s">
        <v>11137</v>
      </c>
      <c r="F5588" s="2">
        <v>13.0</v>
      </c>
      <c r="G5588" s="2">
        <v>500.0</v>
      </c>
      <c r="H5588" s="3" t="str">
        <f>HYPERLINK("http://www.linkedin.com/in/rickwahlberg","http://www.linkedin.com/in/rickwahlberg")</f>
        <v>http://www.linkedin.com/in/rickwahlberg</v>
      </c>
      <c r="I5588" s="2" t="s">
        <v>15</v>
      </c>
      <c r="J5588" s="2" t="s">
        <v>102</v>
      </c>
      <c r="K5588" s="2" t="s">
        <v>10312</v>
      </c>
    </row>
    <row r="5589" ht="15.75" customHeight="1">
      <c r="A5589" s="2">
        <v>15105.0</v>
      </c>
      <c r="B5589" s="2" t="s">
        <v>11138</v>
      </c>
      <c r="C5589" s="2" t="s">
        <v>11139</v>
      </c>
      <c r="D5589" s="2"/>
      <c r="E5589" s="2" t="s">
        <v>136</v>
      </c>
      <c r="F5589" s="2">
        <v>8.0</v>
      </c>
      <c r="G5589" s="2">
        <v>313.0</v>
      </c>
      <c r="H5589" s="3" t="str">
        <f>HYPERLINK("http://www.linkedin.com/pub/neal-so/0/834/598","http://www.linkedin.com/pub/neal-so/0/834/598")</f>
        <v>http://www.linkedin.com/pub/neal-so/0/834/598</v>
      </c>
      <c r="I5589" s="2" t="s">
        <v>48</v>
      </c>
      <c r="J5589" s="2" t="s">
        <v>102</v>
      </c>
      <c r="K5589" s="2" t="s">
        <v>10184</v>
      </c>
    </row>
    <row r="5590" ht="15.75" customHeight="1">
      <c r="A5590" s="2">
        <v>15106.0</v>
      </c>
      <c r="B5590" s="2" t="s">
        <v>11140</v>
      </c>
      <c r="C5590" s="2" t="s">
        <v>11141</v>
      </c>
      <c r="D5590" s="2"/>
      <c r="E5590" s="2" t="s">
        <v>11142</v>
      </c>
      <c r="F5590" s="2">
        <v>2.0</v>
      </c>
      <c r="G5590" s="2">
        <v>432.0</v>
      </c>
      <c r="H5590" s="3" t="str">
        <f>HYPERLINK("http://www.linkedin.com/pub/nord-samuelson/0/BB4/A15","http://www.linkedin.com/pub/nord-samuelson/0/BB4/A15")</f>
        <v>http://www.linkedin.com/pub/nord-samuelson/0/BB4/A15</v>
      </c>
      <c r="I5590" s="2" t="s">
        <v>57</v>
      </c>
      <c r="J5590" s="2" t="s">
        <v>102</v>
      </c>
      <c r="K5590" s="2" t="s">
        <v>10206</v>
      </c>
    </row>
    <row r="5591" ht="15.75" customHeight="1">
      <c r="A5591" s="2">
        <v>15108.0</v>
      </c>
      <c r="B5591" s="2" t="s">
        <v>11143</v>
      </c>
      <c r="C5591" s="2" t="s">
        <v>11144</v>
      </c>
      <c r="D5591" s="2" t="s">
        <v>2302</v>
      </c>
      <c r="E5591" s="2" t="s">
        <v>713</v>
      </c>
      <c r="F5591" s="2">
        <v>7.0</v>
      </c>
      <c r="G5591" s="2">
        <v>199.0</v>
      </c>
      <c r="H5591" s="3" t="str">
        <f>HYPERLINK("http://www.linkedin.com/in/jkalbrecht","http://www.linkedin.com/in/jkalbrecht")</f>
        <v>http://www.linkedin.com/in/jkalbrecht</v>
      </c>
      <c r="I5591" s="2" t="s">
        <v>57</v>
      </c>
      <c r="J5591" s="2" t="s">
        <v>102</v>
      </c>
      <c r="K5591" s="2" t="s">
        <v>10209</v>
      </c>
    </row>
    <row r="5592" ht="15.75" customHeight="1">
      <c r="A5592" s="2">
        <v>15109.0</v>
      </c>
      <c r="B5592" s="2" t="s">
        <v>2383</v>
      </c>
      <c r="C5592" s="2" t="s">
        <v>11145</v>
      </c>
      <c r="D5592" s="2" t="s">
        <v>2274</v>
      </c>
      <c r="E5592" s="2" t="s">
        <v>713</v>
      </c>
      <c r="F5592" s="2">
        <v>1.0</v>
      </c>
      <c r="G5592" s="2">
        <v>500.0</v>
      </c>
      <c r="H5592" s="3" t="str">
        <f>HYPERLINK("http://www.linkedin.com/in/shawnbroderick","http://www.linkedin.com/in/shawnbroderick")</f>
        <v>http://www.linkedin.com/in/shawnbroderick</v>
      </c>
      <c r="I5592" s="2" t="s">
        <v>48</v>
      </c>
      <c r="J5592" s="2" t="s">
        <v>102</v>
      </c>
      <c r="K5592" s="2" t="s">
        <v>10233</v>
      </c>
    </row>
    <row r="5593" ht="15.75" customHeight="1">
      <c r="A5593" s="2">
        <v>15216.0</v>
      </c>
      <c r="B5593" s="2" t="s">
        <v>1004</v>
      </c>
      <c r="C5593" s="2" t="s">
        <v>4608</v>
      </c>
      <c r="D5593" s="2"/>
      <c r="E5593" s="2" t="s">
        <v>2429</v>
      </c>
      <c r="F5593" s="2">
        <v>10.0</v>
      </c>
      <c r="G5593" s="2">
        <v>500.0</v>
      </c>
      <c r="H5593" s="3" t="str">
        <f>HYPERLINK("http://www.linkedin.com/pub/scott-west/1/31A/313","http://www.linkedin.com/pub/scott-west/1/31A/313")</f>
        <v>http://www.linkedin.com/pub/scott-west/1/31A/313</v>
      </c>
      <c r="I5593" s="2" t="s">
        <v>15</v>
      </c>
      <c r="J5593" s="2" t="s">
        <v>102</v>
      </c>
      <c r="K5593" s="2" t="s">
        <v>10184</v>
      </c>
    </row>
    <row r="5594" ht="15.75" customHeight="1">
      <c r="A5594" s="2">
        <v>15219.0</v>
      </c>
      <c r="B5594" s="2" t="s">
        <v>1366</v>
      </c>
      <c r="C5594" s="2" t="s">
        <v>11146</v>
      </c>
      <c r="D5594" s="2" t="s">
        <v>304</v>
      </c>
      <c r="E5594" s="2" t="s">
        <v>301</v>
      </c>
      <c r="F5594" s="2">
        <v>0.0</v>
      </c>
      <c r="G5594" s="2">
        <v>299.0</v>
      </c>
      <c r="H5594" s="3" t="str">
        <f>HYPERLINK("http://www.linkedin.com/pub/peter-burghardt/8/480/943","http://www.linkedin.com/pub/peter-burghardt/8/480/943")</f>
        <v>http://www.linkedin.com/pub/peter-burghardt/8/480/943</v>
      </c>
      <c r="I5594" s="2" t="s">
        <v>15</v>
      </c>
      <c r="J5594" s="2" t="s">
        <v>102</v>
      </c>
      <c r="K5594" s="2" t="s">
        <v>10233</v>
      </c>
    </row>
    <row r="5595" ht="15.75" customHeight="1">
      <c r="A5595" s="2">
        <v>15223.0</v>
      </c>
      <c r="B5595" s="2" t="s">
        <v>511</v>
      </c>
      <c r="C5595" s="2" t="s">
        <v>4081</v>
      </c>
      <c r="D5595" s="2" t="s">
        <v>11147</v>
      </c>
      <c r="E5595" s="2" t="s">
        <v>628</v>
      </c>
      <c r="F5595" s="2">
        <v>0.0</v>
      </c>
      <c r="G5595" s="2">
        <v>500.0</v>
      </c>
      <c r="H5595" s="3" t="str">
        <f>HYPERLINK("http://www.linkedin.com/pub/mike-butler/0/517/6A6","http://www.linkedin.com/pub/mike-butler/0/517/6A6")</f>
        <v>http://www.linkedin.com/pub/mike-butler/0/517/6A6</v>
      </c>
      <c r="I5595" s="2" t="s">
        <v>1237</v>
      </c>
      <c r="J5595" s="2" t="s">
        <v>102</v>
      </c>
      <c r="K5595" s="2" t="s">
        <v>10187</v>
      </c>
    </row>
    <row r="5596" ht="15.75" customHeight="1">
      <c r="A5596" s="2">
        <v>15226.0</v>
      </c>
      <c r="B5596" s="2" t="s">
        <v>1167</v>
      </c>
      <c r="C5596" s="2" t="s">
        <v>2019</v>
      </c>
      <c r="D5596" s="2" t="s">
        <v>11148</v>
      </c>
      <c r="E5596" s="2" t="s">
        <v>2058</v>
      </c>
      <c r="F5596" s="2">
        <v>3.0</v>
      </c>
      <c r="G5596" s="2">
        <v>200.0</v>
      </c>
      <c r="H5596" s="3" t="str">
        <f>HYPERLINK("http://www.linkedin.com/in/benrturner","http://www.linkedin.com/in/benrturner")</f>
        <v>http://www.linkedin.com/in/benrturner</v>
      </c>
      <c r="I5596" s="2" t="s">
        <v>143</v>
      </c>
      <c r="J5596" s="2" t="s">
        <v>102</v>
      </c>
      <c r="K5596" s="2" t="s">
        <v>10184</v>
      </c>
    </row>
    <row r="5597" ht="15.75" customHeight="1">
      <c r="A5597" s="2">
        <v>15241.0</v>
      </c>
      <c r="B5597" s="2" t="s">
        <v>11149</v>
      </c>
      <c r="C5597" s="2" t="s">
        <v>11150</v>
      </c>
      <c r="D5597" s="2" t="s">
        <v>11151</v>
      </c>
      <c r="E5597" s="2" t="s">
        <v>136</v>
      </c>
      <c r="F5597" s="2">
        <v>2.0</v>
      </c>
      <c r="G5597" s="2">
        <v>154.0</v>
      </c>
      <c r="H5597" s="3" t="str">
        <f>HYPERLINK("http://www.linkedin.com/in/brettprofitt","http://www.linkedin.com/in/brettprofitt")</f>
        <v>http://www.linkedin.com/in/brettprofitt</v>
      </c>
      <c r="I5597" s="2" t="s">
        <v>48</v>
      </c>
      <c r="J5597" s="2" t="s">
        <v>102</v>
      </c>
      <c r="K5597" s="2" t="s">
        <v>10176</v>
      </c>
    </row>
    <row r="5598" ht="15.75" customHeight="1">
      <c r="A5598" s="2">
        <v>15282.0</v>
      </c>
      <c r="B5598" s="2" t="s">
        <v>275</v>
      </c>
      <c r="C5598" s="2" t="s">
        <v>1869</v>
      </c>
      <c r="D5598" s="2" t="s">
        <v>11152</v>
      </c>
      <c r="E5598" s="2" t="s">
        <v>914</v>
      </c>
      <c r="F5598" s="2">
        <v>21.0</v>
      </c>
      <c r="G5598" s="2">
        <v>500.0</v>
      </c>
      <c r="H5598" s="3" t="str">
        <f>HYPERLINK("http://www.linkedin.com/pub/mark-myers/4/757/B67","http://www.linkedin.com/pub/mark-myers/4/757/B67")</f>
        <v>http://www.linkedin.com/pub/mark-myers/4/757/B67</v>
      </c>
      <c r="I5598" s="2" t="s">
        <v>15</v>
      </c>
      <c r="J5598" s="2" t="s">
        <v>102</v>
      </c>
      <c r="K5598" s="2" t="s">
        <v>10263</v>
      </c>
    </row>
    <row r="5599" ht="15.75" customHeight="1">
      <c r="A5599" s="2">
        <v>15284.0</v>
      </c>
      <c r="B5599" s="2" t="s">
        <v>2109</v>
      </c>
      <c r="C5599" s="2" t="s">
        <v>1869</v>
      </c>
      <c r="D5599" s="2"/>
      <c r="E5599" s="2" t="s">
        <v>628</v>
      </c>
      <c r="F5599" s="2">
        <v>7.0</v>
      </c>
      <c r="G5599" s="2">
        <v>500.0</v>
      </c>
      <c r="H5599" s="3" t="str">
        <f>HYPERLINK("http://www.linkedin.com/pub/rob-myers/0/91B/B89","http://www.linkedin.com/pub/rob-myers/0/91B/B89")</f>
        <v>http://www.linkedin.com/pub/rob-myers/0/91B/B89</v>
      </c>
      <c r="I5599" s="2" t="s">
        <v>15</v>
      </c>
      <c r="J5599" s="2" t="s">
        <v>102</v>
      </c>
      <c r="K5599" s="2" t="s">
        <v>11153</v>
      </c>
    </row>
    <row r="5600" ht="15.75" customHeight="1">
      <c r="A5600" s="2">
        <v>15288.0</v>
      </c>
      <c r="B5600" s="2" t="s">
        <v>1969</v>
      </c>
      <c r="C5600" s="2" t="s">
        <v>11154</v>
      </c>
      <c r="D5600" s="2" t="s">
        <v>11155</v>
      </c>
      <c r="E5600" s="2" t="s">
        <v>301</v>
      </c>
      <c r="F5600" s="2">
        <v>5.0</v>
      </c>
      <c r="G5600" s="2">
        <v>189.0</v>
      </c>
      <c r="H5600" s="3" t="str">
        <f>HYPERLINK("http://www.linkedin.com/pub/vince-pawlowski/4/903/39","http://www.linkedin.com/pub/vince-pawlowski/4/903/39")</f>
        <v>http://www.linkedin.com/pub/vince-pawlowski/4/903/39</v>
      </c>
      <c r="I5600" s="2" t="s">
        <v>172</v>
      </c>
      <c r="J5600" s="2" t="s">
        <v>102</v>
      </c>
      <c r="K5600" s="2" t="s">
        <v>10206</v>
      </c>
    </row>
    <row r="5601" ht="15.75" customHeight="1">
      <c r="A5601" s="2">
        <v>15301.0</v>
      </c>
      <c r="B5601" s="2" t="s">
        <v>698</v>
      </c>
      <c r="C5601" s="2" t="s">
        <v>764</v>
      </c>
      <c r="D5601" s="2" t="s">
        <v>13</v>
      </c>
      <c r="E5601" s="2" t="s">
        <v>891</v>
      </c>
      <c r="F5601" s="2">
        <v>0.0</v>
      </c>
      <c r="G5601" s="2">
        <v>500.0</v>
      </c>
      <c r="H5601" s="3" t="str">
        <f>HYPERLINK("http://www.linkedin.com/in/armandomann","http://www.linkedin.com/in/armandomann")</f>
        <v>http://www.linkedin.com/in/armandomann</v>
      </c>
      <c r="I5601" s="2" t="s">
        <v>69</v>
      </c>
      <c r="J5601" s="2" t="s">
        <v>102</v>
      </c>
      <c r="K5601" s="2" t="s">
        <v>10233</v>
      </c>
    </row>
    <row r="5602" ht="15.75" customHeight="1">
      <c r="A5602" s="2">
        <v>15307.0</v>
      </c>
      <c r="B5602" s="2" t="s">
        <v>11156</v>
      </c>
      <c r="C5602" s="2" t="s">
        <v>11157</v>
      </c>
      <c r="D5602" s="2" t="s">
        <v>13</v>
      </c>
      <c r="E5602" s="2" t="s">
        <v>20</v>
      </c>
      <c r="F5602" s="2">
        <v>7.0</v>
      </c>
      <c r="G5602" s="2">
        <v>500.0</v>
      </c>
      <c r="H5602" s="3" t="str">
        <f>HYPERLINK("http://www.linkedin.com/pub/mar%C3%ADa-in%C3%A9s-colona/25/801/397","http://www.linkedin.com/pub/mar%C3%ADa-in%C3%A9s-colona/25/801/397")</f>
        <v>http://www.linkedin.com/pub/mar%C3%ADa-in%C3%A9s-colona/25/801/397</v>
      </c>
      <c r="I5602" s="2" t="s">
        <v>15</v>
      </c>
      <c r="J5602" s="2" t="s">
        <v>21</v>
      </c>
      <c r="K5602" s="2" t="s">
        <v>10196</v>
      </c>
    </row>
    <row r="5603" ht="15.75" customHeight="1">
      <c r="A5603" s="2">
        <v>15314.0</v>
      </c>
      <c r="B5603" s="2" t="s">
        <v>3201</v>
      </c>
      <c r="C5603" s="2" t="s">
        <v>11158</v>
      </c>
      <c r="D5603" s="2" t="s">
        <v>11159</v>
      </c>
      <c r="E5603" s="2" t="s">
        <v>20</v>
      </c>
      <c r="F5603" s="2">
        <v>8.0</v>
      </c>
      <c r="G5603" s="2">
        <v>500.0</v>
      </c>
      <c r="H5603" s="3" t="str">
        <f>HYPERLINK("http://ar.linkedin.com/in/sebastianarriada","http://ar.linkedin.com/in/sebastianarriada")</f>
        <v>http://ar.linkedin.com/in/sebastianarriada</v>
      </c>
      <c r="I5603" s="2" t="s">
        <v>15</v>
      </c>
      <c r="J5603" s="2" t="s">
        <v>21</v>
      </c>
      <c r="K5603" s="2" t="s">
        <v>10940</v>
      </c>
    </row>
    <row r="5604" ht="15.75" customHeight="1">
      <c r="A5604" s="2">
        <v>15319.0</v>
      </c>
      <c r="B5604" s="2" t="s">
        <v>2457</v>
      </c>
      <c r="C5604" s="2" t="s">
        <v>5242</v>
      </c>
      <c r="D5604" s="2" t="s">
        <v>11160</v>
      </c>
      <c r="E5604" s="2" t="s">
        <v>11161</v>
      </c>
      <c r="F5604" s="2">
        <v>2.0</v>
      </c>
      <c r="G5604" s="2">
        <v>119.0</v>
      </c>
      <c r="H5604" s="3" t="str">
        <f>HYPERLINK("http://uk.linkedin.com/pub/stephen-lewis/6/297/8A5","http://uk.linkedin.com/pub/stephen-lewis/6/297/8A5")</f>
        <v>http://uk.linkedin.com/pub/stephen-lewis/6/297/8A5</v>
      </c>
      <c r="I5604" s="2" t="s">
        <v>15</v>
      </c>
      <c r="J5604" s="2" t="s">
        <v>53</v>
      </c>
      <c r="K5604" s="2" t="s">
        <v>10180</v>
      </c>
    </row>
    <row r="5605" ht="15.75" customHeight="1">
      <c r="A5605" s="2">
        <v>15436.0</v>
      </c>
      <c r="B5605" s="2" t="s">
        <v>1919</v>
      </c>
      <c r="C5605" s="2" t="s">
        <v>11162</v>
      </c>
      <c r="D5605" s="2" t="s">
        <v>11163</v>
      </c>
      <c r="E5605" s="2" t="s">
        <v>301</v>
      </c>
      <c r="F5605" s="2">
        <v>5.0</v>
      </c>
      <c r="G5605" s="2">
        <v>327.0</v>
      </c>
      <c r="H5605" s="3" t="str">
        <f>HYPERLINK("http://www.linkedin.com/in/larryclayton","http://www.linkedin.com/in/larryclayton")</f>
        <v>http://www.linkedin.com/in/larryclayton</v>
      </c>
      <c r="I5605" s="2" t="s">
        <v>77</v>
      </c>
      <c r="J5605" s="2" t="s">
        <v>102</v>
      </c>
      <c r="K5605" s="2" t="s">
        <v>10209</v>
      </c>
    </row>
    <row r="5606" ht="15.75" customHeight="1">
      <c r="A5606" s="2">
        <v>15524.0</v>
      </c>
      <c r="B5606" s="2" t="s">
        <v>11164</v>
      </c>
      <c r="C5606" s="2" t="s">
        <v>11165</v>
      </c>
      <c r="D5606" s="2"/>
      <c r="E5606" s="2" t="s">
        <v>301</v>
      </c>
      <c r="F5606" s="2">
        <v>23.0</v>
      </c>
      <c r="G5606" s="2">
        <v>500.0</v>
      </c>
      <c r="H5606" s="3" t="str">
        <f>HYPERLINK("http://www.linkedin.com/in/mortgreenberg","http://www.linkedin.com/in/mortgreenberg")</f>
        <v>http://www.linkedin.com/in/mortgreenberg</v>
      </c>
      <c r="I5606" s="2" t="s">
        <v>326</v>
      </c>
      <c r="J5606" s="2" t="s">
        <v>102</v>
      </c>
      <c r="K5606" s="2" t="s">
        <v>10206</v>
      </c>
    </row>
    <row r="5607" ht="15.75" customHeight="1">
      <c r="A5607" s="2">
        <v>15580.0</v>
      </c>
      <c r="B5607" s="2" t="s">
        <v>45</v>
      </c>
      <c r="C5607" s="2" t="s">
        <v>6508</v>
      </c>
      <c r="D5607" s="2" t="s">
        <v>11166</v>
      </c>
      <c r="E5607" s="2" t="s">
        <v>2058</v>
      </c>
      <c r="F5607" s="2">
        <v>2.0</v>
      </c>
      <c r="G5607" s="2">
        <v>500.0</v>
      </c>
      <c r="H5607" s="3" t="str">
        <f>HYPERLINK("http://www.linkedin.com/pub/carlos-sanchez/0/1A3/48B","http://www.linkedin.com/pub/carlos-sanchez/0/1A3/48B")</f>
        <v>http://www.linkedin.com/pub/carlos-sanchez/0/1A3/48B</v>
      </c>
      <c r="I5607" s="2" t="s">
        <v>910</v>
      </c>
      <c r="J5607" s="2" t="s">
        <v>102</v>
      </c>
      <c r="K5607" s="2" t="s">
        <v>10187</v>
      </c>
    </row>
    <row r="5608" ht="15.75" customHeight="1">
      <c r="A5608" s="2">
        <v>15585.0</v>
      </c>
      <c r="B5608" s="2" t="s">
        <v>2457</v>
      </c>
      <c r="C5608" s="2" t="s">
        <v>11167</v>
      </c>
      <c r="D5608" s="2" t="s">
        <v>11168</v>
      </c>
      <c r="E5608" s="2" t="s">
        <v>1190</v>
      </c>
      <c r="F5608" s="2">
        <v>21.0</v>
      </c>
      <c r="G5608" s="2">
        <v>500.0</v>
      </c>
      <c r="H5608" s="3" t="str">
        <f>HYPERLINK("http://www.linkedin.com/in/stephenbrough","http://www.linkedin.com/in/stephenbrough")</f>
        <v>http://www.linkedin.com/in/stephenbrough</v>
      </c>
      <c r="I5608" s="2" t="s">
        <v>77</v>
      </c>
      <c r="J5608" s="2" t="s">
        <v>102</v>
      </c>
      <c r="K5608" s="2" t="s">
        <v>10572</v>
      </c>
    </row>
    <row r="5609" ht="15.75" customHeight="1">
      <c r="A5609" s="2">
        <v>15702.0</v>
      </c>
      <c r="B5609" s="2" t="s">
        <v>295</v>
      </c>
      <c r="C5609" s="2" t="s">
        <v>11169</v>
      </c>
      <c r="D5609" s="2"/>
      <c r="E5609" s="2" t="s">
        <v>2058</v>
      </c>
      <c r="F5609" s="2">
        <v>3.0</v>
      </c>
      <c r="G5609" s="2">
        <v>500.0</v>
      </c>
      <c r="H5609" s="3" t="str">
        <f>HYPERLINK("http://www.linkedin.com/pub/sean-malatesta/0/AB6/733","http://www.linkedin.com/pub/sean-malatesta/0/AB6/733")</f>
        <v>http://www.linkedin.com/pub/sean-malatesta/0/AB6/733</v>
      </c>
      <c r="I5609" s="2" t="s">
        <v>910</v>
      </c>
      <c r="J5609" s="2" t="s">
        <v>102</v>
      </c>
      <c r="K5609" s="2" t="s">
        <v>10187</v>
      </c>
    </row>
    <row r="5610" ht="15.75" customHeight="1">
      <c r="A5610" s="2">
        <v>15703.0</v>
      </c>
      <c r="B5610" s="2" t="s">
        <v>358</v>
      </c>
      <c r="C5610" s="2" t="s">
        <v>2092</v>
      </c>
      <c r="D5610" s="2" t="s">
        <v>11170</v>
      </c>
      <c r="E5610" s="2" t="s">
        <v>1190</v>
      </c>
      <c r="F5610" s="2">
        <v>6.0</v>
      </c>
      <c r="G5610" s="2">
        <v>500.0</v>
      </c>
      <c r="H5610" s="3" t="str">
        <f>HYPERLINK("http://www.linkedin.com/pub/marcelo-levy/0/72/5A","http://www.linkedin.com/pub/marcelo-levy/0/72/5A")</f>
        <v>http://www.linkedin.com/pub/marcelo-levy/0/72/5A</v>
      </c>
      <c r="I5610" s="2" t="s">
        <v>15</v>
      </c>
      <c r="J5610" s="2" t="s">
        <v>102</v>
      </c>
      <c r="K5610" s="2" t="s">
        <v>10263</v>
      </c>
    </row>
    <row r="5611" ht="15.75" customHeight="1">
      <c r="A5611" s="2">
        <v>15848.0</v>
      </c>
      <c r="B5611" s="2" t="s">
        <v>3036</v>
      </c>
      <c r="C5611" s="2" t="s">
        <v>11171</v>
      </c>
      <c r="D5611" s="2" t="s">
        <v>11172</v>
      </c>
      <c r="E5611" s="2" t="s">
        <v>2325</v>
      </c>
      <c r="F5611" s="2">
        <v>15.0</v>
      </c>
      <c r="G5611" s="2">
        <v>500.0</v>
      </c>
      <c r="H5611" s="3" t="str">
        <f>HYPERLINK("http://www.linkedin.com/in/saracromie","http://www.linkedin.com/in/saracromie")</f>
        <v>http://www.linkedin.com/in/saracromie</v>
      </c>
      <c r="I5611" s="2" t="s">
        <v>15</v>
      </c>
      <c r="J5611" s="2" t="s">
        <v>337</v>
      </c>
      <c r="K5611" s="2" t="s">
        <v>11173</v>
      </c>
    </row>
    <row r="5612" ht="15.75" customHeight="1">
      <c r="A5612" s="2">
        <v>15924.0</v>
      </c>
      <c r="B5612" s="2" t="s">
        <v>329</v>
      </c>
      <c r="C5612" s="2" t="s">
        <v>11174</v>
      </c>
      <c r="D5612" s="2" t="s">
        <v>13</v>
      </c>
      <c r="E5612" s="2" t="s">
        <v>20</v>
      </c>
      <c r="F5612" s="2">
        <v>0.0</v>
      </c>
      <c r="G5612" s="2">
        <v>500.0</v>
      </c>
      <c r="H5612" s="3" t="str">
        <f>HYPERLINK("http://www.linkedin.com/pub/juan-pablo-guich%C3%B3n/9/4a8/67","http://www.linkedin.com/pub/juan-pablo-guich%C3%B3n/9/4a8/67")</f>
        <v>http://www.linkedin.com/pub/juan-pablo-guich%C3%B3n/9/4a8/67</v>
      </c>
      <c r="I5612" s="2" t="s">
        <v>1237</v>
      </c>
      <c r="J5612" s="2" t="s">
        <v>21</v>
      </c>
      <c r="K5612" s="2" t="s">
        <v>10173</v>
      </c>
    </row>
    <row r="5613" ht="15.75" customHeight="1">
      <c r="A5613" s="2">
        <v>15988.0</v>
      </c>
      <c r="B5613" s="2" t="s">
        <v>11175</v>
      </c>
      <c r="C5613" s="2" t="s">
        <v>11176</v>
      </c>
      <c r="D5613" s="2" t="s">
        <v>13</v>
      </c>
      <c r="E5613" s="2" t="s">
        <v>20</v>
      </c>
      <c r="F5613" s="2">
        <v>19.0</v>
      </c>
      <c r="G5613" s="2">
        <v>357.0</v>
      </c>
      <c r="H5613" s="3" t="str">
        <f>HYPERLINK("http://www.linkedin.com/pub/juan-jos%C3%A9-abreg%C3%BA/21/442/a78","http://www.linkedin.com/pub/juan-jos%C3%A9-abreg%C3%BA/21/442/a78")</f>
        <v>http://www.linkedin.com/pub/juan-jos%C3%A9-abreg%C3%BA/21/442/a78</v>
      </c>
      <c r="I5613" s="2" t="s">
        <v>15</v>
      </c>
      <c r="J5613" s="2" t="s">
        <v>21</v>
      </c>
      <c r="K5613" s="2" t="s">
        <v>10196</v>
      </c>
    </row>
    <row r="5614" ht="15.75" customHeight="1">
      <c r="A5614" s="2">
        <v>16009.0</v>
      </c>
      <c r="B5614" s="2" t="s">
        <v>6219</v>
      </c>
      <c r="C5614" s="2" t="s">
        <v>4729</v>
      </c>
      <c r="D5614" s="2" t="s">
        <v>11177</v>
      </c>
      <c r="E5614" s="2" t="s">
        <v>20</v>
      </c>
      <c r="F5614" s="2">
        <v>4.0</v>
      </c>
      <c r="G5614" s="2">
        <v>304.0</v>
      </c>
      <c r="H5614" s="3" t="str">
        <f>HYPERLINK("http://ar.linkedin.com/pub/hugo-perez/0/2B8/83A","http://ar.linkedin.com/pub/hugo-perez/0/2B8/83A")</f>
        <v>http://ar.linkedin.com/pub/hugo-perez/0/2B8/83A</v>
      </c>
      <c r="I5614" s="2" t="s">
        <v>15</v>
      </c>
      <c r="J5614" s="2" t="s">
        <v>21</v>
      </c>
      <c r="K5614" s="2" t="s">
        <v>10196</v>
      </c>
    </row>
    <row r="5615" ht="15.75" customHeight="1">
      <c r="A5615" s="2">
        <v>16013.0</v>
      </c>
      <c r="B5615" s="2" t="s">
        <v>11178</v>
      </c>
      <c r="C5615" s="2" t="s">
        <v>11179</v>
      </c>
      <c r="D5615" s="2" t="s">
        <v>11180</v>
      </c>
      <c r="E5615" s="2" t="s">
        <v>20</v>
      </c>
      <c r="F5615" s="2">
        <v>8.0</v>
      </c>
      <c r="G5615" s="2">
        <v>183.0</v>
      </c>
      <c r="H5615" s="3" t="str">
        <f>HYPERLINK("http://ar.linkedin.com/pub/dami%C3%A1n-miquitiansky/12/749/1BA","http://ar.linkedin.com/pub/dami%C3%A1n-miquitiansky/12/749/1BA")</f>
        <v>http://ar.linkedin.com/pub/dami%C3%A1n-miquitiansky/12/749/1BA</v>
      </c>
      <c r="I5615" s="2" t="s">
        <v>15</v>
      </c>
      <c r="J5615" s="2" t="s">
        <v>21</v>
      </c>
      <c r="K5615" s="2" t="s">
        <v>10196</v>
      </c>
    </row>
    <row r="5616" ht="15.75" customHeight="1">
      <c r="A5616" s="2">
        <v>16020.0</v>
      </c>
      <c r="B5616" s="2" t="s">
        <v>511</v>
      </c>
      <c r="C5616" s="2" t="s">
        <v>11181</v>
      </c>
      <c r="D5616" s="2" t="s">
        <v>11182</v>
      </c>
      <c r="E5616" s="2" t="s">
        <v>20</v>
      </c>
      <c r="F5616" s="2">
        <v>11.0</v>
      </c>
      <c r="G5616" s="2">
        <v>388.0</v>
      </c>
      <c r="H5616" s="3" t="str">
        <f>HYPERLINK("http://ar.linkedin.com/pub/mike-hauber/5/2B3/923","http://ar.linkedin.com/pub/mike-hauber/5/2B3/923")</f>
        <v>http://ar.linkedin.com/pub/mike-hauber/5/2B3/923</v>
      </c>
      <c r="I5616" s="2" t="s">
        <v>15</v>
      </c>
      <c r="J5616" s="2" t="s">
        <v>21</v>
      </c>
      <c r="K5616" s="2" t="s">
        <v>10180</v>
      </c>
    </row>
    <row r="5617" ht="15.75" customHeight="1">
      <c r="A5617" s="2">
        <v>16028.0</v>
      </c>
      <c r="B5617" s="2" t="s">
        <v>6089</v>
      </c>
      <c r="C5617" s="2" t="s">
        <v>3515</v>
      </c>
      <c r="D5617" s="2" t="s">
        <v>11183</v>
      </c>
      <c r="E5617" s="2" t="s">
        <v>20</v>
      </c>
      <c r="F5617" s="2">
        <v>8.0</v>
      </c>
      <c r="G5617" s="2">
        <v>383.0</v>
      </c>
      <c r="H5617" s="3" t="str">
        <f>HYPERLINK("http://ar.linkedin.com/pub/alicia-thompson/4/958/71A","http://ar.linkedin.com/pub/alicia-thompson/4/958/71A")</f>
        <v>http://ar.linkedin.com/pub/alicia-thompson/4/958/71A</v>
      </c>
      <c r="I5617" s="2" t="s">
        <v>15</v>
      </c>
      <c r="J5617" s="2" t="s">
        <v>21</v>
      </c>
      <c r="K5617" s="2" t="s">
        <v>10196</v>
      </c>
    </row>
    <row r="5618" ht="15.75" customHeight="1">
      <c r="A5618" s="2">
        <v>16070.0</v>
      </c>
      <c r="B5618" s="2" t="s">
        <v>531</v>
      </c>
      <c r="C5618" s="2" t="s">
        <v>11184</v>
      </c>
      <c r="D5618" s="2" t="s">
        <v>13</v>
      </c>
      <c r="E5618" s="2" t="s">
        <v>20</v>
      </c>
      <c r="F5618" s="2">
        <v>5.0</v>
      </c>
      <c r="G5618" s="2">
        <v>291.0</v>
      </c>
      <c r="H5618" s="3" t="str">
        <f>HYPERLINK("http://www.linkedin.com/pub/ruben-muradas/4/512/394","http://www.linkedin.com/pub/ruben-muradas/4/512/394")</f>
        <v>http://www.linkedin.com/pub/ruben-muradas/4/512/394</v>
      </c>
      <c r="I5618" s="2" t="s">
        <v>15</v>
      </c>
      <c r="J5618" s="2" t="s">
        <v>21</v>
      </c>
      <c r="K5618" s="2" t="s">
        <v>11185</v>
      </c>
    </row>
    <row r="5619" ht="15.75" customHeight="1">
      <c r="A5619" s="2">
        <v>16082.0</v>
      </c>
      <c r="B5619" s="2" t="s">
        <v>5078</v>
      </c>
      <c r="C5619" s="2" t="s">
        <v>11186</v>
      </c>
      <c r="D5619" s="2" t="s">
        <v>11187</v>
      </c>
      <c r="E5619" s="2" t="s">
        <v>1190</v>
      </c>
      <c r="F5619" s="2">
        <v>11.0</v>
      </c>
      <c r="G5619" s="2">
        <v>500.0</v>
      </c>
      <c r="H5619" s="3" t="str">
        <f>HYPERLINK("http://ar.linkedin.com/in/diegoklajner","http://ar.linkedin.com/in/diegoklajner")</f>
        <v>http://ar.linkedin.com/in/diegoklajner</v>
      </c>
      <c r="I5619" s="2" t="s">
        <v>77</v>
      </c>
      <c r="J5619" s="2" t="s">
        <v>102</v>
      </c>
      <c r="K5619" s="2" t="s">
        <v>11188</v>
      </c>
    </row>
    <row r="5620" ht="15.75" customHeight="1">
      <c r="A5620" s="2">
        <v>16089.0</v>
      </c>
      <c r="B5620" s="2" t="s">
        <v>6881</v>
      </c>
      <c r="C5620" s="2" t="s">
        <v>11189</v>
      </c>
      <c r="D5620" s="2"/>
      <c r="E5620" s="2" t="s">
        <v>1147</v>
      </c>
      <c r="F5620" s="2">
        <v>3.0</v>
      </c>
      <c r="G5620" s="2">
        <v>190.0</v>
      </c>
      <c r="H5620" s="3" t="str">
        <f>HYPERLINK("http://www.linkedin.com/pub/dolores-davison/0/BB2/7A3","http://www.linkedin.com/pub/dolores-davison/0/BB2/7A3")</f>
        <v>http://www.linkedin.com/pub/dolores-davison/0/BB2/7A3</v>
      </c>
      <c r="I5620" s="2" t="s">
        <v>77</v>
      </c>
      <c r="J5620" s="2" t="s">
        <v>102</v>
      </c>
      <c r="K5620" s="2" t="s">
        <v>10209</v>
      </c>
    </row>
    <row r="5621" ht="15.75" customHeight="1">
      <c r="A5621" s="2">
        <v>16099.0</v>
      </c>
      <c r="B5621" s="2" t="s">
        <v>637</v>
      </c>
      <c r="C5621" s="2" t="s">
        <v>11190</v>
      </c>
      <c r="D5621" s="2" t="s">
        <v>13</v>
      </c>
      <c r="E5621" s="2" t="s">
        <v>20</v>
      </c>
      <c r="F5621" s="2">
        <v>0.0</v>
      </c>
      <c r="G5621" s="2">
        <v>500.0</v>
      </c>
      <c r="H5621" s="3" t="str">
        <f>HYPERLINK("http://www.linkedin.com/pub/leonardo-gannio/b/a04/245","http://www.linkedin.com/pub/leonardo-gannio/b/a04/245")</f>
        <v>http://www.linkedin.com/pub/leonardo-gannio/b/a04/245</v>
      </c>
      <c r="I5621" s="2" t="s">
        <v>15</v>
      </c>
      <c r="J5621" s="2" t="s">
        <v>21</v>
      </c>
      <c r="K5621" s="2" t="s">
        <v>10224</v>
      </c>
    </row>
    <row r="5622" ht="15.75" customHeight="1">
      <c r="A5622" s="2">
        <v>16103.0</v>
      </c>
      <c r="B5622" s="2" t="s">
        <v>11191</v>
      </c>
      <c r="C5622" s="2" t="s">
        <v>11192</v>
      </c>
      <c r="D5622" s="2" t="s">
        <v>11193</v>
      </c>
      <c r="E5622" s="2" t="s">
        <v>20</v>
      </c>
      <c r="F5622" s="2">
        <v>4.0</v>
      </c>
      <c r="G5622" s="2">
        <v>105.0</v>
      </c>
      <c r="H5622" s="3" t="str">
        <f>HYPERLINK("http://ar.linkedin.com/in/danielhulej","http://ar.linkedin.com/in/danielhulej")</f>
        <v>http://ar.linkedin.com/in/danielhulej</v>
      </c>
      <c r="I5622" s="2" t="s">
        <v>15</v>
      </c>
      <c r="J5622" s="2" t="s">
        <v>21</v>
      </c>
      <c r="K5622" s="2" t="s">
        <v>10196</v>
      </c>
    </row>
    <row r="5623" ht="15.75" customHeight="1">
      <c r="A5623" s="2">
        <v>16132.0</v>
      </c>
      <c r="B5623" s="2" t="s">
        <v>329</v>
      </c>
      <c r="C5623" s="2" t="s">
        <v>11194</v>
      </c>
      <c r="D5623" s="2" t="s">
        <v>11195</v>
      </c>
      <c r="E5623" s="2" t="s">
        <v>20</v>
      </c>
      <c r="F5623" s="2">
        <v>3.0</v>
      </c>
      <c r="G5623" s="2">
        <v>492.0</v>
      </c>
      <c r="H5623" s="3" t="str">
        <f>HYPERLINK("http://ar.linkedin.com/pub/juan-pablo-brsicioli/4/737/5A","http://ar.linkedin.com/pub/juan-pablo-brsicioli/4/737/5A")</f>
        <v>http://ar.linkedin.com/pub/juan-pablo-brsicioli/4/737/5A</v>
      </c>
      <c r="I5623" s="2" t="s">
        <v>48</v>
      </c>
      <c r="J5623" s="2" t="s">
        <v>21</v>
      </c>
      <c r="K5623" s="2" t="s">
        <v>11196</v>
      </c>
    </row>
    <row r="5624" ht="15.75" customHeight="1">
      <c r="A5624" s="2">
        <v>16142.0</v>
      </c>
      <c r="B5624" s="2" t="s">
        <v>492</v>
      </c>
      <c r="C5624" s="2" t="s">
        <v>11197</v>
      </c>
      <c r="D5624" s="2" t="s">
        <v>13</v>
      </c>
      <c r="E5624" s="2" t="s">
        <v>20</v>
      </c>
      <c r="F5624" s="2">
        <v>4.0</v>
      </c>
      <c r="G5624" s="2">
        <v>134.0</v>
      </c>
      <c r="H5624" s="3" t="str">
        <f>HYPERLINK("http://www.linkedin.com/pub/sergio-broner/23/163/5b6","http://www.linkedin.com/pub/sergio-broner/23/163/5b6")</f>
        <v>http://www.linkedin.com/pub/sergio-broner/23/163/5b6</v>
      </c>
      <c r="I5624" s="2" t="s">
        <v>15</v>
      </c>
      <c r="J5624" s="2" t="s">
        <v>21</v>
      </c>
      <c r="K5624" s="2" t="s">
        <v>10196</v>
      </c>
    </row>
    <row r="5625" ht="15.75" customHeight="1">
      <c r="A5625" s="2">
        <v>16145.0</v>
      </c>
      <c r="B5625" s="2" t="s">
        <v>11198</v>
      </c>
      <c r="C5625" s="2" t="s">
        <v>11199</v>
      </c>
      <c r="D5625" s="2" t="s">
        <v>11200</v>
      </c>
      <c r="E5625" s="2" t="s">
        <v>20</v>
      </c>
      <c r="F5625" s="2">
        <v>12.0</v>
      </c>
      <c r="G5625" s="2">
        <v>500.0</v>
      </c>
      <c r="H5625" s="3" t="str">
        <f>HYPERLINK("http://ar.linkedin.com/in/klpr25","http://ar.linkedin.com/in/klpr25")</f>
        <v>http://ar.linkedin.com/in/klpr25</v>
      </c>
      <c r="I5625" s="2" t="s">
        <v>15</v>
      </c>
      <c r="J5625" s="2" t="s">
        <v>21</v>
      </c>
      <c r="K5625" s="2" t="s">
        <v>10178</v>
      </c>
    </row>
    <row r="5626" ht="15.75" customHeight="1">
      <c r="A5626" s="2">
        <v>16173.0</v>
      </c>
      <c r="B5626" s="2" t="s">
        <v>506</v>
      </c>
      <c r="C5626" s="2" t="s">
        <v>11201</v>
      </c>
      <c r="D5626" s="2"/>
      <c r="E5626" s="2" t="s">
        <v>914</v>
      </c>
      <c r="F5626" s="2">
        <v>0.0</v>
      </c>
      <c r="G5626" s="2">
        <v>203.0</v>
      </c>
      <c r="H5626" s="3" t="str">
        <f>HYPERLINK("http://www.linkedin.com/pub/jose-cruz/0/725/776","http://www.linkedin.com/pub/jose-cruz/0/725/776")</f>
        <v>http://www.linkedin.com/pub/jose-cruz/0/725/776</v>
      </c>
      <c r="I5626" s="2" t="s">
        <v>15</v>
      </c>
      <c r="J5626" s="2" t="s">
        <v>102</v>
      </c>
      <c r="K5626" s="2" t="s">
        <v>10184</v>
      </c>
    </row>
    <row r="5627" ht="15.75" customHeight="1">
      <c r="A5627" s="2">
        <v>16207.0</v>
      </c>
      <c r="B5627" s="2" t="s">
        <v>371</v>
      </c>
      <c r="C5627" s="2" t="s">
        <v>11202</v>
      </c>
      <c r="D5627" s="2" t="s">
        <v>13</v>
      </c>
      <c r="E5627" s="2" t="s">
        <v>20</v>
      </c>
      <c r="F5627" s="2">
        <v>0.0</v>
      </c>
      <c r="G5627" s="2">
        <v>500.0</v>
      </c>
      <c r="H5627" s="3" t="str">
        <f>HYPERLINK("http://www.linkedin.com/pub/cristina-fernandez-de-kirchner/1b/bb1/396?trk=pub-pbmap","http://www.linkedin.com/pub/cristina-fernandez-de-kirchner/1b/bb1/396?trk=pub-pbmap")</f>
        <v>http://www.linkedin.com/pub/cristina-fernandez-de-kirchner/1b/bb1/396?trk=pub-pbmap</v>
      </c>
      <c r="I5627" s="2" t="s">
        <v>2603</v>
      </c>
      <c r="J5627" s="2" t="s">
        <v>21</v>
      </c>
      <c r="K5627" s="2" t="s">
        <v>10178</v>
      </c>
    </row>
    <row r="5628" ht="15.75" customHeight="1">
      <c r="A5628" s="2">
        <v>16237.0</v>
      </c>
      <c r="B5628" s="2" t="s">
        <v>6417</v>
      </c>
      <c r="C5628" s="2" t="s">
        <v>11203</v>
      </c>
      <c r="D5628" s="2" t="s">
        <v>11204</v>
      </c>
      <c r="E5628" s="2" t="s">
        <v>20</v>
      </c>
      <c r="F5628" s="2">
        <v>2.0</v>
      </c>
      <c r="G5628" s="2">
        <v>122.0</v>
      </c>
      <c r="H5628" s="3" t="str">
        <f>HYPERLINK("http://ar.linkedin.com/in/gonzalocampuris","http://ar.linkedin.com/in/gonzalocampuris")</f>
        <v>http://ar.linkedin.com/in/gonzalocampuris</v>
      </c>
      <c r="I5628" s="2" t="s">
        <v>48</v>
      </c>
      <c r="J5628" s="2" t="s">
        <v>21</v>
      </c>
      <c r="K5628" s="2" t="s">
        <v>10180</v>
      </c>
    </row>
    <row r="5629" ht="15.75" customHeight="1">
      <c r="A5629" s="2">
        <v>16238.0</v>
      </c>
      <c r="B5629" s="2" t="s">
        <v>287</v>
      </c>
      <c r="C5629" s="2" t="s">
        <v>11205</v>
      </c>
      <c r="D5629" s="2" t="s">
        <v>13</v>
      </c>
      <c r="E5629" s="2" t="s">
        <v>181</v>
      </c>
      <c r="F5629" s="2">
        <v>0.0</v>
      </c>
      <c r="G5629" s="2">
        <v>352.0</v>
      </c>
      <c r="H5629" s="3" t="str">
        <f>HYPERLINK("http://www.linkedin.com/pub/paul-collica-pmp%C2%AE/4/324/923","http://www.linkedin.com/pub/paul-collica-pmp%C2%AE/4/324/923")</f>
        <v>http://www.linkedin.com/pub/paul-collica-pmp%C2%AE/4/324/923</v>
      </c>
      <c r="I5629" s="2" t="s">
        <v>15</v>
      </c>
      <c r="J5629" s="2" t="s">
        <v>102</v>
      </c>
      <c r="K5629" s="2" t="s">
        <v>10224</v>
      </c>
    </row>
    <row r="5630" ht="15.75" customHeight="1">
      <c r="A5630" s="2">
        <v>16239.0</v>
      </c>
      <c r="B5630" s="2" t="s">
        <v>784</v>
      </c>
      <c r="C5630" s="2" t="s">
        <v>1456</v>
      </c>
      <c r="D5630" s="2" t="s">
        <v>13</v>
      </c>
      <c r="E5630" s="2" t="s">
        <v>3005</v>
      </c>
      <c r="F5630" s="2">
        <v>0.0</v>
      </c>
      <c r="G5630" s="2">
        <v>97.0</v>
      </c>
      <c r="H5630" s="3" t="str">
        <f>HYPERLINK("http://www.linkedin.com/pub/jeff-anderson/9/B49/156","http://www.linkedin.com/pub/jeff-anderson/9/B49/156")</f>
        <v>http://www.linkedin.com/pub/jeff-anderson/9/B49/156</v>
      </c>
      <c r="I5630" s="2" t="s">
        <v>15</v>
      </c>
      <c r="J5630" s="2" t="s">
        <v>102</v>
      </c>
      <c r="K5630" s="2" t="s">
        <v>10233</v>
      </c>
    </row>
    <row r="5631" ht="15.75" customHeight="1">
      <c r="A5631" s="2">
        <v>16243.0</v>
      </c>
      <c r="B5631" s="2" t="s">
        <v>845</v>
      </c>
      <c r="C5631" s="2" t="s">
        <v>189</v>
      </c>
      <c r="D5631" s="2" t="s">
        <v>5767</v>
      </c>
      <c r="E5631" s="2" t="s">
        <v>3516</v>
      </c>
      <c r="F5631" s="2">
        <v>0.0</v>
      </c>
      <c r="G5631" s="2">
        <v>122.0</v>
      </c>
      <c r="H5631" s="3" t="str">
        <f>HYPERLINK("http://www.linkedin.com/pub/david-dean/1/27/B98","http://www.linkedin.com/pub/david-dean/1/27/B98")</f>
        <v>http://www.linkedin.com/pub/david-dean/1/27/B98</v>
      </c>
      <c r="I5631" s="2" t="s">
        <v>15</v>
      </c>
      <c r="J5631" s="2" t="s">
        <v>102</v>
      </c>
      <c r="K5631" s="2" t="s">
        <v>10184</v>
      </c>
    </row>
    <row r="5632" ht="15.75" customHeight="1">
      <c r="A5632" s="2">
        <v>16246.0</v>
      </c>
      <c r="B5632" s="2" t="s">
        <v>11206</v>
      </c>
      <c r="C5632" s="2" t="s">
        <v>1340</v>
      </c>
      <c r="D5632" s="2" t="s">
        <v>11207</v>
      </c>
      <c r="E5632" s="2" t="s">
        <v>214</v>
      </c>
      <c r="F5632" s="2">
        <v>6.0</v>
      </c>
      <c r="G5632" s="2">
        <v>458.0</v>
      </c>
      <c r="H5632" s="3" t="str">
        <f>HYPERLINK("http://www.linkedin.com/in/sundarman","http://www.linkedin.com/in/sundarman")</f>
        <v>http://www.linkedin.com/in/sundarman</v>
      </c>
      <c r="I5632" s="2" t="s">
        <v>105</v>
      </c>
      <c r="J5632" s="2" t="s">
        <v>102</v>
      </c>
      <c r="K5632" s="2" t="s">
        <v>10206</v>
      </c>
    </row>
    <row r="5633" ht="15.75" customHeight="1">
      <c r="A5633" s="2">
        <v>16251.0</v>
      </c>
      <c r="B5633" s="2" t="s">
        <v>341</v>
      </c>
      <c r="C5633" s="2" t="s">
        <v>11208</v>
      </c>
      <c r="D5633" s="2" t="s">
        <v>347</v>
      </c>
      <c r="E5633" s="2" t="s">
        <v>11209</v>
      </c>
      <c r="F5633" s="2" t="s">
        <v>13</v>
      </c>
      <c r="G5633" s="2">
        <v>152.0</v>
      </c>
      <c r="H5633" s="3" t="str">
        <f>HYPERLINK("http://www.linkedin.com/pub/kevin-scully/4/B53/772","http://www.linkedin.com/pub/kevin-scully/4/B53/772")</f>
        <v>http://www.linkedin.com/pub/kevin-scully/4/B53/772</v>
      </c>
      <c r="I5633" s="2" t="s">
        <v>15</v>
      </c>
      <c r="J5633" s="2" t="s">
        <v>102</v>
      </c>
      <c r="K5633" s="2" t="s">
        <v>10286</v>
      </c>
    </row>
    <row r="5634" ht="15.75" customHeight="1">
      <c r="A5634" s="2">
        <v>16280.0</v>
      </c>
      <c r="B5634" s="2" t="s">
        <v>11210</v>
      </c>
      <c r="C5634" s="2" t="s">
        <v>11211</v>
      </c>
      <c r="D5634" s="2" t="s">
        <v>13</v>
      </c>
      <c r="E5634" s="2" t="s">
        <v>20</v>
      </c>
      <c r="F5634" s="2">
        <v>0.0</v>
      </c>
      <c r="G5634" s="2">
        <v>500.0</v>
      </c>
      <c r="H5634" s="3" t="str">
        <f>HYPERLINK("http://www.linkedin.com/pub/osvaldo-moffa/3/871/522","http://www.linkedin.com/pub/osvaldo-moffa/3/871/522")</f>
        <v>http://www.linkedin.com/pub/osvaldo-moffa/3/871/522</v>
      </c>
      <c r="I5634" s="2" t="s">
        <v>15</v>
      </c>
      <c r="J5634" s="2" t="s">
        <v>21</v>
      </c>
      <c r="K5634" s="2" t="s">
        <v>10173</v>
      </c>
    </row>
    <row r="5635" ht="15.75" customHeight="1">
      <c r="A5635" s="2">
        <v>16286.0</v>
      </c>
      <c r="B5635" s="2" t="s">
        <v>3165</v>
      </c>
      <c r="C5635" s="2" t="s">
        <v>11212</v>
      </c>
      <c r="D5635" s="2" t="s">
        <v>11213</v>
      </c>
      <c r="E5635" s="2" t="s">
        <v>20</v>
      </c>
      <c r="F5635" s="2">
        <v>4.0</v>
      </c>
      <c r="G5635" s="2">
        <v>255.0</v>
      </c>
      <c r="H5635" s="3" t="str">
        <f>HYPERLINK("http://ar.linkedin.com/pub/luciana-ramos-ducos/A/35/884","http://ar.linkedin.com/pub/luciana-ramos-ducos/A/35/884")</f>
        <v>http://ar.linkedin.com/pub/luciana-ramos-ducos/A/35/884</v>
      </c>
      <c r="I5635" s="2" t="s">
        <v>15</v>
      </c>
      <c r="J5635" s="2" t="s">
        <v>21</v>
      </c>
      <c r="K5635" s="2" t="s">
        <v>10196</v>
      </c>
    </row>
    <row r="5636" ht="15.75" customHeight="1">
      <c r="A5636" s="2">
        <v>16293.0</v>
      </c>
      <c r="B5636" s="2" t="s">
        <v>45</v>
      </c>
      <c r="C5636" s="2" t="s">
        <v>11214</v>
      </c>
      <c r="D5636" s="2" t="s">
        <v>11177</v>
      </c>
      <c r="E5636" s="2" t="s">
        <v>20</v>
      </c>
      <c r="F5636" s="2">
        <v>4.0</v>
      </c>
      <c r="G5636" s="2">
        <v>333.0</v>
      </c>
      <c r="H5636" s="3" t="str">
        <f>HYPERLINK("http://ar.linkedin.com/in/cvergine","http://ar.linkedin.com/in/cvergine")</f>
        <v>http://ar.linkedin.com/in/cvergine</v>
      </c>
      <c r="I5636" s="2" t="s">
        <v>15</v>
      </c>
      <c r="J5636" s="2" t="s">
        <v>21</v>
      </c>
      <c r="K5636" s="2" t="s">
        <v>10196</v>
      </c>
    </row>
    <row r="5637" ht="15.75" customHeight="1">
      <c r="A5637" s="2">
        <v>16306.0</v>
      </c>
      <c r="B5637" s="2" t="s">
        <v>3299</v>
      </c>
      <c r="C5637" s="2" t="s">
        <v>9961</v>
      </c>
      <c r="D5637" s="2" t="s">
        <v>11215</v>
      </c>
      <c r="E5637" s="2" t="s">
        <v>301</v>
      </c>
      <c r="F5637" s="2">
        <v>6.0</v>
      </c>
      <c r="G5637" s="2">
        <v>352.0</v>
      </c>
      <c r="H5637" s="3" t="str">
        <f>HYPERLINK("http://www.linkedin.com/in/fabiansantillan","http://www.linkedin.com/in/fabiansantillan")</f>
        <v>http://www.linkedin.com/in/fabiansantillan</v>
      </c>
      <c r="I5637" s="2" t="s">
        <v>326</v>
      </c>
      <c r="J5637" s="2" t="s">
        <v>102</v>
      </c>
      <c r="K5637" s="2" t="s">
        <v>10206</v>
      </c>
    </row>
    <row r="5638" ht="15.75" customHeight="1">
      <c r="A5638" s="2">
        <v>16319.0</v>
      </c>
      <c r="B5638" s="2" t="s">
        <v>7598</v>
      </c>
      <c r="C5638" s="2" t="s">
        <v>11216</v>
      </c>
      <c r="D5638" s="2" t="s">
        <v>13</v>
      </c>
      <c r="E5638" s="2" t="s">
        <v>20</v>
      </c>
      <c r="F5638" s="2">
        <v>0.0</v>
      </c>
      <c r="G5638" s="2">
        <v>500.0</v>
      </c>
      <c r="H5638" s="3" t="str">
        <f>HYPERLINK("http://www.linkedin.com/pub/ver%C3%B3nica-llames-massini/7/2a4/5a2","http://www.linkedin.com/pub/ver%C3%B3nica-llames-massini/7/2a4/5a2")</f>
        <v>http://www.linkedin.com/pub/ver%C3%B3nica-llames-massini/7/2a4/5a2</v>
      </c>
      <c r="I5638" s="2" t="s">
        <v>15</v>
      </c>
      <c r="J5638" s="2" t="s">
        <v>21</v>
      </c>
      <c r="K5638" s="2" t="s">
        <v>10173</v>
      </c>
    </row>
    <row r="5639" ht="15.75" customHeight="1">
      <c r="A5639" s="2">
        <v>16324.0</v>
      </c>
      <c r="B5639" s="2" t="s">
        <v>11217</v>
      </c>
      <c r="C5639" s="2" t="s">
        <v>11218</v>
      </c>
      <c r="D5639" s="2" t="s">
        <v>13</v>
      </c>
      <c r="E5639" s="2" t="s">
        <v>1190</v>
      </c>
      <c r="F5639" s="2">
        <v>0.0</v>
      </c>
      <c r="G5639" s="2">
        <v>500.0</v>
      </c>
      <c r="H5639" s="3" t="str">
        <f>HYPERLINK("http://www.linkedin.com/in/eduardohauser","http://www.linkedin.com/in/eduardohauser")</f>
        <v>http://www.linkedin.com/in/eduardohauser</v>
      </c>
      <c r="I5639" s="2" t="s">
        <v>326</v>
      </c>
      <c r="J5639" s="2" t="s">
        <v>102</v>
      </c>
      <c r="K5639" s="2" t="s">
        <v>11219</v>
      </c>
    </row>
    <row r="5640" ht="15.75" customHeight="1">
      <c r="A5640" s="2">
        <v>16337.0</v>
      </c>
      <c r="B5640" s="2" t="s">
        <v>721</v>
      </c>
      <c r="C5640" s="2" t="s">
        <v>11220</v>
      </c>
      <c r="D5640" s="2"/>
      <c r="E5640" s="2" t="s">
        <v>136</v>
      </c>
      <c r="F5640" s="2">
        <v>9.0</v>
      </c>
      <c r="G5640" s="2">
        <v>500.0</v>
      </c>
      <c r="H5640" s="3" t="str">
        <f>HYPERLINK("http://www.linkedin.com/in/andrewburgert","http://www.linkedin.com/in/andrewburgert")</f>
        <v>http://www.linkedin.com/in/andrewburgert</v>
      </c>
      <c r="I5640" s="2" t="s">
        <v>15</v>
      </c>
      <c r="J5640" s="2" t="s">
        <v>102</v>
      </c>
      <c r="K5640" s="2" t="s">
        <v>10184</v>
      </c>
    </row>
    <row r="5641" ht="15.75" customHeight="1">
      <c r="A5641" s="2">
        <v>16338.0</v>
      </c>
      <c r="B5641" s="2" t="s">
        <v>11221</v>
      </c>
      <c r="C5641" s="2" t="s">
        <v>11222</v>
      </c>
      <c r="D5641" s="2" t="s">
        <v>13</v>
      </c>
      <c r="E5641" s="2" t="s">
        <v>701</v>
      </c>
      <c r="F5641" s="2">
        <v>4.0</v>
      </c>
      <c r="G5641" s="2">
        <v>500.0</v>
      </c>
      <c r="H5641" s="3" t="str">
        <f>HYPERLINK("http://www.linkedin.com/pub/c-ignacio-fern%C3%A1ndez-espada/14/a0a/132","http://www.linkedin.com/pub/c-ignacio-fern%C3%A1ndez-espada/14/a0a/132")</f>
        <v>http://www.linkedin.com/pub/c-ignacio-fern%C3%A1ndez-espada/14/a0a/132</v>
      </c>
      <c r="I5641" s="2" t="s">
        <v>15</v>
      </c>
      <c r="J5641" s="2" t="s">
        <v>702</v>
      </c>
      <c r="K5641" s="2" t="s">
        <v>10178</v>
      </c>
    </row>
    <row r="5642" ht="15.75" customHeight="1">
      <c r="A5642" s="2">
        <v>16341.0</v>
      </c>
      <c r="B5642" s="2" t="s">
        <v>6417</v>
      </c>
      <c r="C5642" s="2" t="s">
        <v>11223</v>
      </c>
      <c r="D5642" s="2" t="s">
        <v>13</v>
      </c>
      <c r="E5642" s="2" t="s">
        <v>20</v>
      </c>
      <c r="F5642" s="2">
        <v>0.0</v>
      </c>
      <c r="G5642" s="2">
        <v>468.0</v>
      </c>
      <c r="H5642" s="3" t="str">
        <f>HYPERLINK("http://www.linkedin.com/pub/gonzalo-garcia-morales/30/4b8/4bb","http://www.linkedin.com/pub/gonzalo-garcia-morales/30/4b8/4bb")</f>
        <v>http://www.linkedin.com/pub/gonzalo-garcia-morales/30/4b8/4bb</v>
      </c>
      <c r="I5642" s="2" t="s">
        <v>15</v>
      </c>
      <c r="J5642" s="2" t="s">
        <v>21</v>
      </c>
      <c r="K5642" s="2" t="s">
        <v>10206</v>
      </c>
    </row>
    <row r="5643" ht="15.75" customHeight="1">
      <c r="A5643" s="2">
        <v>16351.0</v>
      </c>
      <c r="B5643" s="2" t="s">
        <v>5803</v>
      </c>
      <c r="C5643" s="2" t="s">
        <v>11224</v>
      </c>
      <c r="D5643" s="2" t="s">
        <v>42</v>
      </c>
      <c r="E5643" s="2" t="s">
        <v>20</v>
      </c>
      <c r="F5643" s="2">
        <v>17.0</v>
      </c>
      <c r="G5643" s="2">
        <v>500.0</v>
      </c>
      <c r="H5643" s="3" t="str">
        <f>HYPERLINK("http://ar.linkedin.com/in/marianoliceaga","http://ar.linkedin.com/in/marianoliceaga")</f>
        <v>http://ar.linkedin.com/in/marianoliceaga</v>
      </c>
      <c r="I5643" s="2" t="s">
        <v>15</v>
      </c>
      <c r="J5643" s="2" t="s">
        <v>21</v>
      </c>
      <c r="K5643" s="2" t="s">
        <v>10196</v>
      </c>
    </row>
    <row r="5644" ht="15.75" customHeight="1">
      <c r="A5644" s="2">
        <v>16435.0</v>
      </c>
      <c r="B5644" s="2" t="s">
        <v>5803</v>
      </c>
      <c r="C5644" s="2" t="s">
        <v>11225</v>
      </c>
      <c r="D5644" s="2" t="s">
        <v>400</v>
      </c>
      <c r="E5644" s="2" t="s">
        <v>20</v>
      </c>
      <c r="F5644" s="2">
        <v>8.0</v>
      </c>
      <c r="G5644" s="2">
        <v>383.0</v>
      </c>
      <c r="H5644" s="3" t="str">
        <f>HYPERLINK("http://www.linkedin.com/in/vakgraun","http://www.linkedin.com/in/vakgraun")</f>
        <v>http://www.linkedin.com/in/vakgraun</v>
      </c>
      <c r="I5644" s="2" t="s">
        <v>69</v>
      </c>
      <c r="J5644" s="2" t="s">
        <v>21</v>
      </c>
      <c r="K5644" s="2" t="s">
        <v>10482</v>
      </c>
    </row>
    <row r="5645" ht="15.75" customHeight="1">
      <c r="A5645" s="2">
        <v>16444.0</v>
      </c>
      <c r="B5645" s="2" t="s">
        <v>287</v>
      </c>
      <c r="C5645" s="2" t="s">
        <v>2194</v>
      </c>
      <c r="D5645" s="2"/>
      <c r="E5645" s="2" t="s">
        <v>1041</v>
      </c>
      <c r="F5645" s="2">
        <v>4.0</v>
      </c>
      <c r="G5645" s="2">
        <v>328.0</v>
      </c>
      <c r="H5645" s="3" t="str">
        <f>HYPERLINK("http://www.linkedin.com/pub/paul-robinson/0/960/532","http://www.linkedin.com/pub/paul-robinson/0/960/532")</f>
        <v>http://www.linkedin.com/pub/paul-robinson/0/960/532</v>
      </c>
      <c r="I5645" s="2" t="s">
        <v>696</v>
      </c>
      <c r="J5645" s="2" t="s">
        <v>102</v>
      </c>
      <c r="K5645" s="2" t="s">
        <v>10209</v>
      </c>
    </row>
    <row r="5646" ht="15.75" customHeight="1">
      <c r="A5646" s="2">
        <v>16445.0</v>
      </c>
      <c r="B5646" s="2" t="s">
        <v>460</v>
      </c>
      <c r="C5646" s="2" t="s">
        <v>11226</v>
      </c>
      <c r="D5646" s="2" t="s">
        <v>385</v>
      </c>
      <c r="E5646" s="2" t="s">
        <v>1041</v>
      </c>
      <c r="F5646" s="2">
        <v>1.0</v>
      </c>
      <c r="G5646" s="2">
        <v>228.0</v>
      </c>
      <c r="H5646" s="3" t="str">
        <f>HYPERLINK("http://www.linkedin.com/pub/john-reel/3/A66/924","http://www.linkedin.com/pub/john-reel/3/A66/924")</f>
        <v>http://www.linkedin.com/pub/john-reel/3/A66/924</v>
      </c>
      <c r="I5646" s="2" t="s">
        <v>48</v>
      </c>
      <c r="J5646" s="2" t="s">
        <v>102</v>
      </c>
      <c r="K5646" s="2" t="s">
        <v>10233</v>
      </c>
    </row>
    <row r="5647" ht="15.75" customHeight="1">
      <c r="A5647" s="2">
        <v>16446.0</v>
      </c>
      <c r="B5647" s="2" t="s">
        <v>291</v>
      </c>
      <c r="C5647" s="2" t="s">
        <v>11227</v>
      </c>
      <c r="D5647" s="2" t="s">
        <v>6137</v>
      </c>
      <c r="E5647" s="2" t="s">
        <v>1041</v>
      </c>
      <c r="F5647" s="2">
        <v>0.0</v>
      </c>
      <c r="G5647" s="2">
        <v>47.0</v>
      </c>
      <c r="H5647" s="3" t="str">
        <f>HYPERLINK("http://www.linkedin.com/pub/gary-eliot/B/466/B53","http://www.linkedin.com/pub/gary-eliot/B/466/B53")</f>
        <v>http://www.linkedin.com/pub/gary-eliot/B/466/B53</v>
      </c>
      <c r="I5647" s="2" t="s">
        <v>15</v>
      </c>
      <c r="J5647" s="2" t="s">
        <v>102</v>
      </c>
      <c r="K5647" s="2" t="s">
        <v>10233</v>
      </c>
    </row>
    <row r="5648" ht="15.75" customHeight="1">
      <c r="A5648" s="2">
        <v>16447.0</v>
      </c>
      <c r="B5648" s="2" t="s">
        <v>2752</v>
      </c>
      <c r="C5648" s="2" t="s">
        <v>11228</v>
      </c>
      <c r="D5648" s="2"/>
      <c r="E5648" s="2" t="s">
        <v>4407</v>
      </c>
      <c r="F5648" s="2">
        <v>0.0</v>
      </c>
      <c r="G5648" s="2">
        <v>94.0</v>
      </c>
      <c r="H5648" s="3" t="str">
        <f>HYPERLINK("http://www.linkedin.com/pub/craig-tripp/0/191/351","http://www.linkedin.com/pub/craig-tripp/0/191/351")</f>
        <v>http://www.linkedin.com/pub/craig-tripp/0/191/351</v>
      </c>
      <c r="I5648" s="2" t="s">
        <v>15</v>
      </c>
      <c r="J5648" s="2" t="s">
        <v>102</v>
      </c>
      <c r="K5648" s="2" t="s">
        <v>10184</v>
      </c>
    </row>
    <row r="5649" ht="15.75" customHeight="1">
      <c r="A5649" s="2">
        <v>16449.0</v>
      </c>
      <c r="B5649" s="2" t="s">
        <v>1437</v>
      </c>
      <c r="C5649" s="2" t="s">
        <v>11229</v>
      </c>
      <c r="D5649" s="2" t="s">
        <v>11230</v>
      </c>
      <c r="E5649" s="2" t="s">
        <v>1041</v>
      </c>
      <c r="F5649" s="2">
        <v>0.0</v>
      </c>
      <c r="G5649" s="2">
        <v>88.0</v>
      </c>
      <c r="H5649" s="3" t="str">
        <f>HYPERLINK("http://www.linkedin.com/pub/al-kadhim/16/607/241","http://www.linkedin.com/pub/al-kadhim/16/607/241")</f>
        <v>http://www.linkedin.com/pub/al-kadhim/16/607/241</v>
      </c>
      <c r="I5649" s="2" t="s">
        <v>15</v>
      </c>
      <c r="J5649" s="2" t="s">
        <v>102</v>
      </c>
      <c r="K5649" s="2" t="s">
        <v>10233</v>
      </c>
    </row>
    <row r="5650" ht="15.75" customHeight="1">
      <c r="A5650" s="2">
        <v>16450.0</v>
      </c>
      <c r="B5650" s="2" t="s">
        <v>4677</v>
      </c>
      <c r="C5650" s="2" t="s">
        <v>11231</v>
      </c>
      <c r="D5650" s="2" t="s">
        <v>11232</v>
      </c>
      <c r="E5650" s="2" t="s">
        <v>1041</v>
      </c>
      <c r="F5650" s="2">
        <v>1.0</v>
      </c>
      <c r="G5650" s="2">
        <v>221.0</v>
      </c>
      <c r="H5650" s="3" t="str">
        <f>HYPERLINK("http://www.linkedin.com/in/phwetsel","http://www.linkedin.com/in/phwetsel")</f>
        <v>http://www.linkedin.com/in/phwetsel</v>
      </c>
      <c r="I5650" s="2" t="s">
        <v>119</v>
      </c>
      <c r="J5650" s="2" t="s">
        <v>102</v>
      </c>
      <c r="K5650" s="2" t="s">
        <v>10394</v>
      </c>
    </row>
    <row r="5651" ht="15.75" customHeight="1">
      <c r="A5651" s="2">
        <v>16462.0</v>
      </c>
      <c r="B5651" s="2" t="s">
        <v>523</v>
      </c>
      <c r="C5651" s="2" t="s">
        <v>11233</v>
      </c>
      <c r="D5651" s="2" t="s">
        <v>13</v>
      </c>
      <c r="E5651" s="2" t="s">
        <v>20</v>
      </c>
      <c r="F5651" s="2">
        <v>3.0</v>
      </c>
      <c r="G5651" s="2">
        <v>500.0</v>
      </c>
      <c r="H5651" s="3" t="str">
        <f>HYPERLINK("http://www.linkedin.com/pub/ignacio-guardines/3/b06/b95","http://www.linkedin.com/pub/ignacio-guardines/3/b06/b95")</f>
        <v>http://www.linkedin.com/pub/ignacio-guardines/3/b06/b95</v>
      </c>
      <c r="I5651" s="2" t="s">
        <v>48</v>
      </c>
      <c r="J5651" s="2" t="s">
        <v>21</v>
      </c>
      <c r="K5651" s="2" t="s">
        <v>10173</v>
      </c>
    </row>
    <row r="5652" ht="15.75" customHeight="1">
      <c r="A5652" s="2">
        <v>16464.0</v>
      </c>
      <c r="B5652" s="2" t="s">
        <v>70</v>
      </c>
      <c r="C5652" s="2" t="s">
        <v>9491</v>
      </c>
      <c r="D5652" s="2" t="s">
        <v>11234</v>
      </c>
      <c r="E5652" s="2" t="s">
        <v>20</v>
      </c>
      <c r="F5652" s="2">
        <v>3.0</v>
      </c>
      <c r="G5652" s="2">
        <v>227.0</v>
      </c>
      <c r="H5652" s="3" t="str">
        <f>HYPERLINK("http://ar.linkedin.com/in/gbenitez","http://ar.linkedin.com/in/gbenitez")</f>
        <v>http://ar.linkedin.com/in/gbenitez</v>
      </c>
      <c r="I5652" s="2" t="s">
        <v>48</v>
      </c>
      <c r="J5652" s="2" t="s">
        <v>21</v>
      </c>
      <c r="K5652" s="2" t="s">
        <v>10196</v>
      </c>
    </row>
    <row r="5653" ht="15.75" customHeight="1">
      <c r="A5653" s="2">
        <v>16487.0</v>
      </c>
      <c r="B5653" s="2" t="s">
        <v>11235</v>
      </c>
      <c r="C5653" s="2" t="s">
        <v>11236</v>
      </c>
      <c r="D5653" s="2" t="s">
        <v>11237</v>
      </c>
      <c r="E5653" s="2" t="s">
        <v>20</v>
      </c>
      <c r="F5653" s="2">
        <v>47.0</v>
      </c>
      <c r="G5653" s="2">
        <v>500.0</v>
      </c>
      <c r="H5653" s="3" t="str">
        <f>HYPERLINK("http://ar.linkedin.com/in/gabrielcastellano","http://ar.linkedin.com/in/gabrielcastellano")</f>
        <v>http://ar.linkedin.com/in/gabrielcastellano</v>
      </c>
      <c r="I5653" s="2" t="s">
        <v>48</v>
      </c>
      <c r="J5653" s="2" t="s">
        <v>21</v>
      </c>
      <c r="K5653" s="2" t="s">
        <v>10196</v>
      </c>
    </row>
    <row r="5654" ht="15.75" customHeight="1">
      <c r="A5654" s="2">
        <v>16509.0</v>
      </c>
      <c r="B5654" s="2" t="s">
        <v>6219</v>
      </c>
      <c r="C5654" s="2" t="s">
        <v>11238</v>
      </c>
      <c r="D5654" s="2" t="s">
        <v>11239</v>
      </c>
      <c r="E5654" s="2" t="s">
        <v>20</v>
      </c>
      <c r="F5654" s="2">
        <v>9.0</v>
      </c>
      <c r="G5654" s="2">
        <v>442.0</v>
      </c>
      <c r="H5654" s="3" t="str">
        <f>HYPERLINK("http://ar.linkedin.com/pub/hugo-cardozo/5/36B/309","http://ar.linkedin.com/pub/hugo-cardozo/5/36B/309")</f>
        <v>http://ar.linkedin.com/pub/hugo-cardozo/5/36B/309</v>
      </c>
      <c r="I5654" s="2" t="s">
        <v>48</v>
      </c>
      <c r="J5654" s="2" t="s">
        <v>21</v>
      </c>
      <c r="K5654" s="2" t="s">
        <v>10196</v>
      </c>
    </row>
    <row r="5655" ht="15.75" customHeight="1">
      <c r="A5655" s="2">
        <v>16515.0</v>
      </c>
      <c r="B5655" s="2" t="s">
        <v>4855</v>
      </c>
      <c r="C5655" s="2" t="s">
        <v>11240</v>
      </c>
      <c r="D5655" s="2"/>
      <c r="E5655" s="2" t="s">
        <v>1190</v>
      </c>
      <c r="F5655" s="2">
        <v>0.0</v>
      </c>
      <c r="G5655" s="2">
        <v>500.0</v>
      </c>
      <c r="H5655" s="3" t="str">
        <f>HYPERLINK("http://www.linkedin.com/pub/giovanni-cano/0/832/B24","http://www.linkedin.com/pub/giovanni-cano/0/832/B24")</f>
        <v>http://www.linkedin.com/pub/giovanni-cano/0/832/B24</v>
      </c>
      <c r="I5655" s="2" t="s">
        <v>48</v>
      </c>
      <c r="J5655" s="2" t="s">
        <v>102</v>
      </c>
      <c r="K5655" s="2" t="s">
        <v>10184</v>
      </c>
    </row>
    <row r="5656" ht="15.75" customHeight="1">
      <c r="A5656" s="2">
        <v>16538.0</v>
      </c>
      <c r="B5656" s="2" t="s">
        <v>353</v>
      </c>
      <c r="C5656" s="2" t="s">
        <v>11241</v>
      </c>
      <c r="D5656" s="2" t="s">
        <v>11242</v>
      </c>
      <c r="E5656" s="2" t="s">
        <v>20</v>
      </c>
      <c r="F5656" s="2">
        <v>8.0</v>
      </c>
      <c r="G5656" s="2">
        <v>389.0</v>
      </c>
      <c r="H5656" s="3" t="str">
        <f>HYPERLINK("http://ar.linkedin.com/in/alejandromoge","http://ar.linkedin.com/in/alejandromoge")</f>
        <v>http://ar.linkedin.com/in/alejandromoge</v>
      </c>
      <c r="I5656" s="2" t="s">
        <v>15</v>
      </c>
      <c r="J5656" s="2" t="s">
        <v>21</v>
      </c>
      <c r="K5656" s="2" t="s">
        <v>10178</v>
      </c>
    </row>
    <row r="5657" ht="15.75" customHeight="1">
      <c r="A5657" s="2">
        <v>16552.0</v>
      </c>
      <c r="B5657" s="2" t="s">
        <v>774</v>
      </c>
      <c r="C5657" s="2" t="s">
        <v>11243</v>
      </c>
      <c r="D5657" s="2" t="s">
        <v>498</v>
      </c>
      <c r="E5657" s="2" t="s">
        <v>914</v>
      </c>
      <c r="F5657" s="2">
        <v>17.0</v>
      </c>
      <c r="G5657" s="2">
        <v>500.0</v>
      </c>
      <c r="H5657" s="3" t="str">
        <f>HYPERLINK("http://www.linkedin.com/pub/bruce-curling/A/875/794","http://www.linkedin.com/pub/bruce-curling/A/875/794")</f>
        <v>http://www.linkedin.com/pub/bruce-curling/A/875/794</v>
      </c>
      <c r="I5657" s="2" t="s">
        <v>48</v>
      </c>
      <c r="J5657" s="2" t="s">
        <v>102</v>
      </c>
      <c r="K5657" s="2" t="s">
        <v>10233</v>
      </c>
    </row>
    <row r="5658" ht="15.75" customHeight="1">
      <c r="A5658" s="2">
        <v>16554.0</v>
      </c>
      <c r="B5658" s="2" t="s">
        <v>8628</v>
      </c>
      <c r="C5658" s="2" t="s">
        <v>11244</v>
      </c>
      <c r="D5658" s="2" t="s">
        <v>11245</v>
      </c>
      <c r="E5658" s="2" t="s">
        <v>20</v>
      </c>
      <c r="F5658" s="2">
        <v>6.0</v>
      </c>
      <c r="G5658" s="2">
        <v>323.0</v>
      </c>
      <c r="H5658" s="3" t="str">
        <f>HYPERLINK("http://ar.linkedin.com/in/lauracarnelli","http://ar.linkedin.com/in/lauracarnelli")</f>
        <v>http://ar.linkedin.com/in/lauracarnelli</v>
      </c>
      <c r="I5658" s="2" t="s">
        <v>69</v>
      </c>
      <c r="J5658" s="2" t="s">
        <v>21</v>
      </c>
      <c r="K5658" s="2" t="s">
        <v>11246</v>
      </c>
    </row>
    <row r="5659" ht="15.75" customHeight="1">
      <c r="A5659" s="2">
        <v>16566.0</v>
      </c>
      <c r="B5659" s="2" t="s">
        <v>5808</v>
      </c>
      <c r="C5659" s="2" t="s">
        <v>11247</v>
      </c>
      <c r="D5659" s="2" t="s">
        <v>13</v>
      </c>
      <c r="E5659" s="2" t="s">
        <v>20</v>
      </c>
      <c r="F5659" s="2">
        <v>1.0</v>
      </c>
      <c r="G5659" s="2">
        <v>500.0</v>
      </c>
      <c r="H5659" s="3" t="str">
        <f>HYPERLINK("http://www.linkedin.com/pub/matias-woloski/1/433/250","http://www.linkedin.com/pub/matias-woloski/1/433/250")</f>
        <v>http://www.linkedin.com/pub/matias-woloski/1/433/250</v>
      </c>
      <c r="I5659" s="2" t="s">
        <v>48</v>
      </c>
      <c r="J5659" s="2" t="s">
        <v>21</v>
      </c>
      <c r="K5659" s="2" t="s">
        <v>10482</v>
      </c>
    </row>
    <row r="5660" ht="15.75" customHeight="1">
      <c r="A5660" s="2">
        <v>16622.0</v>
      </c>
      <c r="B5660" s="2" t="s">
        <v>531</v>
      </c>
      <c r="C5660" s="2" t="s">
        <v>11248</v>
      </c>
      <c r="D5660" s="2" t="s">
        <v>11249</v>
      </c>
      <c r="E5660" s="2" t="s">
        <v>20</v>
      </c>
      <c r="F5660" s="2">
        <v>0.0</v>
      </c>
      <c r="G5660" s="2">
        <v>276.0</v>
      </c>
      <c r="H5660" s="3" t="str">
        <f>HYPERLINK("http://www.linkedin.com/pub/ruben-osses/a/859/a68","http://www.linkedin.com/pub/ruben-osses/a/859/a68")</f>
        <v>http://www.linkedin.com/pub/ruben-osses/a/859/a68</v>
      </c>
      <c r="I5660" s="2" t="s">
        <v>15</v>
      </c>
      <c r="J5660" s="2" t="s">
        <v>21</v>
      </c>
      <c r="K5660" s="2" t="s">
        <v>10206</v>
      </c>
    </row>
    <row r="5661" ht="15.75" customHeight="1">
      <c r="A5661" s="2">
        <v>16631.0</v>
      </c>
      <c r="B5661" s="2" t="s">
        <v>11250</v>
      </c>
      <c r="C5661" s="2" t="s">
        <v>3452</v>
      </c>
      <c r="D5661" s="2" t="s">
        <v>11251</v>
      </c>
      <c r="E5661" s="2" t="s">
        <v>136</v>
      </c>
      <c r="F5661" s="2">
        <v>13.0</v>
      </c>
      <c r="G5661" s="2">
        <v>500.0</v>
      </c>
      <c r="H5661" s="3" t="str">
        <f>HYPERLINK("http://www.linkedin.com/in/laurynjones","http://www.linkedin.com/in/laurynjones")</f>
        <v>http://www.linkedin.com/in/laurynjones</v>
      </c>
      <c r="I5661" s="2" t="s">
        <v>15</v>
      </c>
      <c r="J5661" s="2" t="s">
        <v>102</v>
      </c>
      <c r="K5661" s="2" t="s">
        <v>10184</v>
      </c>
    </row>
    <row r="5662" ht="15.75" customHeight="1">
      <c r="A5662" s="2">
        <v>16638.0</v>
      </c>
      <c r="B5662" s="2" t="s">
        <v>3441</v>
      </c>
      <c r="C5662" s="2" t="s">
        <v>1717</v>
      </c>
      <c r="D5662" s="2" t="s">
        <v>11252</v>
      </c>
      <c r="E5662" s="2" t="s">
        <v>1234</v>
      </c>
      <c r="F5662" s="2">
        <v>6.0</v>
      </c>
      <c r="G5662" s="2">
        <v>374.0</v>
      </c>
      <c r="H5662" s="3" t="str">
        <f>HYPERLINK("http://www.linkedin.com/pub/elizabeth-bell/0/300/912","http://www.linkedin.com/pub/elizabeth-bell/0/300/912")</f>
        <v>http://www.linkedin.com/pub/elizabeth-bell/0/300/912</v>
      </c>
      <c r="I5662" s="2" t="s">
        <v>15</v>
      </c>
      <c r="J5662" s="2" t="s">
        <v>102</v>
      </c>
      <c r="K5662" s="2" t="s">
        <v>10245</v>
      </c>
    </row>
    <row r="5663" ht="15.75" customHeight="1">
      <c r="A5663" s="2">
        <v>16647.0</v>
      </c>
      <c r="B5663" s="2" t="s">
        <v>5915</v>
      </c>
      <c r="C5663" s="2" t="s">
        <v>11253</v>
      </c>
      <c r="D5663" s="2" t="s">
        <v>11254</v>
      </c>
      <c r="E5663" s="2" t="s">
        <v>20</v>
      </c>
      <c r="F5663" s="2">
        <v>3.0</v>
      </c>
      <c r="G5663" s="2">
        <v>133.0</v>
      </c>
      <c r="H5663" s="3" t="str">
        <f>HYPERLINK("http://ar.linkedin.com/pub/cecilia-di-stefano/5/846/8A9","http://ar.linkedin.com/pub/cecilia-di-stefano/5/846/8A9")</f>
        <v>http://ar.linkedin.com/pub/cecilia-di-stefano/5/846/8A9</v>
      </c>
      <c r="I5663" s="2" t="s">
        <v>15</v>
      </c>
      <c r="J5663" s="2" t="s">
        <v>21</v>
      </c>
      <c r="K5663" s="2" t="s">
        <v>10196</v>
      </c>
    </row>
    <row r="5664" ht="15.75" customHeight="1">
      <c r="A5664" s="2">
        <v>16651.0</v>
      </c>
      <c r="B5664" s="2" t="s">
        <v>687</v>
      </c>
      <c r="C5664" s="2" t="s">
        <v>11255</v>
      </c>
      <c r="D5664" s="2"/>
      <c r="E5664" s="2" t="s">
        <v>136</v>
      </c>
      <c r="F5664" s="2">
        <v>4.0</v>
      </c>
      <c r="G5664" s="2">
        <v>385.0</v>
      </c>
      <c r="H5664" s="3" t="str">
        <f>HYPERLINK("http://www.linkedin.com/in/amirm1","http://www.linkedin.com/in/amirm1")</f>
        <v>http://www.linkedin.com/in/amirm1</v>
      </c>
      <c r="I5664" s="2" t="s">
        <v>48</v>
      </c>
      <c r="J5664" s="2" t="s">
        <v>102</v>
      </c>
      <c r="K5664" s="2" t="s">
        <v>10184</v>
      </c>
    </row>
    <row r="5665" ht="15.75" customHeight="1">
      <c r="A5665" s="2">
        <v>16660.0</v>
      </c>
      <c r="B5665" s="2" t="s">
        <v>11256</v>
      </c>
      <c r="C5665" s="2" t="s">
        <v>5340</v>
      </c>
      <c r="D5665" s="2" t="s">
        <v>11257</v>
      </c>
      <c r="E5665" s="2" t="s">
        <v>301</v>
      </c>
      <c r="F5665" s="2">
        <v>0.0</v>
      </c>
      <c r="G5665" s="2">
        <v>283.0</v>
      </c>
      <c r="H5665" s="3" t="str">
        <f>HYPERLINK("http://www.linkedin.com/pub/janine-davidson/6/344/917","http://www.linkedin.com/pub/janine-davidson/6/344/917")</f>
        <v>http://www.linkedin.com/pub/janine-davidson/6/344/917</v>
      </c>
      <c r="I5665" s="2" t="s">
        <v>15</v>
      </c>
      <c r="J5665" s="2" t="s">
        <v>102</v>
      </c>
      <c r="K5665" s="2" t="s">
        <v>10233</v>
      </c>
    </row>
    <row r="5666" ht="15.75" customHeight="1">
      <c r="A5666" s="2">
        <v>16663.0</v>
      </c>
      <c r="B5666" s="2" t="s">
        <v>2060</v>
      </c>
      <c r="C5666" s="2" t="s">
        <v>11258</v>
      </c>
      <c r="D5666" s="2" t="s">
        <v>42</v>
      </c>
      <c r="E5666" s="2" t="s">
        <v>628</v>
      </c>
      <c r="F5666" s="2">
        <v>58.0</v>
      </c>
      <c r="G5666" s="2">
        <v>500.0</v>
      </c>
      <c r="H5666" s="3" t="str">
        <f>HYPERLINK("http://www.linkedin.com/in/russdamske","http://www.linkedin.com/in/russdamske")</f>
        <v>http://www.linkedin.com/in/russdamske</v>
      </c>
      <c r="I5666" s="2" t="s">
        <v>48</v>
      </c>
      <c r="J5666" s="2" t="s">
        <v>102</v>
      </c>
      <c r="K5666" s="2" t="s">
        <v>10184</v>
      </c>
    </row>
    <row r="5667" ht="15.75" customHeight="1">
      <c r="A5667" s="2">
        <v>16665.0</v>
      </c>
      <c r="B5667" s="2" t="s">
        <v>1004</v>
      </c>
      <c r="C5667" s="2" t="s">
        <v>11259</v>
      </c>
      <c r="D5667" s="2"/>
      <c r="E5667" s="2" t="s">
        <v>713</v>
      </c>
      <c r="F5667" s="2">
        <v>0.0</v>
      </c>
      <c r="G5667" s="2">
        <v>87.0</v>
      </c>
      <c r="H5667" s="3" t="str">
        <f>HYPERLINK("http://www.linkedin.com/pub/scott-swartz/0/57B/230","http://www.linkedin.com/pub/scott-swartz/0/57B/230")</f>
        <v>http://www.linkedin.com/pub/scott-swartz/0/57B/230</v>
      </c>
      <c r="I5667" s="2" t="s">
        <v>279</v>
      </c>
      <c r="J5667" s="2" t="s">
        <v>102</v>
      </c>
      <c r="K5667" s="2" t="s">
        <v>10187</v>
      </c>
    </row>
    <row r="5668" ht="15.75" customHeight="1">
      <c r="A5668" s="2">
        <v>16666.0</v>
      </c>
      <c r="B5668" s="2" t="s">
        <v>59</v>
      </c>
      <c r="C5668" s="2" t="s">
        <v>11260</v>
      </c>
      <c r="D5668" s="2"/>
      <c r="E5668" s="2" t="s">
        <v>713</v>
      </c>
      <c r="F5668" s="2">
        <v>0.0</v>
      </c>
      <c r="G5668" s="2">
        <v>121.0</v>
      </c>
      <c r="H5668" s="3" t="str">
        <f>HYPERLINK("http://www.linkedin.com/pub/martin-kiernicki/1/3A6/7B0","http://www.linkedin.com/pub/martin-kiernicki/1/3A6/7B0")</f>
        <v>http://www.linkedin.com/pub/martin-kiernicki/1/3A6/7B0</v>
      </c>
      <c r="I5668" s="2" t="s">
        <v>119</v>
      </c>
      <c r="J5668" s="2" t="s">
        <v>102</v>
      </c>
      <c r="K5668" s="2" t="s">
        <v>10209</v>
      </c>
    </row>
    <row r="5669" ht="15.75" customHeight="1">
      <c r="A5669" s="2">
        <v>16686.0</v>
      </c>
      <c r="B5669" s="2" t="s">
        <v>6025</v>
      </c>
      <c r="C5669" s="2" t="s">
        <v>2075</v>
      </c>
      <c r="D5669" s="2" t="s">
        <v>11261</v>
      </c>
      <c r="E5669" s="2" t="s">
        <v>20</v>
      </c>
      <c r="F5669" s="2">
        <v>7.0</v>
      </c>
      <c r="G5669" s="2">
        <v>448.0</v>
      </c>
      <c r="H5669" s="3" t="str">
        <f>HYPERLINK("http://ar.linkedin.com/pub/hernan-porras/10/5AB/413","http://ar.linkedin.com/pub/hernan-porras/10/5AB/413")</f>
        <v>http://ar.linkedin.com/pub/hernan-porras/10/5AB/413</v>
      </c>
      <c r="I5669" s="2" t="s">
        <v>15</v>
      </c>
      <c r="J5669" s="2" t="s">
        <v>21</v>
      </c>
      <c r="K5669" s="2" t="s">
        <v>10196</v>
      </c>
    </row>
    <row r="5670" ht="15.75" customHeight="1">
      <c r="A5670" s="2">
        <v>16720.0</v>
      </c>
      <c r="B5670" s="2" t="s">
        <v>6531</v>
      </c>
      <c r="C5670" s="2" t="s">
        <v>4233</v>
      </c>
      <c r="D5670" s="2" t="s">
        <v>11262</v>
      </c>
      <c r="E5670" s="2" t="s">
        <v>1407</v>
      </c>
      <c r="F5670" s="2">
        <v>18.0</v>
      </c>
      <c r="G5670" s="2">
        <v>460.0</v>
      </c>
      <c r="H5670" s="3" t="str">
        <f>HYPERLINK("http://www.linkedin.com/pub/gerardo-gonzalez/3/A85/84A","http://www.linkedin.com/pub/gerardo-gonzalez/3/A85/84A")</f>
        <v>http://www.linkedin.com/pub/gerardo-gonzalez/3/A85/84A</v>
      </c>
      <c r="I5670" s="2" t="s">
        <v>15</v>
      </c>
      <c r="J5670" s="2" t="s">
        <v>102</v>
      </c>
      <c r="K5670" s="2" t="s">
        <v>10298</v>
      </c>
    </row>
    <row r="5671" ht="15.75" customHeight="1">
      <c r="A5671" s="2">
        <v>16748.0</v>
      </c>
      <c r="B5671" s="2" t="s">
        <v>253</v>
      </c>
      <c r="C5671" s="2" t="s">
        <v>1729</v>
      </c>
      <c r="D5671" s="2" t="s">
        <v>11263</v>
      </c>
      <c r="E5671" s="2" t="s">
        <v>20</v>
      </c>
      <c r="F5671" s="2">
        <v>22.0</v>
      </c>
      <c r="G5671" s="2">
        <v>500.0</v>
      </c>
      <c r="H5671" s="3" t="str">
        <f>HYPERLINK("http://ar.linkedin.com/pub/fernando-martinez/7/347/196","http://ar.linkedin.com/pub/fernando-martinez/7/347/196")</f>
        <v>http://ar.linkedin.com/pub/fernando-martinez/7/347/196</v>
      </c>
      <c r="I5671" s="2" t="s">
        <v>2443</v>
      </c>
      <c r="J5671" s="2" t="s">
        <v>21</v>
      </c>
      <c r="K5671" s="2" t="s">
        <v>10187</v>
      </c>
    </row>
    <row r="5672" ht="15.75" customHeight="1">
      <c r="A5672" s="2">
        <v>16779.0</v>
      </c>
      <c r="B5672" s="2" t="s">
        <v>133</v>
      </c>
      <c r="C5672" s="2" t="s">
        <v>9140</v>
      </c>
      <c r="D5672" s="2" t="s">
        <v>11264</v>
      </c>
      <c r="E5672" s="2" t="s">
        <v>1041</v>
      </c>
      <c r="F5672" s="2">
        <v>11.0</v>
      </c>
      <c r="G5672" s="2">
        <v>500.0</v>
      </c>
      <c r="H5672" s="3" t="str">
        <f>HYPERLINK("http://www.linkedin.com/in/mlmoreno","http://www.linkedin.com/in/mlmoreno")</f>
        <v>http://www.linkedin.com/in/mlmoreno</v>
      </c>
      <c r="I5672" s="2" t="s">
        <v>167</v>
      </c>
      <c r="J5672" s="2" t="s">
        <v>102</v>
      </c>
      <c r="K5672" s="2" t="s">
        <v>10206</v>
      </c>
    </row>
    <row r="5673" ht="15.75" customHeight="1">
      <c r="A5673" s="2">
        <v>16795.0</v>
      </c>
      <c r="B5673" s="2" t="s">
        <v>8519</v>
      </c>
      <c r="C5673" s="2" t="s">
        <v>11265</v>
      </c>
      <c r="D5673" s="2" t="s">
        <v>13</v>
      </c>
      <c r="E5673" s="2" t="s">
        <v>20</v>
      </c>
      <c r="F5673" s="2">
        <v>0.0</v>
      </c>
      <c r="G5673" s="2">
        <v>275.0</v>
      </c>
      <c r="H5673" s="3" t="str">
        <f>HYPERLINK("http://www.linkedin.com/pub/jose-luis-simionato/25/221/585","http://www.linkedin.com/pub/jose-luis-simionato/25/221/585")</f>
        <v>http://www.linkedin.com/pub/jose-luis-simionato/25/221/585</v>
      </c>
      <c r="I5673" s="2" t="s">
        <v>15</v>
      </c>
      <c r="J5673" s="2" t="s">
        <v>21</v>
      </c>
      <c r="K5673" s="2" t="s">
        <v>10206</v>
      </c>
    </row>
    <row r="5674" ht="15.75" customHeight="1">
      <c r="A5674" s="2">
        <v>16802.0</v>
      </c>
      <c r="B5674" s="2" t="s">
        <v>845</v>
      </c>
      <c r="C5674" s="2" t="s">
        <v>11266</v>
      </c>
      <c r="D5674" s="2" t="s">
        <v>11267</v>
      </c>
      <c r="E5674" s="2" t="s">
        <v>1190</v>
      </c>
      <c r="F5674" s="2">
        <v>1.0</v>
      </c>
      <c r="G5674" s="2">
        <v>500.0</v>
      </c>
      <c r="H5674" s="3" t="str">
        <f>HYPERLINK("http://www.linkedin.com/pub/david-navarro-mba-lion/3/697/7B9","http://www.linkedin.com/pub/david-navarro-mba-lion/3/697/7B9")</f>
        <v>http://www.linkedin.com/pub/david-navarro-mba-lion/3/697/7B9</v>
      </c>
      <c r="I5674" s="2" t="s">
        <v>458</v>
      </c>
      <c r="J5674" s="2" t="s">
        <v>102</v>
      </c>
      <c r="K5674" s="2" t="s">
        <v>10187</v>
      </c>
    </row>
    <row r="5675" ht="15.75" customHeight="1">
      <c r="A5675" s="2">
        <v>16809.0</v>
      </c>
      <c r="B5675" s="2" t="s">
        <v>609</v>
      </c>
      <c r="C5675" s="2" t="s">
        <v>11268</v>
      </c>
      <c r="D5675" s="2" t="s">
        <v>11269</v>
      </c>
      <c r="E5675" s="2" t="s">
        <v>1407</v>
      </c>
      <c r="F5675" s="2">
        <v>6.0</v>
      </c>
      <c r="G5675" s="2">
        <v>500.0</v>
      </c>
      <c r="H5675" s="3" t="str">
        <f>HYPERLINK("http://www.linkedin.com/pub/ricardo-sahagun/1/729/610","http://www.linkedin.com/pub/ricardo-sahagun/1/729/610")</f>
        <v>http://www.linkedin.com/pub/ricardo-sahagun/1/729/610</v>
      </c>
      <c r="I5675" s="2" t="s">
        <v>15</v>
      </c>
      <c r="J5675" s="2" t="s">
        <v>102</v>
      </c>
      <c r="K5675" s="2" t="s">
        <v>11270</v>
      </c>
    </row>
    <row r="5676" ht="15.75" customHeight="1">
      <c r="A5676" s="2">
        <v>16810.0</v>
      </c>
      <c r="B5676" s="2" t="s">
        <v>6032</v>
      </c>
      <c r="C5676" s="2" t="s">
        <v>11271</v>
      </c>
      <c r="D5676" s="2" t="s">
        <v>11272</v>
      </c>
      <c r="E5676" s="2" t="s">
        <v>888</v>
      </c>
      <c r="F5676" s="2">
        <v>3.0</v>
      </c>
      <c r="G5676" s="2">
        <v>500.0</v>
      </c>
      <c r="H5676" s="3" t="str">
        <f>HYPERLINK("http://www.linkedin.com/pub/victoria-cashion/3/A64/54","http://www.linkedin.com/pub/victoria-cashion/3/A64/54")</f>
        <v>http://www.linkedin.com/pub/victoria-cashion/3/A64/54</v>
      </c>
      <c r="I5676" s="2" t="s">
        <v>2362</v>
      </c>
      <c r="J5676" s="2" t="s">
        <v>102</v>
      </c>
      <c r="K5676" s="2" t="s">
        <v>10206</v>
      </c>
    </row>
    <row r="5677" ht="15.75" customHeight="1">
      <c r="A5677" s="2">
        <v>16815.0</v>
      </c>
      <c r="B5677" s="2" t="s">
        <v>845</v>
      </c>
      <c r="C5677" s="2" t="s">
        <v>11273</v>
      </c>
      <c r="D5677" s="2" t="s">
        <v>11274</v>
      </c>
      <c r="E5677" s="2" t="s">
        <v>992</v>
      </c>
      <c r="F5677" s="2">
        <v>14.0</v>
      </c>
      <c r="G5677" s="2">
        <v>500.0</v>
      </c>
      <c r="H5677" s="3" t="str">
        <f>HYPERLINK("http://www.linkedin.com/pub/david-muskatel/0/151/269","http://www.linkedin.com/pub/david-muskatel/0/151/269")</f>
        <v>http://www.linkedin.com/pub/david-muskatel/0/151/269</v>
      </c>
      <c r="I5677" s="2" t="s">
        <v>48</v>
      </c>
      <c r="J5677" s="2" t="s">
        <v>102</v>
      </c>
      <c r="K5677" s="2" t="s">
        <v>10371</v>
      </c>
    </row>
    <row r="5678" ht="15.75" customHeight="1">
      <c r="A5678" s="2">
        <v>16818.0</v>
      </c>
      <c r="B5678" s="2" t="s">
        <v>11275</v>
      </c>
      <c r="C5678" s="2" t="s">
        <v>11276</v>
      </c>
      <c r="D5678" s="2" t="s">
        <v>11277</v>
      </c>
      <c r="E5678" s="2" t="s">
        <v>1190</v>
      </c>
      <c r="F5678" s="2">
        <v>10.0</v>
      </c>
      <c r="G5678" s="2">
        <v>500.0</v>
      </c>
      <c r="H5678" s="3" t="str">
        <f>HYPERLINK("http://www.linkedin.com/pub/reinaldo-cereseto/1/81/A2A","http://www.linkedin.com/pub/reinaldo-cereseto/1/81/A2A")</f>
        <v>http://www.linkedin.com/pub/reinaldo-cereseto/1/81/A2A</v>
      </c>
      <c r="I5678" s="2" t="s">
        <v>48</v>
      </c>
      <c r="J5678" s="2" t="s">
        <v>102</v>
      </c>
      <c r="K5678" s="2" t="s">
        <v>10184</v>
      </c>
    </row>
    <row r="5679" ht="15.75" customHeight="1">
      <c r="A5679" s="2">
        <v>16823.0</v>
      </c>
      <c r="B5679" s="2" t="s">
        <v>178</v>
      </c>
      <c r="C5679" s="2" t="s">
        <v>11278</v>
      </c>
      <c r="D5679" s="2" t="s">
        <v>11279</v>
      </c>
      <c r="E5679" s="2" t="s">
        <v>2343</v>
      </c>
      <c r="F5679" s="2">
        <v>11.0</v>
      </c>
      <c r="G5679" s="2">
        <v>392.0</v>
      </c>
      <c r="H5679" s="3" t="str">
        <f>HYPERLINK("http://www.linkedin.com/pub/joe-noonan/0/519/699","http://www.linkedin.com/pub/joe-noonan/0/519/699")</f>
        <v>http://www.linkedin.com/pub/joe-noonan/0/519/699</v>
      </c>
      <c r="I5679" s="2" t="s">
        <v>48</v>
      </c>
      <c r="J5679" s="2" t="s">
        <v>102</v>
      </c>
      <c r="K5679" s="2" t="s">
        <v>10184</v>
      </c>
    </row>
    <row r="5680" ht="15.75" customHeight="1">
      <c r="A5680" s="2">
        <v>16832.0</v>
      </c>
      <c r="B5680" s="2" t="s">
        <v>5874</v>
      </c>
      <c r="C5680" s="2" t="s">
        <v>2135</v>
      </c>
      <c r="D5680" s="2" t="s">
        <v>11280</v>
      </c>
      <c r="E5680" s="2" t="s">
        <v>1190</v>
      </c>
      <c r="F5680" s="2">
        <v>10.0</v>
      </c>
      <c r="G5680" s="2">
        <v>500.0</v>
      </c>
      <c r="H5680" s="3" t="str">
        <f>HYPERLINK("http://www.linkedin.com/in/juancarlosgutierrez","http://www.linkedin.com/in/juancarlosgutierrez")</f>
        <v>http://www.linkedin.com/in/juancarlosgutierrez</v>
      </c>
      <c r="I5680" s="2" t="s">
        <v>15</v>
      </c>
      <c r="J5680" s="2" t="s">
        <v>102</v>
      </c>
      <c r="K5680" s="2" t="s">
        <v>10184</v>
      </c>
    </row>
    <row r="5681" ht="15.75" customHeight="1">
      <c r="A5681" s="2">
        <v>16840.0</v>
      </c>
      <c r="B5681" s="2" t="s">
        <v>1230</v>
      </c>
      <c r="C5681" s="2" t="s">
        <v>11281</v>
      </c>
      <c r="D5681" s="2" t="s">
        <v>11282</v>
      </c>
      <c r="E5681" s="2" t="s">
        <v>20</v>
      </c>
      <c r="F5681" s="2">
        <v>10.0</v>
      </c>
      <c r="G5681" s="2">
        <v>500.0</v>
      </c>
      <c r="H5681" s="3" t="str">
        <f>HYPERLINK("http://ar.linkedin.com/pub/alberto-ramundo/0/367/213","http://ar.linkedin.com/pub/alberto-ramundo/0/367/213")</f>
        <v>http://ar.linkedin.com/pub/alberto-ramundo/0/367/213</v>
      </c>
      <c r="I5681" s="2" t="s">
        <v>15</v>
      </c>
      <c r="J5681" s="2" t="s">
        <v>21</v>
      </c>
      <c r="K5681" s="2" t="s">
        <v>11283</v>
      </c>
    </row>
    <row r="5682" ht="15.75" customHeight="1">
      <c r="A5682" s="2">
        <v>16842.0</v>
      </c>
      <c r="B5682" s="2" t="s">
        <v>11284</v>
      </c>
      <c r="C5682" s="2" t="s">
        <v>11285</v>
      </c>
      <c r="D5682" s="2" t="s">
        <v>13</v>
      </c>
      <c r="E5682" s="2" t="s">
        <v>20</v>
      </c>
      <c r="F5682" s="2">
        <v>0.0</v>
      </c>
      <c r="G5682" s="2">
        <v>460.0</v>
      </c>
      <c r="H5682" s="3" t="str">
        <f>HYPERLINK("http://www.linkedin.com/pub/de-lorenzis-pia/10/9/785","http://www.linkedin.com/pub/de-lorenzis-pia/10/9/785")</f>
        <v>http://www.linkedin.com/pub/de-lorenzis-pia/10/9/785</v>
      </c>
      <c r="I5682" s="2" t="s">
        <v>15</v>
      </c>
      <c r="J5682" s="2" t="s">
        <v>21</v>
      </c>
      <c r="K5682" s="2" t="s">
        <v>10173</v>
      </c>
    </row>
    <row r="5683" ht="15.75" customHeight="1">
      <c r="A5683" s="2">
        <v>16850.0</v>
      </c>
      <c r="B5683" s="2" t="s">
        <v>5039</v>
      </c>
      <c r="C5683" s="2" t="s">
        <v>265</v>
      </c>
      <c r="D5683" s="2" t="s">
        <v>11286</v>
      </c>
      <c r="E5683" s="2" t="s">
        <v>20</v>
      </c>
      <c r="F5683" s="2">
        <v>4.0</v>
      </c>
      <c r="G5683" s="2">
        <v>500.0</v>
      </c>
      <c r="H5683" s="3" t="str">
        <f>HYPERLINK("http://ar.linkedin.com/in/ruizrodolfo","http://ar.linkedin.com/in/ruizrodolfo")</f>
        <v>http://ar.linkedin.com/in/ruizrodolfo</v>
      </c>
      <c r="I5683" s="2" t="s">
        <v>15</v>
      </c>
      <c r="J5683" s="2" t="s">
        <v>21</v>
      </c>
      <c r="K5683" s="2" t="s">
        <v>10180</v>
      </c>
    </row>
    <row r="5684" ht="15.75" customHeight="1">
      <c r="A5684" s="2">
        <v>16854.0</v>
      </c>
      <c r="B5684" s="2" t="s">
        <v>3684</v>
      </c>
      <c r="C5684" s="2" t="s">
        <v>11287</v>
      </c>
      <c r="D5684" s="2" t="s">
        <v>517</v>
      </c>
      <c r="E5684" s="2" t="s">
        <v>20</v>
      </c>
      <c r="F5684" s="2" t="s">
        <v>13</v>
      </c>
      <c r="G5684" s="2">
        <v>404.0</v>
      </c>
      <c r="H5684" s="3" t="str">
        <f>HYPERLINK("http://ar.linkedin.com/in/waltermazzoni","http://ar.linkedin.com/in/waltermazzoni")</f>
        <v>http://ar.linkedin.com/in/waltermazzoni</v>
      </c>
      <c r="I5684" s="2" t="s">
        <v>15</v>
      </c>
      <c r="J5684" s="2" t="s">
        <v>21</v>
      </c>
      <c r="K5684" s="2" t="s">
        <v>10224</v>
      </c>
    </row>
    <row r="5685" ht="15.75" customHeight="1">
      <c r="A5685" s="2">
        <v>16859.0</v>
      </c>
      <c r="B5685" s="2" t="s">
        <v>845</v>
      </c>
      <c r="C5685" s="2" t="s">
        <v>11288</v>
      </c>
      <c r="D5685" s="2" t="s">
        <v>11289</v>
      </c>
      <c r="E5685" s="2" t="s">
        <v>301</v>
      </c>
      <c r="F5685" s="2">
        <v>9.0</v>
      </c>
      <c r="G5685" s="2">
        <v>500.0</v>
      </c>
      <c r="H5685" s="3" t="str">
        <f>HYPERLINK("http://www.linkedin.com/in/davidolivencia","http://www.linkedin.com/in/davidolivencia")</f>
        <v>http://www.linkedin.com/in/davidolivencia</v>
      </c>
      <c r="I5685" s="2" t="s">
        <v>15</v>
      </c>
      <c r="J5685" s="2" t="s">
        <v>102</v>
      </c>
      <c r="K5685" s="2" t="s">
        <v>10245</v>
      </c>
    </row>
    <row r="5686" ht="15.75" customHeight="1">
      <c r="A5686" s="2">
        <v>16861.0</v>
      </c>
      <c r="B5686" s="2" t="s">
        <v>511</v>
      </c>
      <c r="C5686" s="2" t="s">
        <v>11290</v>
      </c>
      <c r="D5686" s="2" t="s">
        <v>11291</v>
      </c>
      <c r="E5686" s="2" t="s">
        <v>136</v>
      </c>
      <c r="F5686" s="2">
        <v>15.0</v>
      </c>
      <c r="G5686" s="2">
        <v>398.0</v>
      </c>
      <c r="H5686" s="3" t="str">
        <f>HYPERLINK("http://www.linkedin.com/pub/mike-briggs/0/15/460","http://www.linkedin.com/pub/mike-briggs/0/15/460")</f>
        <v>http://www.linkedin.com/pub/mike-briggs/0/15/460</v>
      </c>
      <c r="I5686" s="2" t="s">
        <v>15</v>
      </c>
      <c r="J5686" s="2" t="s">
        <v>102</v>
      </c>
      <c r="K5686" s="2" t="s">
        <v>10202</v>
      </c>
    </row>
    <row r="5687" ht="15.75" customHeight="1">
      <c r="A5687" s="2">
        <v>16871.0</v>
      </c>
      <c r="B5687" s="2" t="s">
        <v>845</v>
      </c>
      <c r="C5687" s="2" t="s">
        <v>11292</v>
      </c>
      <c r="D5687" s="2" t="s">
        <v>347</v>
      </c>
      <c r="E5687" s="2" t="s">
        <v>10993</v>
      </c>
      <c r="F5687" s="2">
        <v>1.0</v>
      </c>
      <c r="G5687" s="2">
        <v>186.0</v>
      </c>
      <c r="H5687" s="3" t="str">
        <f>HYPERLINK("http://ca.linkedin.com/in/davidbouillet","http://ca.linkedin.com/in/davidbouillet")</f>
        <v>http://ca.linkedin.com/in/davidbouillet</v>
      </c>
      <c r="I5687" s="2" t="s">
        <v>15</v>
      </c>
      <c r="J5687" s="2" t="s">
        <v>44</v>
      </c>
      <c r="K5687" s="2" t="s">
        <v>10176</v>
      </c>
    </row>
    <row r="5688" ht="15.75" customHeight="1">
      <c r="A5688" s="2">
        <v>16892.0</v>
      </c>
      <c r="B5688" s="2" t="s">
        <v>11293</v>
      </c>
      <c r="C5688" s="2" t="s">
        <v>11294</v>
      </c>
      <c r="D5688" s="2" t="s">
        <v>11295</v>
      </c>
      <c r="E5688" s="2" t="s">
        <v>628</v>
      </c>
      <c r="F5688" s="2">
        <v>7.0</v>
      </c>
      <c r="G5688" s="2">
        <v>340.0</v>
      </c>
      <c r="H5688" s="3" t="str">
        <f>HYPERLINK("http://www.linkedin.com/pub/alice-dunlap-kraft/0/B28/B68","http://www.linkedin.com/pub/alice-dunlap-kraft/0/B28/B68")</f>
        <v>http://www.linkedin.com/pub/alice-dunlap-kraft/0/B28/B68</v>
      </c>
      <c r="I5688" s="2" t="s">
        <v>57</v>
      </c>
      <c r="J5688" s="2" t="s">
        <v>102</v>
      </c>
      <c r="K5688" s="2" t="s">
        <v>10209</v>
      </c>
    </row>
    <row r="5689" ht="15.75" customHeight="1">
      <c r="A5689" s="2">
        <v>16986.0</v>
      </c>
      <c r="B5689" s="2" t="s">
        <v>11296</v>
      </c>
      <c r="C5689" s="2" t="s">
        <v>11297</v>
      </c>
      <c r="D5689" s="2" t="s">
        <v>11298</v>
      </c>
      <c r="E5689" s="2" t="s">
        <v>20</v>
      </c>
      <c r="F5689" s="2">
        <v>2.0</v>
      </c>
      <c r="G5689" s="2">
        <v>73.0</v>
      </c>
      <c r="H5689" s="3" t="str">
        <f>HYPERLINK("http://ar.linkedin.com/pub/vanina-mariel-musmanno/A/632/497","http://ar.linkedin.com/pub/vanina-mariel-musmanno/A/632/497")</f>
        <v>http://ar.linkedin.com/pub/vanina-mariel-musmanno/A/632/497</v>
      </c>
      <c r="I5689" s="2" t="s">
        <v>48</v>
      </c>
      <c r="J5689" s="2" t="s">
        <v>21</v>
      </c>
      <c r="K5689" s="2" t="s">
        <v>10196</v>
      </c>
    </row>
    <row r="5690" ht="15.75" customHeight="1">
      <c r="A5690" s="2">
        <v>17017.0</v>
      </c>
      <c r="B5690" s="2" t="s">
        <v>11299</v>
      </c>
      <c r="C5690" s="2" t="s">
        <v>46</v>
      </c>
      <c r="D5690" s="2" t="s">
        <v>13</v>
      </c>
      <c r="E5690" s="2" t="s">
        <v>20</v>
      </c>
      <c r="F5690" s="2">
        <v>0.0</v>
      </c>
      <c r="G5690" s="2">
        <v>500.0</v>
      </c>
      <c r="H5690" s="3" t="str">
        <f>HYPERLINK("http://www.linkedin.com/pub/miguel-%C3%A1ngel-rocha/22/14/308","http://www.linkedin.com/pub/miguel-%C3%A1ngel-rocha/22/14/308")</f>
        <v>http://www.linkedin.com/pub/miguel-%C3%A1ngel-rocha/22/14/308</v>
      </c>
      <c r="I5690" s="2" t="s">
        <v>57</v>
      </c>
      <c r="J5690" s="2" t="s">
        <v>21</v>
      </c>
      <c r="K5690" s="2" t="s">
        <v>10184</v>
      </c>
    </row>
    <row r="5691" ht="15.75" customHeight="1">
      <c r="A5691" s="2">
        <v>17087.0</v>
      </c>
      <c r="B5691" s="2" t="s">
        <v>3606</v>
      </c>
      <c r="C5691" s="2" t="s">
        <v>393</v>
      </c>
      <c r="D5691" s="2" t="s">
        <v>11300</v>
      </c>
      <c r="E5691" s="2" t="s">
        <v>155</v>
      </c>
      <c r="F5691" s="2">
        <v>1.0</v>
      </c>
      <c r="G5691" s="2">
        <v>425.0</v>
      </c>
      <c r="H5691" s="3" t="str">
        <f>HYPERLINK("http://www.linkedin.com/pub/tracy-erickson/5/A80/24B","http://www.linkedin.com/pub/tracy-erickson/5/A80/24B")</f>
        <v>http://www.linkedin.com/pub/tracy-erickson/5/A80/24B</v>
      </c>
      <c r="I5691" s="2" t="s">
        <v>48</v>
      </c>
      <c r="J5691" s="2" t="s">
        <v>102</v>
      </c>
      <c r="K5691" s="2" t="s">
        <v>10233</v>
      </c>
    </row>
    <row r="5692" ht="15.75" customHeight="1">
      <c r="A5692" s="2">
        <v>17089.0</v>
      </c>
      <c r="B5692" s="2" t="s">
        <v>1042</v>
      </c>
      <c r="C5692" s="2" t="s">
        <v>11301</v>
      </c>
      <c r="D5692" s="2" t="s">
        <v>11302</v>
      </c>
      <c r="E5692" s="2" t="s">
        <v>20</v>
      </c>
      <c r="F5692" s="2" t="s">
        <v>13</v>
      </c>
      <c r="G5692" s="2">
        <v>137.0</v>
      </c>
      <c r="H5692" s="3" t="str">
        <f>HYPERLINK("http://ar.linkedin.com/pub/marina-tricarico/4/991/A7A","http://ar.linkedin.com/pub/marina-tricarico/4/991/A7A")</f>
        <v>http://ar.linkedin.com/pub/marina-tricarico/4/991/A7A</v>
      </c>
      <c r="I5692" s="2" t="s">
        <v>374</v>
      </c>
      <c r="J5692" s="2" t="s">
        <v>21</v>
      </c>
      <c r="K5692" s="2" t="s">
        <v>10206</v>
      </c>
    </row>
    <row r="5693" ht="15.75" customHeight="1">
      <c r="A5693" s="2">
        <v>17140.0</v>
      </c>
      <c r="B5693" s="2" t="s">
        <v>7027</v>
      </c>
      <c r="C5693" s="2" t="s">
        <v>8336</v>
      </c>
      <c r="D5693" s="2" t="s">
        <v>11303</v>
      </c>
      <c r="E5693" s="2" t="s">
        <v>20</v>
      </c>
      <c r="F5693" s="2">
        <v>3.0</v>
      </c>
      <c r="G5693" s="2">
        <v>379.0</v>
      </c>
      <c r="H5693" s="3" t="str">
        <f>HYPERLINK("http://ar.linkedin.com/in/agustinarivas","http://ar.linkedin.com/in/agustinarivas")</f>
        <v>http://ar.linkedin.com/in/agustinarivas</v>
      </c>
      <c r="I5693" s="2" t="s">
        <v>15</v>
      </c>
      <c r="J5693" s="2" t="s">
        <v>21</v>
      </c>
      <c r="K5693" s="2" t="s">
        <v>10180</v>
      </c>
    </row>
    <row r="5694" ht="15.75" customHeight="1">
      <c r="A5694" s="2">
        <v>17162.0</v>
      </c>
      <c r="B5694" s="2" t="s">
        <v>11304</v>
      </c>
      <c r="C5694" s="2" t="s">
        <v>11305</v>
      </c>
      <c r="D5694" s="2" t="s">
        <v>13</v>
      </c>
      <c r="E5694" s="2" t="s">
        <v>20</v>
      </c>
      <c r="F5694" s="2">
        <v>4.0</v>
      </c>
      <c r="G5694" s="2">
        <v>198.0</v>
      </c>
      <c r="H5694" s="3" t="str">
        <f>HYPERLINK("http://www.linkedin.com/pub/matias-exequiel-cancemi/20/443/20b","http://www.linkedin.com/pub/matias-exequiel-cancemi/20/443/20b")</f>
        <v>http://www.linkedin.com/pub/matias-exequiel-cancemi/20/443/20b</v>
      </c>
      <c r="I5694" s="2" t="s">
        <v>2268</v>
      </c>
      <c r="J5694" s="2" t="s">
        <v>21</v>
      </c>
      <c r="K5694" s="2" t="s">
        <v>10371</v>
      </c>
    </row>
    <row r="5695" ht="15.75" customHeight="1">
      <c r="A5695" s="2">
        <v>17166.0</v>
      </c>
      <c r="B5695" s="2" t="s">
        <v>358</v>
      </c>
      <c r="C5695" s="2" t="s">
        <v>11306</v>
      </c>
      <c r="D5695" s="2" t="s">
        <v>11307</v>
      </c>
      <c r="E5695" s="2" t="s">
        <v>20</v>
      </c>
      <c r="F5695" s="2">
        <v>2.0</v>
      </c>
      <c r="G5695" s="2">
        <v>96.0</v>
      </c>
      <c r="H5695" s="3" t="str">
        <f>HYPERLINK("http://www.linkedin.com/pub/marcelo-paraj%C3%B3/2/a56/971","http://www.linkedin.com/pub/marcelo-paraj%C3%B3/2/a56/971")</f>
        <v>http://www.linkedin.com/pub/marcelo-paraj%C3%B3/2/a56/971</v>
      </c>
      <c r="I5695" s="2" t="s">
        <v>69</v>
      </c>
      <c r="J5695" s="2" t="s">
        <v>21</v>
      </c>
      <c r="K5695" s="2" t="s">
        <v>10187</v>
      </c>
    </row>
    <row r="5696" ht="15.75" customHeight="1">
      <c r="A5696" s="2">
        <v>17363.0</v>
      </c>
      <c r="B5696" s="2" t="s">
        <v>45</v>
      </c>
      <c r="C5696" s="2" t="s">
        <v>9432</v>
      </c>
      <c r="D5696" s="2" t="s">
        <v>11308</v>
      </c>
      <c r="E5696" s="2" t="s">
        <v>20</v>
      </c>
      <c r="F5696" s="2">
        <v>4.0</v>
      </c>
      <c r="G5696" s="2">
        <v>500.0</v>
      </c>
      <c r="H5696" s="3" t="str">
        <f>HYPERLINK("http://ar.linkedin.com/in/cordobacarlos","http://ar.linkedin.com/in/cordobacarlos")</f>
        <v>http://ar.linkedin.com/in/cordobacarlos</v>
      </c>
      <c r="I5696" s="2" t="s">
        <v>326</v>
      </c>
      <c r="J5696" s="2" t="s">
        <v>21</v>
      </c>
      <c r="K5696" s="2" t="s">
        <v>10184</v>
      </c>
    </row>
    <row r="5697" ht="15.75" customHeight="1">
      <c r="A5697" s="2">
        <v>17382.0</v>
      </c>
      <c r="B5697" s="2" t="s">
        <v>285</v>
      </c>
      <c r="C5697" s="2" t="s">
        <v>7771</v>
      </c>
      <c r="D5697" s="2"/>
      <c r="E5697" s="2" t="s">
        <v>301</v>
      </c>
      <c r="F5697" s="2">
        <v>3.0</v>
      </c>
      <c r="G5697" s="2">
        <v>500.0</v>
      </c>
      <c r="H5697" s="3" t="str">
        <f>HYPERLINK("http://www.linkedin.com/pub/marc-cristiano/0/407/306","http://www.linkedin.com/pub/marc-cristiano/0/407/306")</f>
        <v>http://www.linkedin.com/pub/marc-cristiano/0/407/306</v>
      </c>
      <c r="I5697" s="2" t="s">
        <v>326</v>
      </c>
      <c r="J5697" s="2" t="s">
        <v>102</v>
      </c>
      <c r="K5697" s="2" t="s">
        <v>10206</v>
      </c>
    </row>
    <row r="5698" ht="15.75" customHeight="1">
      <c r="A5698" s="2">
        <v>17389.0</v>
      </c>
      <c r="B5698" s="2" t="s">
        <v>471</v>
      </c>
      <c r="C5698" s="2" t="s">
        <v>11309</v>
      </c>
      <c r="D5698" s="2" t="s">
        <v>11310</v>
      </c>
      <c r="E5698" s="2" t="s">
        <v>136</v>
      </c>
      <c r="F5698" s="2">
        <v>5.0</v>
      </c>
      <c r="G5698" s="2">
        <v>317.0</v>
      </c>
      <c r="H5698" s="3" t="str">
        <f>HYPERLINK("http://www.linkedin.com/pub/dan-lofgren/0/2BA/915","http://www.linkedin.com/pub/dan-lofgren/0/2BA/915")</f>
        <v>http://www.linkedin.com/pub/dan-lofgren/0/2BA/915</v>
      </c>
      <c r="I5698" s="2" t="s">
        <v>69</v>
      </c>
      <c r="J5698" s="2" t="s">
        <v>102</v>
      </c>
      <c r="K5698" s="2" t="s">
        <v>10176</v>
      </c>
    </row>
    <row r="5699" ht="15.75" customHeight="1">
      <c r="A5699" s="2">
        <v>17392.0</v>
      </c>
      <c r="B5699" s="2" t="s">
        <v>1004</v>
      </c>
      <c r="C5699" s="2" t="s">
        <v>2061</v>
      </c>
      <c r="D5699" s="2" t="s">
        <v>11311</v>
      </c>
      <c r="E5699" s="2" t="s">
        <v>136</v>
      </c>
      <c r="F5699" s="2">
        <v>3.0</v>
      </c>
      <c r="G5699" s="2">
        <v>500.0</v>
      </c>
      <c r="H5699" s="3" t="str">
        <f>HYPERLINK("http://www.linkedin.com/in/scottdavidwhite","http://www.linkedin.com/in/scottdavidwhite")</f>
        <v>http://www.linkedin.com/in/scottdavidwhite</v>
      </c>
      <c r="I5699" s="2" t="s">
        <v>326</v>
      </c>
      <c r="J5699" s="2" t="s">
        <v>102</v>
      </c>
      <c r="K5699" s="2" t="s">
        <v>10206</v>
      </c>
    </row>
    <row r="5700" ht="15.75" customHeight="1">
      <c r="A5700" s="2">
        <v>17403.0</v>
      </c>
      <c r="B5700" s="2" t="s">
        <v>3550</v>
      </c>
      <c r="C5700" s="2" t="s">
        <v>11312</v>
      </c>
      <c r="D5700" s="2" t="s">
        <v>13</v>
      </c>
      <c r="E5700" s="2" t="s">
        <v>20</v>
      </c>
      <c r="F5700" s="2">
        <v>3.0</v>
      </c>
      <c r="G5700" s="2">
        <v>500.0</v>
      </c>
      <c r="H5700" s="3" t="str">
        <f>HYPERLINK("http://www.linkedin.com/pub/nicolas-igot/15/575/b83","http://www.linkedin.com/pub/nicolas-igot/15/575/b83")</f>
        <v>http://www.linkedin.com/pub/nicolas-igot/15/575/b83</v>
      </c>
      <c r="I5700" s="2" t="s">
        <v>105</v>
      </c>
      <c r="J5700" s="2" t="s">
        <v>21</v>
      </c>
      <c r="K5700" s="2" t="s">
        <v>10312</v>
      </c>
    </row>
    <row r="5701" ht="15.75" customHeight="1">
      <c r="A5701" s="2">
        <v>17408.0</v>
      </c>
      <c r="B5701" s="2" t="s">
        <v>5723</v>
      </c>
      <c r="C5701" s="2" t="s">
        <v>11313</v>
      </c>
      <c r="D5701" s="2" t="s">
        <v>11314</v>
      </c>
      <c r="E5701" s="2" t="s">
        <v>20</v>
      </c>
      <c r="F5701" s="2">
        <v>2.0</v>
      </c>
      <c r="G5701" s="2">
        <v>119.0</v>
      </c>
      <c r="H5701" s="3" t="str">
        <f>HYPERLINK("http://ar.linkedin.com/in/pablogabrieltello","http://ar.linkedin.com/in/pablogabrieltello")</f>
        <v>http://ar.linkedin.com/in/pablogabrieltello</v>
      </c>
      <c r="I5701" s="2" t="s">
        <v>15</v>
      </c>
      <c r="J5701" s="2" t="s">
        <v>21</v>
      </c>
      <c r="K5701" s="2" t="s">
        <v>10196</v>
      </c>
    </row>
    <row r="5702" ht="15.75" customHeight="1">
      <c r="A5702" s="2">
        <v>17468.0</v>
      </c>
      <c r="B5702" s="2" t="s">
        <v>501</v>
      </c>
      <c r="C5702" s="2" t="s">
        <v>7018</v>
      </c>
      <c r="D5702" s="2" t="s">
        <v>1771</v>
      </c>
      <c r="E5702" s="2" t="s">
        <v>1190</v>
      </c>
      <c r="F5702" s="2">
        <v>3.0</v>
      </c>
      <c r="G5702" s="2">
        <v>500.0</v>
      </c>
      <c r="H5702" s="3" t="str">
        <f>HYPERLINK("http://www.linkedin.com/in/fmorales","http://www.linkedin.com/in/fmorales")</f>
        <v>http://www.linkedin.com/in/fmorales</v>
      </c>
      <c r="I5702" s="2" t="s">
        <v>195</v>
      </c>
      <c r="J5702" s="2" t="s">
        <v>102</v>
      </c>
      <c r="K5702" s="2" t="s">
        <v>11127</v>
      </c>
    </row>
    <row r="5703" ht="15.75" customHeight="1">
      <c r="A5703" s="2">
        <v>17470.0</v>
      </c>
      <c r="B5703" s="2" t="s">
        <v>3563</v>
      </c>
      <c r="C5703" s="2" t="s">
        <v>11315</v>
      </c>
      <c r="D5703" s="2" t="s">
        <v>11316</v>
      </c>
      <c r="E5703" s="2" t="s">
        <v>20</v>
      </c>
      <c r="F5703" s="2">
        <v>1.0</v>
      </c>
      <c r="G5703" s="2">
        <v>500.0</v>
      </c>
      <c r="H5703" s="3" t="str">
        <f>HYPERLINK("http://ar.linkedin.com/pub/manuel-cuan/0/380/896","http://ar.linkedin.com/pub/manuel-cuan/0/380/896")</f>
        <v>http://ar.linkedin.com/pub/manuel-cuan/0/380/896</v>
      </c>
      <c r="I5703" s="2" t="s">
        <v>195</v>
      </c>
      <c r="J5703" s="2" t="s">
        <v>21</v>
      </c>
      <c r="K5703" s="2" t="s">
        <v>11270</v>
      </c>
    </row>
    <row r="5704" ht="15.75" customHeight="1">
      <c r="A5704" s="2">
        <v>17555.0</v>
      </c>
      <c r="B5704" s="2" t="s">
        <v>193</v>
      </c>
      <c r="C5704" s="2" t="s">
        <v>11317</v>
      </c>
      <c r="D5704" s="2" t="s">
        <v>841</v>
      </c>
      <c r="E5704" s="2" t="s">
        <v>301</v>
      </c>
      <c r="F5704" s="2">
        <v>10.0</v>
      </c>
      <c r="G5704" s="2">
        <v>500.0</v>
      </c>
      <c r="H5704" s="3" t="str">
        <f>HYPERLINK("http://www.linkedin.com/pub/guillermo-cengotitabengoa/0/328/325","http://www.linkedin.com/pub/guillermo-cengotitabengoa/0/328/325")</f>
        <v>http://www.linkedin.com/pub/guillermo-cengotitabengoa/0/328/325</v>
      </c>
      <c r="I5704" s="2" t="s">
        <v>1740</v>
      </c>
      <c r="J5704" s="2" t="s">
        <v>102</v>
      </c>
      <c r="K5704" s="2" t="s">
        <v>10206</v>
      </c>
    </row>
    <row r="5705" ht="15.75" customHeight="1">
      <c r="A5705" s="2">
        <v>17642.0</v>
      </c>
      <c r="B5705" s="2" t="s">
        <v>5078</v>
      </c>
      <c r="C5705" s="2" t="s">
        <v>5975</v>
      </c>
      <c r="D5705" s="2" t="s">
        <v>11318</v>
      </c>
      <c r="E5705" s="2" t="s">
        <v>20</v>
      </c>
      <c r="F5705" s="2">
        <v>11.0</v>
      </c>
      <c r="G5705" s="2">
        <v>500.0</v>
      </c>
      <c r="H5705" s="3" t="str">
        <f>HYPERLINK("http://www.linkedin.com/in/diegocolombo","http://www.linkedin.com/in/diegocolombo")</f>
        <v>http://www.linkedin.com/in/diegocolombo</v>
      </c>
      <c r="I5705" s="2" t="s">
        <v>15</v>
      </c>
      <c r="J5705" s="2" t="s">
        <v>21</v>
      </c>
      <c r="K5705" s="2" t="s">
        <v>10196</v>
      </c>
    </row>
    <row r="5706" ht="15.75" customHeight="1">
      <c r="A5706" s="2">
        <v>17654.0</v>
      </c>
      <c r="B5706" s="2" t="s">
        <v>264</v>
      </c>
      <c r="C5706" s="2" t="s">
        <v>11319</v>
      </c>
      <c r="D5706" s="2" t="s">
        <v>13</v>
      </c>
      <c r="E5706" s="2" t="s">
        <v>20</v>
      </c>
      <c r="F5706" s="2">
        <v>0.0</v>
      </c>
      <c r="G5706" s="2">
        <v>94.0</v>
      </c>
      <c r="H5706" s="3" t="str">
        <f>HYPERLINK("http://www.linkedin.com/pub/andres-elffman/6/b03/870","http://www.linkedin.com/pub/andres-elffman/6/b03/870")</f>
        <v>http://www.linkedin.com/pub/andres-elffman/6/b03/870</v>
      </c>
      <c r="I5706" s="2" t="s">
        <v>48</v>
      </c>
      <c r="J5706" s="2" t="s">
        <v>21</v>
      </c>
      <c r="K5706" s="2" t="s">
        <v>10224</v>
      </c>
    </row>
    <row r="5707" ht="15.75" customHeight="1">
      <c r="A5707" s="2">
        <v>17688.0</v>
      </c>
      <c r="B5707" s="2" t="s">
        <v>8519</v>
      </c>
      <c r="C5707" s="2" t="s">
        <v>11320</v>
      </c>
      <c r="D5707" s="2" t="s">
        <v>11321</v>
      </c>
      <c r="E5707" s="2" t="s">
        <v>1190</v>
      </c>
      <c r="F5707" s="2">
        <v>11.0</v>
      </c>
      <c r="G5707" s="2">
        <v>500.0</v>
      </c>
      <c r="H5707" s="3" t="str">
        <f>HYPERLINK("http://www.linkedin.com/in/joseluisortega","http://www.linkedin.com/in/joseluisortega")</f>
        <v>http://www.linkedin.com/in/joseluisortega</v>
      </c>
      <c r="I5707" s="2" t="s">
        <v>1740</v>
      </c>
      <c r="J5707" s="2" t="s">
        <v>102</v>
      </c>
      <c r="K5707" s="2" t="s">
        <v>10206</v>
      </c>
    </row>
    <row r="5708" ht="15.75" customHeight="1">
      <c r="A5708" s="2">
        <v>17694.0</v>
      </c>
      <c r="B5708" s="2" t="s">
        <v>5078</v>
      </c>
      <c r="C5708" s="2" t="s">
        <v>11322</v>
      </c>
      <c r="D5708" s="2" t="s">
        <v>13</v>
      </c>
      <c r="E5708" s="2" t="s">
        <v>20</v>
      </c>
      <c r="F5708" s="2">
        <v>0.0</v>
      </c>
      <c r="G5708" s="2">
        <v>500.0</v>
      </c>
      <c r="H5708" s="3" t="str">
        <f>HYPERLINK("http://www.linkedin.com/in/diegopando","http://www.linkedin.com/in/diegopando")</f>
        <v>http://www.linkedin.com/in/diegopando</v>
      </c>
      <c r="I5708" s="2" t="s">
        <v>15</v>
      </c>
      <c r="J5708" s="2" t="s">
        <v>21</v>
      </c>
      <c r="K5708" s="2" t="s">
        <v>10206</v>
      </c>
    </row>
    <row r="5709" ht="15.75" customHeight="1">
      <c r="A5709" s="2">
        <v>17711.0</v>
      </c>
      <c r="B5709" s="2" t="s">
        <v>862</v>
      </c>
      <c r="C5709" s="2" t="s">
        <v>7597</v>
      </c>
      <c r="D5709" s="2" t="s">
        <v>950</v>
      </c>
      <c r="E5709" s="2" t="s">
        <v>20</v>
      </c>
      <c r="F5709" s="2">
        <v>50.0</v>
      </c>
      <c r="G5709" s="2">
        <v>500.0</v>
      </c>
      <c r="H5709" s="3" t="str">
        <f>HYPERLINK("http://ar.linkedin.com/in/gluzzani","http://ar.linkedin.com/in/gluzzani")</f>
        <v>http://ar.linkedin.com/in/gluzzani</v>
      </c>
      <c r="I5709" s="2" t="s">
        <v>15</v>
      </c>
      <c r="J5709" s="2" t="s">
        <v>21</v>
      </c>
      <c r="K5709" s="2" t="s">
        <v>10180</v>
      </c>
    </row>
    <row r="5710" ht="15.75" customHeight="1">
      <c r="A5710" s="2">
        <v>17721.0</v>
      </c>
      <c r="B5710" s="2" t="s">
        <v>11323</v>
      </c>
      <c r="C5710" s="2" t="s">
        <v>9131</v>
      </c>
      <c r="D5710" s="2" t="s">
        <v>11324</v>
      </c>
      <c r="E5710" s="2" t="s">
        <v>136</v>
      </c>
      <c r="F5710" s="2">
        <v>7.0</v>
      </c>
      <c r="G5710" s="2">
        <v>496.0</v>
      </c>
      <c r="H5710" s="3" t="str">
        <f>HYPERLINK("http://www.linkedin.com/in/johnsfritz","http://www.linkedin.com/in/johnsfritz")</f>
        <v>http://www.linkedin.com/in/johnsfritz</v>
      </c>
      <c r="I5710" s="2" t="s">
        <v>119</v>
      </c>
      <c r="J5710" s="2" t="s">
        <v>102</v>
      </c>
      <c r="K5710" s="2" t="s">
        <v>10209</v>
      </c>
    </row>
    <row r="5711" ht="15.75" customHeight="1">
      <c r="A5711" s="2">
        <v>17722.0</v>
      </c>
      <c r="B5711" s="2" t="s">
        <v>4542</v>
      </c>
      <c r="C5711" s="2" t="s">
        <v>6534</v>
      </c>
      <c r="D5711" s="2"/>
      <c r="E5711" s="2" t="s">
        <v>136</v>
      </c>
      <c r="F5711" s="2">
        <v>3.0</v>
      </c>
      <c r="G5711" s="2">
        <v>500.0</v>
      </c>
      <c r="H5711" s="3" t="str">
        <f>HYPERLINK("http://www.linkedin.com/pub/alison-richards/0/144/5B4","http://www.linkedin.com/pub/alison-richards/0/144/5B4")</f>
        <v>http://www.linkedin.com/pub/alison-richards/0/144/5B4</v>
      </c>
      <c r="I5711" s="2" t="s">
        <v>105</v>
      </c>
      <c r="J5711" s="2" t="s">
        <v>102</v>
      </c>
      <c r="K5711" s="2" t="s">
        <v>10206</v>
      </c>
    </row>
    <row r="5712" ht="15.75" customHeight="1">
      <c r="A5712" s="2">
        <v>17726.0</v>
      </c>
      <c r="B5712" s="2" t="s">
        <v>4413</v>
      </c>
      <c r="C5712" s="2" t="s">
        <v>11325</v>
      </c>
      <c r="D5712" s="2" t="s">
        <v>11326</v>
      </c>
      <c r="E5712" s="2" t="s">
        <v>251</v>
      </c>
      <c r="F5712" s="2">
        <v>2.0</v>
      </c>
      <c r="G5712" s="2">
        <v>84.0</v>
      </c>
      <c r="H5712" s="3" t="str">
        <f>HYPERLINK("http://www.linkedin.com/pub/kari-freedus/26/570/B0B","http://www.linkedin.com/pub/kari-freedus/26/570/B0B")</f>
        <v>http://www.linkedin.com/pub/kari-freedus/26/570/B0B</v>
      </c>
      <c r="I5712" s="2" t="s">
        <v>279</v>
      </c>
      <c r="J5712" s="2" t="s">
        <v>102</v>
      </c>
      <c r="K5712" s="2" t="s">
        <v>10206</v>
      </c>
    </row>
    <row r="5713" ht="15.75" customHeight="1">
      <c r="A5713" s="2">
        <v>17727.0</v>
      </c>
      <c r="B5713" s="2" t="s">
        <v>11327</v>
      </c>
      <c r="C5713" s="2" t="s">
        <v>11328</v>
      </c>
      <c r="D5713" s="2" t="s">
        <v>11329</v>
      </c>
      <c r="E5713" s="2" t="s">
        <v>20</v>
      </c>
      <c r="F5713" s="2">
        <v>11.0</v>
      </c>
      <c r="G5713" s="2">
        <v>196.0</v>
      </c>
      <c r="H5713" s="3" t="str">
        <f>HYPERLINK("http://ar.linkedin.com/in/ncvier","http://ar.linkedin.com/in/ncvier")</f>
        <v>http://ar.linkedin.com/in/ncvier</v>
      </c>
      <c r="I5713" s="2" t="s">
        <v>48</v>
      </c>
      <c r="J5713" s="2" t="s">
        <v>21</v>
      </c>
      <c r="K5713" s="2" t="s">
        <v>10196</v>
      </c>
    </row>
    <row r="5714" ht="15.75" customHeight="1">
      <c r="A5714" s="2">
        <v>17731.0</v>
      </c>
      <c r="B5714" s="2" t="s">
        <v>637</v>
      </c>
      <c r="C5714" s="2" t="s">
        <v>10662</v>
      </c>
      <c r="D5714" s="2" t="s">
        <v>32</v>
      </c>
      <c r="E5714" s="2" t="s">
        <v>20</v>
      </c>
      <c r="F5714" s="2">
        <v>8.0</v>
      </c>
      <c r="G5714" s="2">
        <v>479.0</v>
      </c>
      <c r="H5714" s="3" t="str">
        <f>HYPERLINK("http://ar.linkedin.com/pub/leonardo-prada/5/A24/B31","http://ar.linkedin.com/pub/leonardo-prada/5/A24/B31")</f>
        <v>http://ar.linkedin.com/pub/leonardo-prada/5/A24/B31</v>
      </c>
      <c r="I5714" s="2" t="s">
        <v>48</v>
      </c>
      <c r="J5714" s="2" t="s">
        <v>21</v>
      </c>
      <c r="K5714" s="2" t="s">
        <v>10173</v>
      </c>
    </row>
    <row r="5715" ht="15.75" customHeight="1">
      <c r="A5715" s="2">
        <v>17740.0</v>
      </c>
      <c r="B5715" s="2" t="s">
        <v>3201</v>
      </c>
      <c r="C5715" s="2" t="s">
        <v>11330</v>
      </c>
      <c r="D5715" s="2" t="s">
        <v>42</v>
      </c>
      <c r="E5715" s="2" t="s">
        <v>20</v>
      </c>
      <c r="F5715" s="2">
        <v>15.0</v>
      </c>
      <c r="G5715" s="2">
        <v>284.0</v>
      </c>
      <c r="H5715" s="3" t="str">
        <f>HYPERLINK("http://ar.linkedin.com/in/smerlo","http://ar.linkedin.com/in/smerlo")</f>
        <v>http://ar.linkedin.com/in/smerlo</v>
      </c>
      <c r="I5715" s="2" t="s">
        <v>48</v>
      </c>
      <c r="J5715" s="2" t="s">
        <v>21</v>
      </c>
      <c r="K5715" s="2" t="s">
        <v>10196</v>
      </c>
    </row>
    <row r="5716" ht="15.75" customHeight="1">
      <c r="A5716" s="2">
        <v>17744.0</v>
      </c>
      <c r="B5716" s="2" t="s">
        <v>2530</v>
      </c>
      <c r="C5716" s="2" t="s">
        <v>11331</v>
      </c>
      <c r="D5716" s="2" t="s">
        <v>11332</v>
      </c>
      <c r="E5716" s="2" t="s">
        <v>20</v>
      </c>
      <c r="F5716" s="2">
        <v>4.0</v>
      </c>
      <c r="G5716" s="2">
        <v>319.0</v>
      </c>
      <c r="H5716" s="3" t="str">
        <f>HYPERLINK("http://ar.linkedin.com/pub/omar-vallejos/1/975/700","http://ar.linkedin.com/pub/omar-vallejos/1/975/700")</f>
        <v>http://ar.linkedin.com/pub/omar-vallejos/1/975/700</v>
      </c>
      <c r="I5716" s="2" t="s">
        <v>15</v>
      </c>
      <c r="J5716" s="2" t="s">
        <v>21</v>
      </c>
      <c r="K5716" s="2" t="s">
        <v>10180</v>
      </c>
    </row>
    <row r="5717" ht="15.75" customHeight="1">
      <c r="A5717" s="2">
        <v>17783.0</v>
      </c>
      <c r="B5717" s="2" t="s">
        <v>6252</v>
      </c>
      <c r="C5717" s="2" t="s">
        <v>11333</v>
      </c>
      <c r="D5717" s="2" t="s">
        <v>11334</v>
      </c>
      <c r="E5717" s="2" t="s">
        <v>20</v>
      </c>
      <c r="F5717" s="2" t="s">
        <v>13</v>
      </c>
      <c r="G5717" s="2">
        <v>500.0</v>
      </c>
      <c r="H5717" s="3" t="str">
        <f>HYPERLINK("http://ar.linkedin.com/in/bilinkis","http://ar.linkedin.com/in/bilinkis")</f>
        <v>http://ar.linkedin.com/in/bilinkis</v>
      </c>
      <c r="I5717" s="2" t="s">
        <v>69</v>
      </c>
      <c r="J5717" s="2" t="s">
        <v>21</v>
      </c>
      <c r="K5717" s="2" t="s">
        <v>10224</v>
      </c>
    </row>
    <row r="5718" ht="15.75" customHeight="1">
      <c r="A5718" s="2">
        <v>17787.0</v>
      </c>
      <c r="B5718" s="2" t="s">
        <v>18</v>
      </c>
      <c r="C5718" s="2" t="s">
        <v>11335</v>
      </c>
      <c r="D5718" s="2" t="s">
        <v>13</v>
      </c>
      <c r="E5718" s="2" t="s">
        <v>1190</v>
      </c>
      <c r="F5718" s="2">
        <v>0.0</v>
      </c>
      <c r="G5718" s="2">
        <v>500.0</v>
      </c>
      <c r="H5718" s="3" t="str">
        <f>HYPERLINK("http://www.linkedin.com/pub/%E2%98%81%EF%B8%8Fmauricio-%C3%A1lvarez%E2%98%81%EF%B8%8F/0/138/14","http://www.linkedin.com/pub/%E2%98%81%EF%B8%8Fmauricio-%C3%A1lvarez%E2%98%81%EF%B8%8F/0/138/14")</f>
        <v>http://www.linkedin.com/pub/%E2%98%81%EF%B8%8Fmauricio-%C3%A1lvarez%E2%98%81%EF%B8%8F/0/138/14</v>
      </c>
      <c r="I5718" s="2" t="s">
        <v>48</v>
      </c>
      <c r="J5718" s="2" t="s">
        <v>102</v>
      </c>
      <c r="K5718" s="2" t="s">
        <v>10233</v>
      </c>
    </row>
    <row r="5719" ht="15.75" customHeight="1">
      <c r="A5719" s="2">
        <v>17794.0</v>
      </c>
      <c r="B5719" s="2" t="s">
        <v>8313</v>
      </c>
      <c r="C5719" s="2" t="s">
        <v>11336</v>
      </c>
      <c r="D5719" s="2" t="s">
        <v>13</v>
      </c>
      <c r="E5719" s="2" t="s">
        <v>20</v>
      </c>
      <c r="F5719" s="2">
        <v>0.0</v>
      </c>
      <c r="G5719" s="2">
        <v>365.0</v>
      </c>
      <c r="H5719" s="3" t="str">
        <f>HYPERLINK("http://www.linkedin.com/pub/julian-somodi/8/494/382","http://www.linkedin.com/pub/julian-somodi/8/494/382")</f>
        <v>http://www.linkedin.com/pub/julian-somodi/8/494/382</v>
      </c>
      <c r="I5719" s="2" t="s">
        <v>15</v>
      </c>
      <c r="J5719" s="2" t="s">
        <v>21</v>
      </c>
      <c r="K5719" s="2" t="s">
        <v>10173</v>
      </c>
    </row>
    <row r="5720" ht="15.75" customHeight="1">
      <c r="A5720" s="2">
        <v>17809.0</v>
      </c>
      <c r="B5720" s="2" t="s">
        <v>133</v>
      </c>
      <c r="C5720" s="2" t="s">
        <v>11337</v>
      </c>
      <c r="D5720" s="2" t="s">
        <v>11338</v>
      </c>
      <c r="E5720" s="2" t="s">
        <v>971</v>
      </c>
      <c r="F5720" s="2">
        <v>7.0</v>
      </c>
      <c r="G5720" s="2">
        <v>500.0</v>
      </c>
      <c r="H5720" s="3" t="str">
        <f>HYPERLINK("http://www.linkedin.com/pub/michael-snayd/0/4B0/880","http://www.linkedin.com/pub/michael-snayd/0/4B0/880")</f>
        <v>http://www.linkedin.com/pub/michael-snayd/0/4B0/880</v>
      </c>
      <c r="I5720" s="2" t="s">
        <v>48</v>
      </c>
      <c r="J5720" s="2" t="s">
        <v>102</v>
      </c>
      <c r="K5720" s="2" t="s">
        <v>10176</v>
      </c>
    </row>
    <row r="5721" ht="15.75" customHeight="1">
      <c r="A5721" s="2">
        <v>17811.0</v>
      </c>
      <c r="B5721" s="2" t="s">
        <v>333</v>
      </c>
      <c r="C5721" s="2" t="s">
        <v>11339</v>
      </c>
      <c r="D5721" s="2"/>
      <c r="E5721" s="2" t="s">
        <v>101</v>
      </c>
      <c r="F5721" s="2">
        <v>6.0</v>
      </c>
      <c r="G5721" s="2">
        <v>500.0</v>
      </c>
      <c r="H5721" s="3" t="str">
        <f>HYPERLINK("http://www.linkedin.com/pub/dominic-telaro-cfpim-cirm/1/685/126","http://www.linkedin.com/pub/dominic-telaro-cfpim-cirm/1/685/126")</f>
        <v>http://www.linkedin.com/pub/dominic-telaro-cfpim-cirm/1/685/126</v>
      </c>
      <c r="I5721" s="2" t="s">
        <v>48</v>
      </c>
      <c r="J5721" s="2" t="s">
        <v>102</v>
      </c>
      <c r="K5721" s="2" t="s">
        <v>10184</v>
      </c>
    </row>
    <row r="5722" ht="15.75" customHeight="1">
      <c r="A5722" s="2">
        <v>17812.0</v>
      </c>
      <c r="B5722" s="2" t="s">
        <v>245</v>
      </c>
      <c r="C5722" s="2" t="s">
        <v>11340</v>
      </c>
      <c r="D5722" s="2" t="s">
        <v>11341</v>
      </c>
      <c r="E5722" s="2" t="s">
        <v>713</v>
      </c>
      <c r="F5722" s="2">
        <v>21.0</v>
      </c>
      <c r="G5722" s="2">
        <v>500.0</v>
      </c>
      <c r="H5722" s="3" t="str">
        <f>HYPERLINK("http://www.linkedin.com/in/stevenborg","http://www.linkedin.com/in/stevenborg")</f>
        <v>http://www.linkedin.com/in/stevenborg</v>
      </c>
      <c r="I5722" s="2" t="s">
        <v>865</v>
      </c>
      <c r="J5722" s="2" t="s">
        <v>102</v>
      </c>
      <c r="K5722" s="2" t="s">
        <v>11342</v>
      </c>
    </row>
    <row r="5723" ht="15.75" customHeight="1">
      <c r="A5723" s="2">
        <v>17813.0</v>
      </c>
      <c r="B5723" s="2" t="s">
        <v>1366</v>
      </c>
      <c r="C5723" s="2" t="s">
        <v>11343</v>
      </c>
      <c r="D5723" s="2" t="s">
        <v>11344</v>
      </c>
      <c r="E5723" s="2" t="s">
        <v>1407</v>
      </c>
      <c r="F5723" s="2">
        <v>10.0</v>
      </c>
      <c r="G5723" s="2">
        <v>500.0</v>
      </c>
      <c r="H5723" s="3" t="str">
        <f>HYPERLINK("http://www.linkedin.com/in/petergailey","http://www.linkedin.com/in/petergailey")</f>
        <v>http://www.linkedin.com/in/petergailey</v>
      </c>
      <c r="I5723" s="2" t="s">
        <v>15</v>
      </c>
      <c r="J5723" s="2" t="s">
        <v>102</v>
      </c>
      <c r="K5723" s="2" t="s">
        <v>10184</v>
      </c>
    </row>
    <row r="5724" ht="15.75" customHeight="1">
      <c r="A5724" s="2">
        <v>17816.0</v>
      </c>
      <c r="B5724" s="2" t="s">
        <v>11345</v>
      </c>
      <c r="C5724" s="2" t="s">
        <v>4096</v>
      </c>
      <c r="D5724" s="2" t="s">
        <v>7901</v>
      </c>
      <c r="E5724" s="2" t="s">
        <v>101</v>
      </c>
      <c r="F5724" s="2">
        <v>0.0</v>
      </c>
      <c r="G5724" s="2">
        <v>500.0</v>
      </c>
      <c r="H5724" s="3" t="str">
        <f>HYPERLINK("http://www.linkedin.com/pub/kent-t-kelley/0/237/98","http://www.linkedin.com/pub/kent-t-kelley/0/237/98")</f>
        <v>http://www.linkedin.com/pub/kent-t-kelley/0/237/98</v>
      </c>
      <c r="I5724" s="2" t="s">
        <v>48</v>
      </c>
      <c r="J5724" s="2" t="s">
        <v>102</v>
      </c>
      <c r="K5724" s="2" t="s">
        <v>10233</v>
      </c>
    </row>
    <row r="5725" ht="15.75" customHeight="1">
      <c r="A5725" s="2">
        <v>17818.0</v>
      </c>
      <c r="B5725" s="2" t="s">
        <v>511</v>
      </c>
      <c r="C5725" s="2" t="s">
        <v>11346</v>
      </c>
      <c r="D5725" s="2"/>
      <c r="E5725" s="2" t="s">
        <v>101</v>
      </c>
      <c r="F5725" s="2">
        <v>2.0</v>
      </c>
      <c r="G5725" s="2">
        <v>500.0</v>
      </c>
      <c r="H5725" s="3" t="str">
        <f>HYPERLINK("http://www.linkedin.com/in/mikepollitt","http://www.linkedin.com/in/mikepollitt")</f>
        <v>http://www.linkedin.com/in/mikepollitt</v>
      </c>
      <c r="I5725" s="2" t="s">
        <v>48</v>
      </c>
      <c r="J5725" s="2" t="s">
        <v>102</v>
      </c>
      <c r="K5725" s="2" t="s">
        <v>10184</v>
      </c>
    </row>
    <row r="5726" ht="15.75" customHeight="1">
      <c r="A5726" s="2">
        <v>17825.0</v>
      </c>
      <c r="B5726" s="2" t="s">
        <v>3684</v>
      </c>
      <c r="C5726" s="2" t="s">
        <v>11347</v>
      </c>
      <c r="D5726" s="2" t="s">
        <v>11348</v>
      </c>
      <c r="E5726" s="2" t="s">
        <v>1234</v>
      </c>
      <c r="F5726" s="2">
        <v>3.0</v>
      </c>
      <c r="G5726" s="2">
        <v>197.0</v>
      </c>
      <c r="H5726" s="3" t="str">
        <f>HYPERLINK("http://www.linkedin.com/pub/walter-pajaro/3/948/270","http://www.linkedin.com/pub/walter-pajaro/3/948/270")</f>
        <v>http://www.linkedin.com/pub/walter-pajaro/3/948/270</v>
      </c>
      <c r="I5726" s="2" t="s">
        <v>15</v>
      </c>
      <c r="J5726" s="2" t="s">
        <v>102</v>
      </c>
      <c r="K5726" s="2" t="s">
        <v>10245</v>
      </c>
    </row>
    <row r="5727" ht="15.75" customHeight="1">
      <c r="A5727" s="2">
        <v>17841.0</v>
      </c>
      <c r="B5727" s="2" t="s">
        <v>879</v>
      </c>
      <c r="C5727" s="2" t="s">
        <v>11349</v>
      </c>
      <c r="D5727" s="2" t="s">
        <v>2048</v>
      </c>
      <c r="E5727" s="2" t="s">
        <v>713</v>
      </c>
      <c r="F5727" s="2">
        <v>39.0</v>
      </c>
      <c r="G5727" s="2">
        <v>500.0</v>
      </c>
      <c r="H5727" s="3" t="str">
        <f>HYPERLINK("http://www.linkedin.com/in/rcreegan","http://www.linkedin.com/in/rcreegan")</f>
        <v>http://www.linkedin.com/in/rcreegan</v>
      </c>
      <c r="I5727" s="2" t="s">
        <v>696</v>
      </c>
      <c r="J5727" s="2" t="s">
        <v>102</v>
      </c>
      <c r="K5727" s="2" t="s">
        <v>10176</v>
      </c>
    </row>
    <row r="5728" ht="15.75" customHeight="1">
      <c r="A5728" s="2">
        <v>17843.0</v>
      </c>
      <c r="B5728" s="2" t="s">
        <v>1173</v>
      </c>
      <c r="C5728" s="2" t="s">
        <v>7106</v>
      </c>
      <c r="D5728" s="2"/>
      <c r="E5728" s="2" t="s">
        <v>1041</v>
      </c>
      <c r="F5728" s="2">
        <v>0.0</v>
      </c>
      <c r="G5728" s="2">
        <v>492.0</v>
      </c>
      <c r="H5728" s="3" t="str">
        <f>HYPERLINK("http://www.linkedin.com/in/stevekennyraleigh","http://www.linkedin.com/in/stevekennyraleigh")</f>
        <v>http://www.linkedin.com/in/stevekennyraleigh</v>
      </c>
      <c r="I5728" s="2" t="s">
        <v>696</v>
      </c>
      <c r="J5728" s="2" t="s">
        <v>102</v>
      </c>
      <c r="K5728" s="2" t="s">
        <v>10187</v>
      </c>
    </row>
    <row r="5729" ht="15.75" customHeight="1">
      <c r="A5729" s="2">
        <v>17845.0</v>
      </c>
      <c r="B5729" s="2" t="s">
        <v>1173</v>
      </c>
      <c r="C5729" s="2" t="s">
        <v>11350</v>
      </c>
      <c r="D5729" s="2" t="s">
        <v>11351</v>
      </c>
      <c r="E5729" s="2" t="s">
        <v>305</v>
      </c>
      <c r="F5729" s="2">
        <v>0.0</v>
      </c>
      <c r="G5729" s="2">
        <v>332.0</v>
      </c>
      <c r="H5729" s="3" t="str">
        <f>HYPERLINK("http://www.linkedin.com/pub/steve-metcalf/11/628/A5","http://www.linkedin.com/pub/steve-metcalf/11/628/A5")</f>
        <v>http://www.linkedin.com/pub/steve-metcalf/11/628/A5</v>
      </c>
      <c r="I5729" s="2" t="s">
        <v>696</v>
      </c>
      <c r="J5729" s="2" t="s">
        <v>102</v>
      </c>
      <c r="K5729" s="2" t="s">
        <v>10394</v>
      </c>
    </row>
    <row r="5730" ht="15.75" customHeight="1">
      <c r="A5730" s="2">
        <v>17847.0</v>
      </c>
      <c r="B5730" s="2" t="s">
        <v>1545</v>
      </c>
      <c r="C5730" s="2" t="s">
        <v>11352</v>
      </c>
      <c r="D5730" s="2" t="s">
        <v>11353</v>
      </c>
      <c r="E5730" s="2" t="s">
        <v>1615</v>
      </c>
      <c r="F5730" s="2">
        <v>0.0</v>
      </c>
      <c r="G5730" s="2">
        <v>500.0</v>
      </c>
      <c r="H5730" s="3" t="str">
        <f>HYPERLINK("http://www.linkedin.com/in/patrickfrancois","http://www.linkedin.com/in/patrickfrancois")</f>
        <v>http://www.linkedin.com/in/patrickfrancois</v>
      </c>
      <c r="I5730" s="2" t="s">
        <v>696</v>
      </c>
      <c r="J5730" s="2" t="s">
        <v>102</v>
      </c>
      <c r="K5730" s="2" t="s">
        <v>10233</v>
      </c>
    </row>
    <row r="5731" ht="15.75" customHeight="1">
      <c r="A5731" s="2">
        <v>17913.0</v>
      </c>
      <c r="B5731" s="2" t="s">
        <v>275</v>
      </c>
      <c r="C5731" s="2" t="s">
        <v>11354</v>
      </c>
      <c r="D5731" s="2" t="s">
        <v>6439</v>
      </c>
      <c r="E5731" s="2" t="s">
        <v>11355</v>
      </c>
      <c r="F5731" s="2">
        <v>2.0</v>
      </c>
      <c r="G5731" s="2">
        <v>294.0</v>
      </c>
      <c r="H5731" s="3" t="str">
        <f>HYPERLINK("http://www.linkedin.com/pub/mark-lysynecky/24/28A/807","http://www.linkedin.com/pub/mark-lysynecky/24/28A/807")</f>
        <v>http://www.linkedin.com/pub/mark-lysynecky/24/28A/807</v>
      </c>
      <c r="I5731" s="2" t="s">
        <v>279</v>
      </c>
      <c r="J5731" s="2" t="s">
        <v>102</v>
      </c>
      <c r="K5731" s="2" t="s">
        <v>10206</v>
      </c>
    </row>
    <row r="5732" ht="15.75" customHeight="1">
      <c r="A5732" s="2">
        <v>17964.0</v>
      </c>
      <c r="B5732" s="2" t="s">
        <v>3449</v>
      </c>
      <c r="C5732" s="2" t="s">
        <v>11356</v>
      </c>
      <c r="D5732" s="2" t="s">
        <v>11357</v>
      </c>
      <c r="E5732" s="2" t="s">
        <v>1407</v>
      </c>
      <c r="F5732" s="2">
        <v>1.0</v>
      </c>
      <c r="G5732" s="2">
        <v>233.0</v>
      </c>
      <c r="H5732" s="3" t="str">
        <f>HYPERLINK("http://www.linkedin.com/pub/kay-tarpley/7/11B/B5B","http://www.linkedin.com/pub/kay-tarpley/7/11B/B5B")</f>
        <v>http://www.linkedin.com/pub/kay-tarpley/7/11B/B5B</v>
      </c>
      <c r="I5732" s="2" t="s">
        <v>15</v>
      </c>
      <c r="J5732" s="2" t="s">
        <v>102</v>
      </c>
      <c r="K5732" s="2" t="s">
        <v>11270</v>
      </c>
    </row>
    <row r="5733" ht="15.75" customHeight="1">
      <c r="A5733" s="2">
        <v>17972.0</v>
      </c>
      <c r="B5733" s="2" t="s">
        <v>665</v>
      </c>
      <c r="C5733" s="2" t="s">
        <v>11358</v>
      </c>
      <c r="D5733" s="2"/>
      <c r="E5733" s="2" t="s">
        <v>1190</v>
      </c>
      <c r="F5733" s="2">
        <v>0.0</v>
      </c>
      <c r="G5733" s="2">
        <v>234.0</v>
      </c>
      <c r="H5733" s="3" t="str">
        <f>HYPERLINK("http://www.linkedin.com/pub/jaime-serrato/1/72/159","http://www.linkedin.com/pub/jaime-serrato/1/72/159")</f>
        <v>http://www.linkedin.com/pub/jaime-serrato/1/72/159</v>
      </c>
      <c r="I5733" s="2" t="s">
        <v>48</v>
      </c>
      <c r="J5733" s="2" t="s">
        <v>102</v>
      </c>
      <c r="K5733" s="2" t="s">
        <v>10184</v>
      </c>
    </row>
    <row r="5734" ht="15.75" customHeight="1">
      <c r="A5734" s="2">
        <v>18001.0</v>
      </c>
      <c r="B5734" s="2" t="s">
        <v>5755</v>
      </c>
      <c r="C5734" s="2" t="s">
        <v>11359</v>
      </c>
      <c r="D5734" s="2" t="s">
        <v>11360</v>
      </c>
      <c r="E5734" s="2" t="s">
        <v>20</v>
      </c>
      <c r="F5734" s="2">
        <v>6.0</v>
      </c>
      <c r="G5734" s="2">
        <v>500.0</v>
      </c>
      <c r="H5734" s="3" t="str">
        <f>HYPERLINK("http://ar.linkedin.com/in/mereles","http://ar.linkedin.com/in/mereles")</f>
        <v>http://ar.linkedin.com/in/mereles</v>
      </c>
      <c r="I5734" s="2" t="s">
        <v>15</v>
      </c>
      <c r="J5734" s="2" t="s">
        <v>21</v>
      </c>
      <c r="K5734" s="2" t="s">
        <v>10196</v>
      </c>
    </row>
    <row r="5735" ht="15.75" customHeight="1">
      <c r="A5735" s="2">
        <v>18012.0</v>
      </c>
      <c r="B5735" s="2" t="s">
        <v>11361</v>
      </c>
      <c r="C5735" s="2" t="s">
        <v>11362</v>
      </c>
      <c r="D5735" s="2" t="s">
        <v>13</v>
      </c>
      <c r="E5735" s="2" t="s">
        <v>20</v>
      </c>
      <c r="F5735" s="2">
        <v>4.0</v>
      </c>
      <c r="G5735" s="2">
        <v>379.0</v>
      </c>
      <c r="H5735" s="3" t="str">
        <f>HYPERLINK("http://www.linkedin.com/pub/juan-jeronimo-ginzburg/4/b77/560","http://www.linkedin.com/pub/juan-jeronimo-ginzburg/4/b77/560")</f>
        <v>http://www.linkedin.com/pub/juan-jeronimo-ginzburg/4/b77/560</v>
      </c>
      <c r="I5735" s="2" t="s">
        <v>48</v>
      </c>
      <c r="J5735" s="2" t="s">
        <v>21</v>
      </c>
      <c r="K5735" s="2" t="s">
        <v>10196</v>
      </c>
    </row>
    <row r="5736" ht="15.75" customHeight="1">
      <c r="A5736" s="2">
        <v>18018.0</v>
      </c>
      <c r="B5736" s="2" t="s">
        <v>11363</v>
      </c>
      <c r="C5736" s="2" t="s">
        <v>11364</v>
      </c>
      <c r="D5736" s="2" t="s">
        <v>11365</v>
      </c>
      <c r="E5736" s="2" t="s">
        <v>11366</v>
      </c>
      <c r="F5736" s="2">
        <v>0.0</v>
      </c>
      <c r="G5736" s="2">
        <v>130.0</v>
      </c>
      <c r="H5736" s="3" t="str">
        <f>HYPERLINK("http://www.linkedin.com/pub/ana-lucero-alvarado/6/163/104","http://www.linkedin.com/pub/ana-lucero-alvarado/6/163/104")</f>
        <v>http://www.linkedin.com/pub/ana-lucero-alvarado/6/163/104</v>
      </c>
      <c r="I5736" s="2" t="s">
        <v>15</v>
      </c>
      <c r="J5736" s="2" t="s">
        <v>102</v>
      </c>
      <c r="K5736" s="2" t="s">
        <v>10233</v>
      </c>
    </row>
    <row r="5737" ht="15.75" customHeight="1">
      <c r="A5737" s="2">
        <v>18020.0</v>
      </c>
      <c r="B5737" s="2" t="s">
        <v>45</v>
      </c>
      <c r="C5737" s="2" t="s">
        <v>6148</v>
      </c>
      <c r="D5737" s="2" t="s">
        <v>11367</v>
      </c>
      <c r="E5737" s="2" t="s">
        <v>1190</v>
      </c>
      <c r="F5737" s="2">
        <v>2.0</v>
      </c>
      <c r="G5737" s="2">
        <v>500.0</v>
      </c>
      <c r="H5737" s="3" t="str">
        <f>HYPERLINK("http://www.linkedin.com/pub/carlos-romero/2/A43/6","http://www.linkedin.com/pub/carlos-romero/2/A43/6")</f>
        <v>http://www.linkedin.com/pub/carlos-romero/2/A43/6</v>
      </c>
      <c r="I5737" s="2" t="s">
        <v>15</v>
      </c>
      <c r="J5737" s="2" t="s">
        <v>102</v>
      </c>
      <c r="K5737" s="2" t="s">
        <v>10184</v>
      </c>
    </row>
    <row r="5738" ht="15.75" customHeight="1">
      <c r="A5738" s="2">
        <v>18021.0</v>
      </c>
      <c r="B5738" s="2" t="s">
        <v>11368</v>
      </c>
      <c r="C5738" s="2" t="s">
        <v>11369</v>
      </c>
      <c r="D5738" s="2" t="s">
        <v>11370</v>
      </c>
      <c r="E5738" s="2" t="s">
        <v>136</v>
      </c>
      <c r="F5738" s="2">
        <v>5.0</v>
      </c>
      <c r="G5738" s="2">
        <v>106.0</v>
      </c>
      <c r="H5738" s="3" t="str">
        <f>HYPERLINK("http://www.linkedin.com/in/ganeshvlrk","http://www.linkedin.com/in/ganeshvlrk")</f>
        <v>http://www.linkedin.com/in/ganeshvlrk</v>
      </c>
      <c r="I5738" s="2" t="s">
        <v>15</v>
      </c>
      <c r="J5738" s="2" t="s">
        <v>102</v>
      </c>
      <c r="K5738" s="2" t="s">
        <v>10286</v>
      </c>
    </row>
    <row r="5739" ht="15.75" customHeight="1">
      <c r="A5739" s="2">
        <v>18023.0</v>
      </c>
      <c r="B5739" s="2" t="s">
        <v>4986</v>
      </c>
      <c r="C5739" s="2" t="s">
        <v>11371</v>
      </c>
      <c r="D5739" s="2"/>
      <c r="E5739" s="2" t="s">
        <v>136</v>
      </c>
      <c r="F5739" s="2">
        <v>7.0</v>
      </c>
      <c r="G5739" s="2">
        <v>500.0</v>
      </c>
      <c r="H5739" s="3" t="str">
        <f>HYPERLINK("http://www.linkedin.com/pub/julien-testut/0/B47/81B","http://www.linkedin.com/pub/julien-testut/0/B47/81B")</f>
        <v>http://www.linkedin.com/pub/julien-testut/0/B47/81B</v>
      </c>
      <c r="I5739" s="2" t="s">
        <v>15</v>
      </c>
      <c r="J5739" s="2" t="s">
        <v>102</v>
      </c>
      <c r="K5739" s="2" t="s">
        <v>10184</v>
      </c>
    </row>
    <row r="5740" ht="15.75" customHeight="1">
      <c r="A5740" s="2">
        <v>18044.0</v>
      </c>
      <c r="B5740" s="2" t="s">
        <v>11372</v>
      </c>
      <c r="C5740" s="2" t="s">
        <v>11373</v>
      </c>
      <c r="D5740" s="2" t="s">
        <v>11374</v>
      </c>
      <c r="E5740" s="2" t="s">
        <v>11375</v>
      </c>
      <c r="F5740" s="2">
        <v>5.0</v>
      </c>
      <c r="G5740" s="2">
        <v>335.0</v>
      </c>
      <c r="H5740" s="3" t="str">
        <f>HYPERLINK("http://www.linkedin.com/pub/majo-ros-ferrando/20/8A7/903","http://www.linkedin.com/pub/majo-ros-ferrando/20/8A7/903")</f>
        <v>http://www.linkedin.com/pub/majo-ros-ferrando/20/8A7/903</v>
      </c>
      <c r="I5740" s="2" t="s">
        <v>48</v>
      </c>
      <c r="J5740" s="2" t="s">
        <v>220</v>
      </c>
      <c r="K5740" s="2" t="s">
        <v>10173</v>
      </c>
    </row>
    <row r="5741" ht="15.75" customHeight="1">
      <c r="A5741" s="2">
        <v>18050.0</v>
      </c>
      <c r="B5741" s="2" t="s">
        <v>11376</v>
      </c>
      <c r="C5741" s="2" t="s">
        <v>11377</v>
      </c>
      <c r="D5741" s="2" t="s">
        <v>11378</v>
      </c>
      <c r="E5741" s="2" t="s">
        <v>11375</v>
      </c>
      <c r="F5741" s="2">
        <v>9.0</v>
      </c>
      <c r="G5741" s="2">
        <v>500.0</v>
      </c>
      <c r="H5741" s="3" t="str">
        <f>HYPERLINK("http://www.linkedin.com/pub/inma-kern/27/B99/617","http://www.linkedin.com/pub/inma-kern/27/B99/617")</f>
        <v>http://www.linkedin.com/pub/inma-kern/27/B99/617</v>
      </c>
      <c r="I5741" s="2" t="s">
        <v>48</v>
      </c>
      <c r="J5741" s="2" t="s">
        <v>220</v>
      </c>
      <c r="K5741" s="2" t="s">
        <v>10173</v>
      </c>
    </row>
    <row r="5742" ht="15.75" customHeight="1">
      <c r="A5742" s="2">
        <v>18054.0</v>
      </c>
      <c r="B5742" s="2" t="s">
        <v>5883</v>
      </c>
      <c r="C5742" s="2" t="s">
        <v>1729</v>
      </c>
      <c r="D5742" s="2" t="s">
        <v>835</v>
      </c>
      <c r="E5742" s="2" t="s">
        <v>20</v>
      </c>
      <c r="F5742" s="2">
        <v>3.0</v>
      </c>
      <c r="G5742" s="2">
        <v>500.0</v>
      </c>
      <c r="H5742" s="3" t="str">
        <f>HYPERLINK("http://ar.linkedin.com/pub/ariel-martinez/3/92B/763","http://ar.linkedin.com/pub/ariel-martinez/3/92B/763")</f>
        <v>http://ar.linkedin.com/pub/ariel-martinez/3/92B/763</v>
      </c>
      <c r="I5742" s="2" t="s">
        <v>48</v>
      </c>
      <c r="J5742" s="2" t="s">
        <v>21</v>
      </c>
      <c r="K5742" s="2" t="s">
        <v>10196</v>
      </c>
    </row>
    <row r="5743" ht="15.75" customHeight="1">
      <c r="A5743" s="2">
        <v>18068.0</v>
      </c>
      <c r="B5743" s="2" t="s">
        <v>11379</v>
      </c>
      <c r="C5743" s="2" t="s">
        <v>11380</v>
      </c>
      <c r="D5743" s="2" t="s">
        <v>13</v>
      </c>
      <c r="E5743" s="2" t="s">
        <v>713</v>
      </c>
      <c r="F5743" s="2">
        <v>0.0</v>
      </c>
      <c r="G5743" s="2">
        <v>323.0</v>
      </c>
      <c r="H5743" s="3" t="str">
        <f>HYPERLINK("http://www.linkedin.com/pub/luciene-regnery-lcb-mba-cgbp/10/728/806","http://www.linkedin.com/pub/luciene-regnery-lcb-mba-cgbp/10/728/806")</f>
        <v>http://www.linkedin.com/pub/luciene-regnery-lcb-mba-cgbp/10/728/806</v>
      </c>
      <c r="I5743" s="2" t="s">
        <v>669</v>
      </c>
      <c r="J5743" s="2" t="s">
        <v>102</v>
      </c>
      <c r="K5743" s="2" t="s">
        <v>10209</v>
      </c>
    </row>
    <row r="5744" ht="15.75" customHeight="1">
      <c r="A5744" s="2">
        <v>18129.0</v>
      </c>
      <c r="B5744" s="2" t="s">
        <v>70</v>
      </c>
      <c r="C5744" s="2" t="s">
        <v>11381</v>
      </c>
      <c r="D5744" s="2" t="s">
        <v>11382</v>
      </c>
      <c r="E5744" s="2" t="s">
        <v>20</v>
      </c>
      <c r="F5744" s="2">
        <v>1.0</v>
      </c>
      <c r="G5744" s="2">
        <v>67.0</v>
      </c>
      <c r="H5744" s="3" t="str">
        <f>HYPERLINK("http://ar.linkedin.com/pub/gustavo-lazzeri/1/B72/4B7","http://ar.linkedin.com/pub/gustavo-lazzeri/1/B72/4B7")</f>
        <v>http://ar.linkedin.com/pub/gustavo-lazzeri/1/B72/4B7</v>
      </c>
      <c r="I5744" s="2" t="s">
        <v>48</v>
      </c>
      <c r="J5744" s="2" t="s">
        <v>21</v>
      </c>
      <c r="K5744" s="2" t="s">
        <v>10173</v>
      </c>
    </row>
    <row r="5745" ht="15.75" customHeight="1">
      <c r="A5745" s="2">
        <v>18131.0</v>
      </c>
      <c r="B5745" s="2" t="s">
        <v>3201</v>
      </c>
      <c r="C5745" s="2" t="s">
        <v>7545</v>
      </c>
      <c r="D5745" s="2" t="s">
        <v>100</v>
      </c>
      <c r="E5745" s="2" t="s">
        <v>20</v>
      </c>
      <c r="F5745" s="2">
        <v>4.0</v>
      </c>
      <c r="G5745" s="2">
        <v>500.0</v>
      </c>
      <c r="H5745" s="3" t="str">
        <f>HYPERLINK("http://ar.linkedin.com/in/iglesias","http://ar.linkedin.com/in/iglesias")</f>
        <v>http://ar.linkedin.com/in/iglesias</v>
      </c>
      <c r="I5745" s="2" t="s">
        <v>15</v>
      </c>
      <c r="J5745" s="2" t="s">
        <v>21</v>
      </c>
      <c r="K5745" s="2" t="s">
        <v>10799</v>
      </c>
    </row>
    <row r="5746" ht="15.75" customHeight="1">
      <c r="A5746" s="2">
        <v>18153.0</v>
      </c>
      <c r="B5746" s="2" t="s">
        <v>1593</v>
      </c>
      <c r="C5746" s="2" t="s">
        <v>11383</v>
      </c>
      <c r="D5746" s="2" t="s">
        <v>11384</v>
      </c>
      <c r="E5746" s="2" t="s">
        <v>11385</v>
      </c>
      <c r="F5746" s="2">
        <v>6.0</v>
      </c>
      <c r="G5746" s="2">
        <v>383.0</v>
      </c>
      <c r="H5746" s="3" t="str">
        <f>HYPERLINK("http://www.linkedin.com/in/adamroll","http://www.linkedin.com/in/adamroll")</f>
        <v>http://www.linkedin.com/in/adamroll</v>
      </c>
      <c r="I5746" s="2" t="s">
        <v>48</v>
      </c>
      <c r="J5746" s="2" t="s">
        <v>102</v>
      </c>
      <c r="K5746" s="2" t="s">
        <v>10202</v>
      </c>
    </row>
    <row r="5747" ht="15.75" customHeight="1">
      <c r="A5747" s="2">
        <v>18155.0</v>
      </c>
      <c r="B5747" s="2" t="s">
        <v>5763</v>
      </c>
      <c r="C5747" s="2" t="s">
        <v>11386</v>
      </c>
      <c r="D5747" s="2" t="s">
        <v>11387</v>
      </c>
      <c r="E5747" s="2" t="s">
        <v>20</v>
      </c>
      <c r="F5747" s="2">
        <v>38.0</v>
      </c>
      <c r="G5747" s="2">
        <v>500.0</v>
      </c>
      <c r="H5747" s="3" t="str">
        <f>HYPERLINK("http://ar.linkedin.com/in/ezequielsallis","http://ar.linkedin.com/in/ezequielsallis")</f>
        <v>http://ar.linkedin.com/in/ezequielsallis</v>
      </c>
      <c r="I5747" s="2" t="s">
        <v>160</v>
      </c>
      <c r="J5747" s="2" t="s">
        <v>21</v>
      </c>
      <c r="K5747" s="2" t="s">
        <v>10371</v>
      </c>
    </row>
    <row r="5748" ht="15.75" customHeight="1">
      <c r="A5748" s="2">
        <v>18185.0</v>
      </c>
      <c r="B5748" s="2" t="s">
        <v>11388</v>
      </c>
      <c r="C5748" s="2" t="s">
        <v>11389</v>
      </c>
      <c r="D5748" s="2"/>
      <c r="E5748" s="2" t="s">
        <v>181</v>
      </c>
      <c r="F5748" s="2">
        <v>1.0</v>
      </c>
      <c r="G5748" s="2">
        <v>256.0</v>
      </c>
      <c r="H5748" s="3" t="str">
        <f>HYPERLINK("http://www.linkedin.com/pub/prakash-nauduri/0/6B2/629","http://www.linkedin.com/pub/prakash-nauduri/0/6B2/629")</f>
        <v>http://www.linkedin.com/pub/prakash-nauduri/0/6B2/629</v>
      </c>
      <c r="I5748" s="2" t="s">
        <v>15</v>
      </c>
      <c r="J5748" s="2" t="s">
        <v>102</v>
      </c>
      <c r="K5748" s="2" t="s">
        <v>10184</v>
      </c>
    </row>
    <row r="5749" ht="15.75" customHeight="1">
      <c r="A5749" s="2">
        <v>18190.0</v>
      </c>
      <c r="B5749" s="2" t="s">
        <v>752</v>
      </c>
      <c r="C5749" s="2" t="s">
        <v>11390</v>
      </c>
      <c r="D5749" s="2" t="s">
        <v>11391</v>
      </c>
      <c r="E5749" s="2" t="s">
        <v>11392</v>
      </c>
      <c r="F5749" s="2">
        <v>2.0</v>
      </c>
      <c r="G5749" s="2">
        <v>500.0</v>
      </c>
      <c r="H5749" s="3" t="str">
        <f>HYPERLINK("http://www.linkedin.com/pub/jim-mckeighan/0/97A/313","http://www.linkedin.com/pub/jim-mckeighan/0/97A/313")</f>
        <v>http://www.linkedin.com/pub/jim-mckeighan/0/97A/313</v>
      </c>
      <c r="I5749" s="2" t="s">
        <v>15</v>
      </c>
      <c r="J5749" s="2" t="s">
        <v>102</v>
      </c>
      <c r="K5749" s="2" t="s">
        <v>10184</v>
      </c>
    </row>
    <row r="5750" ht="15.75" customHeight="1">
      <c r="A5750" s="2">
        <v>18191.0</v>
      </c>
      <c r="B5750" s="2" t="s">
        <v>11393</v>
      </c>
      <c r="C5750" s="2" t="s">
        <v>11394</v>
      </c>
      <c r="D5750" s="2" t="s">
        <v>11395</v>
      </c>
      <c r="E5750" s="2" t="s">
        <v>301</v>
      </c>
      <c r="F5750" s="2">
        <v>8.0</v>
      </c>
      <c r="G5750" s="2">
        <v>500.0</v>
      </c>
      <c r="H5750" s="3" t="str">
        <f>HYPERLINK("http://www.linkedin.com/in/ssugarman","http://www.linkedin.com/in/ssugarman")</f>
        <v>http://www.linkedin.com/in/ssugarman</v>
      </c>
      <c r="I5750" s="2" t="s">
        <v>15</v>
      </c>
      <c r="J5750" s="2" t="s">
        <v>102</v>
      </c>
      <c r="K5750" s="2" t="s">
        <v>10245</v>
      </c>
    </row>
    <row r="5751" ht="15.75" customHeight="1">
      <c r="A5751" s="2">
        <v>18194.0</v>
      </c>
      <c r="B5751" s="2" t="s">
        <v>178</v>
      </c>
      <c r="C5751" s="2" t="s">
        <v>11396</v>
      </c>
      <c r="D5751" s="2" t="s">
        <v>11397</v>
      </c>
      <c r="E5751" s="2" t="s">
        <v>2058</v>
      </c>
      <c r="F5751" s="2">
        <v>4.0</v>
      </c>
      <c r="G5751" s="2">
        <v>500.0</v>
      </c>
      <c r="H5751" s="3" t="str">
        <f>HYPERLINK("http://www.linkedin.com/in/joejorczak","http://www.linkedin.com/in/joejorczak")</f>
        <v>http://www.linkedin.com/in/joejorczak</v>
      </c>
      <c r="I5751" s="2" t="s">
        <v>15</v>
      </c>
      <c r="J5751" s="2" t="s">
        <v>102</v>
      </c>
      <c r="K5751" s="2" t="s">
        <v>11270</v>
      </c>
    </row>
    <row r="5752" ht="15.75" customHeight="1">
      <c r="A5752" s="2">
        <v>18223.0</v>
      </c>
      <c r="B5752" s="2" t="s">
        <v>631</v>
      </c>
      <c r="C5752" s="2" t="s">
        <v>11398</v>
      </c>
      <c r="D5752" s="2" t="s">
        <v>11399</v>
      </c>
      <c r="E5752" s="2" t="s">
        <v>1370</v>
      </c>
      <c r="F5752" s="2">
        <v>1.0</v>
      </c>
      <c r="G5752" s="2">
        <v>500.0</v>
      </c>
      <c r="H5752" s="3" t="str">
        <f>HYPERLINK("http://www.linkedin.com/pub/chris-ciauri/0/155/97B","http://www.linkedin.com/pub/chris-ciauri/0/155/97B")</f>
        <v>http://www.linkedin.com/pub/chris-ciauri/0/155/97B</v>
      </c>
      <c r="I5752" s="2" t="s">
        <v>69</v>
      </c>
      <c r="J5752" s="2" t="s">
        <v>1371</v>
      </c>
      <c r="K5752" s="2" t="s">
        <v>10343</v>
      </c>
    </row>
    <row r="5753" ht="15.75" customHeight="1">
      <c r="A5753" s="2">
        <v>18228.0</v>
      </c>
      <c r="B5753" s="2" t="s">
        <v>631</v>
      </c>
      <c r="C5753" s="2" t="s">
        <v>11400</v>
      </c>
      <c r="D5753" s="2" t="s">
        <v>11401</v>
      </c>
      <c r="E5753" s="2" t="s">
        <v>136</v>
      </c>
      <c r="F5753" s="2">
        <v>4.0</v>
      </c>
      <c r="G5753" s="2">
        <v>500.0</v>
      </c>
      <c r="H5753" s="3" t="str">
        <f>HYPERLINK("http://www.linkedin.com/pub/chris-heller/0/650/907","http://www.linkedin.com/pub/chris-heller/0/650/907")</f>
        <v>http://www.linkedin.com/pub/chris-heller/0/650/907</v>
      </c>
      <c r="I5753" s="2" t="s">
        <v>15</v>
      </c>
      <c r="J5753" s="2" t="s">
        <v>102</v>
      </c>
      <c r="K5753" s="2" t="s">
        <v>10184</v>
      </c>
    </row>
    <row r="5754" ht="15.75" customHeight="1">
      <c r="A5754" s="2">
        <v>18231.0</v>
      </c>
      <c r="B5754" s="2" t="s">
        <v>6339</v>
      </c>
      <c r="C5754" s="2" t="s">
        <v>11402</v>
      </c>
      <c r="D5754" s="2" t="s">
        <v>13</v>
      </c>
      <c r="E5754" s="2" t="s">
        <v>20</v>
      </c>
      <c r="F5754" s="2">
        <v>0.0</v>
      </c>
      <c r="G5754" s="2">
        <v>500.0</v>
      </c>
      <c r="H5754" s="3" t="str">
        <f>HYPERLINK("https://www.linkedin.com/in/estebansuti","https://www.linkedin.com/in/estebansuti")</f>
        <v>https://www.linkedin.com/in/estebansuti</v>
      </c>
      <c r="I5754" s="2" t="s">
        <v>15</v>
      </c>
      <c r="J5754" s="2" t="s">
        <v>21</v>
      </c>
      <c r="K5754" s="2" t="s">
        <v>10180</v>
      </c>
    </row>
    <row r="5755" ht="15.75" customHeight="1">
      <c r="A5755" s="2">
        <v>18263.0</v>
      </c>
      <c r="B5755" s="2" t="s">
        <v>358</v>
      </c>
      <c r="C5755" s="2" t="s">
        <v>11403</v>
      </c>
      <c r="D5755" s="2" t="s">
        <v>11404</v>
      </c>
      <c r="E5755" s="2" t="s">
        <v>20</v>
      </c>
      <c r="F5755" s="2" t="s">
        <v>13</v>
      </c>
      <c r="G5755" s="2">
        <v>351.0</v>
      </c>
      <c r="H5755" s="3" t="str">
        <f>HYPERLINK("http://ar.linkedin.com/in/marcelosaludas","http://ar.linkedin.com/in/marcelosaludas")</f>
        <v>http://ar.linkedin.com/in/marcelosaludas</v>
      </c>
      <c r="I5755" s="2" t="s">
        <v>48</v>
      </c>
      <c r="J5755" s="2" t="s">
        <v>21</v>
      </c>
      <c r="K5755" s="2" t="s">
        <v>10173</v>
      </c>
    </row>
    <row r="5756" ht="15.75" customHeight="1">
      <c r="A5756" s="2">
        <v>18287.0</v>
      </c>
      <c r="B5756" s="2" t="s">
        <v>362</v>
      </c>
      <c r="C5756" s="2" t="s">
        <v>2995</v>
      </c>
      <c r="D5756" s="2" t="s">
        <v>11405</v>
      </c>
      <c r="E5756" s="2" t="s">
        <v>20</v>
      </c>
      <c r="F5756" s="2">
        <v>11.0</v>
      </c>
      <c r="G5756" s="2">
        <v>159.0</v>
      </c>
      <c r="H5756" s="3" t="str">
        <f>HYPERLINK("http://ar.linkedin.com/in/javiervillegas","http://ar.linkedin.com/in/javiervillegas")</f>
        <v>http://ar.linkedin.com/in/javiervillegas</v>
      </c>
      <c r="I5756" s="2" t="s">
        <v>15</v>
      </c>
      <c r="J5756" s="2" t="s">
        <v>21</v>
      </c>
      <c r="K5756" s="2" t="s">
        <v>10180</v>
      </c>
    </row>
    <row r="5757" ht="15.75" customHeight="1">
      <c r="A5757" s="2">
        <v>18299.0</v>
      </c>
      <c r="B5757" s="2" t="s">
        <v>11105</v>
      </c>
      <c r="C5757" s="2" t="s">
        <v>11406</v>
      </c>
      <c r="D5757" s="2" t="s">
        <v>8132</v>
      </c>
      <c r="E5757" s="2" t="s">
        <v>136</v>
      </c>
      <c r="F5757" s="2">
        <v>2.0</v>
      </c>
      <c r="G5757" s="2">
        <v>195.0</v>
      </c>
      <c r="H5757" s="3" t="str">
        <f>HYPERLINK("http://www.linkedin.com/pub/vinay-shankar/0/630/72A","http://www.linkedin.com/pub/vinay-shankar/0/630/72A")</f>
        <v>http://www.linkedin.com/pub/vinay-shankar/0/630/72A</v>
      </c>
      <c r="I5757" s="2" t="s">
        <v>48</v>
      </c>
      <c r="J5757" s="2" t="s">
        <v>102</v>
      </c>
      <c r="K5757" s="2" t="s">
        <v>10184</v>
      </c>
    </row>
    <row r="5758" ht="15.75" customHeight="1">
      <c r="A5758" s="2">
        <v>18322.0</v>
      </c>
      <c r="B5758" s="2" t="s">
        <v>11407</v>
      </c>
      <c r="C5758" s="2" t="s">
        <v>11408</v>
      </c>
      <c r="D5758" s="2" t="s">
        <v>6098</v>
      </c>
      <c r="E5758" s="2" t="s">
        <v>20</v>
      </c>
      <c r="F5758" s="2">
        <v>2.0</v>
      </c>
      <c r="G5758" s="2">
        <v>144.0</v>
      </c>
      <c r="H5758" s="3" t="str">
        <f>HYPERLINK("http://ar.linkedin.com/pub/nicol-s-pablo-raposo/23/837/186","http://ar.linkedin.com/pub/nicol-s-pablo-raposo/23/837/186")</f>
        <v>http://ar.linkedin.com/pub/nicol-s-pablo-raposo/23/837/186</v>
      </c>
      <c r="I5758" s="2" t="s">
        <v>15</v>
      </c>
      <c r="J5758" s="2" t="s">
        <v>21</v>
      </c>
      <c r="K5758" s="2" t="s">
        <v>10196</v>
      </c>
    </row>
    <row r="5759" ht="15.75" customHeight="1">
      <c r="A5759" s="2">
        <v>18342.0</v>
      </c>
      <c r="B5759" s="2" t="s">
        <v>752</v>
      </c>
      <c r="C5759" s="2" t="s">
        <v>10974</v>
      </c>
      <c r="D5759" s="2" t="s">
        <v>11409</v>
      </c>
      <c r="E5759" s="2" t="s">
        <v>136</v>
      </c>
      <c r="F5759" s="2">
        <v>0.0</v>
      </c>
      <c r="G5759" s="2">
        <v>49.0</v>
      </c>
      <c r="H5759" s="3" t="str">
        <f>HYPERLINK("http://www.linkedin.com/pub/jim-fong/0/93A/B79","http://www.linkedin.com/pub/jim-fong/0/93A/B79")</f>
        <v>http://www.linkedin.com/pub/jim-fong/0/93A/B79</v>
      </c>
      <c r="I5759" s="2" t="s">
        <v>15</v>
      </c>
      <c r="J5759" s="2" t="s">
        <v>102</v>
      </c>
      <c r="K5759" s="2" t="s">
        <v>10184</v>
      </c>
    </row>
    <row r="5760" ht="15.75" customHeight="1">
      <c r="A5760" s="2">
        <v>18343.0</v>
      </c>
      <c r="B5760" s="2" t="s">
        <v>637</v>
      </c>
      <c r="C5760" s="2" t="s">
        <v>11410</v>
      </c>
      <c r="D5760" s="2" t="s">
        <v>11411</v>
      </c>
      <c r="E5760" s="2" t="s">
        <v>20</v>
      </c>
      <c r="F5760" s="2">
        <v>1.0</v>
      </c>
      <c r="G5760" s="2">
        <v>164.0</v>
      </c>
      <c r="H5760" s="3" t="str">
        <f>HYPERLINK("http://ar.linkedin.com/in/leonardoabdelnour","http://ar.linkedin.com/in/leonardoabdelnour")</f>
        <v>http://ar.linkedin.com/in/leonardoabdelnour</v>
      </c>
      <c r="I5760" s="2" t="s">
        <v>15</v>
      </c>
      <c r="J5760" s="2" t="s">
        <v>21</v>
      </c>
      <c r="K5760" s="2" t="s">
        <v>10173</v>
      </c>
    </row>
    <row r="5761" ht="15.75" customHeight="1">
      <c r="A5761" s="2">
        <v>18366.0</v>
      </c>
      <c r="B5761" s="2" t="s">
        <v>7698</v>
      </c>
      <c r="C5761" s="2" t="s">
        <v>11412</v>
      </c>
      <c r="D5761" s="2" t="s">
        <v>13</v>
      </c>
      <c r="E5761" s="2" t="s">
        <v>20</v>
      </c>
      <c r="F5761" s="2">
        <v>0.0</v>
      </c>
      <c r="G5761" s="2">
        <v>500.0</v>
      </c>
      <c r="H5761" s="3" t="str">
        <f>HYPERLINK("http://www.linkedin.com/pub/melisa-loyza/30/81/273","http://www.linkedin.com/pub/melisa-loyza/30/81/273")</f>
        <v>http://www.linkedin.com/pub/melisa-loyza/30/81/273</v>
      </c>
      <c r="I5761" s="2" t="s">
        <v>15</v>
      </c>
      <c r="J5761" s="2" t="s">
        <v>21</v>
      </c>
      <c r="K5761" s="2" t="s">
        <v>10173</v>
      </c>
    </row>
    <row r="5762" ht="15.75" customHeight="1">
      <c r="A5762" s="2">
        <v>18375.0</v>
      </c>
      <c r="B5762" s="2" t="s">
        <v>631</v>
      </c>
      <c r="C5762" s="2" t="s">
        <v>11413</v>
      </c>
      <c r="D5762" s="2" t="s">
        <v>5749</v>
      </c>
      <c r="E5762" s="2" t="s">
        <v>2058</v>
      </c>
      <c r="F5762" s="2">
        <v>12.0</v>
      </c>
      <c r="G5762" s="2">
        <v>246.0</v>
      </c>
      <c r="H5762" s="3" t="str">
        <f>HYPERLINK("http://www.linkedin.com/pub/chris-blackburn/13/486/973","http://www.linkedin.com/pub/chris-blackburn/13/486/973")</f>
        <v>http://www.linkedin.com/pub/chris-blackburn/13/486/973</v>
      </c>
      <c r="I5762" s="2" t="s">
        <v>15</v>
      </c>
      <c r="J5762" s="2" t="s">
        <v>102</v>
      </c>
      <c r="K5762" s="2" t="s">
        <v>10233</v>
      </c>
    </row>
    <row r="5763" ht="15.75" customHeight="1">
      <c r="A5763" s="2">
        <v>18407.0</v>
      </c>
      <c r="B5763" s="2" t="s">
        <v>2329</v>
      </c>
      <c r="C5763" s="2" t="s">
        <v>11414</v>
      </c>
      <c r="D5763" s="2" t="s">
        <v>11415</v>
      </c>
      <c r="E5763" s="2" t="s">
        <v>20</v>
      </c>
      <c r="F5763" s="2">
        <v>12.0</v>
      </c>
      <c r="G5763" s="2">
        <v>500.0</v>
      </c>
      <c r="H5763" s="3" t="str">
        <f>HYPERLINK("http://ar.linkedin.com/in/paulobusacca","http://ar.linkedin.com/in/paulobusacca")</f>
        <v>http://ar.linkedin.com/in/paulobusacca</v>
      </c>
      <c r="I5763" s="2" t="s">
        <v>57</v>
      </c>
      <c r="J5763" s="2" t="s">
        <v>21</v>
      </c>
      <c r="K5763" s="2" t="s">
        <v>10371</v>
      </c>
    </row>
    <row r="5764" ht="15.75" customHeight="1">
      <c r="A5764" s="2">
        <v>18410.0</v>
      </c>
      <c r="B5764" s="2" t="s">
        <v>671</v>
      </c>
      <c r="C5764" s="2" t="s">
        <v>11416</v>
      </c>
      <c r="D5764" s="2" t="s">
        <v>11417</v>
      </c>
      <c r="E5764" s="2" t="s">
        <v>1190</v>
      </c>
      <c r="F5764" s="2">
        <v>5.0</v>
      </c>
      <c r="G5764" s="2">
        <v>500.0</v>
      </c>
      <c r="H5764" s="3" t="str">
        <f>HYPERLINK("http://www.linkedin.com/in/marianaoz36","http://www.linkedin.com/in/marianaoz36")</f>
        <v>http://www.linkedin.com/in/marianaoz36</v>
      </c>
      <c r="I5764" s="2" t="s">
        <v>669</v>
      </c>
      <c r="J5764" s="2" t="s">
        <v>102</v>
      </c>
      <c r="K5764" s="2" t="s">
        <v>10799</v>
      </c>
    </row>
    <row r="5765" ht="15.75" customHeight="1">
      <c r="A5765" s="2">
        <v>18416.0</v>
      </c>
      <c r="B5765" s="2" t="s">
        <v>11418</v>
      </c>
      <c r="C5765" s="2" t="s">
        <v>11419</v>
      </c>
      <c r="D5765" s="2" t="s">
        <v>11420</v>
      </c>
      <c r="E5765" s="2" t="s">
        <v>407</v>
      </c>
      <c r="F5765" s="2">
        <v>8.0</v>
      </c>
      <c r="G5765" s="2">
        <v>281.0</v>
      </c>
      <c r="H5765" s="3" t="str">
        <f>HYPERLINK("http://www.linkedin.com/pub/jerson-calderon/9/219/153","http://www.linkedin.com/pub/jerson-calderon/9/219/153")</f>
        <v>http://www.linkedin.com/pub/jerson-calderon/9/219/153</v>
      </c>
      <c r="I5765" s="2" t="s">
        <v>77</v>
      </c>
      <c r="J5765" s="2" t="s">
        <v>102</v>
      </c>
      <c r="K5765" s="2" t="s">
        <v>10384</v>
      </c>
    </row>
    <row r="5766" ht="15.75" customHeight="1">
      <c r="A5766" s="2">
        <v>18419.0</v>
      </c>
      <c r="B5766" s="2" t="s">
        <v>11421</v>
      </c>
      <c r="C5766" s="2" t="s">
        <v>11422</v>
      </c>
      <c r="D5766" s="2" t="s">
        <v>11423</v>
      </c>
      <c r="E5766" s="2" t="s">
        <v>971</v>
      </c>
      <c r="F5766" s="2" t="s">
        <v>13</v>
      </c>
      <c r="G5766" s="2">
        <v>322.0</v>
      </c>
      <c r="H5766" s="3" t="str">
        <f>HYPERLINK("http://www.linkedin.com/pub/randall-wiley/2/780/4A6","http://www.linkedin.com/pub/randall-wiley/2/780/4A6")</f>
        <v>http://www.linkedin.com/pub/randall-wiley/2/780/4A6</v>
      </c>
      <c r="I5766" s="2" t="s">
        <v>15</v>
      </c>
      <c r="J5766" s="2" t="s">
        <v>102</v>
      </c>
      <c r="K5766" s="2" t="s">
        <v>10233</v>
      </c>
    </row>
    <row r="5767" ht="15.75" customHeight="1">
      <c r="A5767" s="2">
        <v>18468.0</v>
      </c>
      <c r="B5767" s="2" t="s">
        <v>11424</v>
      </c>
      <c r="C5767" s="2" t="s">
        <v>11425</v>
      </c>
      <c r="D5767" s="2" t="s">
        <v>13</v>
      </c>
      <c r="E5767" s="2" t="s">
        <v>20</v>
      </c>
      <c r="F5767" s="2">
        <v>0.0</v>
      </c>
      <c r="G5767" s="2">
        <v>388.0</v>
      </c>
      <c r="H5767" s="3" t="str">
        <f>HYPERLINK("http://www.linkedin.com/pub/dar%C3%ADo-galasso/22/702/545","http://www.linkedin.com/pub/dar%C3%ADo-galasso/22/702/545")</f>
        <v>http://www.linkedin.com/pub/dar%C3%ADo-galasso/22/702/545</v>
      </c>
      <c r="I5767" s="2" t="s">
        <v>15</v>
      </c>
      <c r="J5767" s="2" t="s">
        <v>21</v>
      </c>
      <c r="K5767" s="2" t="s">
        <v>10206</v>
      </c>
    </row>
    <row r="5768" ht="15.75" customHeight="1">
      <c r="A5768" s="2">
        <v>18505.0</v>
      </c>
      <c r="B5768" s="2" t="s">
        <v>6252</v>
      </c>
      <c r="C5768" s="2" t="s">
        <v>10570</v>
      </c>
      <c r="D5768" s="2" t="s">
        <v>11426</v>
      </c>
      <c r="E5768" s="2" t="s">
        <v>1918</v>
      </c>
      <c r="F5768" s="2">
        <v>23.0</v>
      </c>
      <c r="G5768" s="2">
        <v>379.0</v>
      </c>
      <c r="H5768" s="3" t="str">
        <f>HYPERLINK("http://www.linkedin.com/in/sicanepa","http://www.linkedin.com/in/sicanepa")</f>
        <v>http://www.linkedin.com/in/sicanepa</v>
      </c>
      <c r="I5768" s="2" t="s">
        <v>48</v>
      </c>
      <c r="J5768" s="2" t="s">
        <v>102</v>
      </c>
      <c r="K5768" s="2" t="s">
        <v>10184</v>
      </c>
    </row>
    <row r="5769" ht="15.75" customHeight="1">
      <c r="A5769" s="2">
        <v>18572.0</v>
      </c>
      <c r="B5769" s="2" t="s">
        <v>540</v>
      </c>
      <c r="C5769" s="2" t="s">
        <v>11427</v>
      </c>
      <c r="D5769" s="2" t="s">
        <v>347</v>
      </c>
      <c r="E5769" s="2" t="s">
        <v>20</v>
      </c>
      <c r="F5769" s="2">
        <v>10.0</v>
      </c>
      <c r="G5769" s="2">
        <v>500.0</v>
      </c>
      <c r="H5769" s="3" t="str">
        <f>HYPERLINK("http://ar.linkedin.com/in/podestacc","http://ar.linkedin.com/in/podestacc")</f>
        <v>http://ar.linkedin.com/in/podestacc</v>
      </c>
      <c r="I5769" s="2" t="s">
        <v>15</v>
      </c>
      <c r="J5769" s="2" t="s">
        <v>21</v>
      </c>
      <c r="K5769" s="2" t="s">
        <v>10572</v>
      </c>
    </row>
    <row r="5770" ht="15.75" customHeight="1">
      <c r="A5770" s="2">
        <v>18575.0</v>
      </c>
      <c r="B5770" s="2" t="s">
        <v>3299</v>
      </c>
      <c r="C5770" s="2" t="s">
        <v>3727</v>
      </c>
      <c r="D5770" s="2" t="s">
        <v>11428</v>
      </c>
      <c r="E5770" s="2" t="s">
        <v>20</v>
      </c>
      <c r="F5770" s="2">
        <v>3.0</v>
      </c>
      <c r="G5770" s="2">
        <v>500.0</v>
      </c>
      <c r="H5770" s="3" t="str">
        <f>HYPERLINK("http://ar.linkedin.com/pub/fabian-esposito/6/9B/910","http://ar.linkedin.com/pub/fabian-esposito/6/9B/910")</f>
        <v>http://ar.linkedin.com/pub/fabian-esposito/6/9B/910</v>
      </c>
      <c r="I5770" s="2" t="s">
        <v>15</v>
      </c>
      <c r="J5770" s="2" t="s">
        <v>21</v>
      </c>
      <c r="K5770" s="2" t="s">
        <v>10180</v>
      </c>
    </row>
    <row r="5771" ht="15.75" customHeight="1">
      <c r="A5771" s="2">
        <v>18577.0</v>
      </c>
      <c r="B5771" s="2" t="s">
        <v>5803</v>
      </c>
      <c r="C5771" s="2" t="s">
        <v>11429</v>
      </c>
      <c r="D5771" s="2" t="s">
        <v>835</v>
      </c>
      <c r="E5771" s="2" t="s">
        <v>20</v>
      </c>
      <c r="F5771" s="2">
        <v>20.0</v>
      </c>
      <c r="G5771" s="2">
        <v>500.0</v>
      </c>
      <c r="H5771" s="3" t="str">
        <f>HYPERLINK("http://ar.linkedin.com/in/marianostempler","http://ar.linkedin.com/in/marianostempler")</f>
        <v>http://ar.linkedin.com/in/marianostempler</v>
      </c>
      <c r="I5771" s="2" t="s">
        <v>15</v>
      </c>
      <c r="J5771" s="2" t="s">
        <v>21</v>
      </c>
      <c r="K5771" s="2" t="s">
        <v>10196</v>
      </c>
    </row>
    <row r="5772" ht="15.75" customHeight="1">
      <c r="A5772" s="2">
        <v>18583.0</v>
      </c>
      <c r="B5772" s="2" t="s">
        <v>647</v>
      </c>
      <c r="C5772" s="2" t="s">
        <v>6223</v>
      </c>
      <c r="D5772" s="2" t="s">
        <v>6270</v>
      </c>
      <c r="E5772" s="2" t="s">
        <v>20</v>
      </c>
      <c r="F5772" s="2">
        <v>3.0</v>
      </c>
      <c r="G5772" s="2">
        <v>109.0</v>
      </c>
      <c r="H5772" s="3" t="str">
        <f>HYPERLINK("http://ar.linkedin.com/in/claudioroitman","http://ar.linkedin.com/in/claudioroitman")</f>
        <v>http://ar.linkedin.com/in/claudioroitman</v>
      </c>
      <c r="I5772" s="2" t="s">
        <v>15</v>
      </c>
      <c r="J5772" s="2" t="s">
        <v>21</v>
      </c>
      <c r="K5772" s="2" t="s">
        <v>10340</v>
      </c>
    </row>
    <row r="5773" ht="15.75" customHeight="1">
      <c r="A5773" s="2">
        <v>18616.0</v>
      </c>
      <c r="B5773" s="2" t="s">
        <v>5681</v>
      </c>
      <c r="C5773" s="2" t="s">
        <v>11430</v>
      </c>
      <c r="D5773" s="2" t="s">
        <v>11431</v>
      </c>
      <c r="E5773" s="2" t="s">
        <v>20</v>
      </c>
      <c r="F5773" s="2">
        <v>6.0</v>
      </c>
      <c r="G5773" s="2">
        <v>500.0</v>
      </c>
      <c r="H5773" s="3" t="str">
        <f>HYPERLINK("http://www.linkedin.com/in/molinadamian","http://www.linkedin.com/in/molinadamian")</f>
        <v>http://www.linkedin.com/in/molinadamian</v>
      </c>
      <c r="I5773" s="2" t="s">
        <v>69</v>
      </c>
      <c r="J5773" s="2" t="s">
        <v>21</v>
      </c>
      <c r="K5773" s="2" t="s">
        <v>10343</v>
      </c>
    </row>
    <row r="5774" ht="15.75" customHeight="1">
      <c r="A5774" s="2">
        <v>18694.0</v>
      </c>
      <c r="B5774" s="2" t="s">
        <v>6112</v>
      </c>
      <c r="C5774" s="2" t="s">
        <v>6209</v>
      </c>
      <c r="D5774" s="2" t="s">
        <v>11432</v>
      </c>
      <c r="E5774" s="2" t="s">
        <v>20</v>
      </c>
      <c r="F5774" s="2">
        <v>3.0</v>
      </c>
      <c r="G5774" s="2">
        <v>500.0</v>
      </c>
      <c r="H5774" s="3" t="str">
        <f>HYPERLINK("http://ar.linkedin.com/in/jonatanfasano","http://ar.linkedin.com/in/jonatanfasano")</f>
        <v>http://ar.linkedin.com/in/jonatanfasano</v>
      </c>
      <c r="I5774" s="2" t="s">
        <v>69</v>
      </c>
      <c r="J5774" s="2" t="s">
        <v>21</v>
      </c>
      <c r="K5774" s="2" t="s">
        <v>10196</v>
      </c>
    </row>
    <row r="5775" ht="15.75" customHeight="1">
      <c r="A5775" s="2">
        <v>18770.0</v>
      </c>
      <c r="B5775" s="2" t="s">
        <v>70</v>
      </c>
      <c r="C5775" s="2" t="s">
        <v>11433</v>
      </c>
      <c r="D5775" s="2" t="s">
        <v>13</v>
      </c>
      <c r="E5775" s="2" t="s">
        <v>20</v>
      </c>
      <c r="F5775" s="2">
        <v>0.0</v>
      </c>
      <c r="G5775" s="2">
        <v>128.0</v>
      </c>
      <c r="H5775" s="3" t="str">
        <f>HYPERLINK("http://www.linkedin.com/pub/gustavo-berron/23/92/a33","http://www.linkedin.com/pub/gustavo-berron/23/92/a33")</f>
        <v>http://www.linkedin.com/pub/gustavo-berron/23/92/a33</v>
      </c>
      <c r="I5775" s="2" t="s">
        <v>77</v>
      </c>
      <c r="J5775" s="2" t="s">
        <v>21</v>
      </c>
      <c r="K5775" s="2" t="s">
        <v>10371</v>
      </c>
    </row>
    <row r="5776" ht="15.75" customHeight="1">
      <c r="A5776" s="2">
        <v>18811.0</v>
      </c>
      <c r="B5776" s="2" t="s">
        <v>7739</v>
      </c>
      <c r="C5776" s="2" t="s">
        <v>9070</v>
      </c>
      <c r="D5776" s="2" t="s">
        <v>11434</v>
      </c>
      <c r="E5776" s="2" t="s">
        <v>20</v>
      </c>
      <c r="F5776" s="2">
        <v>11.0</v>
      </c>
      <c r="G5776" s="2">
        <v>500.0</v>
      </c>
      <c r="H5776" s="3" t="str">
        <f>HYPERLINK("http://ar.linkedin.com/pub/ramiro-gallo/4/2A/690","http://ar.linkedin.com/pub/ramiro-gallo/4/2A/690")</f>
        <v>http://ar.linkedin.com/pub/ramiro-gallo/4/2A/690</v>
      </c>
      <c r="I5776" s="2" t="s">
        <v>156</v>
      </c>
      <c r="J5776" s="2" t="s">
        <v>21</v>
      </c>
      <c r="K5776" s="2" t="s">
        <v>10727</v>
      </c>
    </row>
    <row r="5777" ht="15.75" customHeight="1">
      <c r="A5777" s="2">
        <v>18913.0</v>
      </c>
      <c r="B5777" s="2" t="s">
        <v>1296</v>
      </c>
      <c r="C5777" s="2" t="s">
        <v>6736</v>
      </c>
      <c r="D5777" s="2" t="s">
        <v>8326</v>
      </c>
      <c r="E5777" s="2" t="s">
        <v>20</v>
      </c>
      <c r="F5777" s="2" t="s">
        <v>13</v>
      </c>
      <c r="G5777" s="2">
        <v>468.0</v>
      </c>
      <c r="H5777" s="3" t="str">
        <f>HYPERLINK("http://ar.linkedin.com/pub/andrea-serrano/4/A88/245","http://ar.linkedin.com/pub/andrea-serrano/4/A88/245")</f>
        <v>http://ar.linkedin.com/pub/andrea-serrano/4/A88/245</v>
      </c>
      <c r="I5777" s="2" t="s">
        <v>105</v>
      </c>
      <c r="J5777" s="2" t="s">
        <v>21</v>
      </c>
      <c r="K5777" s="2" t="s">
        <v>10184</v>
      </c>
    </row>
    <row r="5778" ht="15.75" customHeight="1">
      <c r="A5778" s="2">
        <v>18920.0</v>
      </c>
      <c r="B5778" s="2" t="s">
        <v>918</v>
      </c>
      <c r="C5778" s="2" t="s">
        <v>11435</v>
      </c>
      <c r="D5778" s="2" t="s">
        <v>11436</v>
      </c>
      <c r="E5778" s="2" t="s">
        <v>20</v>
      </c>
      <c r="F5778" s="2" t="s">
        <v>13</v>
      </c>
      <c r="G5778" s="2">
        <v>500.0</v>
      </c>
      <c r="H5778" s="3" t="str">
        <f>HYPERLINK("http://ar.linkedin.com/in/marielminotti","http://ar.linkedin.com/in/marielminotti")</f>
        <v>http://ar.linkedin.com/in/marielminotti</v>
      </c>
      <c r="I5778" s="2" t="s">
        <v>105</v>
      </c>
      <c r="J5778" s="2" t="s">
        <v>21</v>
      </c>
      <c r="K5778" s="2" t="s">
        <v>10184</v>
      </c>
    </row>
    <row r="5779" ht="15.75" customHeight="1">
      <c r="A5779" s="2">
        <v>18991.0</v>
      </c>
      <c r="B5779" s="2" t="s">
        <v>11437</v>
      </c>
      <c r="C5779" s="2" t="s">
        <v>11438</v>
      </c>
      <c r="D5779" s="2" t="s">
        <v>13</v>
      </c>
      <c r="E5779" s="2" t="s">
        <v>20</v>
      </c>
      <c r="F5779" s="2">
        <v>0.0</v>
      </c>
      <c r="G5779" s="2">
        <v>363.0</v>
      </c>
      <c r="H5779" s="3" t="str">
        <f>HYPERLINK("http://www.linkedin.com/pub/richar-dalmada/9/269/535","http://www.linkedin.com/pub/richar-dalmada/9/269/535")</f>
        <v>http://www.linkedin.com/pub/richar-dalmada/9/269/535</v>
      </c>
      <c r="I5779" s="2" t="s">
        <v>910</v>
      </c>
      <c r="J5779" s="2" t="s">
        <v>21</v>
      </c>
      <c r="K5779" s="2" t="s">
        <v>10176</v>
      </c>
    </row>
    <row r="5780" ht="15.75" customHeight="1">
      <c r="A5780" s="2">
        <v>18998.0</v>
      </c>
      <c r="B5780" s="2" t="s">
        <v>362</v>
      </c>
      <c r="C5780" s="2" t="s">
        <v>10497</v>
      </c>
      <c r="D5780" s="2" t="s">
        <v>11439</v>
      </c>
      <c r="E5780" s="2" t="s">
        <v>20</v>
      </c>
      <c r="F5780" s="2">
        <v>3.0</v>
      </c>
      <c r="G5780" s="2">
        <v>367.0</v>
      </c>
      <c r="H5780" s="3" t="str">
        <f>HYPERLINK("http://ar.linkedin.com/pub/javier-alfonso/15/927/11","http://ar.linkedin.com/pub/javier-alfonso/15/927/11")</f>
        <v>http://ar.linkedin.com/pub/javier-alfonso/15/927/11</v>
      </c>
      <c r="I5780" s="2" t="s">
        <v>69</v>
      </c>
      <c r="J5780" s="2" t="s">
        <v>21</v>
      </c>
      <c r="K5780" s="2" t="s">
        <v>10196</v>
      </c>
    </row>
    <row r="5781" ht="15.75" customHeight="1">
      <c r="A5781" s="2">
        <v>19007.0</v>
      </c>
      <c r="B5781" s="2" t="s">
        <v>3550</v>
      </c>
      <c r="C5781" s="2" t="s">
        <v>11440</v>
      </c>
      <c r="D5781" s="2" t="s">
        <v>309</v>
      </c>
      <c r="E5781" s="2" t="s">
        <v>20</v>
      </c>
      <c r="F5781" s="2" t="s">
        <v>13</v>
      </c>
      <c r="G5781" s="2">
        <v>500.0</v>
      </c>
      <c r="H5781" s="3" t="str">
        <f>HYPERLINK("http://ar.linkedin.com/pub/nicolas-casco/9/33/1A5","http://ar.linkedin.com/pub/nicolas-casco/9/33/1A5")</f>
        <v>http://ar.linkedin.com/pub/nicolas-casco/9/33/1A5</v>
      </c>
      <c r="I5781" s="2" t="s">
        <v>105</v>
      </c>
      <c r="J5781" s="2" t="s">
        <v>21</v>
      </c>
      <c r="K5781" s="2" t="s">
        <v>10176</v>
      </c>
    </row>
    <row r="5782" ht="15.75" customHeight="1">
      <c r="A5782" s="2">
        <v>19012.0</v>
      </c>
      <c r="B5782" s="2" t="s">
        <v>10143</v>
      </c>
      <c r="C5782" s="2" t="s">
        <v>11441</v>
      </c>
      <c r="D5782" s="2" t="s">
        <v>1196</v>
      </c>
      <c r="E5782" s="2" t="s">
        <v>20</v>
      </c>
      <c r="F5782" s="2">
        <v>8.0</v>
      </c>
      <c r="G5782" s="2">
        <v>374.0</v>
      </c>
      <c r="H5782" s="3" t="str">
        <f>HYPERLINK("http://ar.linkedin.com/in/mumibarbosa","http://ar.linkedin.com/in/mumibarbosa")</f>
        <v>http://ar.linkedin.com/in/mumibarbosa</v>
      </c>
      <c r="I5782" s="2" t="s">
        <v>69</v>
      </c>
      <c r="J5782" s="2" t="s">
        <v>21</v>
      </c>
      <c r="K5782" s="2" t="s">
        <v>10180</v>
      </c>
    </row>
    <row r="5783" ht="15.75" customHeight="1">
      <c r="A5783" s="2">
        <v>19050.0</v>
      </c>
      <c r="B5783" s="2" t="s">
        <v>6351</v>
      </c>
      <c r="C5783" s="2" t="s">
        <v>11442</v>
      </c>
      <c r="D5783" s="2" t="s">
        <v>400</v>
      </c>
      <c r="E5783" s="2" t="s">
        <v>20</v>
      </c>
      <c r="F5783" s="2" t="s">
        <v>13</v>
      </c>
      <c r="G5783" s="2">
        <v>500.0</v>
      </c>
      <c r="H5783" s="3" t="str">
        <f>HYPERLINK("http://ar.linkedin.com/pub/nanci-turrado/13/B78/301","http://ar.linkedin.com/pub/nanci-turrado/13/B78/301")</f>
        <v>http://ar.linkedin.com/pub/nanci-turrado/13/B78/301</v>
      </c>
      <c r="I5783" s="2" t="s">
        <v>105</v>
      </c>
      <c r="J5783" s="2" t="s">
        <v>21</v>
      </c>
      <c r="K5783" s="2" t="s">
        <v>10229</v>
      </c>
    </row>
    <row r="5784" ht="15.75" customHeight="1">
      <c r="A5784" s="2">
        <v>19172.0</v>
      </c>
      <c r="B5784" s="2" t="s">
        <v>221</v>
      </c>
      <c r="C5784" s="2" t="s">
        <v>4729</v>
      </c>
      <c r="D5784" s="2" t="s">
        <v>11443</v>
      </c>
      <c r="E5784" s="2" t="s">
        <v>20</v>
      </c>
      <c r="F5784" s="2">
        <v>9.0</v>
      </c>
      <c r="G5784" s="2">
        <v>500.0</v>
      </c>
      <c r="H5784" s="3" t="str">
        <f>HYPERLINK("http://ar.linkedin.com/pub/miguel-perez/18/B4/893","http://ar.linkedin.com/pub/miguel-perez/18/B4/893")</f>
        <v>http://ar.linkedin.com/pub/miguel-perez/18/B4/893</v>
      </c>
      <c r="I5784" s="2" t="s">
        <v>15</v>
      </c>
      <c r="J5784" s="2" t="s">
        <v>21</v>
      </c>
      <c r="K5784" s="2" t="s">
        <v>11444</v>
      </c>
    </row>
    <row r="5785" ht="15.75" customHeight="1">
      <c r="A5785" s="2">
        <v>19362.0</v>
      </c>
      <c r="B5785" s="2" t="s">
        <v>45</v>
      </c>
      <c r="C5785" s="2" t="s">
        <v>11445</v>
      </c>
      <c r="D5785" s="2" t="s">
        <v>13</v>
      </c>
      <c r="E5785" s="2" t="s">
        <v>20</v>
      </c>
      <c r="F5785" s="2">
        <v>4.0</v>
      </c>
      <c r="G5785" s="2">
        <v>285.0</v>
      </c>
      <c r="H5785" s="3" t="str">
        <f>HYPERLINK("http://www.linkedin.com/pub/carlos-lagler/12/a99/446","http://www.linkedin.com/pub/carlos-lagler/12/a99/446")</f>
        <v>http://www.linkedin.com/pub/carlos-lagler/12/a99/446</v>
      </c>
      <c r="I5785" s="2" t="s">
        <v>15</v>
      </c>
      <c r="J5785" s="2" t="s">
        <v>21</v>
      </c>
      <c r="K5785" s="2" t="s">
        <v>10196</v>
      </c>
    </row>
    <row r="5786" ht="15.75" customHeight="1">
      <c r="A5786" s="2">
        <v>19378.0</v>
      </c>
      <c r="B5786" s="2" t="s">
        <v>253</v>
      </c>
      <c r="C5786" s="2" t="s">
        <v>4116</v>
      </c>
      <c r="D5786" s="2" t="s">
        <v>11446</v>
      </c>
      <c r="E5786" s="2" t="s">
        <v>20</v>
      </c>
      <c r="F5786" s="2">
        <v>4.0</v>
      </c>
      <c r="G5786" s="2">
        <v>500.0</v>
      </c>
      <c r="H5786" s="3" t="str">
        <f>HYPERLINK("http://ar.linkedin.com/pub/fernando-aquino/17/183/226","http://ar.linkedin.com/pub/fernando-aquino/17/183/226")</f>
        <v>http://ar.linkedin.com/pub/fernando-aquino/17/183/226</v>
      </c>
      <c r="I5786" s="2" t="s">
        <v>119</v>
      </c>
      <c r="J5786" s="2" t="s">
        <v>21</v>
      </c>
      <c r="K5786" s="2" t="s">
        <v>11447</v>
      </c>
    </row>
    <row r="5787" ht="15.75" customHeight="1">
      <c r="A5787" s="2">
        <v>19411.0</v>
      </c>
      <c r="B5787" s="2" t="s">
        <v>6666</v>
      </c>
      <c r="C5787" s="2" t="s">
        <v>11448</v>
      </c>
      <c r="D5787" s="2" t="s">
        <v>11449</v>
      </c>
      <c r="E5787" s="2" t="s">
        <v>20</v>
      </c>
      <c r="F5787" s="2">
        <v>9.0</v>
      </c>
      <c r="G5787" s="2">
        <v>484.0</v>
      </c>
      <c r="H5787" s="3" t="str">
        <f>HYPERLINK("http://ar.linkedin.com/in/smadrigale","http://ar.linkedin.com/in/smadrigale")</f>
        <v>http://ar.linkedin.com/in/smadrigale</v>
      </c>
      <c r="I5787" s="2" t="s">
        <v>15</v>
      </c>
      <c r="J5787" s="2" t="s">
        <v>21</v>
      </c>
      <c r="K5787" s="2" t="s">
        <v>10196</v>
      </c>
    </row>
    <row r="5788" ht="15.75" customHeight="1">
      <c r="A5788" s="2">
        <v>19416.0</v>
      </c>
      <c r="B5788" s="2" t="s">
        <v>353</v>
      </c>
      <c r="C5788" s="2" t="s">
        <v>11450</v>
      </c>
      <c r="D5788" s="2" t="s">
        <v>8636</v>
      </c>
      <c r="E5788" s="2" t="s">
        <v>20</v>
      </c>
      <c r="F5788" s="2">
        <v>3.0</v>
      </c>
      <c r="G5788" s="2">
        <v>149.0</v>
      </c>
      <c r="H5788" s="3" t="str">
        <f>HYPERLINK("http://ar.linkedin.com/pub/alejandro-solla/22/91B/96A","http://ar.linkedin.com/pub/alejandro-solla/22/91B/96A")</f>
        <v>http://ar.linkedin.com/pub/alejandro-solla/22/91B/96A</v>
      </c>
      <c r="I5788" s="2" t="s">
        <v>143</v>
      </c>
      <c r="J5788" s="2" t="s">
        <v>21</v>
      </c>
      <c r="K5788" s="2" t="s">
        <v>10340</v>
      </c>
    </row>
    <row r="5789" ht="15.75" customHeight="1">
      <c r="A5789" s="2">
        <v>19446.0</v>
      </c>
      <c r="B5789" s="2" t="s">
        <v>5078</v>
      </c>
      <c r="C5789" s="2" t="s">
        <v>2335</v>
      </c>
      <c r="D5789" s="2" t="s">
        <v>11451</v>
      </c>
      <c r="E5789" s="2" t="s">
        <v>20</v>
      </c>
      <c r="F5789" s="2">
        <v>4.0</v>
      </c>
      <c r="G5789" s="2">
        <v>500.0</v>
      </c>
      <c r="H5789" s="3" t="str">
        <f>HYPERLINK("http://www.linkedin.com/in/diegoabruno","http://www.linkedin.com/in/diegoabruno")</f>
        <v>http://www.linkedin.com/in/diegoabruno</v>
      </c>
      <c r="I5789" s="2" t="s">
        <v>48</v>
      </c>
      <c r="J5789" s="2" t="s">
        <v>21</v>
      </c>
      <c r="K5789" s="2" t="s">
        <v>10176</v>
      </c>
    </row>
    <row r="5790" ht="15.75" customHeight="1">
      <c r="A5790" s="2">
        <v>19452.0</v>
      </c>
      <c r="B5790" s="2" t="s">
        <v>11452</v>
      </c>
      <c r="C5790" s="2" t="s">
        <v>4486</v>
      </c>
      <c r="D5790" s="2" t="s">
        <v>11453</v>
      </c>
      <c r="E5790" s="2" t="s">
        <v>20</v>
      </c>
      <c r="F5790" s="2">
        <v>4.0</v>
      </c>
      <c r="G5790" s="2">
        <v>468.0</v>
      </c>
      <c r="H5790" s="3" t="str">
        <f>HYPERLINK("http://www.linkedin.com/in/mariarfernandez","http://www.linkedin.com/in/mariarfernandez")</f>
        <v>http://www.linkedin.com/in/mariarfernandez</v>
      </c>
      <c r="I5790" s="2" t="s">
        <v>15</v>
      </c>
      <c r="J5790" s="2" t="s">
        <v>21</v>
      </c>
      <c r="K5790" s="2" t="s">
        <v>10196</v>
      </c>
    </row>
    <row r="5791" ht="15.75" customHeight="1">
      <c r="A5791" s="2">
        <v>19483.0</v>
      </c>
      <c r="B5791" s="2" t="s">
        <v>11454</v>
      </c>
      <c r="C5791" s="2" t="s">
        <v>11455</v>
      </c>
      <c r="D5791" s="2" t="s">
        <v>13</v>
      </c>
      <c r="E5791" s="2" t="s">
        <v>20</v>
      </c>
      <c r="F5791" s="2">
        <v>0.0</v>
      </c>
      <c r="G5791" s="2">
        <v>313.0</v>
      </c>
      <c r="H5791" s="3" t="str">
        <f>HYPERLINK("http://www.linkedin.com/pub/lautaro-merigo/19/584/576","http://www.linkedin.com/pub/lautaro-merigo/19/584/576")</f>
        <v>http://www.linkedin.com/pub/lautaro-merigo/19/584/576</v>
      </c>
      <c r="I5791" s="2" t="s">
        <v>15</v>
      </c>
      <c r="J5791" s="2" t="s">
        <v>21</v>
      </c>
      <c r="K5791" s="2" t="s">
        <v>11032</v>
      </c>
    </row>
    <row r="5792" ht="15.75" customHeight="1">
      <c r="A5792" s="2">
        <v>19500.0</v>
      </c>
      <c r="B5792" s="2" t="s">
        <v>6778</v>
      </c>
      <c r="C5792" s="2" t="s">
        <v>6541</v>
      </c>
      <c r="D5792" s="2" t="s">
        <v>11456</v>
      </c>
      <c r="E5792" s="2" t="s">
        <v>20</v>
      </c>
      <c r="F5792" s="2">
        <v>7.0</v>
      </c>
      <c r="G5792" s="2">
        <v>286.0</v>
      </c>
      <c r="H5792" s="3" t="str">
        <f>HYPERLINK("http://ar.linkedin.com/pub/julieta-barrionuevo/10/5B0/B1","http://ar.linkedin.com/pub/julieta-barrionuevo/10/5B0/B1")</f>
        <v>http://ar.linkedin.com/pub/julieta-barrionuevo/10/5B0/B1</v>
      </c>
      <c r="I5792" s="2" t="s">
        <v>15</v>
      </c>
      <c r="J5792" s="2" t="s">
        <v>21</v>
      </c>
      <c r="K5792" s="2" t="s">
        <v>10196</v>
      </c>
    </row>
    <row r="5793" ht="15.75" customHeight="1">
      <c r="A5793" s="2">
        <v>19501.0</v>
      </c>
      <c r="B5793" s="2" t="s">
        <v>5337</v>
      </c>
      <c r="C5793" s="2" t="s">
        <v>11457</v>
      </c>
      <c r="D5793" s="2" t="s">
        <v>6202</v>
      </c>
      <c r="E5793" s="2" t="s">
        <v>11458</v>
      </c>
      <c r="F5793" s="2">
        <v>16.0</v>
      </c>
      <c r="G5793" s="2">
        <v>151.0</v>
      </c>
      <c r="H5793" s="3" t="str">
        <f>HYPERLINK("http://www.linkedin.com/pub/brent-tanner/A/311/6B5","http://www.linkedin.com/pub/brent-tanner/A/311/6B5")</f>
        <v>http://www.linkedin.com/pub/brent-tanner/A/311/6B5</v>
      </c>
      <c r="I5793" s="2" t="s">
        <v>48</v>
      </c>
      <c r="J5793" s="2" t="s">
        <v>102</v>
      </c>
      <c r="K5793" s="2" t="s">
        <v>11270</v>
      </c>
    </row>
    <row r="5794" ht="15.75" customHeight="1">
      <c r="A5794" s="2">
        <v>19503.0</v>
      </c>
      <c r="B5794" s="2" t="s">
        <v>1157</v>
      </c>
      <c r="C5794" s="2" t="s">
        <v>11459</v>
      </c>
      <c r="D5794" s="2" t="s">
        <v>11460</v>
      </c>
      <c r="E5794" s="2" t="s">
        <v>3508</v>
      </c>
      <c r="F5794" s="2">
        <v>14.0</v>
      </c>
      <c r="G5794" s="2">
        <v>213.0</v>
      </c>
      <c r="H5794" s="3" t="str">
        <f>HYPERLINK("http://www.linkedin.com/pub/howard-coons/4/352/896","http://www.linkedin.com/pub/howard-coons/4/352/896")</f>
        <v>http://www.linkedin.com/pub/howard-coons/4/352/896</v>
      </c>
      <c r="I5794" s="2" t="s">
        <v>15</v>
      </c>
      <c r="J5794" s="2" t="s">
        <v>102</v>
      </c>
      <c r="K5794" s="2" t="s">
        <v>10245</v>
      </c>
    </row>
    <row r="5795" ht="15.75" customHeight="1">
      <c r="A5795" s="2">
        <v>19518.0</v>
      </c>
      <c r="B5795" s="2" t="s">
        <v>5883</v>
      </c>
      <c r="C5795" s="2" t="s">
        <v>11461</v>
      </c>
      <c r="D5795" s="2" t="s">
        <v>11462</v>
      </c>
      <c r="E5795" s="2" t="s">
        <v>1190</v>
      </c>
      <c r="F5795" s="2">
        <v>1.0</v>
      </c>
      <c r="G5795" s="2">
        <v>441.0</v>
      </c>
      <c r="H5795" s="3" t="str">
        <f>HYPERLINK("http://www.linkedin.com/in/arielschwartzman","http://www.linkedin.com/in/arielschwartzman")</f>
        <v>http://www.linkedin.com/in/arielschwartzman</v>
      </c>
      <c r="I5795" s="2" t="s">
        <v>446</v>
      </c>
      <c r="J5795" s="2" t="s">
        <v>102</v>
      </c>
      <c r="K5795" s="2" t="s">
        <v>10229</v>
      </c>
    </row>
    <row r="5796" ht="15.75" customHeight="1">
      <c r="A5796" s="2">
        <v>19550.0</v>
      </c>
      <c r="B5796" s="2" t="s">
        <v>423</v>
      </c>
      <c r="C5796" s="2" t="s">
        <v>11463</v>
      </c>
      <c r="D5796" s="2" t="s">
        <v>347</v>
      </c>
      <c r="E5796" s="2" t="s">
        <v>20</v>
      </c>
      <c r="F5796" s="2">
        <v>6.0</v>
      </c>
      <c r="G5796" s="2">
        <v>500.0</v>
      </c>
      <c r="H5796" s="3" t="str">
        <f>HYPERLINK("http://ar.linkedin.com/in/ctommasi","http://ar.linkedin.com/in/ctommasi")</f>
        <v>http://ar.linkedin.com/in/ctommasi</v>
      </c>
      <c r="I5796" s="2" t="s">
        <v>15</v>
      </c>
      <c r="J5796" s="2" t="s">
        <v>21</v>
      </c>
      <c r="K5796" s="2" t="s">
        <v>10178</v>
      </c>
    </row>
    <row r="5797" ht="15.75" customHeight="1">
      <c r="A5797" s="2">
        <v>19556.0</v>
      </c>
      <c r="B5797" s="2" t="s">
        <v>11464</v>
      </c>
      <c r="C5797" s="2" t="s">
        <v>11465</v>
      </c>
      <c r="D5797" s="2" t="s">
        <v>11466</v>
      </c>
      <c r="E5797" s="2" t="s">
        <v>301</v>
      </c>
      <c r="F5797" s="2">
        <v>7.0</v>
      </c>
      <c r="G5797" s="2">
        <v>419.0</v>
      </c>
      <c r="H5797" s="3" t="str">
        <f>HYPERLINK("http://www.linkedin.com/pub/hani-zion/7/A27/5B3","http://www.linkedin.com/pub/hani-zion/7/A27/5B3")</f>
        <v>http://www.linkedin.com/pub/hani-zion/7/A27/5B3</v>
      </c>
      <c r="I5797" s="2" t="s">
        <v>279</v>
      </c>
      <c r="J5797" s="2" t="s">
        <v>102</v>
      </c>
      <c r="K5797" s="2" t="s">
        <v>10206</v>
      </c>
    </row>
    <row r="5798" ht="15.75" customHeight="1">
      <c r="A5798" s="2">
        <v>19562.0</v>
      </c>
      <c r="B5798" s="2" t="s">
        <v>2457</v>
      </c>
      <c r="C5798" s="2" t="s">
        <v>11467</v>
      </c>
      <c r="D5798" s="2" t="s">
        <v>11468</v>
      </c>
      <c r="E5798" s="2" t="s">
        <v>713</v>
      </c>
      <c r="F5798" s="2">
        <v>2.0</v>
      </c>
      <c r="G5798" s="2">
        <v>89.0</v>
      </c>
      <c r="H5798" s="3" t="str">
        <f>HYPERLINK("http://www.linkedin.com/pub/stephen-opalenski/6/43B/844","http://www.linkedin.com/pub/stephen-opalenski/6/43B/844")</f>
        <v>http://www.linkedin.com/pub/stephen-opalenski/6/43B/844</v>
      </c>
      <c r="I5798" s="2" t="s">
        <v>105</v>
      </c>
      <c r="J5798" s="2" t="s">
        <v>102</v>
      </c>
      <c r="K5798" s="2" t="s">
        <v>10178</v>
      </c>
    </row>
    <row r="5799" ht="15.75" customHeight="1">
      <c r="A5799" s="2">
        <v>19587.0</v>
      </c>
      <c r="B5799" s="2" t="s">
        <v>6004</v>
      </c>
      <c r="C5799" s="2" t="s">
        <v>11469</v>
      </c>
      <c r="D5799" s="2" t="s">
        <v>11470</v>
      </c>
      <c r="E5799" s="2" t="s">
        <v>11471</v>
      </c>
      <c r="F5799" s="2">
        <v>7.0</v>
      </c>
      <c r="G5799" s="2">
        <v>324.0</v>
      </c>
      <c r="H5799" s="3" t="str">
        <f>HYPERLINK("http://ar.linkedin.com/pub/juan-manuel-rivero/19/937/522","http://ar.linkedin.com/pub/juan-manuel-rivero/19/937/522")</f>
        <v>http://ar.linkedin.com/pub/juan-manuel-rivero/19/937/522</v>
      </c>
      <c r="I5799" s="2" t="s">
        <v>69</v>
      </c>
      <c r="J5799" s="2" t="s">
        <v>837</v>
      </c>
      <c r="K5799" s="2" t="s">
        <v>10173</v>
      </c>
    </row>
    <row r="5800" ht="15.75" customHeight="1">
      <c r="A5800" s="2">
        <v>19598.0</v>
      </c>
      <c r="B5800" s="2" t="s">
        <v>511</v>
      </c>
      <c r="C5800" s="2" t="s">
        <v>4234</v>
      </c>
      <c r="D5800" s="2"/>
      <c r="E5800" s="2" t="s">
        <v>992</v>
      </c>
      <c r="F5800" s="2">
        <v>1.0</v>
      </c>
      <c r="G5800" s="2">
        <v>290.0</v>
      </c>
      <c r="H5800" s="3" t="str">
        <f>HYPERLINK("http://www.linkedin.com/in/mikeehsu","http://www.linkedin.com/in/mikeehsu")</f>
        <v>http://www.linkedin.com/in/mikeehsu</v>
      </c>
      <c r="I5800" s="2" t="s">
        <v>15</v>
      </c>
      <c r="J5800" s="2" t="s">
        <v>102</v>
      </c>
      <c r="K5800" s="2" t="s">
        <v>10184</v>
      </c>
    </row>
    <row r="5801" ht="15.75" customHeight="1">
      <c r="A5801" s="2">
        <v>19610.0</v>
      </c>
      <c r="B5801" s="2" t="s">
        <v>3178</v>
      </c>
      <c r="C5801" s="2" t="s">
        <v>11472</v>
      </c>
      <c r="D5801" s="2" t="s">
        <v>289</v>
      </c>
      <c r="E5801" s="2" t="s">
        <v>20</v>
      </c>
      <c r="F5801" s="2">
        <v>3.0</v>
      </c>
      <c r="G5801" s="2">
        <v>277.0</v>
      </c>
      <c r="H5801" s="3" t="str">
        <f>HYPERLINK("http://ar.linkedin.com/pub/lucas-pacheco/26/179/583","http://ar.linkedin.com/pub/lucas-pacheco/26/179/583")</f>
        <v>http://ar.linkedin.com/pub/lucas-pacheco/26/179/583</v>
      </c>
      <c r="I5801" s="2" t="s">
        <v>143</v>
      </c>
      <c r="J5801" s="2" t="s">
        <v>21</v>
      </c>
      <c r="K5801" s="2" t="s">
        <v>10196</v>
      </c>
    </row>
    <row r="5802" ht="15.75" customHeight="1">
      <c r="A5802" s="2">
        <v>19638.0</v>
      </c>
      <c r="B5802" s="2" t="s">
        <v>3015</v>
      </c>
      <c r="C5802" s="2" t="s">
        <v>11473</v>
      </c>
      <c r="D5802" s="2" t="s">
        <v>11474</v>
      </c>
      <c r="E5802" s="2" t="s">
        <v>20</v>
      </c>
      <c r="F5802" s="2">
        <v>2.0</v>
      </c>
      <c r="G5802" s="2">
        <v>445.0</v>
      </c>
      <c r="H5802" s="3" t="str">
        <f>HYPERLINK("http://ar.linkedin.com/pub/luciano-cuesta/21/278/987","http://ar.linkedin.com/pub/luciano-cuesta/21/278/987")</f>
        <v>http://ar.linkedin.com/pub/luciano-cuesta/21/278/987</v>
      </c>
      <c r="I5802" s="2" t="s">
        <v>15</v>
      </c>
      <c r="J5802" s="2" t="s">
        <v>21</v>
      </c>
      <c r="K5802" s="2" t="s">
        <v>10196</v>
      </c>
    </row>
    <row r="5803" ht="15.75" customHeight="1">
      <c r="A5803" s="2">
        <v>19648.0</v>
      </c>
      <c r="B5803" s="2" t="s">
        <v>238</v>
      </c>
      <c r="C5803" s="2" t="s">
        <v>206</v>
      </c>
      <c r="D5803" s="2" t="s">
        <v>2756</v>
      </c>
      <c r="E5803" s="2" t="s">
        <v>20</v>
      </c>
      <c r="F5803" s="2">
        <v>2.0</v>
      </c>
      <c r="G5803" s="2">
        <v>231.0</v>
      </c>
      <c r="H5803" s="3" t="str">
        <f>HYPERLINK("http://ar.linkedin.com/in/juaneduardogarcia","http://ar.linkedin.com/in/juaneduardogarcia")</f>
        <v>http://ar.linkedin.com/in/juaneduardogarcia</v>
      </c>
      <c r="I5803" s="2" t="s">
        <v>15</v>
      </c>
      <c r="J5803" s="2" t="s">
        <v>21</v>
      </c>
      <c r="K5803" s="2" t="s">
        <v>10263</v>
      </c>
    </row>
    <row r="5804" ht="15.75" customHeight="1">
      <c r="A5804" s="2">
        <v>19654.0</v>
      </c>
      <c r="B5804" s="2" t="s">
        <v>6417</v>
      </c>
      <c r="C5804" s="2" t="s">
        <v>11475</v>
      </c>
      <c r="D5804" s="2"/>
      <c r="E5804" s="2" t="s">
        <v>11476</v>
      </c>
      <c r="F5804" s="2">
        <v>0.0</v>
      </c>
      <c r="G5804" s="2">
        <v>360.0</v>
      </c>
      <c r="H5804" s="3" t="str">
        <f>HYPERLINK("http://www.linkedin.com/pub/gonzalo-sole/1/8/989","http://www.linkedin.com/pub/gonzalo-sole/1/8/989")</f>
        <v>http://www.linkedin.com/pub/gonzalo-sole/1/8/989</v>
      </c>
      <c r="I5804" s="2" t="s">
        <v>15</v>
      </c>
      <c r="J5804" s="2" t="s">
        <v>102</v>
      </c>
      <c r="K5804" s="2" t="s">
        <v>10184</v>
      </c>
    </row>
    <row r="5805" ht="15.75" customHeight="1">
      <c r="A5805" s="2">
        <v>19719.0</v>
      </c>
      <c r="B5805" s="2" t="s">
        <v>11210</v>
      </c>
      <c r="C5805" s="2" t="s">
        <v>11477</v>
      </c>
      <c r="D5805" s="2" t="s">
        <v>11478</v>
      </c>
      <c r="E5805" s="2" t="s">
        <v>20</v>
      </c>
      <c r="F5805" s="2">
        <v>4.0</v>
      </c>
      <c r="G5805" s="2">
        <v>175.0</v>
      </c>
      <c r="H5805" s="3" t="str">
        <f>HYPERLINK("http://ar.linkedin.com/in/obisignano","http://ar.linkedin.com/in/obisignano")</f>
        <v>http://ar.linkedin.com/in/obisignano</v>
      </c>
      <c r="I5805" s="2" t="s">
        <v>15</v>
      </c>
      <c r="J5805" s="2" t="s">
        <v>21</v>
      </c>
      <c r="K5805" s="2" t="s">
        <v>10196</v>
      </c>
    </row>
    <row r="5806" ht="15.75" customHeight="1">
      <c r="A5806" s="2">
        <v>19749.0</v>
      </c>
      <c r="B5806" s="2" t="s">
        <v>1019</v>
      </c>
      <c r="C5806" s="2" t="s">
        <v>399</v>
      </c>
      <c r="D5806" s="2" t="s">
        <v>841</v>
      </c>
      <c r="E5806" s="2" t="s">
        <v>628</v>
      </c>
      <c r="F5806" s="2">
        <v>0.0</v>
      </c>
      <c r="G5806" s="2">
        <v>286.0</v>
      </c>
      <c r="H5806" s="3" t="str">
        <f>HYPERLINK("http://www.linkedin.com/pub/matt-johnson/3/A06/855","http://www.linkedin.com/pub/matt-johnson/3/A06/855")</f>
        <v>http://www.linkedin.com/pub/matt-johnson/3/A06/855</v>
      </c>
      <c r="I5806" s="2" t="s">
        <v>15</v>
      </c>
      <c r="J5806" s="2" t="s">
        <v>102</v>
      </c>
      <c r="K5806" s="2" t="s">
        <v>10184</v>
      </c>
    </row>
    <row r="5807" ht="15.75" customHeight="1">
      <c r="A5807" s="2">
        <v>19753.0</v>
      </c>
      <c r="B5807" s="2" t="s">
        <v>11479</v>
      </c>
      <c r="C5807" s="2" t="s">
        <v>11480</v>
      </c>
      <c r="D5807" s="2" t="s">
        <v>11481</v>
      </c>
      <c r="E5807" s="2" t="s">
        <v>728</v>
      </c>
      <c r="F5807" s="2">
        <v>2.0</v>
      </c>
      <c r="G5807" s="2">
        <v>203.0</v>
      </c>
      <c r="H5807" s="3" t="str">
        <f>HYPERLINK("http://www.linkedin.com/pub/charrise-ingram/3/760/678","http://www.linkedin.com/pub/charrise-ingram/3/760/678")</f>
        <v>http://www.linkedin.com/pub/charrise-ingram/3/760/678</v>
      </c>
      <c r="I5807" s="2" t="s">
        <v>252</v>
      </c>
      <c r="J5807" s="2" t="s">
        <v>102</v>
      </c>
      <c r="K5807" s="2" t="s">
        <v>10180</v>
      </c>
    </row>
    <row r="5808" ht="15.75" customHeight="1">
      <c r="A5808" s="2">
        <v>19802.0</v>
      </c>
      <c r="B5808" s="2" t="s">
        <v>543</v>
      </c>
      <c r="C5808" s="2" t="s">
        <v>2854</v>
      </c>
      <c r="D5808" s="2" t="s">
        <v>11482</v>
      </c>
      <c r="E5808" s="2" t="s">
        <v>20</v>
      </c>
      <c r="F5808" s="2">
        <v>6.0</v>
      </c>
      <c r="G5808" s="2">
        <v>194.0</v>
      </c>
      <c r="H5808" s="3" t="str">
        <f>HYPERLINK("http://ar.linkedin.com/pub/cesar-delgado/5/695/31","http://ar.linkedin.com/pub/cesar-delgado/5/695/31")</f>
        <v>http://ar.linkedin.com/pub/cesar-delgado/5/695/31</v>
      </c>
      <c r="I5808" s="2" t="s">
        <v>48</v>
      </c>
      <c r="J5808" s="2" t="s">
        <v>21</v>
      </c>
      <c r="K5808" s="2" t="s">
        <v>11032</v>
      </c>
    </row>
    <row r="5809" ht="15.75" customHeight="1">
      <c r="A5809" s="2">
        <v>19806.0</v>
      </c>
      <c r="B5809" s="2" t="s">
        <v>7086</v>
      </c>
      <c r="C5809" s="2" t="s">
        <v>10604</v>
      </c>
      <c r="D5809" s="2" t="s">
        <v>11483</v>
      </c>
      <c r="E5809" s="2" t="s">
        <v>20</v>
      </c>
      <c r="F5809" s="2">
        <v>29.0</v>
      </c>
      <c r="G5809" s="2">
        <v>500.0</v>
      </c>
      <c r="H5809" s="3" t="str">
        <f>HYPERLINK("http://ar.linkedin.com/in/maurok","http://ar.linkedin.com/in/maurok")</f>
        <v>http://ar.linkedin.com/in/maurok</v>
      </c>
      <c r="I5809" s="2" t="s">
        <v>48</v>
      </c>
      <c r="J5809" s="2" t="s">
        <v>21</v>
      </c>
      <c r="K5809" s="2" t="s">
        <v>10196</v>
      </c>
    </row>
    <row r="5810" ht="15.75" customHeight="1">
      <c r="A5810" s="2">
        <v>19812.0</v>
      </c>
      <c r="B5810" s="2" t="s">
        <v>6025</v>
      </c>
      <c r="C5810" s="2" t="s">
        <v>11484</v>
      </c>
      <c r="D5810" s="2" t="s">
        <v>11485</v>
      </c>
      <c r="E5810" s="2" t="s">
        <v>20</v>
      </c>
      <c r="F5810" s="2">
        <v>1.0</v>
      </c>
      <c r="G5810" s="2">
        <v>500.0</v>
      </c>
      <c r="H5810" s="3" t="str">
        <f>HYPERLINK("http://www.linkedin.com/pub/hernan-sfoggia/23/95a/95a","http://www.linkedin.com/pub/hernan-sfoggia/23/95a/95a")</f>
        <v>http://www.linkedin.com/pub/hernan-sfoggia/23/95a/95a</v>
      </c>
      <c r="I5810" s="2" t="s">
        <v>15</v>
      </c>
      <c r="J5810" s="2" t="s">
        <v>21</v>
      </c>
      <c r="K5810" s="2" t="s">
        <v>10173</v>
      </c>
    </row>
    <row r="5811" ht="15.75" customHeight="1">
      <c r="A5811" s="2">
        <v>19813.0</v>
      </c>
      <c r="B5811" s="2" t="s">
        <v>6004</v>
      </c>
      <c r="C5811" s="2" t="s">
        <v>6145</v>
      </c>
      <c r="D5811" s="2" t="s">
        <v>13</v>
      </c>
      <c r="E5811" s="2" t="s">
        <v>20</v>
      </c>
      <c r="F5811" s="2">
        <v>9.0</v>
      </c>
      <c r="G5811" s="2">
        <v>322.0</v>
      </c>
      <c r="H5811" s="3" t="str">
        <f>HYPERLINK("http://www.linkedin.com/pub/juan-manuel-guadalupe/22/bb7/b21","http://www.linkedin.com/pub/juan-manuel-guadalupe/22/bb7/b21")</f>
        <v>http://www.linkedin.com/pub/juan-manuel-guadalupe/22/bb7/b21</v>
      </c>
      <c r="I5811" s="2" t="s">
        <v>48</v>
      </c>
      <c r="J5811" s="2" t="s">
        <v>21</v>
      </c>
      <c r="K5811" s="2" t="s">
        <v>10209</v>
      </c>
    </row>
    <row r="5812" ht="15.75" customHeight="1">
      <c r="A5812" s="2">
        <v>19900.0</v>
      </c>
      <c r="B5812" s="2" t="s">
        <v>6061</v>
      </c>
      <c r="C5812" s="2" t="s">
        <v>11486</v>
      </c>
      <c r="D5812" s="2" t="s">
        <v>13</v>
      </c>
      <c r="E5812" s="2" t="s">
        <v>20</v>
      </c>
      <c r="F5812" s="2">
        <v>0.0</v>
      </c>
      <c r="G5812" s="2">
        <v>306.0</v>
      </c>
      <c r="H5812" s="3" t="str">
        <f>HYPERLINK("http://www.linkedin.com/pub/agustin-viglietti/19/74/609","http://www.linkedin.com/pub/agustin-viglietti/19/74/609")</f>
        <v>http://www.linkedin.com/pub/agustin-viglietti/19/74/609</v>
      </c>
      <c r="I5812" s="2" t="s">
        <v>15</v>
      </c>
      <c r="J5812" s="2" t="s">
        <v>21</v>
      </c>
      <c r="K5812" s="2" t="s">
        <v>10206</v>
      </c>
    </row>
    <row r="5813" ht="15.75" customHeight="1">
      <c r="A5813" s="2">
        <v>19913.0</v>
      </c>
      <c r="B5813" s="2" t="s">
        <v>1977</v>
      </c>
      <c r="C5813" s="2" t="s">
        <v>9117</v>
      </c>
      <c r="D5813" s="2" t="s">
        <v>11487</v>
      </c>
      <c r="E5813" s="2" t="s">
        <v>20</v>
      </c>
      <c r="F5813" s="2">
        <v>2.0</v>
      </c>
      <c r="G5813" s="2">
        <v>209.0</v>
      </c>
      <c r="H5813" s="3" t="str">
        <f>HYPERLINK("http://ar.linkedin.com/pub/joel-di-rosa/25/166/56B","http://ar.linkedin.com/pub/joel-di-rosa/25/166/56B")</f>
        <v>http://ar.linkedin.com/pub/joel-di-rosa/25/166/56B</v>
      </c>
      <c r="I5813" s="2" t="s">
        <v>15</v>
      </c>
      <c r="J5813" s="2" t="s">
        <v>21</v>
      </c>
      <c r="K5813" s="2" t="s">
        <v>10196</v>
      </c>
    </row>
    <row r="5814" ht="15.75" customHeight="1">
      <c r="A5814" s="2">
        <v>19944.0</v>
      </c>
      <c r="B5814" s="2" t="s">
        <v>152</v>
      </c>
      <c r="C5814" s="2" t="s">
        <v>11488</v>
      </c>
      <c r="D5814" s="2" t="s">
        <v>11489</v>
      </c>
      <c r="E5814" s="2" t="s">
        <v>3829</v>
      </c>
      <c r="F5814" s="2">
        <v>0.0</v>
      </c>
      <c r="G5814" s="2">
        <v>250.0</v>
      </c>
      <c r="H5814" s="3" t="str">
        <f>HYPERLINK("http://www.linkedin.com/in/eduardocrea","http://www.linkedin.com/in/eduardocrea")</f>
        <v>http://www.linkedin.com/in/eduardocrea</v>
      </c>
      <c r="I5814" s="2" t="s">
        <v>48</v>
      </c>
      <c r="J5814" s="2" t="s">
        <v>102</v>
      </c>
      <c r="K5814" s="2" t="s">
        <v>10286</v>
      </c>
    </row>
    <row r="5815" ht="15.75" customHeight="1">
      <c r="A5815" s="2">
        <v>19967.0</v>
      </c>
      <c r="B5815" s="2" t="s">
        <v>5723</v>
      </c>
      <c r="C5815" s="2" t="s">
        <v>8364</v>
      </c>
      <c r="D5815" s="2" t="s">
        <v>6202</v>
      </c>
      <c r="E5815" s="2" t="s">
        <v>3148</v>
      </c>
      <c r="F5815" s="2">
        <v>0.0</v>
      </c>
      <c r="G5815" s="2">
        <v>212.0</v>
      </c>
      <c r="H5815" s="3" t="str">
        <f>HYPERLINK("http://www.linkedin.com/in/pablobianco","http://www.linkedin.com/in/pablobianco")</f>
        <v>http://www.linkedin.com/in/pablobianco</v>
      </c>
      <c r="I5815" s="2" t="s">
        <v>48</v>
      </c>
      <c r="J5815" s="2" t="s">
        <v>102</v>
      </c>
      <c r="K5815" s="2" t="s">
        <v>10184</v>
      </c>
    </row>
    <row r="5816" ht="15.75" customHeight="1">
      <c r="A5816" s="2">
        <v>19979.0</v>
      </c>
      <c r="B5816" s="2" t="s">
        <v>862</v>
      </c>
      <c r="C5816" s="2" t="s">
        <v>11490</v>
      </c>
      <c r="D5816" s="2" t="s">
        <v>11491</v>
      </c>
      <c r="E5816" s="2" t="s">
        <v>20</v>
      </c>
      <c r="F5816" s="2">
        <v>2.0</v>
      </c>
      <c r="G5816" s="2">
        <v>186.0</v>
      </c>
      <c r="H5816" s="3" t="str">
        <f>HYPERLINK("http://ar.linkedin.com/in/gabrielbulfon","http://ar.linkedin.com/in/gabrielbulfon")</f>
        <v>http://ar.linkedin.com/in/gabrielbulfon</v>
      </c>
      <c r="I5816" s="2" t="s">
        <v>15</v>
      </c>
      <c r="J5816" s="2" t="s">
        <v>21</v>
      </c>
      <c r="K5816" s="2" t="s">
        <v>10178</v>
      </c>
    </row>
    <row r="5817" ht="15.75" customHeight="1">
      <c r="A5817" s="2">
        <v>20025.0</v>
      </c>
      <c r="B5817" s="2" t="s">
        <v>4304</v>
      </c>
      <c r="C5817" s="2" t="s">
        <v>6794</v>
      </c>
      <c r="D5817" s="2" t="s">
        <v>47</v>
      </c>
      <c r="E5817" s="2" t="s">
        <v>20</v>
      </c>
      <c r="F5817" s="2">
        <v>6.0</v>
      </c>
      <c r="G5817" s="2">
        <v>500.0</v>
      </c>
      <c r="H5817" s="3" t="str">
        <f>HYPERLINK("http://ar.linkedin.com/in/leandroferrari","http://ar.linkedin.com/in/leandroferrari")</f>
        <v>http://ar.linkedin.com/in/leandroferrari</v>
      </c>
      <c r="I5817" s="2" t="s">
        <v>5033</v>
      </c>
      <c r="J5817" s="2" t="s">
        <v>21</v>
      </c>
      <c r="K5817" s="2" t="s">
        <v>10394</v>
      </c>
    </row>
    <row r="5818" ht="15.75" customHeight="1">
      <c r="A5818" s="2">
        <v>20047.0</v>
      </c>
      <c r="B5818" s="2" t="s">
        <v>7086</v>
      </c>
      <c r="C5818" s="2" t="s">
        <v>11492</v>
      </c>
      <c r="D5818" s="2" t="s">
        <v>11493</v>
      </c>
      <c r="E5818" s="2" t="s">
        <v>20</v>
      </c>
      <c r="F5818" s="2">
        <v>3.0</v>
      </c>
      <c r="G5818" s="2">
        <v>500.0</v>
      </c>
      <c r="H5818" s="3" t="str">
        <f>HYPERLINK("http://ar.linkedin.com/in/maurocastagnasso","http://ar.linkedin.com/in/maurocastagnasso")</f>
        <v>http://ar.linkedin.com/in/maurocastagnasso</v>
      </c>
      <c r="I5818" s="2" t="s">
        <v>15</v>
      </c>
      <c r="J5818" s="2" t="s">
        <v>21</v>
      </c>
      <c r="K5818" s="2" t="s">
        <v>10196</v>
      </c>
    </row>
    <row r="5819" ht="15.75" customHeight="1">
      <c r="A5819" s="2">
        <v>20051.0</v>
      </c>
      <c r="B5819" s="2" t="s">
        <v>362</v>
      </c>
      <c r="C5819" s="2" t="s">
        <v>11494</v>
      </c>
      <c r="D5819" s="2" t="s">
        <v>100</v>
      </c>
      <c r="E5819" s="2" t="s">
        <v>20</v>
      </c>
      <c r="F5819" s="2">
        <v>9.0</v>
      </c>
      <c r="G5819" s="2">
        <v>500.0</v>
      </c>
      <c r="H5819" s="3" t="str">
        <f>HYPERLINK("http://ar.linkedin.com/in/jminsky","http://ar.linkedin.com/in/jminsky")</f>
        <v>http://ar.linkedin.com/in/jminsky</v>
      </c>
      <c r="I5819" s="2" t="s">
        <v>15</v>
      </c>
      <c r="J5819" s="2" t="s">
        <v>21</v>
      </c>
      <c r="K5819" s="2" t="s">
        <v>10286</v>
      </c>
    </row>
    <row r="5820" ht="15.75" customHeight="1">
      <c r="A5820" s="2">
        <v>20053.0</v>
      </c>
      <c r="B5820" s="2" t="s">
        <v>253</v>
      </c>
      <c r="C5820" s="2" t="s">
        <v>6207</v>
      </c>
      <c r="D5820" s="2" t="s">
        <v>11495</v>
      </c>
      <c r="E5820" s="2" t="s">
        <v>20</v>
      </c>
      <c r="F5820" s="2">
        <v>5.0</v>
      </c>
      <c r="G5820" s="2">
        <v>151.0</v>
      </c>
      <c r="H5820" s="3" t="str">
        <f>HYPERLINK("http://ar.linkedin.com/in/fgalvarez","http://ar.linkedin.com/in/fgalvarez")</f>
        <v>http://ar.linkedin.com/in/fgalvarez</v>
      </c>
      <c r="I5820" s="2" t="s">
        <v>48</v>
      </c>
      <c r="J5820" s="2" t="s">
        <v>21</v>
      </c>
      <c r="K5820" s="2" t="s">
        <v>10196</v>
      </c>
    </row>
    <row r="5821" ht="15.75" customHeight="1">
      <c r="A5821" s="2">
        <v>20059.0</v>
      </c>
      <c r="B5821" s="2" t="s">
        <v>245</v>
      </c>
      <c r="C5821" s="2" t="s">
        <v>2021</v>
      </c>
      <c r="D5821" s="2" t="s">
        <v>11496</v>
      </c>
      <c r="E5821" s="2" t="s">
        <v>1329</v>
      </c>
      <c r="F5821" s="2">
        <v>32.0</v>
      </c>
      <c r="G5821" s="2">
        <v>500.0</v>
      </c>
      <c r="H5821" s="3" t="str">
        <f>HYPERLINK("http://www.linkedin.com/in/stevenmbailey","http://www.linkedin.com/in/stevenmbailey")</f>
        <v>http://www.linkedin.com/in/stevenmbailey</v>
      </c>
      <c r="I5821" s="2" t="s">
        <v>15</v>
      </c>
      <c r="J5821" s="2" t="s">
        <v>102</v>
      </c>
      <c r="K5821" s="2" t="s">
        <v>10245</v>
      </c>
    </row>
    <row r="5822" ht="15.75" customHeight="1">
      <c r="A5822" s="2">
        <v>20073.0</v>
      </c>
      <c r="B5822" s="2" t="s">
        <v>59</v>
      </c>
      <c r="C5822" s="2" t="s">
        <v>6885</v>
      </c>
      <c r="D5822" s="2" t="s">
        <v>10496</v>
      </c>
      <c r="E5822" s="2" t="s">
        <v>136</v>
      </c>
      <c r="F5822" s="2">
        <v>1.0</v>
      </c>
      <c r="G5822" s="2">
        <v>396.0</v>
      </c>
      <c r="H5822" s="3" t="str">
        <f>HYPERLINK("http://www.linkedin.com/in/traversomartin","http://www.linkedin.com/in/traversomartin")</f>
        <v>http://www.linkedin.com/in/traversomartin</v>
      </c>
      <c r="I5822" s="2" t="s">
        <v>48</v>
      </c>
      <c r="J5822" s="2" t="s">
        <v>102</v>
      </c>
      <c r="K5822" s="2" t="s">
        <v>10184</v>
      </c>
    </row>
    <row r="5823" ht="15.75" customHeight="1">
      <c r="A5823" s="2">
        <v>20109.0</v>
      </c>
      <c r="B5823" s="2" t="s">
        <v>8451</v>
      </c>
      <c r="C5823" s="2" t="s">
        <v>11497</v>
      </c>
      <c r="D5823" s="2" t="s">
        <v>11498</v>
      </c>
      <c r="E5823" s="2" t="s">
        <v>20</v>
      </c>
      <c r="F5823" s="2">
        <v>3.0</v>
      </c>
      <c r="G5823" s="2">
        <v>500.0</v>
      </c>
      <c r="H5823" s="3" t="str">
        <f>HYPERLINK("http://ar.linkedin.com/pub/roque-salde/5/595/533","http://ar.linkedin.com/pub/roque-salde/5/595/533")</f>
        <v>http://ar.linkedin.com/pub/roque-salde/5/595/533</v>
      </c>
      <c r="I5823" s="2" t="s">
        <v>15</v>
      </c>
      <c r="J5823" s="2" t="s">
        <v>21</v>
      </c>
      <c r="K5823" s="2" t="s">
        <v>10196</v>
      </c>
    </row>
    <row r="5824" ht="15.75" customHeight="1">
      <c r="A5824" s="2">
        <v>20132.0</v>
      </c>
      <c r="B5824" s="2" t="s">
        <v>677</v>
      </c>
      <c r="C5824" s="2" t="s">
        <v>606</v>
      </c>
      <c r="D5824" s="2" t="s">
        <v>11499</v>
      </c>
      <c r="E5824" s="2" t="s">
        <v>20</v>
      </c>
      <c r="F5824" s="2">
        <v>4.0</v>
      </c>
      <c r="G5824" s="2">
        <v>185.0</v>
      </c>
      <c r="H5824" s="3" t="str">
        <f>HYPERLINK("http://ar.linkedin.com/pub/daniel-soto/23/841/597","http://ar.linkedin.com/pub/daniel-soto/23/841/597")</f>
        <v>http://ar.linkedin.com/pub/daniel-soto/23/841/597</v>
      </c>
      <c r="I5824" s="2" t="s">
        <v>15</v>
      </c>
      <c r="J5824" s="2" t="s">
        <v>21</v>
      </c>
      <c r="K5824" s="2" t="s">
        <v>10196</v>
      </c>
    </row>
    <row r="5825" ht="15.75" customHeight="1">
      <c r="A5825" s="2">
        <v>20233.0</v>
      </c>
      <c r="B5825" s="2" t="s">
        <v>227</v>
      </c>
      <c r="C5825" s="2" t="s">
        <v>11500</v>
      </c>
      <c r="D5825" s="2" t="s">
        <v>11501</v>
      </c>
      <c r="E5825" s="2" t="s">
        <v>20</v>
      </c>
      <c r="F5825" s="2">
        <v>2.0</v>
      </c>
      <c r="G5825" s="2">
        <v>95.0</v>
      </c>
      <c r="H5825" s="3" t="str">
        <f>HYPERLINK("http://ar.linkedin.com/pub/jorge-yennaccaro/9/630/519","http://ar.linkedin.com/pub/jorge-yennaccaro/9/630/519")</f>
        <v>http://ar.linkedin.com/pub/jorge-yennaccaro/9/630/519</v>
      </c>
      <c r="I5825" s="2" t="s">
        <v>48</v>
      </c>
      <c r="J5825" s="2" t="s">
        <v>21</v>
      </c>
      <c r="K5825" s="2" t="s">
        <v>10196</v>
      </c>
    </row>
    <row r="5826" ht="15.75" customHeight="1">
      <c r="A5826" s="2">
        <v>20235.0</v>
      </c>
      <c r="B5826" s="2" t="s">
        <v>5723</v>
      </c>
      <c r="C5826" s="2" t="s">
        <v>11502</v>
      </c>
      <c r="D5826" s="2" t="s">
        <v>11177</v>
      </c>
      <c r="E5826" s="2" t="s">
        <v>20</v>
      </c>
      <c r="F5826" s="2">
        <v>5.0</v>
      </c>
      <c r="G5826" s="2">
        <v>238.0</v>
      </c>
      <c r="H5826" s="3" t="str">
        <f>HYPERLINK("http://ar.linkedin.com/in/pablolaulhe","http://ar.linkedin.com/in/pablolaulhe")</f>
        <v>http://ar.linkedin.com/in/pablolaulhe</v>
      </c>
      <c r="I5826" s="2" t="s">
        <v>15</v>
      </c>
      <c r="J5826" s="2" t="s">
        <v>21</v>
      </c>
      <c r="K5826" s="2" t="s">
        <v>10196</v>
      </c>
    </row>
    <row r="5827" ht="15.75" customHeight="1">
      <c r="A5827" s="2">
        <v>20244.0</v>
      </c>
      <c r="B5827" s="2" t="s">
        <v>353</v>
      </c>
      <c r="C5827" s="2" t="s">
        <v>11503</v>
      </c>
      <c r="D5827" s="2" t="s">
        <v>11504</v>
      </c>
      <c r="E5827" s="2" t="s">
        <v>20</v>
      </c>
      <c r="F5827" s="2">
        <v>4.0</v>
      </c>
      <c r="G5827" s="2">
        <v>258.0</v>
      </c>
      <c r="H5827" s="3" t="str">
        <f>HYPERLINK("http://ar.linkedin.com/in/alejandrochiarillo","http://ar.linkedin.com/in/alejandrochiarillo")</f>
        <v>http://ar.linkedin.com/in/alejandrochiarillo</v>
      </c>
      <c r="I5827" s="2" t="s">
        <v>15</v>
      </c>
      <c r="J5827" s="2" t="s">
        <v>21</v>
      </c>
      <c r="K5827" s="2" t="s">
        <v>10196</v>
      </c>
    </row>
    <row r="5828" ht="15.75" customHeight="1">
      <c r="A5828" s="2">
        <v>20264.0</v>
      </c>
      <c r="B5828" s="2" t="s">
        <v>152</v>
      </c>
      <c r="C5828" s="2" t="s">
        <v>11505</v>
      </c>
      <c r="D5828" s="2"/>
      <c r="E5828" s="2" t="s">
        <v>1190</v>
      </c>
      <c r="F5828" s="2">
        <v>0.0</v>
      </c>
      <c r="G5828" s="2">
        <v>342.0</v>
      </c>
      <c r="H5828" s="3" t="str">
        <f>HYPERLINK("http://www.linkedin.com/pub/eduardo-santaella/0/50/369","http://www.linkedin.com/pub/eduardo-santaella/0/50/369")</f>
        <v>http://www.linkedin.com/pub/eduardo-santaella/0/50/369</v>
      </c>
      <c r="I5828" s="2" t="s">
        <v>48</v>
      </c>
      <c r="J5828" s="2" t="s">
        <v>102</v>
      </c>
      <c r="K5828" s="2" t="s">
        <v>10184</v>
      </c>
    </row>
    <row r="5829" ht="15.75" customHeight="1">
      <c r="A5829" s="2">
        <v>20268.0</v>
      </c>
      <c r="B5829" s="2" t="s">
        <v>11506</v>
      </c>
      <c r="C5829" s="2" t="s">
        <v>5389</v>
      </c>
      <c r="D5829" s="2" t="s">
        <v>13</v>
      </c>
      <c r="E5829" s="2" t="s">
        <v>20</v>
      </c>
      <c r="F5829" s="2">
        <v>0.0</v>
      </c>
      <c r="G5829" s="2">
        <v>500.0</v>
      </c>
      <c r="H5829" s="3" t="str">
        <f>HYPERLINK("http://www.linkedin.com/pub/angeleri-paula/22/3a2/532","http://www.linkedin.com/pub/angeleri-paula/22/3a2/532")</f>
        <v>http://www.linkedin.com/pub/angeleri-paula/22/3a2/532</v>
      </c>
      <c r="I5829" s="2" t="s">
        <v>15</v>
      </c>
      <c r="J5829" s="2" t="s">
        <v>21</v>
      </c>
      <c r="K5829" s="2" t="s">
        <v>10605</v>
      </c>
    </row>
    <row r="5830" ht="15.75" customHeight="1">
      <c r="A5830" s="2">
        <v>20279.0</v>
      </c>
      <c r="B5830" s="2" t="s">
        <v>845</v>
      </c>
      <c r="C5830" s="2" t="s">
        <v>11507</v>
      </c>
      <c r="D5830" s="2" t="s">
        <v>11508</v>
      </c>
      <c r="E5830" s="2" t="s">
        <v>882</v>
      </c>
      <c r="F5830" s="2" t="s">
        <v>13</v>
      </c>
      <c r="G5830" s="2">
        <v>500.0</v>
      </c>
      <c r="H5830" s="3" t="str">
        <f>HYPERLINK("http://www.linkedin.com/in/davidboronat","http://www.linkedin.com/in/davidboronat")</f>
        <v>http://www.linkedin.com/in/davidboronat</v>
      </c>
      <c r="I5830" s="2" t="s">
        <v>69</v>
      </c>
      <c r="J5830" s="2" t="s">
        <v>102</v>
      </c>
      <c r="K5830" s="2" t="s">
        <v>10184</v>
      </c>
    </row>
    <row r="5831" ht="15.75" customHeight="1">
      <c r="A5831" s="2">
        <v>20293.0</v>
      </c>
      <c r="B5831" s="2" t="s">
        <v>45</v>
      </c>
      <c r="C5831" s="2" t="s">
        <v>11509</v>
      </c>
      <c r="D5831" s="2" t="s">
        <v>11510</v>
      </c>
      <c r="E5831" s="2" t="s">
        <v>301</v>
      </c>
      <c r="F5831" s="2">
        <v>3.0</v>
      </c>
      <c r="G5831" s="2">
        <v>283.0</v>
      </c>
      <c r="H5831" s="3" t="str">
        <f>HYPERLINK("http://www.linkedin.com/pub/carlos-scuderi/5/BAA/116","http://www.linkedin.com/pub/carlos-scuderi/5/BAA/116")</f>
        <v>http://www.linkedin.com/pub/carlos-scuderi/5/BAA/116</v>
      </c>
      <c r="I5831" s="2" t="s">
        <v>15</v>
      </c>
      <c r="J5831" s="2" t="s">
        <v>102</v>
      </c>
      <c r="K5831" s="2" t="s">
        <v>10286</v>
      </c>
    </row>
    <row r="5832" ht="15.75" customHeight="1">
      <c r="A5832" s="2">
        <v>20336.0</v>
      </c>
      <c r="B5832" s="2" t="s">
        <v>8754</v>
      </c>
      <c r="C5832" s="2" t="s">
        <v>6956</v>
      </c>
      <c r="D5832" s="2" t="s">
        <v>7197</v>
      </c>
      <c r="E5832" s="2" t="s">
        <v>20</v>
      </c>
      <c r="F5832" s="2">
        <v>6.0</v>
      </c>
      <c r="G5832" s="2">
        <v>454.0</v>
      </c>
      <c r="H5832" s="3" t="str">
        <f>HYPERLINK("http://ar.linkedin.com/pub/jesica-arce/B/532/840","http://ar.linkedin.com/pub/jesica-arce/B/532/840")</f>
        <v>http://ar.linkedin.com/pub/jesica-arce/B/532/840</v>
      </c>
      <c r="I5832" s="2" t="s">
        <v>15</v>
      </c>
      <c r="J5832" s="2" t="s">
        <v>21</v>
      </c>
      <c r="K5832" s="2" t="s">
        <v>10196</v>
      </c>
    </row>
    <row r="5833" ht="15.75" customHeight="1">
      <c r="A5833" s="2">
        <v>20475.0</v>
      </c>
      <c r="B5833" s="2" t="s">
        <v>70</v>
      </c>
      <c r="C5833" s="2" t="s">
        <v>11511</v>
      </c>
      <c r="D5833" s="2" t="s">
        <v>11512</v>
      </c>
      <c r="E5833" s="2" t="s">
        <v>301</v>
      </c>
      <c r="F5833" s="2">
        <v>17.0</v>
      </c>
      <c r="G5833" s="2">
        <v>379.0</v>
      </c>
      <c r="H5833" s="3" t="str">
        <f>HYPERLINK("http://www.linkedin.com/pub/gustavo-perrone/1/B47/7B","http://www.linkedin.com/pub/gustavo-perrone/1/B47/7B")</f>
        <v>http://www.linkedin.com/pub/gustavo-perrone/1/B47/7B</v>
      </c>
      <c r="I5833" s="2" t="s">
        <v>599</v>
      </c>
      <c r="J5833" s="2" t="s">
        <v>102</v>
      </c>
      <c r="K5833" s="2" t="s">
        <v>10206</v>
      </c>
    </row>
    <row r="5834" ht="15.75" customHeight="1">
      <c r="A5834" s="2">
        <v>20637.0</v>
      </c>
      <c r="B5834" s="2" t="s">
        <v>221</v>
      </c>
      <c r="C5834" s="2" t="s">
        <v>11513</v>
      </c>
      <c r="D5834" s="2" t="s">
        <v>11514</v>
      </c>
      <c r="E5834" s="2" t="s">
        <v>20</v>
      </c>
      <c r="F5834" s="2" t="s">
        <v>13</v>
      </c>
      <c r="G5834" s="2">
        <v>340.0</v>
      </c>
      <c r="H5834" s="3" t="str">
        <f>HYPERLINK("http://ar.linkedin.com/pub/miguel-sarria/8/38A/169","http://ar.linkedin.com/pub/miguel-sarria/8/38A/169")</f>
        <v>http://ar.linkedin.com/pub/miguel-sarria/8/38A/169</v>
      </c>
      <c r="I5834" s="2" t="s">
        <v>1679</v>
      </c>
      <c r="J5834" s="2" t="s">
        <v>21</v>
      </c>
      <c r="K5834" s="2" t="s">
        <v>10880</v>
      </c>
    </row>
    <row r="5835" ht="15.75" customHeight="1">
      <c r="A5835" s="2">
        <v>20682.0</v>
      </c>
      <c r="B5835" s="2" t="s">
        <v>11515</v>
      </c>
      <c r="C5835" s="2" t="s">
        <v>11516</v>
      </c>
      <c r="D5835" s="2" t="s">
        <v>13</v>
      </c>
      <c r="E5835" s="2" t="s">
        <v>20</v>
      </c>
      <c r="F5835" s="2">
        <v>0.0</v>
      </c>
      <c r="G5835" s="2">
        <v>500.0</v>
      </c>
      <c r="H5835" s="3" t="str">
        <f>HYPERLINK("http://www.linkedin.com/pub/lidia-schmukler/23/124/4a2","http://www.linkedin.com/pub/lidia-schmukler/23/124/4a2")</f>
        <v>http://www.linkedin.com/pub/lidia-schmukler/23/124/4a2</v>
      </c>
      <c r="I5835" s="2" t="s">
        <v>1679</v>
      </c>
      <c r="J5835" s="2" t="s">
        <v>21</v>
      </c>
      <c r="K5835" s="2" t="s">
        <v>10196</v>
      </c>
    </row>
    <row r="5836" ht="15.75" customHeight="1">
      <c r="A5836" s="2">
        <v>20764.0</v>
      </c>
      <c r="B5836" s="2" t="s">
        <v>3175</v>
      </c>
      <c r="C5836" s="2" t="s">
        <v>10360</v>
      </c>
      <c r="D5836" s="2" t="s">
        <v>2331</v>
      </c>
      <c r="E5836" s="2" t="s">
        <v>1190</v>
      </c>
      <c r="F5836" s="2" t="s">
        <v>13</v>
      </c>
      <c r="G5836" s="2">
        <v>255.0</v>
      </c>
      <c r="H5836" s="3" t="str">
        <f>HYPERLINK("http://www.linkedin.com/pub/daniela-hernandez/24/38B/129","http://www.linkedin.com/pub/daniela-hernandez/24/38B/129")</f>
        <v>http://www.linkedin.com/pub/daniela-hernandez/24/38B/129</v>
      </c>
      <c r="I5836" s="2" t="s">
        <v>77</v>
      </c>
      <c r="J5836" s="2" t="s">
        <v>102</v>
      </c>
      <c r="K5836" s="2" t="s">
        <v>11517</v>
      </c>
    </row>
    <row r="5837" ht="15.75" customHeight="1">
      <c r="A5837" s="2">
        <v>20781.0</v>
      </c>
      <c r="B5837" s="2" t="s">
        <v>11518</v>
      </c>
      <c r="C5837" s="2" t="s">
        <v>11519</v>
      </c>
      <c r="D5837" s="2" t="s">
        <v>13</v>
      </c>
      <c r="E5837" s="2" t="s">
        <v>20</v>
      </c>
      <c r="F5837" s="2">
        <v>0.0</v>
      </c>
      <c r="G5837" s="2">
        <v>500.0</v>
      </c>
      <c r="H5837" s="3" t="str">
        <f>HYPERLINK("http://www.linkedin.com/pub/rodolfo-edgardo-cattaneo/7/a40/308","http://www.linkedin.com/pub/rodolfo-edgardo-cattaneo/7/a40/308")</f>
        <v>http://www.linkedin.com/pub/rodolfo-edgardo-cattaneo/7/a40/308</v>
      </c>
      <c r="I5837" s="2" t="s">
        <v>326</v>
      </c>
      <c r="J5837" s="2" t="s">
        <v>21</v>
      </c>
      <c r="K5837" s="2" t="s">
        <v>10184</v>
      </c>
    </row>
    <row r="5838" ht="15.75" customHeight="1">
      <c r="A5838" s="2">
        <v>21038.0</v>
      </c>
      <c r="B5838" s="2" t="s">
        <v>2335</v>
      </c>
      <c r="C5838" s="2" t="s">
        <v>11520</v>
      </c>
      <c r="D5838" s="2" t="s">
        <v>11478</v>
      </c>
      <c r="E5838" s="2" t="s">
        <v>1190</v>
      </c>
      <c r="F5838" s="2">
        <v>12.0</v>
      </c>
      <c r="G5838" s="2">
        <v>500.0</v>
      </c>
      <c r="H5838" s="3" t="str">
        <f>HYPERLINK("http://www.linkedin.com/in/brunospinelli","http://www.linkedin.com/in/brunospinelli")</f>
        <v>http://www.linkedin.com/in/brunospinelli</v>
      </c>
      <c r="I5838" s="2" t="s">
        <v>48</v>
      </c>
      <c r="J5838" s="2" t="s">
        <v>102</v>
      </c>
      <c r="K5838" s="2" t="s">
        <v>10233</v>
      </c>
    </row>
    <row r="5839" ht="15.75" customHeight="1">
      <c r="A5839" s="2">
        <v>21071.0</v>
      </c>
      <c r="B5839" s="2" t="s">
        <v>4304</v>
      </c>
      <c r="C5839" s="2" t="s">
        <v>11521</v>
      </c>
      <c r="D5839" s="2" t="s">
        <v>11522</v>
      </c>
      <c r="E5839" s="2" t="s">
        <v>301</v>
      </c>
      <c r="F5839" s="2">
        <v>2.0</v>
      </c>
      <c r="G5839" s="2">
        <v>147.0</v>
      </c>
      <c r="H5839" s="3" t="str">
        <f>HYPERLINK("http://www.linkedin.com/pub/leandro-iacono/20/608/6A5","http://www.linkedin.com/pub/leandro-iacono/20/608/6A5")</f>
        <v>http://www.linkedin.com/pub/leandro-iacono/20/608/6A5</v>
      </c>
      <c r="I5839" s="2" t="s">
        <v>48</v>
      </c>
      <c r="J5839" s="2" t="s">
        <v>102</v>
      </c>
      <c r="K5839" s="2" t="s">
        <v>10245</v>
      </c>
    </row>
    <row r="5840" ht="15.75" customHeight="1">
      <c r="A5840" s="2">
        <v>21075.0</v>
      </c>
      <c r="B5840" s="2" t="s">
        <v>6974</v>
      </c>
      <c r="C5840" s="2" t="s">
        <v>11523</v>
      </c>
      <c r="D5840" s="2" t="s">
        <v>1780</v>
      </c>
      <c r="E5840" s="2" t="s">
        <v>20</v>
      </c>
      <c r="F5840" s="2">
        <v>1.0</v>
      </c>
      <c r="G5840" s="2">
        <v>500.0</v>
      </c>
      <c r="H5840" s="3" t="str">
        <f>HYPERLINK("http://ar.linkedin.com/pub/axel-chevallier-boutell/8/547/B48","http://ar.linkedin.com/pub/axel-chevallier-boutell/8/547/B48")</f>
        <v>http://ar.linkedin.com/pub/axel-chevallier-boutell/8/547/B48</v>
      </c>
      <c r="I5840" s="2" t="s">
        <v>105</v>
      </c>
      <c r="J5840" s="2" t="s">
        <v>21</v>
      </c>
      <c r="K5840" s="2" t="s">
        <v>10184</v>
      </c>
    </row>
    <row r="5841" ht="15.75" customHeight="1">
      <c r="A5841" s="2">
        <v>21083.0</v>
      </c>
      <c r="B5841" s="2" t="s">
        <v>6666</v>
      </c>
      <c r="C5841" s="2" t="s">
        <v>11524</v>
      </c>
      <c r="D5841" s="2" t="s">
        <v>13</v>
      </c>
      <c r="E5841" s="2" t="s">
        <v>20</v>
      </c>
      <c r="F5841" s="2">
        <v>0.0</v>
      </c>
      <c r="G5841" s="2">
        <v>500.0</v>
      </c>
      <c r="H5841" s="3" t="str">
        <f>HYPERLINK("http://www.linkedin.com/pub/sebasti%C3%A1n-v%C3%A1zquez-montoto/20/510/405","http://www.linkedin.com/pub/sebasti%C3%A1n-v%C3%A1zquez-montoto/20/510/405")</f>
        <v>http://www.linkedin.com/pub/sebasti%C3%A1n-v%C3%A1zquez-montoto/20/510/405</v>
      </c>
      <c r="I5841" s="2" t="s">
        <v>382</v>
      </c>
      <c r="J5841" s="2" t="s">
        <v>21</v>
      </c>
      <c r="K5841" s="2" t="s">
        <v>10940</v>
      </c>
    </row>
    <row r="5842" ht="15.75" customHeight="1">
      <c r="A5842" s="2">
        <v>21109.0</v>
      </c>
      <c r="B5842" s="2" t="s">
        <v>238</v>
      </c>
      <c r="C5842" s="2" t="s">
        <v>11525</v>
      </c>
      <c r="D5842" s="2" t="s">
        <v>11526</v>
      </c>
      <c r="E5842" s="2" t="s">
        <v>136</v>
      </c>
      <c r="F5842" s="2">
        <v>2.0</v>
      </c>
      <c r="G5842" s="2">
        <v>500.0</v>
      </c>
      <c r="H5842" s="3" t="str">
        <f>HYPERLINK("http://www.linkedin.com/pub/juan-gomez-de-la-vega/0/6B/646","http://www.linkedin.com/pub/juan-gomez-de-la-vega/0/6B/646")</f>
        <v>http://www.linkedin.com/pub/juan-gomez-de-la-vega/0/6B/646</v>
      </c>
      <c r="I5842" s="2" t="s">
        <v>1496</v>
      </c>
      <c r="J5842" s="2" t="s">
        <v>102</v>
      </c>
      <c r="K5842" s="2" t="s">
        <v>10209</v>
      </c>
    </row>
    <row r="5843" ht="15.75" customHeight="1">
      <c r="A5843" s="2">
        <v>21112.0</v>
      </c>
      <c r="B5843" s="2" t="s">
        <v>845</v>
      </c>
      <c r="C5843" s="2" t="s">
        <v>11527</v>
      </c>
      <c r="D5843" s="2" t="s">
        <v>11528</v>
      </c>
      <c r="E5843" s="2" t="s">
        <v>255</v>
      </c>
      <c r="F5843" s="2" t="s">
        <v>13</v>
      </c>
      <c r="G5843" s="2">
        <v>500.0</v>
      </c>
      <c r="H5843" s="3" t="str">
        <f>HYPERLINK("http://www.linkedin.com/pub/david-gilarranz/5/957/A63","http://www.linkedin.com/pub/david-gilarranz/5/957/A63")</f>
        <v>http://www.linkedin.com/pub/david-gilarranz/5/957/A63</v>
      </c>
      <c r="I5843" s="2" t="s">
        <v>77</v>
      </c>
      <c r="J5843" s="2" t="s">
        <v>102</v>
      </c>
      <c r="K5843" s="2" t="s">
        <v>10394</v>
      </c>
    </row>
    <row r="5844" ht="15.75" customHeight="1">
      <c r="A5844" s="2">
        <v>21113.0</v>
      </c>
      <c r="B5844" s="2" t="s">
        <v>2720</v>
      </c>
      <c r="C5844" s="2" t="s">
        <v>11529</v>
      </c>
      <c r="D5844" s="2" t="s">
        <v>11530</v>
      </c>
      <c r="E5844" s="2" t="s">
        <v>1190</v>
      </c>
      <c r="F5844" s="2">
        <v>4.0</v>
      </c>
      <c r="G5844" s="2">
        <v>421.0</v>
      </c>
      <c r="H5844" s="3" t="str">
        <f>HYPERLINK("http://www.linkedin.com/pub/alexis-guini/18/687/89","http://www.linkedin.com/pub/alexis-guini/18/687/89")</f>
        <v>http://www.linkedin.com/pub/alexis-guini/18/687/89</v>
      </c>
      <c r="I5844" s="2" t="s">
        <v>105</v>
      </c>
      <c r="J5844" s="2" t="s">
        <v>102</v>
      </c>
      <c r="K5844" s="2" t="s">
        <v>10209</v>
      </c>
    </row>
    <row r="5845" ht="15.75" customHeight="1">
      <c r="A5845" s="2">
        <v>21114.0</v>
      </c>
      <c r="B5845" s="2" t="s">
        <v>3692</v>
      </c>
      <c r="C5845" s="2" t="s">
        <v>11531</v>
      </c>
      <c r="D5845" s="2"/>
      <c r="E5845" s="2" t="s">
        <v>1615</v>
      </c>
      <c r="F5845" s="2">
        <v>5.0</v>
      </c>
      <c r="G5845" s="2">
        <v>190.0</v>
      </c>
      <c r="H5845" s="3" t="str">
        <f>HYPERLINK("http://www.linkedin.com/pub/federico-giovannetti/1/24B/27B","http://www.linkedin.com/pub/federico-giovannetti/1/24B/27B")</f>
        <v>http://www.linkedin.com/pub/federico-giovannetti/1/24B/27B</v>
      </c>
      <c r="I5845" s="2" t="s">
        <v>1496</v>
      </c>
      <c r="J5845" s="2" t="s">
        <v>102</v>
      </c>
      <c r="K5845" s="2" t="s">
        <v>10209</v>
      </c>
    </row>
    <row r="5846" ht="15.75" customHeight="1">
      <c r="A5846" s="2">
        <v>21115.0</v>
      </c>
      <c r="B5846" s="2" t="s">
        <v>264</v>
      </c>
      <c r="C5846" s="2" t="s">
        <v>5997</v>
      </c>
      <c r="D5846" s="2" t="s">
        <v>11532</v>
      </c>
      <c r="E5846" s="2" t="s">
        <v>1190</v>
      </c>
      <c r="F5846" s="2">
        <v>6.0</v>
      </c>
      <c r="G5846" s="2">
        <v>500.0</v>
      </c>
      <c r="H5846" s="3" t="str">
        <f>HYPERLINK("http://www.linkedin.com/in/andresarias","http://www.linkedin.com/in/andresarias")</f>
        <v>http://www.linkedin.com/in/andresarias</v>
      </c>
      <c r="I5846" s="2" t="s">
        <v>326</v>
      </c>
      <c r="J5846" s="2" t="s">
        <v>102</v>
      </c>
      <c r="K5846" s="2" t="s">
        <v>10371</v>
      </c>
    </row>
    <row r="5847" ht="15.75" customHeight="1">
      <c r="A5847" s="2">
        <v>21117.0</v>
      </c>
      <c r="B5847" s="2" t="s">
        <v>36</v>
      </c>
      <c r="C5847" s="2" t="s">
        <v>11533</v>
      </c>
      <c r="D5847" s="2" t="s">
        <v>11534</v>
      </c>
      <c r="E5847" s="2" t="s">
        <v>255</v>
      </c>
      <c r="F5847" s="2">
        <v>0.0</v>
      </c>
      <c r="G5847" s="2">
        <v>500.0</v>
      </c>
      <c r="H5847" s="3" t="str">
        <f>HYPERLINK("http://www.linkedin.com/pub/adriana-daantje/8/94B/B80","http://www.linkedin.com/pub/adriana-daantje/8/94B/B80")</f>
        <v>http://www.linkedin.com/pub/adriana-daantje/8/94B/B80</v>
      </c>
      <c r="I5847" s="2" t="s">
        <v>105</v>
      </c>
      <c r="J5847" s="2" t="s">
        <v>102</v>
      </c>
      <c r="K5847" s="2" t="s">
        <v>10187</v>
      </c>
    </row>
    <row r="5848" ht="15.75" customHeight="1">
      <c r="A5848" s="2">
        <v>21192.0</v>
      </c>
      <c r="B5848" s="2" t="s">
        <v>11535</v>
      </c>
      <c r="C5848" s="2" t="s">
        <v>11536</v>
      </c>
      <c r="D5848" s="2" t="s">
        <v>47</v>
      </c>
      <c r="E5848" s="2" t="s">
        <v>11537</v>
      </c>
      <c r="F5848" s="2" t="s">
        <v>13</v>
      </c>
      <c r="G5848" s="2">
        <v>389.0</v>
      </c>
      <c r="H5848" s="3" t="str">
        <f>HYPERLINK("http://www.linkedin.com/pub/yeshey-tshogay/A/230/447","http://www.linkedin.com/pub/yeshey-tshogay/A/230/447")</f>
        <v>http://www.linkedin.com/pub/yeshey-tshogay/A/230/447</v>
      </c>
      <c r="I5848" s="2" t="s">
        <v>77</v>
      </c>
      <c r="J5848" s="2" t="s">
        <v>11538</v>
      </c>
      <c r="K5848" s="2" t="s">
        <v>10206</v>
      </c>
    </row>
    <row r="5849" ht="15.75" customHeight="1">
      <c r="A5849" s="2">
        <v>21196.0</v>
      </c>
      <c r="B5849" s="2" t="s">
        <v>11539</v>
      </c>
      <c r="C5849" s="2" t="s">
        <v>11540</v>
      </c>
      <c r="D5849" s="2" t="s">
        <v>13</v>
      </c>
      <c r="E5849" s="2" t="s">
        <v>11541</v>
      </c>
      <c r="F5849" s="2">
        <v>5.0</v>
      </c>
      <c r="G5849" s="2">
        <v>500.0</v>
      </c>
      <c r="H5849" s="3" t="str">
        <f>HYPERLINK("http://www.linkedin.com/pub/sham-careem/1/866/161","http://www.linkedin.com/pub/sham-careem/1/866/161")</f>
        <v>http://www.linkedin.com/pub/sham-careem/1/866/161</v>
      </c>
      <c r="I5849" s="2" t="s">
        <v>1496</v>
      </c>
      <c r="J5849" s="2" t="s">
        <v>53</v>
      </c>
      <c r="K5849" s="2" t="s">
        <v>10674</v>
      </c>
    </row>
    <row r="5850" ht="15.75" customHeight="1">
      <c r="A5850" s="2">
        <v>21241.0</v>
      </c>
      <c r="B5850" s="2" t="s">
        <v>11542</v>
      </c>
      <c r="C5850" s="2" t="s">
        <v>9041</v>
      </c>
      <c r="D5850" s="2"/>
      <c r="E5850" s="2" t="s">
        <v>136</v>
      </c>
      <c r="F5850" s="2">
        <v>0.0</v>
      </c>
      <c r="G5850" s="2">
        <v>165.0</v>
      </c>
      <c r="H5850" s="3" t="str">
        <f>HYPERLINK("http://www.linkedin.com/pub/yoonie-tang/2/A2B/21","http://www.linkedin.com/pub/yoonie-tang/2/A2B/21")</f>
        <v>http://www.linkedin.com/pub/yoonie-tang/2/A2B/21</v>
      </c>
      <c r="I5850" s="2" t="s">
        <v>15</v>
      </c>
      <c r="J5850" s="2" t="s">
        <v>102</v>
      </c>
      <c r="K5850" s="2" t="s">
        <v>10184</v>
      </c>
    </row>
    <row r="5851" ht="15.75" customHeight="1">
      <c r="A5851" s="2">
        <v>21246.0</v>
      </c>
      <c r="B5851" s="2" t="s">
        <v>1676</v>
      </c>
      <c r="C5851" s="2" t="s">
        <v>11543</v>
      </c>
      <c r="D5851" s="2" t="s">
        <v>11544</v>
      </c>
      <c r="E5851" s="2" t="s">
        <v>20</v>
      </c>
      <c r="F5851" s="2">
        <v>11.0</v>
      </c>
      <c r="G5851" s="2">
        <v>240.0</v>
      </c>
      <c r="H5851" s="3" t="str">
        <f>HYPERLINK("http://ar.linkedin.com/in/ramorn","http://ar.linkedin.com/in/ramorn")</f>
        <v>http://ar.linkedin.com/in/ramorn</v>
      </c>
      <c r="I5851" s="2" t="s">
        <v>15</v>
      </c>
      <c r="J5851" s="2" t="s">
        <v>21</v>
      </c>
      <c r="K5851" s="2" t="s">
        <v>10196</v>
      </c>
    </row>
    <row r="5852" ht="15.75" customHeight="1">
      <c r="A5852" s="2">
        <v>21248.0</v>
      </c>
      <c r="B5852" s="2" t="s">
        <v>501</v>
      </c>
      <c r="C5852" s="2" t="s">
        <v>10586</v>
      </c>
      <c r="D5852" s="2" t="s">
        <v>11545</v>
      </c>
      <c r="E5852" s="2" t="s">
        <v>20</v>
      </c>
      <c r="F5852" s="2">
        <v>4.0</v>
      </c>
      <c r="G5852" s="2">
        <v>394.0</v>
      </c>
      <c r="H5852" s="3" t="str">
        <f>HYPERLINK("http://ar.linkedin.com/pub/francisco-palacios/27/781/5A8","http://ar.linkedin.com/pub/francisco-palacios/27/781/5A8")</f>
        <v>http://ar.linkedin.com/pub/francisco-palacios/27/781/5A8</v>
      </c>
      <c r="I5852" s="2" t="s">
        <v>15</v>
      </c>
      <c r="J5852" s="2" t="s">
        <v>21</v>
      </c>
      <c r="K5852" s="2" t="s">
        <v>10180</v>
      </c>
    </row>
    <row r="5853" ht="15.75" customHeight="1">
      <c r="A5853" s="2">
        <v>21260.0</v>
      </c>
      <c r="B5853" s="2" t="s">
        <v>3143</v>
      </c>
      <c r="C5853" s="2" t="s">
        <v>11546</v>
      </c>
      <c r="D5853" s="2" t="s">
        <v>11547</v>
      </c>
      <c r="E5853" s="2" t="s">
        <v>20</v>
      </c>
      <c r="F5853" s="2">
        <v>9.0</v>
      </c>
      <c r="G5853" s="2">
        <v>500.0</v>
      </c>
      <c r="H5853" s="3" t="str">
        <f>HYPERLINK("http://ar.linkedin.com/pub/miriam-castellani/9/A24/B8","http://ar.linkedin.com/pub/miriam-castellani/9/A24/B8")</f>
        <v>http://ar.linkedin.com/pub/miriam-castellani/9/A24/B8</v>
      </c>
      <c r="I5853" s="2" t="s">
        <v>15</v>
      </c>
      <c r="J5853" s="2" t="s">
        <v>21</v>
      </c>
      <c r="K5853" s="2" t="s">
        <v>11548</v>
      </c>
    </row>
    <row r="5854" ht="15.75" customHeight="1">
      <c r="A5854" s="2">
        <v>21281.0</v>
      </c>
      <c r="B5854" s="2" t="s">
        <v>5735</v>
      </c>
      <c r="C5854" s="2" t="s">
        <v>11549</v>
      </c>
      <c r="D5854" s="2" t="s">
        <v>5328</v>
      </c>
      <c r="E5854" s="2" t="s">
        <v>20</v>
      </c>
      <c r="F5854" s="2">
        <v>8.0</v>
      </c>
      <c r="G5854" s="2">
        <v>500.0</v>
      </c>
      <c r="H5854" s="3" t="str">
        <f>HYPERLINK("http://ar.linkedin.com/in/germanbanchio","http://ar.linkedin.com/in/germanbanchio")</f>
        <v>http://ar.linkedin.com/in/germanbanchio</v>
      </c>
      <c r="I5854" s="2" t="s">
        <v>15</v>
      </c>
      <c r="J5854" s="2" t="s">
        <v>21</v>
      </c>
      <c r="K5854" s="2" t="s">
        <v>10178</v>
      </c>
    </row>
    <row r="5855" ht="15.75" customHeight="1">
      <c r="A5855" s="2">
        <v>21318.0</v>
      </c>
      <c r="B5855" s="2" t="s">
        <v>3015</v>
      </c>
      <c r="C5855" s="2" t="s">
        <v>11550</v>
      </c>
      <c r="D5855" s="2" t="s">
        <v>11551</v>
      </c>
      <c r="E5855" s="2" t="s">
        <v>1190</v>
      </c>
      <c r="F5855" s="2">
        <v>16.0</v>
      </c>
      <c r="G5855" s="2">
        <v>500.0</v>
      </c>
      <c r="H5855" s="3" t="str">
        <f>HYPERLINK("http://www.linkedin.com/in/lautenberg","http://www.linkedin.com/in/lautenberg")</f>
        <v>http://www.linkedin.com/in/lautenberg</v>
      </c>
      <c r="I5855" s="2" t="s">
        <v>279</v>
      </c>
      <c r="J5855" s="2" t="s">
        <v>102</v>
      </c>
      <c r="K5855" s="2" t="s">
        <v>10187</v>
      </c>
    </row>
    <row r="5856" ht="15.75" customHeight="1">
      <c r="A5856" s="2">
        <v>21329.0</v>
      </c>
      <c r="B5856" s="2" t="s">
        <v>3274</v>
      </c>
      <c r="C5856" s="2" t="s">
        <v>11552</v>
      </c>
      <c r="D5856" s="2" t="s">
        <v>11553</v>
      </c>
      <c r="E5856" s="2" t="s">
        <v>628</v>
      </c>
      <c r="F5856" s="2">
        <v>1.0</v>
      </c>
      <c r="G5856" s="2">
        <v>131.0</v>
      </c>
      <c r="H5856" s="3" t="str">
        <f>HYPERLINK("http://www.linkedin.com/pub/brandt-sartell/6/49/5B4","http://www.linkedin.com/pub/brandt-sartell/6/49/5B4")</f>
        <v>http://www.linkedin.com/pub/brandt-sartell/6/49/5B4</v>
      </c>
      <c r="I5856" s="2" t="s">
        <v>57</v>
      </c>
      <c r="J5856" s="2" t="s">
        <v>102</v>
      </c>
      <c r="K5856" s="2" t="s">
        <v>10209</v>
      </c>
    </row>
    <row r="5857" ht="15.75" customHeight="1">
      <c r="A5857" s="2">
        <v>21357.0</v>
      </c>
      <c r="B5857" s="2" t="s">
        <v>133</v>
      </c>
      <c r="C5857" s="2" t="s">
        <v>11554</v>
      </c>
      <c r="D5857" s="2" t="s">
        <v>11555</v>
      </c>
      <c r="E5857" s="2" t="s">
        <v>5503</v>
      </c>
      <c r="F5857" s="2" t="s">
        <v>13</v>
      </c>
      <c r="G5857" s="2">
        <v>173.0</v>
      </c>
      <c r="H5857" s="3" t="str">
        <f>HYPERLINK("http://www.linkedin.com/pub/michael-lucido/A/998/689","http://www.linkedin.com/pub/michael-lucido/A/998/689")</f>
        <v>http://www.linkedin.com/pub/michael-lucido/A/998/689</v>
      </c>
      <c r="I5857" s="2" t="s">
        <v>714</v>
      </c>
      <c r="J5857" s="2" t="s">
        <v>102</v>
      </c>
      <c r="K5857" s="2" t="s">
        <v>10206</v>
      </c>
    </row>
    <row r="5858" ht="15.75" customHeight="1">
      <c r="A5858" s="2">
        <v>21366.0</v>
      </c>
      <c r="B5858" s="2" t="s">
        <v>3692</v>
      </c>
      <c r="C5858" s="2" t="s">
        <v>3695</v>
      </c>
      <c r="D5858" s="2" t="s">
        <v>2302</v>
      </c>
      <c r="E5858" s="2" t="s">
        <v>20</v>
      </c>
      <c r="F5858" s="2" t="s">
        <v>13</v>
      </c>
      <c r="G5858" s="2">
        <v>1.0</v>
      </c>
      <c r="H5858" s="3" t="str">
        <f>HYPERLINK("http://ar.linkedin.com/pub/federico-andre/3/B38/320","http://ar.linkedin.com/pub/federico-andre/3/B38/320")</f>
        <v>http://ar.linkedin.com/pub/federico-andre/3/B38/320</v>
      </c>
      <c r="I5858" s="2" t="s">
        <v>2443</v>
      </c>
      <c r="J5858" s="2" t="s">
        <v>21</v>
      </c>
      <c r="K5858" s="2" t="s">
        <v>10176</v>
      </c>
    </row>
    <row r="5859" ht="15.75" customHeight="1">
      <c r="A5859" s="2">
        <v>21395.0</v>
      </c>
      <c r="B5859" s="2" t="s">
        <v>3268</v>
      </c>
      <c r="C5859" s="2" t="s">
        <v>11556</v>
      </c>
      <c r="D5859" s="2" t="s">
        <v>11557</v>
      </c>
      <c r="E5859" s="2" t="s">
        <v>20</v>
      </c>
      <c r="F5859" s="2">
        <v>2.0</v>
      </c>
      <c r="G5859" s="2">
        <v>314.0</v>
      </c>
      <c r="H5859" s="3" t="str">
        <f>HYPERLINK("http://ar.linkedin.com/pub/patricia-nastasi/4/6A8/A2B","http://ar.linkedin.com/pub/patricia-nastasi/4/6A8/A2B")</f>
        <v>http://ar.linkedin.com/pub/patricia-nastasi/4/6A8/A2B</v>
      </c>
      <c r="I5859" s="2" t="s">
        <v>15</v>
      </c>
      <c r="J5859" s="2" t="s">
        <v>21</v>
      </c>
      <c r="K5859" s="2" t="s">
        <v>10196</v>
      </c>
    </row>
    <row r="5860" ht="15.75" customHeight="1">
      <c r="A5860" s="2">
        <v>21397.0</v>
      </c>
      <c r="B5860" s="2" t="s">
        <v>5723</v>
      </c>
      <c r="C5860" s="2" t="s">
        <v>11558</v>
      </c>
      <c r="D5860" s="2" t="s">
        <v>13</v>
      </c>
      <c r="E5860" s="2" t="s">
        <v>20</v>
      </c>
      <c r="F5860" s="2">
        <v>0.0</v>
      </c>
      <c r="G5860" s="2">
        <v>94.0</v>
      </c>
      <c r="H5860" s="3" t="str">
        <f>HYPERLINK("http://www.linkedin.com/pub/pablo-pedreira-agilda/10/808/802","http://www.linkedin.com/pub/pablo-pedreira-agilda/10/808/802")</f>
        <v>http://www.linkedin.com/pub/pablo-pedreira-agilda/10/808/802</v>
      </c>
      <c r="I5860" s="2" t="s">
        <v>15</v>
      </c>
      <c r="J5860" s="2" t="s">
        <v>21</v>
      </c>
      <c r="K5860" s="2" t="s">
        <v>10196</v>
      </c>
    </row>
    <row r="5861" ht="15.75" customHeight="1">
      <c r="A5861" s="2">
        <v>21398.0</v>
      </c>
      <c r="B5861" s="2" t="s">
        <v>362</v>
      </c>
      <c r="C5861" s="2" t="s">
        <v>11559</v>
      </c>
      <c r="D5861" s="2" t="s">
        <v>11560</v>
      </c>
      <c r="E5861" s="2" t="s">
        <v>20</v>
      </c>
      <c r="F5861" s="2">
        <v>6.0</v>
      </c>
      <c r="G5861" s="2">
        <v>500.0</v>
      </c>
      <c r="H5861" s="3" t="str">
        <f>HYPERLINK("http://www.linkedin.com/pub/javier-robertazzi/a/645/582","http://www.linkedin.com/pub/javier-robertazzi/a/645/582")</f>
        <v>http://www.linkedin.com/pub/javier-robertazzi/a/645/582</v>
      </c>
      <c r="I5861" s="2" t="s">
        <v>15</v>
      </c>
      <c r="J5861" s="2" t="s">
        <v>21</v>
      </c>
      <c r="K5861" s="2" t="s">
        <v>10196</v>
      </c>
    </row>
    <row r="5862" ht="15.75" customHeight="1">
      <c r="A5862" s="2">
        <v>21425.0</v>
      </c>
      <c r="B5862" s="2" t="s">
        <v>492</v>
      </c>
      <c r="C5862" s="2" t="s">
        <v>11561</v>
      </c>
      <c r="D5862" s="2" t="s">
        <v>13</v>
      </c>
      <c r="E5862" s="2" t="s">
        <v>20</v>
      </c>
      <c r="F5862" s="2">
        <v>0.0</v>
      </c>
      <c r="G5862" s="2">
        <v>490.0</v>
      </c>
      <c r="H5862" s="3" t="str">
        <f>HYPERLINK("http://www.linkedin.com/pub/sergio-cabanela/13/2b5/8b8","http://www.linkedin.com/pub/sergio-cabanela/13/2b5/8b8")</f>
        <v>http://www.linkedin.com/pub/sergio-cabanela/13/2b5/8b8</v>
      </c>
      <c r="I5862" s="2" t="s">
        <v>15</v>
      </c>
      <c r="J5862" s="2" t="s">
        <v>21</v>
      </c>
      <c r="K5862" s="2" t="s">
        <v>10196</v>
      </c>
    </row>
    <row r="5863" ht="15.75" customHeight="1">
      <c r="A5863" s="2">
        <v>21524.0</v>
      </c>
      <c r="B5863" s="2" t="s">
        <v>8151</v>
      </c>
      <c r="C5863" s="2" t="s">
        <v>11562</v>
      </c>
      <c r="D5863" s="2" t="s">
        <v>11563</v>
      </c>
      <c r="E5863" s="2" t="s">
        <v>20</v>
      </c>
      <c r="F5863" s="2">
        <v>2.0</v>
      </c>
      <c r="G5863" s="2">
        <v>500.0</v>
      </c>
      <c r="H5863" s="3" t="str">
        <f>HYPERLINK("http://ar.linkedin.com/pub/francisco-jos%C3%A9-rold%C3%A1n/13/A34/808","http://ar.linkedin.com/pub/francisco-jos%C3%A9-rold%C3%A1n/13/A34/808")</f>
        <v>http://ar.linkedin.com/pub/francisco-jos%C3%A9-rold%C3%A1n/13/A34/808</v>
      </c>
      <c r="I5863" s="2" t="s">
        <v>15</v>
      </c>
      <c r="J5863" s="2" t="s">
        <v>21</v>
      </c>
      <c r="K5863" s="2" t="s">
        <v>10196</v>
      </c>
    </row>
    <row r="5864" ht="15.75" customHeight="1">
      <c r="A5864" s="2">
        <v>21568.0</v>
      </c>
      <c r="B5864" s="2" t="s">
        <v>3223</v>
      </c>
      <c r="C5864" s="2" t="s">
        <v>11564</v>
      </c>
      <c r="D5864" s="2" t="s">
        <v>13</v>
      </c>
      <c r="E5864" s="2" t="s">
        <v>20</v>
      </c>
      <c r="F5864" s="2">
        <v>3.0</v>
      </c>
      <c r="G5864" s="2">
        <v>500.0</v>
      </c>
      <c r="H5864" s="3" t="str">
        <f>HYPERLINK("http://www.linkedin.com/pub/laura-szpindler/4/859/335","http://www.linkedin.com/pub/laura-szpindler/4/859/335")</f>
        <v>http://www.linkedin.com/pub/laura-szpindler/4/859/335</v>
      </c>
      <c r="I5864" s="2" t="s">
        <v>15</v>
      </c>
      <c r="J5864" s="2" t="s">
        <v>21</v>
      </c>
      <c r="K5864" s="2" t="s">
        <v>10196</v>
      </c>
    </row>
    <row r="5865" ht="15.75" customHeight="1">
      <c r="A5865" s="2">
        <v>21582.0</v>
      </c>
      <c r="B5865" s="2" t="s">
        <v>5039</v>
      </c>
      <c r="C5865" s="2" t="s">
        <v>11565</v>
      </c>
      <c r="D5865" s="2" t="s">
        <v>6213</v>
      </c>
      <c r="E5865" s="2" t="s">
        <v>20</v>
      </c>
      <c r="F5865" s="2">
        <v>8.0</v>
      </c>
      <c r="G5865" s="2">
        <v>500.0</v>
      </c>
      <c r="H5865" s="3" t="str">
        <f>HYPERLINK("http://ar.linkedin.com/in/rodolfof","http://ar.linkedin.com/in/rodolfof")</f>
        <v>http://ar.linkedin.com/in/rodolfof</v>
      </c>
      <c r="I5865" s="2" t="s">
        <v>48</v>
      </c>
      <c r="J5865" s="2" t="s">
        <v>21</v>
      </c>
      <c r="K5865" s="2" t="s">
        <v>10196</v>
      </c>
    </row>
    <row r="5866" ht="15.75" customHeight="1">
      <c r="A5866" s="2">
        <v>21587.0</v>
      </c>
      <c r="B5866" s="2" t="s">
        <v>3178</v>
      </c>
      <c r="C5866" s="2" t="s">
        <v>10248</v>
      </c>
      <c r="D5866" s="2" t="s">
        <v>11566</v>
      </c>
      <c r="E5866" s="2" t="s">
        <v>20</v>
      </c>
      <c r="F5866" s="2">
        <v>5.0</v>
      </c>
      <c r="G5866" s="2">
        <v>500.0</v>
      </c>
      <c r="H5866" s="3" t="str">
        <f>HYPERLINK("http://ar.linkedin.com/in/lucaswells","http://ar.linkedin.com/in/lucaswells")</f>
        <v>http://ar.linkedin.com/in/lucaswells</v>
      </c>
      <c r="I5866" s="2" t="s">
        <v>15</v>
      </c>
      <c r="J5866" s="2" t="s">
        <v>21</v>
      </c>
      <c r="K5866" s="2" t="s">
        <v>10180</v>
      </c>
    </row>
    <row r="5867" ht="15.75" customHeight="1">
      <c r="A5867" s="2">
        <v>21588.0</v>
      </c>
      <c r="B5867" s="2" t="s">
        <v>5078</v>
      </c>
      <c r="C5867" s="2" t="s">
        <v>11567</v>
      </c>
      <c r="D5867" s="2" t="s">
        <v>11568</v>
      </c>
      <c r="E5867" s="2" t="s">
        <v>20</v>
      </c>
      <c r="F5867" s="2">
        <v>9.0</v>
      </c>
      <c r="G5867" s="2">
        <v>217.0</v>
      </c>
      <c r="H5867" s="3" t="str">
        <f>HYPERLINK("http://ar.linkedin.com/in/dlineiro","http://ar.linkedin.com/in/dlineiro")</f>
        <v>http://ar.linkedin.com/in/dlineiro</v>
      </c>
      <c r="I5867" s="2" t="s">
        <v>15</v>
      </c>
      <c r="J5867" s="2" t="s">
        <v>21</v>
      </c>
      <c r="K5867" s="2" t="s">
        <v>10180</v>
      </c>
    </row>
    <row r="5868" ht="15.75" customHeight="1">
      <c r="A5868" s="2">
        <v>21597.0</v>
      </c>
      <c r="B5868" s="2" t="s">
        <v>10113</v>
      </c>
      <c r="C5868" s="2" t="s">
        <v>11569</v>
      </c>
      <c r="D5868" s="2" t="s">
        <v>11570</v>
      </c>
      <c r="E5868" s="2" t="s">
        <v>20</v>
      </c>
      <c r="F5868" s="2">
        <v>10.0</v>
      </c>
      <c r="G5868" s="2">
        <v>130.0</v>
      </c>
      <c r="H5868" s="3" t="str">
        <f>HYPERLINK("http://uk.linkedin.com/pub/marcelo-daniel-oviedo/2A/804/557","http://uk.linkedin.com/pub/marcelo-daniel-oviedo/2A/804/557")</f>
        <v>http://uk.linkedin.com/pub/marcelo-daniel-oviedo/2A/804/557</v>
      </c>
      <c r="I5868" s="2" t="s">
        <v>15</v>
      </c>
      <c r="J5868" s="2" t="s">
        <v>21</v>
      </c>
      <c r="K5868" s="2" t="s">
        <v>10196</v>
      </c>
    </row>
    <row r="5869" ht="15.75" customHeight="1">
      <c r="A5869" s="2">
        <v>21600.0</v>
      </c>
      <c r="B5869" s="2" t="s">
        <v>7655</v>
      </c>
      <c r="C5869" s="2" t="s">
        <v>8476</v>
      </c>
      <c r="D5869" s="2" t="s">
        <v>11571</v>
      </c>
      <c r="E5869" s="2" t="s">
        <v>20</v>
      </c>
      <c r="F5869" s="2">
        <v>1.0</v>
      </c>
      <c r="G5869" s="2">
        <v>135.0</v>
      </c>
      <c r="H5869" s="3" t="str">
        <f>HYPERLINK("http://ar.linkedin.com/pub/edgardo-garrido/9/758/346","http://ar.linkedin.com/pub/edgardo-garrido/9/758/346")</f>
        <v>http://ar.linkedin.com/pub/edgardo-garrido/9/758/346</v>
      </c>
      <c r="I5869" s="2" t="s">
        <v>15</v>
      </c>
      <c r="J5869" s="2" t="s">
        <v>21</v>
      </c>
      <c r="K5869" s="2" t="s">
        <v>10173</v>
      </c>
    </row>
    <row r="5870" ht="15.75" customHeight="1">
      <c r="A5870" s="2">
        <v>21619.0</v>
      </c>
      <c r="B5870" s="2" t="s">
        <v>6004</v>
      </c>
      <c r="C5870" s="2" t="s">
        <v>11572</v>
      </c>
      <c r="D5870" s="2" t="s">
        <v>1865</v>
      </c>
      <c r="E5870" s="2" t="s">
        <v>20</v>
      </c>
      <c r="F5870" s="2">
        <v>10.0</v>
      </c>
      <c r="G5870" s="2">
        <v>363.0</v>
      </c>
      <c r="H5870" s="3" t="str">
        <f>HYPERLINK("http://ar.linkedin.com/in/jmbaiutti","http://ar.linkedin.com/in/jmbaiutti")</f>
        <v>http://ar.linkedin.com/in/jmbaiutti</v>
      </c>
      <c r="I5870" s="2" t="s">
        <v>48</v>
      </c>
      <c r="J5870" s="2" t="s">
        <v>21</v>
      </c>
      <c r="K5870" s="2" t="s">
        <v>10187</v>
      </c>
    </row>
    <row r="5871" ht="15.75" customHeight="1">
      <c r="A5871" s="2">
        <v>21638.0</v>
      </c>
      <c r="B5871" s="2" t="s">
        <v>3036</v>
      </c>
      <c r="C5871" s="2" t="s">
        <v>11573</v>
      </c>
      <c r="D5871" s="2" t="s">
        <v>11574</v>
      </c>
      <c r="E5871" s="2" t="s">
        <v>1190</v>
      </c>
      <c r="F5871" s="2">
        <v>18.0</v>
      </c>
      <c r="G5871" s="2">
        <v>500.0</v>
      </c>
      <c r="H5871" s="3" t="str">
        <f>HYPERLINK("http://www.linkedin.com/in/sarabakerbitto","http://www.linkedin.com/in/sarabakerbitto")</f>
        <v>http://www.linkedin.com/in/sarabakerbitto</v>
      </c>
      <c r="I5871" s="2" t="s">
        <v>279</v>
      </c>
      <c r="J5871" s="2" t="s">
        <v>102</v>
      </c>
      <c r="K5871" s="2" t="s">
        <v>10187</v>
      </c>
    </row>
    <row r="5872" ht="15.75" customHeight="1">
      <c r="A5872" s="2">
        <v>21650.0</v>
      </c>
      <c r="B5872" s="2" t="s">
        <v>1344</v>
      </c>
      <c r="C5872" s="2" t="s">
        <v>4467</v>
      </c>
      <c r="D5872" s="2" t="s">
        <v>11575</v>
      </c>
      <c r="E5872" s="2" t="s">
        <v>882</v>
      </c>
      <c r="F5872" s="2" t="s">
        <v>13</v>
      </c>
      <c r="G5872" s="2">
        <v>324.0</v>
      </c>
      <c r="H5872" s="3" t="str">
        <f>HYPERLINK("http://www.linkedin.com/pub/renato-motta/0/187/249","http://www.linkedin.com/pub/renato-motta/0/187/249")</f>
        <v>http://www.linkedin.com/pub/renato-motta/0/187/249</v>
      </c>
      <c r="I5872" s="2" t="s">
        <v>195</v>
      </c>
      <c r="J5872" s="2" t="s">
        <v>102</v>
      </c>
      <c r="K5872" s="2" t="s">
        <v>10206</v>
      </c>
    </row>
    <row r="5873" ht="15.75" customHeight="1">
      <c r="A5873" s="2">
        <v>21653.0</v>
      </c>
      <c r="B5873" s="2" t="s">
        <v>5824</v>
      </c>
      <c r="C5873" s="2" t="s">
        <v>11576</v>
      </c>
      <c r="D5873" s="2" t="s">
        <v>636</v>
      </c>
      <c r="E5873" s="2" t="s">
        <v>1190</v>
      </c>
      <c r="F5873" s="2" t="s">
        <v>13</v>
      </c>
      <c r="G5873" s="2">
        <v>500.0</v>
      </c>
      <c r="H5873" s="3" t="str">
        <f>HYPERLINK("http://www.linkedin.com/in/alejandraolea","http://www.linkedin.com/in/alejandraolea")</f>
        <v>http://www.linkedin.com/in/alejandraolea</v>
      </c>
      <c r="I5873" s="2" t="s">
        <v>910</v>
      </c>
      <c r="J5873" s="2" t="s">
        <v>102</v>
      </c>
      <c r="K5873" s="2" t="s">
        <v>10187</v>
      </c>
    </row>
    <row r="5874" ht="15.75" customHeight="1">
      <c r="A5874" s="2">
        <v>21657.0</v>
      </c>
      <c r="B5874" s="2" t="s">
        <v>6674</v>
      </c>
      <c r="C5874" s="2" t="s">
        <v>10673</v>
      </c>
      <c r="D5874" s="2"/>
      <c r="E5874" s="2" t="s">
        <v>2058</v>
      </c>
      <c r="F5874" s="2">
        <v>0.0</v>
      </c>
      <c r="G5874" s="2">
        <v>240.0</v>
      </c>
      <c r="H5874" s="3" t="str">
        <f>HYPERLINK("http://www.linkedin.com/pub/jose-antonio-garcia-gonzalez/2/707/125","http://www.linkedin.com/pub/jose-antonio-garcia-gonzalez/2/707/125")</f>
        <v>http://www.linkedin.com/pub/jose-antonio-garcia-gonzalez/2/707/125</v>
      </c>
      <c r="I5874" s="2" t="s">
        <v>195</v>
      </c>
      <c r="J5874" s="2" t="s">
        <v>102</v>
      </c>
      <c r="K5874" s="2" t="s">
        <v>10209</v>
      </c>
    </row>
    <row r="5875" ht="15.75" customHeight="1">
      <c r="A5875" s="2">
        <v>21663.0</v>
      </c>
      <c r="B5875" s="2" t="s">
        <v>45</v>
      </c>
      <c r="C5875" s="2" t="s">
        <v>11577</v>
      </c>
      <c r="D5875" s="2" t="s">
        <v>11578</v>
      </c>
      <c r="E5875" s="2" t="s">
        <v>20</v>
      </c>
      <c r="F5875" s="2">
        <v>3.0</v>
      </c>
      <c r="G5875" s="2">
        <v>140.0</v>
      </c>
      <c r="H5875" s="3" t="str">
        <f>HYPERLINK("http://ar.linkedin.com/in/csosa","http://ar.linkedin.com/in/csosa")</f>
        <v>http://ar.linkedin.com/in/csosa</v>
      </c>
      <c r="I5875" s="2" t="s">
        <v>48</v>
      </c>
      <c r="J5875" s="2" t="s">
        <v>21</v>
      </c>
      <c r="K5875" s="2" t="s">
        <v>11579</v>
      </c>
    </row>
    <row r="5876" ht="15.75" customHeight="1">
      <c r="A5876" s="2">
        <v>21669.0</v>
      </c>
      <c r="B5876" s="2" t="s">
        <v>1235</v>
      </c>
      <c r="C5876" s="2" t="s">
        <v>11580</v>
      </c>
      <c r="D5876" s="2" t="s">
        <v>11581</v>
      </c>
      <c r="E5876" s="2" t="s">
        <v>1190</v>
      </c>
      <c r="F5876" s="2">
        <v>5.0</v>
      </c>
      <c r="G5876" s="2">
        <v>216.0</v>
      </c>
      <c r="H5876" s="3" t="str">
        <f>HYPERLINK("http://www.linkedin.com/pub/ramon-mejia/1/173/285","http://www.linkedin.com/pub/ramon-mejia/1/173/285")</f>
        <v>http://www.linkedin.com/pub/ramon-mejia/1/173/285</v>
      </c>
      <c r="I5876" s="2" t="s">
        <v>195</v>
      </c>
      <c r="J5876" s="2" t="s">
        <v>102</v>
      </c>
      <c r="K5876" s="2" t="s">
        <v>11127</v>
      </c>
    </row>
    <row r="5877" ht="15.75" customHeight="1">
      <c r="A5877" s="2">
        <v>21687.0</v>
      </c>
      <c r="B5877" s="2" t="s">
        <v>11582</v>
      </c>
      <c r="C5877" s="2" t="s">
        <v>6956</v>
      </c>
      <c r="D5877" s="2" t="s">
        <v>11583</v>
      </c>
      <c r="E5877" s="2" t="s">
        <v>20</v>
      </c>
      <c r="F5877" s="2">
        <v>4.0</v>
      </c>
      <c r="G5877" s="2">
        <v>318.0</v>
      </c>
      <c r="H5877" s="3" t="str">
        <f>HYPERLINK("http://ar.linkedin.com/in/gerardogabrielarce","http://ar.linkedin.com/in/gerardogabrielarce")</f>
        <v>http://ar.linkedin.com/in/gerardogabrielarce</v>
      </c>
      <c r="I5877" s="2" t="s">
        <v>15</v>
      </c>
      <c r="J5877" s="2" t="s">
        <v>21</v>
      </c>
      <c r="K5877" s="2" t="s">
        <v>10196</v>
      </c>
    </row>
    <row r="5878" ht="15.75" customHeight="1">
      <c r="A5878" s="2">
        <v>21709.0</v>
      </c>
      <c r="B5878" s="2" t="s">
        <v>1523</v>
      </c>
      <c r="C5878" s="2" t="s">
        <v>11584</v>
      </c>
      <c r="D5878" s="2"/>
      <c r="E5878" s="2" t="s">
        <v>136</v>
      </c>
      <c r="F5878" s="2">
        <v>9.0</v>
      </c>
      <c r="G5878" s="2">
        <v>334.0</v>
      </c>
      <c r="H5878" s="3" t="str">
        <f>HYPERLINK("http://www.linkedin.com/pub/phil-searle/0/68A/82","http://www.linkedin.com/pub/phil-searle/0/68A/82")</f>
        <v>http://www.linkedin.com/pub/phil-searle/0/68A/82</v>
      </c>
      <c r="I5878" s="2" t="s">
        <v>57</v>
      </c>
      <c r="J5878" s="2" t="s">
        <v>102</v>
      </c>
      <c r="K5878" s="2" t="s">
        <v>10206</v>
      </c>
    </row>
    <row r="5879" ht="15.75" customHeight="1">
      <c r="A5879" s="2">
        <v>21761.0</v>
      </c>
      <c r="B5879" s="2" t="s">
        <v>2436</v>
      </c>
      <c r="C5879" s="2" t="s">
        <v>9571</v>
      </c>
      <c r="D5879" s="2" t="s">
        <v>13</v>
      </c>
      <c r="E5879" s="2" t="s">
        <v>713</v>
      </c>
      <c r="F5879" s="2">
        <v>0.0</v>
      </c>
      <c r="G5879" s="2">
        <v>500.0</v>
      </c>
      <c r="H5879" s="3" t="str">
        <f>HYPERLINK("http://www.linkedin.com/pub/antonio-pastor/5/19A/3A7","http://www.linkedin.com/pub/antonio-pastor/5/19A/3A7")</f>
        <v>http://www.linkedin.com/pub/antonio-pastor/5/19A/3A7</v>
      </c>
      <c r="I5879" s="2" t="s">
        <v>48</v>
      </c>
      <c r="J5879" s="2" t="s">
        <v>102</v>
      </c>
      <c r="K5879" s="2" t="s">
        <v>10988</v>
      </c>
    </row>
    <row r="5880" ht="15.75" customHeight="1">
      <c r="A5880" s="2">
        <v>21767.0</v>
      </c>
      <c r="B5880" s="2" t="s">
        <v>329</v>
      </c>
      <c r="C5880" s="2" t="s">
        <v>11585</v>
      </c>
      <c r="D5880" s="2" t="s">
        <v>13</v>
      </c>
      <c r="E5880" s="2" t="s">
        <v>20</v>
      </c>
      <c r="F5880" s="2">
        <v>0.0</v>
      </c>
      <c r="G5880" s="2">
        <v>500.0</v>
      </c>
      <c r="H5880" s="3" t="str">
        <f>HYPERLINK("http://ar.linkedin.com/in/juanpabloromerobarenghi","http://ar.linkedin.com/in/juanpabloromerobarenghi")</f>
        <v>http://ar.linkedin.com/in/juanpabloromerobarenghi</v>
      </c>
      <c r="I5880" s="2" t="s">
        <v>77</v>
      </c>
      <c r="J5880" s="2" t="s">
        <v>21</v>
      </c>
      <c r="K5880" s="2" t="s">
        <v>10196</v>
      </c>
    </row>
    <row r="5881" ht="15.75" customHeight="1">
      <c r="A5881" s="2">
        <v>21770.0</v>
      </c>
      <c r="B5881" s="2" t="s">
        <v>1364</v>
      </c>
      <c r="C5881" s="2" t="s">
        <v>11586</v>
      </c>
      <c r="D5881" s="2" t="s">
        <v>11587</v>
      </c>
      <c r="E5881" s="2" t="s">
        <v>11588</v>
      </c>
      <c r="F5881" s="2">
        <v>12.0</v>
      </c>
      <c r="G5881" s="2">
        <v>500.0</v>
      </c>
      <c r="H5881" s="3" t="str">
        <f>HYPERLINK("http://www.linkedin.com/in/dennisblake","http://www.linkedin.com/in/dennisblake")</f>
        <v>http://www.linkedin.com/in/dennisblake</v>
      </c>
      <c r="I5881" s="2" t="s">
        <v>1012</v>
      </c>
      <c r="J5881" s="2" t="s">
        <v>102</v>
      </c>
      <c r="K5881" s="2" t="s">
        <v>10206</v>
      </c>
    </row>
    <row r="5882" ht="15.75" customHeight="1">
      <c r="A5882" s="2">
        <v>21823.0</v>
      </c>
      <c r="B5882" s="2" t="s">
        <v>647</v>
      </c>
      <c r="C5882" s="2" t="s">
        <v>11589</v>
      </c>
      <c r="D5882" s="2" t="s">
        <v>11590</v>
      </c>
      <c r="E5882" s="2" t="s">
        <v>11591</v>
      </c>
      <c r="F5882" s="2">
        <v>2.0</v>
      </c>
      <c r="G5882" s="2">
        <v>321.0</v>
      </c>
      <c r="H5882" s="3" t="str">
        <f>HYPERLINK("http://www.linkedin.com/pub/claudio-pucci/7/A33/30B","http://www.linkedin.com/pub/claudio-pucci/7/A33/30B")</f>
        <v>http://www.linkedin.com/pub/claudio-pucci/7/A33/30B</v>
      </c>
      <c r="I5882" s="2" t="s">
        <v>2443</v>
      </c>
      <c r="J5882" s="2" t="s">
        <v>102</v>
      </c>
      <c r="K5882" s="2" t="s">
        <v>10206</v>
      </c>
    </row>
    <row r="5883" ht="15.75" customHeight="1">
      <c r="A5883" s="2">
        <v>21828.0</v>
      </c>
      <c r="B5883" s="2" t="s">
        <v>647</v>
      </c>
      <c r="C5883" s="2" t="s">
        <v>11592</v>
      </c>
      <c r="D5883" s="2" t="s">
        <v>47</v>
      </c>
      <c r="E5883" s="2" t="s">
        <v>20</v>
      </c>
      <c r="F5883" s="2">
        <v>4.0</v>
      </c>
      <c r="G5883" s="2">
        <v>342.0</v>
      </c>
      <c r="H5883" s="3" t="str">
        <f>HYPERLINK("http://ar.linkedin.com/pub/claudio-san-pedro-/3/730/241","http://ar.linkedin.com/pub/claudio-san-pedro-/3/730/241")</f>
        <v>http://ar.linkedin.com/pub/claudio-san-pedro-/3/730/241</v>
      </c>
      <c r="I5883" s="2" t="s">
        <v>2443</v>
      </c>
      <c r="J5883" s="2" t="s">
        <v>21</v>
      </c>
      <c r="K5883" s="2" t="s">
        <v>10371</v>
      </c>
    </row>
    <row r="5884" ht="15.75" customHeight="1">
      <c r="A5884" s="2">
        <v>21848.0</v>
      </c>
      <c r="B5884" s="2" t="s">
        <v>152</v>
      </c>
      <c r="C5884" s="2" t="s">
        <v>7992</v>
      </c>
      <c r="D5884" s="2" t="s">
        <v>11593</v>
      </c>
      <c r="E5884" s="2" t="s">
        <v>20</v>
      </c>
      <c r="F5884" s="2" t="s">
        <v>13</v>
      </c>
      <c r="G5884" s="2">
        <v>61.0</v>
      </c>
      <c r="H5884" s="3" t="str">
        <f>HYPERLINK("http://ar.linkedin.com/pub/eduardo-d%C3%ADaz/16/76/1B4","http://ar.linkedin.com/pub/eduardo-d%C3%ADaz/16/76/1B4")</f>
        <v>http://ar.linkedin.com/pub/eduardo-d%C3%ADaz/16/76/1B4</v>
      </c>
      <c r="I5884" s="2" t="s">
        <v>15</v>
      </c>
      <c r="J5884" s="2" t="s">
        <v>21</v>
      </c>
      <c r="K5884" s="2" t="s">
        <v>11594</v>
      </c>
    </row>
    <row r="5885" ht="15.75" customHeight="1">
      <c r="A5885" s="2">
        <v>21869.0</v>
      </c>
      <c r="B5885" s="2" t="s">
        <v>5723</v>
      </c>
      <c r="C5885" s="2" t="s">
        <v>11595</v>
      </c>
      <c r="D5885" s="2" t="s">
        <v>5668</v>
      </c>
      <c r="E5885" s="2" t="s">
        <v>20</v>
      </c>
      <c r="F5885" s="2">
        <v>6.0</v>
      </c>
      <c r="G5885" s="2">
        <v>271.0</v>
      </c>
      <c r="H5885" s="3" t="str">
        <f>HYPERLINK("http://ar.linkedin.com/pub/pablo-higa/A/9A3/1A6","http://ar.linkedin.com/pub/pablo-higa/A/9A3/1A6")</f>
        <v>http://ar.linkedin.com/pub/pablo-higa/A/9A3/1A6</v>
      </c>
      <c r="I5885" s="2" t="s">
        <v>15</v>
      </c>
      <c r="J5885" s="2" t="s">
        <v>21</v>
      </c>
      <c r="K5885" s="2" t="s">
        <v>10196</v>
      </c>
    </row>
    <row r="5886" ht="15.75" customHeight="1">
      <c r="A5886" s="2">
        <v>21872.0</v>
      </c>
      <c r="B5886" s="2" t="s">
        <v>5039</v>
      </c>
      <c r="C5886" s="2" t="s">
        <v>11596</v>
      </c>
      <c r="D5886" s="2" t="s">
        <v>13</v>
      </c>
      <c r="E5886" s="2" t="s">
        <v>20</v>
      </c>
      <c r="F5886" s="2">
        <v>0.0</v>
      </c>
      <c r="G5886" s="2">
        <v>143.0</v>
      </c>
      <c r="H5886" s="3" t="str">
        <f>HYPERLINK("http://www.linkedin.com/pub/rodolfo-clebsch/16/539/886","http://www.linkedin.com/pub/rodolfo-clebsch/16/539/886")</f>
        <v>http://www.linkedin.com/pub/rodolfo-clebsch/16/539/886</v>
      </c>
      <c r="I5886" s="2" t="s">
        <v>15</v>
      </c>
      <c r="J5886" s="2" t="s">
        <v>21</v>
      </c>
      <c r="K5886" s="2" t="s">
        <v>10337</v>
      </c>
    </row>
    <row r="5887" ht="15.75" customHeight="1">
      <c r="A5887" s="2">
        <v>21897.0</v>
      </c>
      <c r="B5887" s="2" t="s">
        <v>5846</v>
      </c>
      <c r="C5887" s="2" t="s">
        <v>11597</v>
      </c>
      <c r="D5887" s="2" t="s">
        <v>11598</v>
      </c>
      <c r="E5887" s="2" t="s">
        <v>20</v>
      </c>
      <c r="F5887" s="2">
        <v>6.0</v>
      </c>
      <c r="G5887" s="2">
        <v>141.0</v>
      </c>
      <c r="H5887" s="3" t="str">
        <f>HYPERLINK("http://ar.linkedin.com/pub/horacio-villa/19/6BA/A0A","http://ar.linkedin.com/pub/horacio-villa/19/6BA/A0A")</f>
        <v>http://ar.linkedin.com/pub/horacio-villa/19/6BA/A0A</v>
      </c>
      <c r="I5887" s="2" t="s">
        <v>15</v>
      </c>
      <c r="J5887" s="2" t="s">
        <v>21</v>
      </c>
      <c r="K5887" s="2" t="s">
        <v>10196</v>
      </c>
    </row>
    <row r="5888" ht="15.75" customHeight="1">
      <c r="A5888" s="2">
        <v>21904.0</v>
      </c>
      <c r="B5888" s="2" t="s">
        <v>11599</v>
      </c>
      <c r="C5888" s="2" t="s">
        <v>5555</v>
      </c>
      <c r="D5888" s="2" t="s">
        <v>11600</v>
      </c>
      <c r="E5888" s="2" t="s">
        <v>20</v>
      </c>
      <c r="F5888" s="2">
        <v>4.0</v>
      </c>
      <c r="G5888" s="2">
        <v>213.0</v>
      </c>
      <c r="H5888" s="3" t="str">
        <f>HYPERLINK("http://ar.linkedin.com/pub/karina-ines-costa/3/647/A77","http://ar.linkedin.com/pub/karina-ines-costa/3/647/A77")</f>
        <v>http://ar.linkedin.com/pub/karina-ines-costa/3/647/A77</v>
      </c>
      <c r="I5888" s="2" t="s">
        <v>15</v>
      </c>
      <c r="J5888" s="2" t="s">
        <v>21</v>
      </c>
      <c r="K5888" s="2" t="s">
        <v>10196</v>
      </c>
    </row>
    <row r="5889" ht="15.75" customHeight="1">
      <c r="A5889" s="2">
        <v>21922.0</v>
      </c>
      <c r="B5889" s="2" t="s">
        <v>59</v>
      </c>
      <c r="C5889" s="2" t="s">
        <v>11601</v>
      </c>
      <c r="D5889" s="2" t="s">
        <v>13</v>
      </c>
      <c r="E5889" s="2" t="s">
        <v>20</v>
      </c>
      <c r="F5889" s="2">
        <v>11.0</v>
      </c>
      <c r="G5889" s="2">
        <v>219.0</v>
      </c>
      <c r="H5889" s="3" t="str">
        <f>HYPERLINK("http://www.linkedin.com/pub/martin-parra-it-pmp-pgmp/18/4b7/212","http://www.linkedin.com/pub/martin-parra-it-pmp-pgmp/18/4b7/212")</f>
        <v>http://www.linkedin.com/pub/martin-parra-it-pmp-pgmp/18/4b7/212</v>
      </c>
      <c r="I5889" s="2" t="s">
        <v>15</v>
      </c>
      <c r="J5889" s="2" t="s">
        <v>21</v>
      </c>
      <c r="K5889" s="2" t="s">
        <v>10196</v>
      </c>
    </row>
    <row r="5890" ht="15.75" customHeight="1">
      <c r="A5890" s="2">
        <v>21973.0</v>
      </c>
      <c r="B5890" s="2" t="s">
        <v>423</v>
      </c>
      <c r="C5890" s="2" t="s">
        <v>11602</v>
      </c>
      <c r="D5890" s="2" t="s">
        <v>42</v>
      </c>
      <c r="E5890" s="2" t="s">
        <v>20</v>
      </c>
      <c r="F5890" s="2">
        <v>7.0</v>
      </c>
      <c r="G5890" s="2">
        <v>212.0</v>
      </c>
      <c r="H5890" s="3" t="str">
        <f>HYPERLINK("http://ar.linkedin.com/pub/carolina-mamani/7/A56/128","http://ar.linkedin.com/pub/carolina-mamani/7/A56/128")</f>
        <v>http://ar.linkedin.com/pub/carolina-mamani/7/A56/128</v>
      </c>
      <c r="I5890" s="2" t="s">
        <v>15</v>
      </c>
      <c r="J5890" s="2" t="s">
        <v>21</v>
      </c>
      <c r="K5890" s="2" t="s">
        <v>10196</v>
      </c>
    </row>
    <row r="5891" ht="15.75" customHeight="1">
      <c r="A5891" s="2">
        <v>21981.0</v>
      </c>
      <c r="B5891" s="2" t="s">
        <v>6061</v>
      </c>
      <c r="C5891" s="2" t="s">
        <v>11603</v>
      </c>
      <c r="D5891" s="2" t="s">
        <v>11195</v>
      </c>
      <c r="E5891" s="2" t="s">
        <v>20</v>
      </c>
      <c r="F5891" s="2">
        <v>8.0</v>
      </c>
      <c r="G5891" s="2">
        <v>500.0</v>
      </c>
      <c r="H5891" s="3" t="str">
        <f>HYPERLINK("http://ar.linkedin.com/pub/agustin-fazio/9/9A5/B8B","http://ar.linkedin.com/pub/agustin-fazio/9/9A5/B8B")</f>
        <v>http://ar.linkedin.com/pub/agustin-fazio/9/9A5/B8B</v>
      </c>
      <c r="I5891" s="2" t="s">
        <v>15</v>
      </c>
      <c r="J5891" s="2" t="s">
        <v>21</v>
      </c>
      <c r="K5891" s="2" t="s">
        <v>10196</v>
      </c>
    </row>
    <row r="5892" ht="15.75" customHeight="1">
      <c r="A5892" s="2">
        <v>22007.0</v>
      </c>
      <c r="B5892" s="2" t="s">
        <v>11604</v>
      </c>
      <c r="C5892" s="2" t="s">
        <v>11605</v>
      </c>
      <c r="D5892" s="2" t="s">
        <v>13</v>
      </c>
      <c r="E5892" s="2" t="s">
        <v>20</v>
      </c>
      <c r="F5892" s="2">
        <v>1.0</v>
      </c>
      <c r="G5892" s="2">
        <v>500.0</v>
      </c>
      <c r="H5892" s="3" t="str">
        <f>HYPERLINK("http://www.linkedin.com/pub/fern%C3%A1n-pizarro-posse/4/444/397","http://www.linkedin.com/pub/fern%C3%A1n-pizarro-posse/4/444/397")</f>
        <v>http://www.linkedin.com/pub/fern%C3%A1n-pizarro-posse/4/444/397</v>
      </c>
      <c r="I5892" s="2" t="s">
        <v>15</v>
      </c>
      <c r="J5892" s="2" t="s">
        <v>21</v>
      </c>
      <c r="K5892" s="2" t="s">
        <v>10176</v>
      </c>
    </row>
    <row r="5893" ht="15.75" customHeight="1">
      <c r="A5893" s="2">
        <v>22013.0</v>
      </c>
      <c r="B5893" s="2" t="s">
        <v>6496</v>
      </c>
      <c r="C5893" s="2" t="s">
        <v>11606</v>
      </c>
      <c r="D5893" s="2" t="s">
        <v>11607</v>
      </c>
      <c r="E5893" s="2" t="s">
        <v>20</v>
      </c>
      <c r="F5893" s="2">
        <v>2.0</v>
      </c>
      <c r="G5893" s="2">
        <v>491.0</v>
      </c>
      <c r="H5893" s="3" t="str">
        <f>HYPERLINK("http://ar.linkedin.com/pub/karina-cardalda/5/379/A99","http://ar.linkedin.com/pub/karina-cardalda/5/379/A99")</f>
        <v>http://ar.linkedin.com/pub/karina-cardalda/5/379/A99</v>
      </c>
      <c r="I5893" s="2" t="s">
        <v>15</v>
      </c>
      <c r="J5893" s="2" t="s">
        <v>21</v>
      </c>
      <c r="K5893" s="2" t="s">
        <v>10196</v>
      </c>
    </row>
    <row r="5894" ht="15.75" customHeight="1">
      <c r="A5894" s="2">
        <v>22014.0</v>
      </c>
      <c r="B5894" s="2" t="s">
        <v>3201</v>
      </c>
      <c r="C5894" s="2" t="s">
        <v>8001</v>
      </c>
      <c r="D5894" s="2" t="s">
        <v>11608</v>
      </c>
      <c r="E5894" s="2" t="s">
        <v>20</v>
      </c>
      <c r="F5894" s="2">
        <v>2.0</v>
      </c>
      <c r="G5894" s="2">
        <v>500.0</v>
      </c>
      <c r="H5894" s="3" t="str">
        <f>HYPERLINK("http://ar.linkedin.com/pub/sebastian-garay/16/710/900","http://ar.linkedin.com/pub/sebastian-garay/16/710/900")</f>
        <v>http://ar.linkedin.com/pub/sebastian-garay/16/710/900</v>
      </c>
      <c r="I5894" s="2" t="s">
        <v>15</v>
      </c>
      <c r="J5894" s="2" t="s">
        <v>21</v>
      </c>
      <c r="K5894" s="2" t="s">
        <v>10196</v>
      </c>
    </row>
    <row r="5895" ht="15.75" customHeight="1">
      <c r="A5895" s="2">
        <v>22018.0</v>
      </c>
      <c r="B5895" s="2" t="s">
        <v>11609</v>
      </c>
      <c r="C5895" s="2" t="s">
        <v>5891</v>
      </c>
      <c r="D5895" s="2" t="s">
        <v>11610</v>
      </c>
      <c r="E5895" s="2" t="s">
        <v>20</v>
      </c>
      <c r="F5895" s="2">
        <v>11.0</v>
      </c>
      <c r="G5895" s="2">
        <v>424.0</v>
      </c>
      <c r="H5895" s="3" t="str">
        <f>HYPERLINK("http://ar.linkedin.com/pub/eduardo-adrian-herrera/7/2A3/1A","http://ar.linkedin.com/pub/eduardo-adrian-herrera/7/2A3/1A")</f>
        <v>http://ar.linkedin.com/pub/eduardo-adrian-herrera/7/2A3/1A</v>
      </c>
      <c r="I5895" s="2" t="s">
        <v>15</v>
      </c>
      <c r="J5895" s="2" t="s">
        <v>21</v>
      </c>
      <c r="K5895" s="2" t="s">
        <v>10196</v>
      </c>
    </row>
    <row r="5896" ht="15.75" customHeight="1">
      <c r="A5896" s="2">
        <v>22023.0</v>
      </c>
      <c r="B5896" s="2" t="s">
        <v>11611</v>
      </c>
      <c r="C5896" s="2" t="s">
        <v>11612</v>
      </c>
      <c r="D5896" s="2" t="s">
        <v>11613</v>
      </c>
      <c r="E5896" s="2" t="s">
        <v>20</v>
      </c>
      <c r="F5896" s="2">
        <v>4.0</v>
      </c>
      <c r="G5896" s="2">
        <v>141.0</v>
      </c>
      <c r="H5896" s="3" t="str">
        <f>HYPERLINK("http://ar.linkedin.com/in/diegolevett","http://ar.linkedin.com/in/diegolevett")</f>
        <v>http://ar.linkedin.com/in/diegolevett</v>
      </c>
      <c r="I5896" s="2" t="s">
        <v>48</v>
      </c>
      <c r="J5896" s="2" t="s">
        <v>21</v>
      </c>
      <c r="K5896" s="2" t="s">
        <v>10180</v>
      </c>
    </row>
    <row r="5897" ht="15.75" customHeight="1">
      <c r="A5897" s="2">
        <v>22055.0</v>
      </c>
      <c r="B5897" s="2" t="s">
        <v>8217</v>
      </c>
      <c r="C5897" s="2" t="s">
        <v>11614</v>
      </c>
      <c r="D5897" s="2" t="s">
        <v>13</v>
      </c>
      <c r="E5897" s="2" t="s">
        <v>20</v>
      </c>
      <c r="F5897" s="2">
        <v>0.0</v>
      </c>
      <c r="G5897" s="2">
        <v>500.0</v>
      </c>
      <c r="H5897" s="3" t="str">
        <f>HYPERLINK("http://www.linkedin.com/pub/gustavo-gabriel-veloso/31/38/426","http://www.linkedin.com/pub/gustavo-gabriel-veloso/31/38/426")</f>
        <v>http://www.linkedin.com/pub/gustavo-gabriel-veloso/31/38/426</v>
      </c>
      <c r="I5897" s="2" t="s">
        <v>77</v>
      </c>
      <c r="J5897" s="2" t="s">
        <v>21</v>
      </c>
      <c r="K5897" s="2" t="s">
        <v>10940</v>
      </c>
    </row>
    <row r="5898" ht="15.75" customHeight="1">
      <c r="A5898" s="2">
        <v>22125.0</v>
      </c>
      <c r="B5898" s="2" t="s">
        <v>1230</v>
      </c>
      <c r="C5898" s="2" t="s">
        <v>11615</v>
      </c>
      <c r="D5898" s="2" t="s">
        <v>11616</v>
      </c>
      <c r="E5898" s="2" t="s">
        <v>4060</v>
      </c>
      <c r="F5898" s="2">
        <v>2.0</v>
      </c>
      <c r="G5898" s="2">
        <v>500.0</v>
      </c>
      <c r="H5898" s="3" t="str">
        <f>HYPERLINK("http://www.linkedin.com/pub/alberto-roldan/3/1BA/457","http://www.linkedin.com/pub/alberto-roldan/3/1BA/457")</f>
        <v>http://www.linkedin.com/pub/alberto-roldan/3/1BA/457</v>
      </c>
      <c r="I5898" s="2" t="s">
        <v>15</v>
      </c>
      <c r="J5898" s="2" t="s">
        <v>102</v>
      </c>
      <c r="K5898" s="2" t="s">
        <v>10184</v>
      </c>
    </row>
    <row r="5899" ht="15.75" customHeight="1">
      <c r="A5899" s="2">
        <v>22128.0</v>
      </c>
      <c r="B5899" s="2" t="s">
        <v>11617</v>
      </c>
      <c r="C5899" s="2" t="s">
        <v>1695</v>
      </c>
      <c r="D5899" s="2" t="s">
        <v>11618</v>
      </c>
      <c r="E5899" s="2" t="s">
        <v>11619</v>
      </c>
      <c r="F5899" s="2">
        <v>0.0</v>
      </c>
      <c r="G5899" s="2">
        <v>500.0</v>
      </c>
      <c r="H5899" s="3" t="str">
        <f>HYPERLINK("http://www.linkedin.com/in/puneetarora1","http://www.linkedin.com/in/puneetarora1")</f>
        <v>http://www.linkedin.com/in/puneetarora1</v>
      </c>
      <c r="I5899" s="2" t="s">
        <v>1679</v>
      </c>
      <c r="J5899" s="2" t="s">
        <v>102</v>
      </c>
      <c r="K5899" s="2" t="s">
        <v>10482</v>
      </c>
    </row>
    <row r="5900" ht="15.75" customHeight="1">
      <c r="A5900" s="2">
        <v>22131.0</v>
      </c>
      <c r="B5900" s="2" t="s">
        <v>2567</v>
      </c>
      <c r="C5900" s="2" t="s">
        <v>1632</v>
      </c>
      <c r="D5900" s="2" t="s">
        <v>11620</v>
      </c>
      <c r="E5900" s="2" t="s">
        <v>628</v>
      </c>
      <c r="F5900" s="2">
        <v>19.0</v>
      </c>
      <c r="G5900" s="2">
        <v>500.0</v>
      </c>
      <c r="H5900" s="3" t="str">
        <f>HYPERLINK("http://www.linkedin.com/in/cireynolds","http://www.linkedin.com/in/cireynolds")</f>
        <v>http://www.linkedin.com/in/cireynolds</v>
      </c>
      <c r="I5900" s="2" t="s">
        <v>252</v>
      </c>
      <c r="J5900" s="2" t="s">
        <v>102</v>
      </c>
      <c r="K5900" s="2" t="s">
        <v>10187</v>
      </c>
    </row>
    <row r="5901" ht="15.75" customHeight="1">
      <c r="A5901" s="2">
        <v>22183.0</v>
      </c>
      <c r="B5901" s="2" t="s">
        <v>59</v>
      </c>
      <c r="C5901" s="2" t="s">
        <v>9855</v>
      </c>
      <c r="D5901" s="2" t="s">
        <v>11621</v>
      </c>
      <c r="E5901" s="2" t="s">
        <v>891</v>
      </c>
      <c r="F5901" s="2">
        <v>0.0</v>
      </c>
      <c r="G5901" s="2">
        <v>500.0</v>
      </c>
      <c r="H5901" s="3" t="str">
        <f>HYPERLINK("http://www.linkedin.com/in/martinstier","http://www.linkedin.com/in/martinstier")</f>
        <v>http://www.linkedin.com/in/martinstier</v>
      </c>
      <c r="I5901" s="2" t="s">
        <v>458</v>
      </c>
      <c r="J5901" s="2" t="s">
        <v>102</v>
      </c>
      <c r="K5901" s="2" t="s">
        <v>10187</v>
      </c>
    </row>
    <row r="5902" ht="15.75" customHeight="1">
      <c r="A5902" s="2">
        <v>22203.0</v>
      </c>
      <c r="B5902" s="2" t="s">
        <v>11622</v>
      </c>
      <c r="C5902" s="2" t="s">
        <v>313</v>
      </c>
      <c r="D5902" s="2"/>
      <c r="E5902" s="2" t="s">
        <v>2058</v>
      </c>
      <c r="F5902" s="2">
        <v>18.0</v>
      </c>
      <c r="G5902" s="2">
        <v>500.0</v>
      </c>
      <c r="H5902" s="3" t="str">
        <f>HYPERLINK("http://www.linkedin.com/pub/kyu-lee/0/780/BB8","http://www.linkedin.com/pub/kyu-lee/0/780/BB8")</f>
        <v>http://www.linkedin.com/pub/kyu-lee/0/780/BB8</v>
      </c>
      <c r="I5902" s="2" t="s">
        <v>1496</v>
      </c>
      <c r="J5902" s="2" t="s">
        <v>102</v>
      </c>
      <c r="K5902" s="2" t="s">
        <v>10187</v>
      </c>
    </row>
    <row r="5903" ht="15.75" customHeight="1">
      <c r="A5903" s="2">
        <v>22213.0</v>
      </c>
      <c r="B5903" s="2" t="s">
        <v>710</v>
      </c>
      <c r="C5903" s="2" t="s">
        <v>11623</v>
      </c>
      <c r="D5903" s="2" t="s">
        <v>11624</v>
      </c>
      <c r="E5903" s="2" t="s">
        <v>8142</v>
      </c>
      <c r="F5903" s="2">
        <v>1.0</v>
      </c>
      <c r="G5903" s="2">
        <v>500.0</v>
      </c>
      <c r="H5903" s="3" t="str">
        <f>HYPERLINK("http://www.linkedin.com/pub/jason-kapalka/5/330/788","http://www.linkedin.com/pub/jason-kapalka/5/330/788")</f>
        <v>http://www.linkedin.com/pub/jason-kapalka/5/330/788</v>
      </c>
      <c r="I5903" s="2" t="s">
        <v>143</v>
      </c>
      <c r="J5903" s="2" t="s">
        <v>44</v>
      </c>
      <c r="K5903" s="2" t="s">
        <v>10209</v>
      </c>
    </row>
    <row r="5904" ht="15.75" customHeight="1">
      <c r="A5904" s="2">
        <v>22299.0</v>
      </c>
      <c r="B5904" s="2" t="s">
        <v>5160</v>
      </c>
      <c r="C5904" s="2" t="s">
        <v>11625</v>
      </c>
      <c r="D5904" s="2" t="s">
        <v>517</v>
      </c>
      <c r="E5904" s="2" t="s">
        <v>122</v>
      </c>
      <c r="F5904" s="2">
        <v>6.0</v>
      </c>
      <c r="G5904" s="2">
        <v>462.0</v>
      </c>
      <c r="H5904" s="3" t="str">
        <f>HYPERLINK("http://uk.linkedin.com/pub/stefan-hohmann/8/143/1B3","http://uk.linkedin.com/pub/stefan-hohmann/8/143/1B3")</f>
        <v>http://uk.linkedin.com/pub/stefan-hohmann/8/143/1B3</v>
      </c>
      <c r="I5904" s="2" t="s">
        <v>105</v>
      </c>
      <c r="J5904" s="2" t="s">
        <v>53</v>
      </c>
      <c r="K5904" s="2" t="s">
        <v>10371</v>
      </c>
    </row>
    <row r="5905" ht="15.75" customHeight="1">
      <c r="A5905" s="2">
        <v>22310.0</v>
      </c>
      <c r="B5905" s="2" t="s">
        <v>11626</v>
      </c>
      <c r="C5905" s="2" t="s">
        <v>11627</v>
      </c>
      <c r="D5905" s="2" t="s">
        <v>13</v>
      </c>
      <c r="E5905" s="2" t="s">
        <v>52</v>
      </c>
      <c r="F5905" s="2">
        <v>0.0</v>
      </c>
      <c r="G5905" s="2">
        <v>500.0</v>
      </c>
      <c r="H5905" s="3" t="str">
        <f>HYPERLINK("https://www.linkedin.com/pub/nigel-shanahan/0/6a4/327","https://www.linkedin.com/pub/nigel-shanahan/0/6a4/327")</f>
        <v>https://www.linkedin.com/pub/nigel-shanahan/0/6a4/327</v>
      </c>
      <c r="I5905" s="2" t="s">
        <v>48</v>
      </c>
      <c r="J5905" s="2" t="s">
        <v>53</v>
      </c>
      <c r="K5905" s="2" t="s">
        <v>10206</v>
      </c>
    </row>
    <row r="5906" ht="15.75" customHeight="1">
      <c r="A5906" s="2">
        <v>22333.0</v>
      </c>
      <c r="B5906" s="2" t="s">
        <v>937</v>
      </c>
      <c r="C5906" s="2" t="s">
        <v>361</v>
      </c>
      <c r="D5906" s="2"/>
      <c r="E5906" s="2" t="s">
        <v>136</v>
      </c>
      <c r="F5906" s="2">
        <v>22.0</v>
      </c>
      <c r="G5906" s="2">
        <v>500.0</v>
      </c>
      <c r="H5906" s="3" t="str">
        <f>HYPERLINK("http://www.linkedin.com/in/daniellemachado","http://www.linkedin.com/in/daniellemachado")</f>
        <v>http://www.linkedin.com/in/daniellemachado</v>
      </c>
      <c r="I5906" s="2" t="s">
        <v>105</v>
      </c>
      <c r="J5906" s="2" t="s">
        <v>102</v>
      </c>
      <c r="K5906" s="2" t="s">
        <v>10206</v>
      </c>
    </row>
    <row r="5907" ht="15.75" customHeight="1">
      <c r="A5907" s="2">
        <v>22362.0</v>
      </c>
      <c r="B5907" s="2" t="s">
        <v>1545</v>
      </c>
      <c r="C5907" s="2" t="s">
        <v>561</v>
      </c>
      <c r="D5907" s="2"/>
      <c r="E5907" s="2" t="s">
        <v>2058</v>
      </c>
      <c r="F5907" s="2">
        <v>1.0</v>
      </c>
      <c r="G5907" s="2">
        <v>168.0</v>
      </c>
      <c r="H5907" s="3" t="str">
        <f>HYPERLINK("http://www.linkedin.com/pub/patrick-murray/0/B9B/752","http://www.linkedin.com/pub/patrick-murray/0/B9B/752")</f>
        <v>http://www.linkedin.com/pub/patrick-murray/0/B9B/752</v>
      </c>
      <c r="I5907" s="2" t="s">
        <v>910</v>
      </c>
      <c r="J5907" s="2" t="s">
        <v>102</v>
      </c>
      <c r="K5907" s="2" t="s">
        <v>10187</v>
      </c>
    </row>
    <row r="5908" ht="15.75" customHeight="1">
      <c r="A5908" s="2">
        <v>22364.0</v>
      </c>
      <c r="B5908" s="2" t="s">
        <v>1486</v>
      </c>
      <c r="C5908" s="2" t="s">
        <v>11628</v>
      </c>
      <c r="D5908" s="2" t="s">
        <v>11629</v>
      </c>
      <c r="E5908" s="2" t="s">
        <v>3817</v>
      </c>
      <c r="F5908" s="2">
        <v>15.0</v>
      </c>
      <c r="G5908" s="2">
        <v>500.0</v>
      </c>
      <c r="H5908" s="3" t="str">
        <f>HYPERLINK("http://fr.linkedin.com/in/amitm","http://fr.linkedin.com/in/amitm")</f>
        <v>http://fr.linkedin.com/in/amitm</v>
      </c>
      <c r="I5908" s="2" t="s">
        <v>15</v>
      </c>
      <c r="J5908" s="2" t="s">
        <v>65</v>
      </c>
      <c r="K5908" s="2" t="s">
        <v>10482</v>
      </c>
    </row>
    <row r="5909" ht="15.75" customHeight="1">
      <c r="A5909" s="2">
        <v>22369.0</v>
      </c>
      <c r="B5909" s="2" t="s">
        <v>11630</v>
      </c>
      <c r="C5909" s="2" t="s">
        <v>288</v>
      </c>
      <c r="D5909" s="2"/>
      <c r="E5909" s="2" t="s">
        <v>628</v>
      </c>
      <c r="F5909" s="2">
        <v>2.0</v>
      </c>
      <c r="G5909" s="2">
        <v>500.0</v>
      </c>
      <c r="H5909" s="3" t="str">
        <f>HYPERLINK("http://www.linkedin.com/pub/beatrice-davis/0/685/A1A","http://www.linkedin.com/pub/beatrice-davis/0/685/A1A")</f>
        <v>http://www.linkedin.com/pub/beatrice-davis/0/685/A1A</v>
      </c>
      <c r="I5909" s="2" t="s">
        <v>910</v>
      </c>
      <c r="J5909" s="2" t="s">
        <v>102</v>
      </c>
      <c r="K5909" s="2" t="s">
        <v>10187</v>
      </c>
    </row>
    <row r="5910" ht="15.75" customHeight="1">
      <c r="A5910" s="2">
        <v>22382.0</v>
      </c>
      <c r="B5910" s="2" t="s">
        <v>11631</v>
      </c>
      <c r="C5910" s="2" t="s">
        <v>11632</v>
      </c>
      <c r="D5910" s="2" t="s">
        <v>13</v>
      </c>
      <c r="E5910" s="2" t="s">
        <v>8142</v>
      </c>
      <c r="F5910" s="2">
        <v>0.0</v>
      </c>
      <c r="G5910" s="2">
        <v>500.0</v>
      </c>
      <c r="H5910" s="3" t="str">
        <f>HYPERLINK("http://www.linkedin.com/in/tatsuya","http://www.linkedin.com/in/tatsuya")</f>
        <v>http://www.linkedin.com/in/tatsuya</v>
      </c>
      <c r="I5910" s="2" t="s">
        <v>579</v>
      </c>
      <c r="J5910" s="2" t="s">
        <v>44</v>
      </c>
      <c r="K5910" s="2" t="s">
        <v>10182</v>
      </c>
    </row>
    <row r="5911" ht="15.75" customHeight="1">
      <c r="A5911" s="2">
        <v>22403.0</v>
      </c>
      <c r="B5911" s="2" t="s">
        <v>2153</v>
      </c>
      <c r="C5911" s="2" t="s">
        <v>11633</v>
      </c>
      <c r="D5911" s="2" t="s">
        <v>5127</v>
      </c>
      <c r="E5911" s="2" t="s">
        <v>301</v>
      </c>
      <c r="F5911" s="2">
        <v>5.0</v>
      </c>
      <c r="G5911" s="2">
        <v>500.0</v>
      </c>
      <c r="H5911" s="3" t="str">
        <f>HYPERLINK("http://www.linkedin.com/in/nickgogerty","http://www.linkedin.com/in/nickgogerty")</f>
        <v>http://www.linkedin.com/in/nickgogerty</v>
      </c>
      <c r="I5911" s="2" t="s">
        <v>115</v>
      </c>
      <c r="J5911" s="2" t="s">
        <v>102</v>
      </c>
      <c r="K5911" s="2" t="s">
        <v>10206</v>
      </c>
    </row>
    <row r="5912" ht="15.75" customHeight="1">
      <c r="A5912" s="2">
        <v>22404.0</v>
      </c>
      <c r="B5912" s="2" t="s">
        <v>1919</v>
      </c>
      <c r="C5912" s="2" t="s">
        <v>11634</v>
      </c>
      <c r="D5912" s="2" t="s">
        <v>11635</v>
      </c>
      <c r="E5912" s="2" t="s">
        <v>1041</v>
      </c>
      <c r="F5912" s="2">
        <v>2.0</v>
      </c>
      <c r="G5912" s="2">
        <v>283.0</v>
      </c>
      <c r="H5912" s="3" t="str">
        <f>HYPERLINK("http://www.linkedin.com/in/larrypaisley","http://www.linkedin.com/in/larrypaisley")</f>
        <v>http://www.linkedin.com/in/larrypaisley</v>
      </c>
      <c r="I5912" s="2" t="s">
        <v>475</v>
      </c>
      <c r="J5912" s="2" t="s">
        <v>102</v>
      </c>
      <c r="K5912" s="2" t="s">
        <v>10206</v>
      </c>
    </row>
    <row r="5913" ht="15.75" customHeight="1">
      <c r="A5913" s="2">
        <v>22406.0</v>
      </c>
      <c r="B5913" s="2" t="s">
        <v>11636</v>
      </c>
      <c r="C5913" s="2" t="s">
        <v>4179</v>
      </c>
      <c r="D5913" s="2"/>
      <c r="E5913" s="2" t="s">
        <v>1190</v>
      </c>
      <c r="F5913" s="2">
        <v>154.0</v>
      </c>
      <c r="G5913" s="2">
        <v>500.0</v>
      </c>
      <c r="H5913" s="3" t="str">
        <f>HYPERLINK("http://www.linkedin.com/in/jimihendrix","http://www.linkedin.com/in/jimihendrix")</f>
        <v>http://www.linkedin.com/in/jimihendrix</v>
      </c>
      <c r="I5913" s="2" t="s">
        <v>105</v>
      </c>
      <c r="J5913" s="2" t="s">
        <v>102</v>
      </c>
      <c r="K5913" s="2" t="s">
        <v>10209</v>
      </c>
    </row>
    <row r="5914" ht="15.75" customHeight="1">
      <c r="A5914" s="2">
        <v>22412.0</v>
      </c>
      <c r="B5914" s="2" t="s">
        <v>784</v>
      </c>
      <c r="C5914" s="2" t="s">
        <v>11637</v>
      </c>
      <c r="D5914" s="2" t="s">
        <v>11638</v>
      </c>
      <c r="E5914" s="2" t="s">
        <v>2058</v>
      </c>
      <c r="F5914" s="2">
        <v>0.0</v>
      </c>
      <c r="G5914" s="2">
        <v>76.0</v>
      </c>
      <c r="H5914" s="3" t="str">
        <f>HYPERLINK("http://www.linkedin.com/in/jeffchance","http://www.linkedin.com/in/jeffchance")</f>
        <v>http://www.linkedin.com/in/jeffchance</v>
      </c>
      <c r="I5914" s="2" t="s">
        <v>69</v>
      </c>
      <c r="J5914" s="2" t="s">
        <v>102</v>
      </c>
      <c r="K5914" s="2" t="s">
        <v>10176</v>
      </c>
    </row>
    <row r="5915" ht="15.75" customHeight="1">
      <c r="A5915" s="2">
        <v>22413.0</v>
      </c>
      <c r="B5915" s="2" t="s">
        <v>1015</v>
      </c>
      <c r="C5915" s="2" t="s">
        <v>1300</v>
      </c>
      <c r="D5915" s="2" t="s">
        <v>11639</v>
      </c>
      <c r="E5915" s="2" t="s">
        <v>2058</v>
      </c>
      <c r="F5915" s="2">
        <v>10.0</v>
      </c>
      <c r="G5915" s="2">
        <v>500.0</v>
      </c>
      <c r="H5915" s="3" t="str">
        <f>HYPERLINK("http://www.linkedin.com/in/brianalanross","http://www.linkedin.com/in/brianalanross")</f>
        <v>http://www.linkedin.com/in/brianalanross</v>
      </c>
      <c r="I5915" s="2" t="s">
        <v>15</v>
      </c>
      <c r="J5915" s="2" t="s">
        <v>102</v>
      </c>
      <c r="K5915" s="2" t="s">
        <v>10184</v>
      </c>
    </row>
    <row r="5916" ht="15.75" customHeight="1">
      <c r="A5916" s="2">
        <v>22416.0</v>
      </c>
      <c r="B5916" s="2" t="s">
        <v>11640</v>
      </c>
      <c r="C5916" s="2" t="s">
        <v>1005</v>
      </c>
      <c r="D5916" s="2" t="s">
        <v>11641</v>
      </c>
      <c r="E5916" s="2" t="s">
        <v>4479</v>
      </c>
      <c r="F5916" s="2">
        <v>15.0</v>
      </c>
      <c r="G5916" s="2">
        <v>500.0</v>
      </c>
      <c r="H5916" s="3" t="str">
        <f>HYPERLINK("http://www.linkedin.com/in/cortlandconnell","http://www.linkedin.com/in/cortlandconnell")</f>
        <v>http://www.linkedin.com/in/cortlandconnell</v>
      </c>
      <c r="I5916" s="2" t="s">
        <v>326</v>
      </c>
      <c r="J5916" s="2" t="s">
        <v>102</v>
      </c>
      <c r="K5916" s="2" t="s">
        <v>10206</v>
      </c>
    </row>
    <row r="5917" ht="15.75" customHeight="1">
      <c r="A5917" s="2">
        <v>22422.0</v>
      </c>
      <c r="B5917" s="2" t="s">
        <v>11642</v>
      </c>
      <c r="C5917" s="2" t="s">
        <v>11643</v>
      </c>
      <c r="D5917" s="2" t="s">
        <v>47</v>
      </c>
      <c r="E5917" s="2" t="s">
        <v>301</v>
      </c>
      <c r="F5917" s="2">
        <v>26.0</v>
      </c>
      <c r="G5917" s="2">
        <v>500.0</v>
      </c>
      <c r="H5917" s="3" t="str">
        <f>HYPERLINK("http://www.linkedin.com/in/mannybenor","http://www.linkedin.com/in/mannybenor")</f>
        <v>http://www.linkedin.com/in/mannybenor</v>
      </c>
      <c r="I5917" s="2" t="s">
        <v>326</v>
      </c>
      <c r="J5917" s="2" t="s">
        <v>102</v>
      </c>
      <c r="K5917" s="2" t="s">
        <v>10206</v>
      </c>
    </row>
    <row r="5918" ht="15.75" customHeight="1">
      <c r="A5918" s="2">
        <v>22426.0</v>
      </c>
      <c r="B5918" s="2" t="s">
        <v>4097</v>
      </c>
      <c r="C5918" s="2" t="s">
        <v>11644</v>
      </c>
      <c r="D5918" s="2" t="s">
        <v>42</v>
      </c>
      <c r="E5918" s="2" t="s">
        <v>728</v>
      </c>
      <c r="F5918" s="2">
        <v>2.0</v>
      </c>
      <c r="G5918" s="2">
        <v>500.0</v>
      </c>
      <c r="H5918" s="3" t="str">
        <f>HYPERLINK("http://www.linkedin.com/pub/brock-predovich/4/967/234","http://www.linkedin.com/pub/brock-predovich/4/967/234")</f>
        <v>http://www.linkedin.com/pub/brock-predovich/4/967/234</v>
      </c>
      <c r="I5918" s="2" t="s">
        <v>105</v>
      </c>
      <c r="J5918" s="2" t="s">
        <v>102</v>
      </c>
      <c r="K5918" s="2" t="s">
        <v>10209</v>
      </c>
    </row>
    <row r="5919" ht="15.75" customHeight="1">
      <c r="A5919" s="2">
        <v>22446.0</v>
      </c>
      <c r="B5919" s="2" t="s">
        <v>178</v>
      </c>
      <c r="C5919" s="2" t="s">
        <v>6600</v>
      </c>
      <c r="D5919" s="2" t="s">
        <v>11645</v>
      </c>
      <c r="E5919" s="2" t="s">
        <v>1407</v>
      </c>
      <c r="F5919" s="2">
        <v>27.0</v>
      </c>
      <c r="G5919" s="2">
        <v>500.0</v>
      </c>
      <c r="H5919" s="3" t="str">
        <f>HYPERLINK("http://www.linkedin.com/in/joeflores","http://www.linkedin.com/in/joeflores")</f>
        <v>http://www.linkedin.com/in/joeflores</v>
      </c>
      <c r="I5919" s="2" t="s">
        <v>248</v>
      </c>
      <c r="J5919" s="2" t="s">
        <v>102</v>
      </c>
      <c r="K5919" s="2" t="s">
        <v>10371</v>
      </c>
    </row>
    <row r="5920" ht="15.75" customHeight="1">
      <c r="A5920" s="2">
        <v>22448.0</v>
      </c>
      <c r="B5920" s="2" t="s">
        <v>133</v>
      </c>
      <c r="C5920" s="2" t="s">
        <v>11646</v>
      </c>
      <c r="D5920" s="2" t="s">
        <v>950</v>
      </c>
      <c r="E5920" s="2" t="s">
        <v>713</v>
      </c>
      <c r="F5920" s="2">
        <v>2.0</v>
      </c>
      <c r="G5920" s="2">
        <v>500.0</v>
      </c>
      <c r="H5920" s="3" t="str">
        <f>HYPERLINK("http://www.linkedin.com/in/banchick","http://www.linkedin.com/in/banchick")</f>
        <v>http://www.linkedin.com/in/banchick</v>
      </c>
      <c r="I5920" s="2" t="s">
        <v>48</v>
      </c>
      <c r="J5920" s="2" t="s">
        <v>102</v>
      </c>
      <c r="K5920" s="2" t="s">
        <v>10263</v>
      </c>
    </row>
    <row r="5921" ht="15.75" customHeight="1">
      <c r="A5921" s="2">
        <v>22467.0</v>
      </c>
      <c r="B5921" s="2" t="s">
        <v>1173</v>
      </c>
      <c r="C5921" s="2" t="s">
        <v>11647</v>
      </c>
      <c r="D5921" s="2" t="s">
        <v>1320</v>
      </c>
      <c r="E5921" s="2" t="s">
        <v>2090</v>
      </c>
      <c r="F5921" s="2">
        <v>2.0</v>
      </c>
      <c r="G5921" s="2">
        <v>500.0</v>
      </c>
      <c r="H5921" s="3" t="str">
        <f>HYPERLINK("http://ca.linkedin.com/in/stevewickens","http://ca.linkedin.com/in/stevewickens")</f>
        <v>http://ca.linkedin.com/in/stevewickens</v>
      </c>
      <c r="I5921" s="2" t="s">
        <v>57</v>
      </c>
      <c r="J5921" s="2" t="s">
        <v>44</v>
      </c>
      <c r="K5921" s="2" t="s">
        <v>10482</v>
      </c>
    </row>
    <row r="5922" ht="15.75" customHeight="1">
      <c r="A5922" s="2">
        <v>22500.0</v>
      </c>
      <c r="B5922" s="2" t="s">
        <v>116</v>
      </c>
      <c r="C5922" s="2" t="s">
        <v>4990</v>
      </c>
      <c r="D5922" s="2" t="s">
        <v>11648</v>
      </c>
      <c r="E5922" s="2" t="s">
        <v>136</v>
      </c>
      <c r="F5922" s="2">
        <v>18.0</v>
      </c>
      <c r="G5922" s="2">
        <v>500.0</v>
      </c>
      <c r="H5922" s="3" t="str">
        <f>HYPERLINK("http://www.linkedin.com/pub/alex-green/0/2B/2B3","http://www.linkedin.com/pub/alex-green/0/2B/2B3")</f>
        <v>http://www.linkedin.com/pub/alex-green/0/2B/2B3</v>
      </c>
      <c r="I5922" s="2" t="s">
        <v>1496</v>
      </c>
      <c r="J5922" s="2" t="s">
        <v>102</v>
      </c>
      <c r="K5922" s="2" t="s">
        <v>10187</v>
      </c>
    </row>
    <row r="5923" ht="15.75" customHeight="1">
      <c r="A5923" s="2">
        <v>22508.0</v>
      </c>
      <c r="B5923" s="2" t="s">
        <v>845</v>
      </c>
      <c r="C5923" s="2" t="s">
        <v>11649</v>
      </c>
      <c r="D5923" s="2" t="s">
        <v>2516</v>
      </c>
      <c r="E5923" s="2" t="s">
        <v>914</v>
      </c>
      <c r="F5923" s="2">
        <v>2.0</v>
      </c>
      <c r="G5923" s="2">
        <v>380.0</v>
      </c>
      <c r="H5923" s="3" t="str">
        <f>HYPERLINK("http://www.linkedin.com/in/dmcmahon","http://www.linkedin.com/in/dmcmahon")</f>
        <v>http://www.linkedin.com/in/dmcmahon</v>
      </c>
      <c r="I5923" s="2" t="s">
        <v>48</v>
      </c>
      <c r="J5923" s="2" t="s">
        <v>102</v>
      </c>
      <c r="K5923" s="2" t="s">
        <v>10263</v>
      </c>
    </row>
    <row r="5924" ht="15.75" customHeight="1">
      <c r="A5924" s="2">
        <v>22561.0</v>
      </c>
      <c r="B5924" s="2" t="s">
        <v>2752</v>
      </c>
      <c r="C5924" s="2" t="s">
        <v>11650</v>
      </c>
      <c r="D5924" s="2" t="s">
        <v>11651</v>
      </c>
      <c r="E5924" s="2" t="s">
        <v>101</v>
      </c>
      <c r="F5924" s="2">
        <v>2.0</v>
      </c>
      <c r="G5924" s="2">
        <v>500.0</v>
      </c>
      <c r="H5924" s="3" t="str">
        <f>HYPERLINK("http://www.linkedin.com/in/craigkaiser","http://www.linkedin.com/in/craigkaiser")</f>
        <v>http://www.linkedin.com/in/craigkaiser</v>
      </c>
      <c r="I5924" s="2" t="s">
        <v>1496</v>
      </c>
      <c r="J5924" s="2" t="s">
        <v>102</v>
      </c>
      <c r="K5924" s="2" t="s">
        <v>10209</v>
      </c>
    </row>
    <row r="5925" ht="15.75" customHeight="1">
      <c r="A5925" s="2">
        <v>22562.0</v>
      </c>
      <c r="B5925" s="2" t="s">
        <v>11652</v>
      </c>
      <c r="C5925" s="2" t="s">
        <v>11653</v>
      </c>
      <c r="D5925" s="2" t="s">
        <v>100</v>
      </c>
      <c r="E5925" s="2" t="s">
        <v>1407</v>
      </c>
      <c r="F5925" s="2">
        <v>30.0</v>
      </c>
      <c r="G5925" s="2">
        <v>500.0</v>
      </c>
      <c r="H5925" s="3" t="str">
        <f>HYPERLINK("http://www.linkedin.com/in/dtrungtran","http://www.linkedin.com/in/dtrungtran")</f>
        <v>http://www.linkedin.com/in/dtrungtran</v>
      </c>
      <c r="I5925" s="2" t="s">
        <v>1496</v>
      </c>
      <c r="J5925" s="2" t="s">
        <v>102</v>
      </c>
      <c r="K5925" s="2" t="s">
        <v>10482</v>
      </c>
    </row>
    <row r="5926" ht="15.75" customHeight="1">
      <c r="A5926" s="2">
        <v>22563.0</v>
      </c>
      <c r="B5926" s="2" t="s">
        <v>3793</v>
      </c>
      <c r="C5926" s="2" t="s">
        <v>7673</v>
      </c>
      <c r="D5926" s="2"/>
      <c r="E5926" s="2" t="s">
        <v>2058</v>
      </c>
      <c r="F5926" s="2">
        <v>2.0</v>
      </c>
      <c r="G5926" s="2">
        <v>429.0</v>
      </c>
      <c r="H5926" s="3" t="str">
        <f>HYPERLINK("http://www.linkedin.com/pub/jill-angeles/1/603/600","http://www.linkedin.com/pub/jill-angeles/1/603/600")</f>
        <v>http://www.linkedin.com/pub/jill-angeles/1/603/600</v>
      </c>
      <c r="I5926" s="2" t="s">
        <v>1698</v>
      </c>
      <c r="J5926" s="2" t="s">
        <v>102</v>
      </c>
      <c r="K5926" s="2" t="s">
        <v>10206</v>
      </c>
    </row>
    <row r="5927" ht="15.75" customHeight="1">
      <c r="A5927" s="2">
        <v>22567.0</v>
      </c>
      <c r="B5927" s="2" t="s">
        <v>1366</v>
      </c>
      <c r="C5927" s="2" t="s">
        <v>11654</v>
      </c>
      <c r="D5927" s="2" t="s">
        <v>11655</v>
      </c>
      <c r="E5927" s="2" t="s">
        <v>11656</v>
      </c>
      <c r="F5927" s="2">
        <v>6.0</v>
      </c>
      <c r="G5927" s="2">
        <v>500.0</v>
      </c>
      <c r="H5927" s="3" t="str">
        <f>HYPERLINK("http://www.linkedin.com/in/petersawala","http://www.linkedin.com/in/petersawala")</f>
        <v>http://www.linkedin.com/in/petersawala</v>
      </c>
      <c r="I5927" s="2" t="s">
        <v>306</v>
      </c>
      <c r="J5927" s="2" t="s">
        <v>102</v>
      </c>
      <c r="K5927" s="2" t="s">
        <v>10206</v>
      </c>
    </row>
    <row r="5928" ht="15.75" customHeight="1">
      <c r="A5928" s="2">
        <v>22570.0</v>
      </c>
      <c r="B5928" s="2" t="s">
        <v>2646</v>
      </c>
      <c r="C5928" s="2" t="s">
        <v>11657</v>
      </c>
      <c r="D5928" s="2" t="s">
        <v>11658</v>
      </c>
      <c r="E5928" s="2" t="s">
        <v>101</v>
      </c>
      <c r="F5928" s="2" t="s">
        <v>13</v>
      </c>
      <c r="G5928" s="2">
        <v>363.0</v>
      </c>
      <c r="H5928" s="3" t="str">
        <f>HYPERLINK("http://www.linkedin.com/pub/justin-mcnamara/0/7AB/114","http://www.linkedin.com/pub/justin-mcnamara/0/7AB/114")</f>
        <v>http://www.linkedin.com/pub/justin-mcnamara/0/7AB/114</v>
      </c>
      <c r="I5928" s="2" t="s">
        <v>1496</v>
      </c>
      <c r="J5928" s="2" t="s">
        <v>102</v>
      </c>
      <c r="K5928" s="2" t="s">
        <v>10187</v>
      </c>
    </row>
    <row r="5929" ht="15.75" customHeight="1">
      <c r="A5929" s="2">
        <v>22572.0</v>
      </c>
      <c r="B5929" s="2" t="s">
        <v>2286</v>
      </c>
      <c r="C5929" s="2" t="s">
        <v>1789</v>
      </c>
      <c r="D5929" s="2" t="s">
        <v>11659</v>
      </c>
      <c r="E5929" s="2" t="s">
        <v>101</v>
      </c>
      <c r="F5929" s="2">
        <v>0.0</v>
      </c>
      <c r="G5929" s="2">
        <v>500.0</v>
      </c>
      <c r="H5929" s="3" t="str">
        <f>HYPERLINK("http://www.linkedin.com/in/amywilsonatt","http://www.linkedin.com/in/amywilsonatt")</f>
        <v>http://www.linkedin.com/in/amywilsonatt</v>
      </c>
      <c r="I5929" s="2" t="s">
        <v>77</v>
      </c>
      <c r="J5929" s="2" t="s">
        <v>102</v>
      </c>
      <c r="K5929" s="2" t="s">
        <v>10187</v>
      </c>
    </row>
    <row r="5930" ht="15.75" customHeight="1">
      <c r="A5930" s="2">
        <v>22573.0</v>
      </c>
      <c r="B5930" s="2" t="s">
        <v>275</v>
      </c>
      <c r="C5930" s="2" t="s">
        <v>11660</v>
      </c>
      <c r="D5930" s="2" t="s">
        <v>11661</v>
      </c>
      <c r="E5930" s="2" t="s">
        <v>136</v>
      </c>
      <c r="F5930" s="2">
        <v>0.0</v>
      </c>
      <c r="G5930" s="2">
        <v>500.0</v>
      </c>
      <c r="H5930" s="3" t="str">
        <f>HYPERLINK("https://www.linkedin.com/in/markwnagel","https://www.linkedin.com/in/markwnagel")</f>
        <v>https://www.linkedin.com/in/markwnagel</v>
      </c>
      <c r="I5930" s="2" t="s">
        <v>1496</v>
      </c>
      <c r="J5930" s="2" t="s">
        <v>102</v>
      </c>
      <c r="K5930" s="2" t="s">
        <v>10187</v>
      </c>
    </row>
    <row r="5931" ht="15.75" customHeight="1">
      <c r="A5931" s="2">
        <v>22574.0</v>
      </c>
      <c r="B5931" s="2" t="s">
        <v>3366</v>
      </c>
      <c r="C5931" s="2" t="s">
        <v>11662</v>
      </c>
      <c r="D5931" s="2" t="s">
        <v>11663</v>
      </c>
      <c r="E5931" s="2" t="s">
        <v>101</v>
      </c>
      <c r="F5931" s="2">
        <v>29.0</v>
      </c>
      <c r="G5931" s="2">
        <v>500.0</v>
      </c>
      <c r="H5931" s="3" t="str">
        <f>HYPERLINK("http://www.linkedin.com/in/kimberlyeubank","http://www.linkedin.com/in/kimberlyeubank")</f>
        <v>http://www.linkedin.com/in/kimberlyeubank</v>
      </c>
      <c r="I5931" s="2" t="s">
        <v>1496</v>
      </c>
      <c r="J5931" s="2" t="s">
        <v>102</v>
      </c>
      <c r="K5931" s="2" t="s">
        <v>10209</v>
      </c>
    </row>
    <row r="5932" ht="15.75" customHeight="1">
      <c r="A5932" s="2">
        <v>22578.0</v>
      </c>
      <c r="B5932" s="2" t="s">
        <v>2014</v>
      </c>
      <c r="C5932" s="2" t="s">
        <v>11664</v>
      </c>
      <c r="D5932" s="2" t="s">
        <v>100</v>
      </c>
      <c r="E5932" s="2" t="s">
        <v>136</v>
      </c>
      <c r="F5932" s="2">
        <v>7.0</v>
      </c>
      <c r="G5932" s="2">
        <v>380.0</v>
      </c>
      <c r="H5932" s="3" t="str">
        <f>HYPERLINK("http://www.linkedin.com/pub/ken-e-/4/434/777","http://www.linkedin.com/pub/ken-e-/4/434/777")</f>
        <v>http://www.linkedin.com/pub/ken-e-/4/434/777</v>
      </c>
      <c r="I5932" s="2" t="s">
        <v>910</v>
      </c>
      <c r="J5932" s="2" t="s">
        <v>102</v>
      </c>
      <c r="K5932" s="2" t="s">
        <v>10312</v>
      </c>
    </row>
    <row r="5933" ht="15.75" customHeight="1">
      <c r="A5933" s="2">
        <v>22580.0</v>
      </c>
      <c r="B5933" s="2" t="s">
        <v>3606</v>
      </c>
      <c r="C5933" s="2" t="s">
        <v>11665</v>
      </c>
      <c r="D5933" s="2" t="s">
        <v>11666</v>
      </c>
      <c r="E5933" s="2" t="s">
        <v>1407</v>
      </c>
      <c r="F5933" s="2">
        <v>13.0</v>
      </c>
      <c r="G5933" s="2">
        <v>500.0</v>
      </c>
      <c r="H5933" s="3" t="str">
        <f>HYPERLINK("http://www.linkedin.com/in/tmoonier","http://www.linkedin.com/in/tmoonier")</f>
        <v>http://www.linkedin.com/in/tmoonier</v>
      </c>
      <c r="I5933" s="2" t="s">
        <v>1496</v>
      </c>
      <c r="J5933" s="2" t="s">
        <v>102</v>
      </c>
      <c r="K5933" s="2" t="s">
        <v>10371</v>
      </c>
    </row>
    <row r="5934" ht="15.75" customHeight="1">
      <c r="A5934" s="2">
        <v>22581.0</v>
      </c>
      <c r="B5934" s="2" t="s">
        <v>1816</v>
      </c>
      <c r="C5934" s="2" t="s">
        <v>11667</v>
      </c>
      <c r="D5934" s="2" t="s">
        <v>636</v>
      </c>
      <c r="E5934" s="2" t="s">
        <v>101</v>
      </c>
      <c r="F5934" s="2" t="s">
        <v>13</v>
      </c>
      <c r="G5934" s="2">
        <v>414.0</v>
      </c>
      <c r="H5934" s="3" t="str">
        <f>HYPERLINK("http://www.linkedin.com/pub/jeffrey-tucholski/5/8B2/224","http://www.linkedin.com/pub/jeffrey-tucholski/5/8B2/224")</f>
        <v>http://www.linkedin.com/pub/jeffrey-tucholski/5/8B2/224</v>
      </c>
      <c r="I5934" s="2" t="s">
        <v>77</v>
      </c>
      <c r="J5934" s="2" t="s">
        <v>102</v>
      </c>
      <c r="K5934" s="2" t="s">
        <v>10187</v>
      </c>
    </row>
    <row r="5935" ht="15.75" customHeight="1">
      <c r="A5935" s="2">
        <v>22742.0</v>
      </c>
      <c r="B5935" s="2" t="s">
        <v>11668</v>
      </c>
      <c r="C5935" s="2" t="s">
        <v>13</v>
      </c>
      <c r="D5935" s="2" t="s">
        <v>13</v>
      </c>
      <c r="E5935" s="2" t="s">
        <v>122</v>
      </c>
      <c r="F5935" s="2">
        <v>0.0</v>
      </c>
      <c r="G5935" s="2">
        <v>500.0</v>
      </c>
      <c r="H5935" s="3" t="str">
        <f>HYPERLINK("http://uk.linkedin.com/pub/hushpreet-dhaliwal/18/9A2/A36","http://uk.linkedin.com/pub/hushpreet-dhaliwal/18/9A2/A36")</f>
        <v>http://uk.linkedin.com/pub/hushpreet-dhaliwal/18/9A2/A36</v>
      </c>
      <c r="I5935" s="2" t="s">
        <v>422</v>
      </c>
      <c r="J5935" s="2" t="s">
        <v>53</v>
      </c>
      <c r="K5935" s="2" t="s">
        <v>11669</v>
      </c>
    </row>
    <row r="5936" ht="15.75" customHeight="1">
      <c r="A5936" s="2">
        <v>22748.0</v>
      </c>
      <c r="B5936" s="2" t="s">
        <v>2077</v>
      </c>
      <c r="C5936" s="2" t="s">
        <v>11670</v>
      </c>
      <c r="D5936" s="2"/>
      <c r="E5936" s="2" t="s">
        <v>301</v>
      </c>
      <c r="F5936" s="2">
        <v>3.0</v>
      </c>
      <c r="G5936" s="2">
        <v>500.0</v>
      </c>
      <c r="H5936" s="3" t="str">
        <f>HYPERLINK("http://www.linkedin.com/pub/saul-federman/1/486/358","http://www.linkedin.com/pub/saul-federman/1/486/358")</f>
        <v>http://www.linkedin.com/pub/saul-federman/1/486/358</v>
      </c>
      <c r="I5936" s="2" t="s">
        <v>105</v>
      </c>
      <c r="J5936" s="2" t="s">
        <v>102</v>
      </c>
      <c r="K5936" s="2" t="s">
        <v>10206</v>
      </c>
    </row>
    <row r="5937" ht="15.75" customHeight="1">
      <c r="A5937" s="2">
        <v>22809.0</v>
      </c>
      <c r="B5937" s="2" t="s">
        <v>839</v>
      </c>
      <c r="C5937" s="2" t="s">
        <v>11671</v>
      </c>
      <c r="D5937" s="2" t="s">
        <v>11672</v>
      </c>
      <c r="E5937" s="2" t="s">
        <v>728</v>
      </c>
      <c r="F5937" s="2">
        <v>1.0</v>
      </c>
      <c r="G5937" s="2">
        <v>500.0</v>
      </c>
      <c r="H5937" s="3" t="str">
        <f>HYPERLINK("http://www.linkedin.com/in/9425en","http://www.linkedin.com/in/9425en")</f>
        <v>http://www.linkedin.com/in/9425en</v>
      </c>
      <c r="I5937" s="2" t="s">
        <v>77</v>
      </c>
      <c r="J5937" s="2" t="s">
        <v>102</v>
      </c>
      <c r="K5937" s="2" t="s">
        <v>10229</v>
      </c>
    </row>
    <row r="5938" ht="15.75" customHeight="1">
      <c r="A5938" s="2">
        <v>22810.0</v>
      </c>
      <c r="B5938" s="2" t="s">
        <v>631</v>
      </c>
      <c r="C5938" s="2" t="s">
        <v>3224</v>
      </c>
      <c r="D5938" s="2"/>
      <c r="E5938" s="2" t="s">
        <v>136</v>
      </c>
      <c r="F5938" s="2">
        <v>3.0</v>
      </c>
      <c r="G5938" s="2">
        <v>500.0</v>
      </c>
      <c r="H5938" s="3" t="str">
        <f>HYPERLINK("http://www.linkedin.com/pub/chris-mcguire/2/483/A25","http://www.linkedin.com/pub/chris-mcguire/2/483/A25")</f>
        <v>http://www.linkedin.com/pub/chris-mcguire/2/483/A25</v>
      </c>
      <c r="I5938" s="2" t="s">
        <v>77</v>
      </c>
      <c r="J5938" s="2" t="s">
        <v>102</v>
      </c>
      <c r="K5938" s="2" t="s">
        <v>10209</v>
      </c>
    </row>
    <row r="5939" ht="15.75" customHeight="1">
      <c r="A5939" s="2">
        <v>22813.0</v>
      </c>
      <c r="B5939" s="2" t="s">
        <v>11673</v>
      </c>
      <c r="C5939" s="2" t="s">
        <v>11674</v>
      </c>
      <c r="D5939" s="2" t="s">
        <v>11675</v>
      </c>
      <c r="E5939" s="2" t="s">
        <v>136</v>
      </c>
      <c r="F5939" s="2">
        <v>0.0</v>
      </c>
      <c r="G5939" s="2">
        <v>500.0</v>
      </c>
      <c r="H5939" s="3" t="str">
        <f>HYPERLINK("http://www.linkedin.com/pub/nara-rajagopalan/0/85/675","http://www.linkedin.com/pub/nara-rajagopalan/0/85/675")</f>
        <v>http://www.linkedin.com/pub/nara-rajagopalan/0/85/675</v>
      </c>
      <c r="I5939" s="2" t="s">
        <v>48</v>
      </c>
      <c r="J5939" s="2" t="s">
        <v>102</v>
      </c>
      <c r="K5939" s="2" t="s">
        <v>10233</v>
      </c>
    </row>
    <row r="5940" ht="15.75" customHeight="1">
      <c r="A5940" s="2">
        <v>22817.0</v>
      </c>
      <c r="B5940" s="2" t="s">
        <v>511</v>
      </c>
      <c r="C5940" s="2" t="s">
        <v>11676</v>
      </c>
      <c r="D5940" s="2" t="s">
        <v>11677</v>
      </c>
      <c r="E5940" s="2" t="s">
        <v>2968</v>
      </c>
      <c r="F5940" s="2">
        <v>4.0</v>
      </c>
      <c r="G5940" s="2">
        <v>381.0</v>
      </c>
      <c r="H5940" s="3" t="str">
        <f>HYPERLINK("http://www.linkedin.com/in/mikebossert","http://www.linkedin.com/in/mikebossert")</f>
        <v>http://www.linkedin.com/in/mikebossert</v>
      </c>
      <c r="I5940" s="2" t="s">
        <v>669</v>
      </c>
      <c r="J5940" s="2" t="s">
        <v>102</v>
      </c>
      <c r="K5940" s="2" t="s">
        <v>10206</v>
      </c>
    </row>
    <row r="5941" ht="15.75" customHeight="1">
      <c r="A5941" s="2">
        <v>22827.0</v>
      </c>
      <c r="B5941" s="2" t="s">
        <v>845</v>
      </c>
      <c r="C5941" s="2" t="s">
        <v>11678</v>
      </c>
      <c r="D5941" s="2" t="s">
        <v>11679</v>
      </c>
      <c r="E5941" s="2" t="s">
        <v>136</v>
      </c>
      <c r="F5941" s="2">
        <v>1.0</v>
      </c>
      <c r="G5941" s="2">
        <v>500.0</v>
      </c>
      <c r="H5941" s="3" t="str">
        <f>HYPERLINK("http://www.linkedin.com/in/davidkawamoto","http://www.linkedin.com/in/davidkawamoto")</f>
        <v>http://www.linkedin.com/in/davidkawamoto</v>
      </c>
      <c r="I5941" s="2" t="s">
        <v>105</v>
      </c>
      <c r="J5941" s="2" t="s">
        <v>102</v>
      </c>
      <c r="K5941" s="2" t="s">
        <v>10482</v>
      </c>
    </row>
    <row r="5942" ht="15.75" customHeight="1">
      <c r="A5942" s="2">
        <v>22863.0</v>
      </c>
      <c r="B5942" s="2" t="s">
        <v>362</v>
      </c>
      <c r="C5942" s="2" t="s">
        <v>11680</v>
      </c>
      <c r="D5942" s="2"/>
      <c r="E5942" s="2" t="s">
        <v>713</v>
      </c>
      <c r="F5942" s="2">
        <v>19.0</v>
      </c>
      <c r="G5942" s="2">
        <v>500.0</v>
      </c>
      <c r="H5942" s="3" t="str">
        <f>HYPERLINK("http://www.linkedin.com/in/javierjimenez61","http://www.linkedin.com/in/javierjimenez61")</f>
        <v>http://www.linkedin.com/in/javierjimenez61</v>
      </c>
      <c r="I5942" s="2" t="s">
        <v>48</v>
      </c>
      <c r="J5942" s="2" t="s">
        <v>102</v>
      </c>
      <c r="K5942" s="2" t="s">
        <v>10184</v>
      </c>
    </row>
    <row r="5943" ht="15.75" customHeight="1">
      <c r="A5943" s="2">
        <v>23002.0</v>
      </c>
      <c r="B5943" s="2" t="s">
        <v>11681</v>
      </c>
      <c r="C5943" s="2" t="s">
        <v>11682</v>
      </c>
      <c r="D5943" s="2" t="s">
        <v>11683</v>
      </c>
      <c r="E5943" s="2" t="s">
        <v>1918</v>
      </c>
      <c r="F5943" s="2" t="s">
        <v>13</v>
      </c>
      <c r="G5943" s="2">
        <v>467.0</v>
      </c>
      <c r="H5943" s="3" t="str">
        <f>HYPERLINK("http://www.linkedin.com/in/boferm","http://www.linkedin.com/in/boferm")</f>
        <v>http://www.linkedin.com/in/boferm</v>
      </c>
      <c r="I5943" s="2" t="s">
        <v>77</v>
      </c>
      <c r="J5943" s="2" t="s">
        <v>102</v>
      </c>
      <c r="K5943" s="2" t="s">
        <v>10229</v>
      </c>
    </row>
    <row r="5944" ht="15.75" customHeight="1">
      <c r="A5944" s="2">
        <v>23011.0</v>
      </c>
      <c r="B5944" s="2" t="s">
        <v>703</v>
      </c>
      <c r="C5944" s="2" t="s">
        <v>544</v>
      </c>
      <c r="D5944" s="2"/>
      <c r="E5944" s="2" t="s">
        <v>1190</v>
      </c>
      <c r="F5944" s="2">
        <v>8.0</v>
      </c>
      <c r="G5944" s="2">
        <v>500.0</v>
      </c>
      <c r="H5944" s="3" t="str">
        <f>HYPERLINK("http://www.linkedin.com/pub/rafael-castillo/1/1A5/593","http://www.linkedin.com/pub/rafael-castillo/1/1A5/593")</f>
        <v>http://www.linkedin.com/pub/rafael-castillo/1/1A5/593</v>
      </c>
      <c r="I5944" s="2" t="s">
        <v>77</v>
      </c>
      <c r="J5944" s="2" t="s">
        <v>102</v>
      </c>
      <c r="K5944" s="2" t="s">
        <v>10229</v>
      </c>
    </row>
    <row r="5945" ht="15.75" customHeight="1">
      <c r="A5945" s="2">
        <v>23015.0</v>
      </c>
      <c r="B5945" s="2" t="s">
        <v>1230</v>
      </c>
      <c r="C5945" s="2" t="s">
        <v>7573</v>
      </c>
      <c r="D5945" s="2" t="s">
        <v>11684</v>
      </c>
      <c r="E5945" s="2" t="s">
        <v>2058</v>
      </c>
      <c r="F5945" s="2">
        <v>0.0</v>
      </c>
      <c r="G5945" s="2">
        <v>227.0</v>
      </c>
      <c r="H5945" s="3" t="str">
        <f>HYPERLINK("http://www.linkedin.com/pub/alberto-salazar/10/186/970","http://www.linkedin.com/pub/alberto-salazar/10/186/970")</f>
        <v>http://www.linkedin.com/pub/alberto-salazar/10/186/970</v>
      </c>
      <c r="I5945" s="2" t="s">
        <v>195</v>
      </c>
      <c r="J5945" s="2" t="s">
        <v>102</v>
      </c>
      <c r="K5945" s="2" t="s">
        <v>11127</v>
      </c>
    </row>
    <row r="5946" ht="15.75" customHeight="1">
      <c r="A5946" s="2">
        <v>23053.0</v>
      </c>
      <c r="B5946" s="2" t="s">
        <v>1475</v>
      </c>
      <c r="C5946" s="2" t="s">
        <v>11685</v>
      </c>
      <c r="D5946" s="2" t="s">
        <v>42</v>
      </c>
      <c r="E5946" s="2" t="s">
        <v>457</v>
      </c>
      <c r="F5946" s="2">
        <v>20.0</v>
      </c>
      <c r="G5946" s="2">
        <v>494.0</v>
      </c>
      <c r="H5946" s="3" t="str">
        <f>HYPERLINK("http://www.linkedin.com/pub/lisa-doria-mongulla%5D/0/7BA/883","http://www.linkedin.com/pub/lisa-doria-mongulla%5D/0/7BA/883")</f>
        <v>http://www.linkedin.com/pub/lisa-doria-mongulla%5D/0/7BA/883</v>
      </c>
      <c r="I5946" s="2" t="s">
        <v>458</v>
      </c>
      <c r="J5946" s="2" t="s">
        <v>102</v>
      </c>
      <c r="K5946" s="2" t="s">
        <v>10482</v>
      </c>
    </row>
    <row r="5947" ht="15.75" customHeight="1">
      <c r="A5947" s="2">
        <v>23239.0</v>
      </c>
      <c r="B5947" s="2" t="s">
        <v>8315</v>
      </c>
      <c r="C5947" s="2" t="s">
        <v>11686</v>
      </c>
      <c r="D5947" s="2" t="s">
        <v>11687</v>
      </c>
      <c r="E5947" s="2" t="s">
        <v>20</v>
      </c>
      <c r="F5947" s="2" t="s">
        <v>13</v>
      </c>
      <c r="G5947" s="2">
        <v>500.0</v>
      </c>
      <c r="H5947" s="3" t="str">
        <f>HYPERLINK("http://ar.linkedin.com/pub/josefina-casiraghi/6/784/43","http://ar.linkedin.com/pub/josefina-casiraghi/6/784/43")</f>
        <v>http://ar.linkedin.com/pub/josefina-casiraghi/6/784/43</v>
      </c>
      <c r="I5947" s="2" t="s">
        <v>374</v>
      </c>
      <c r="J5947" s="2" t="s">
        <v>21</v>
      </c>
      <c r="K5947" s="2" t="s">
        <v>10206</v>
      </c>
    </row>
    <row r="5948" ht="15.75" customHeight="1">
      <c r="A5948" s="2">
        <v>23263.0</v>
      </c>
      <c r="B5948" s="2" t="s">
        <v>329</v>
      </c>
      <c r="C5948" s="2" t="s">
        <v>10400</v>
      </c>
      <c r="D5948" s="2" t="s">
        <v>10271</v>
      </c>
      <c r="E5948" s="2" t="s">
        <v>403</v>
      </c>
      <c r="F5948" s="2">
        <v>13.0</v>
      </c>
      <c r="G5948" s="2">
        <v>455.0</v>
      </c>
      <c r="H5948" s="3" t="str">
        <f>HYPERLINK("http://ar.linkedin.com/in/juanpablof","http://ar.linkedin.com/in/juanpablof")</f>
        <v>http://ar.linkedin.com/in/juanpablof</v>
      </c>
      <c r="I5948" s="2" t="s">
        <v>15</v>
      </c>
      <c r="J5948" s="2" t="s">
        <v>44</v>
      </c>
      <c r="K5948" s="2" t="s">
        <v>10196</v>
      </c>
    </row>
    <row r="5949" ht="15.75" customHeight="1">
      <c r="A5949" s="2">
        <v>23264.0</v>
      </c>
      <c r="B5949" s="2" t="s">
        <v>253</v>
      </c>
      <c r="C5949" s="2" t="s">
        <v>5764</v>
      </c>
      <c r="D5949" s="2" t="s">
        <v>347</v>
      </c>
      <c r="E5949" s="2" t="s">
        <v>20</v>
      </c>
      <c r="F5949" s="2" t="s">
        <v>13</v>
      </c>
      <c r="G5949" s="2">
        <v>133.0</v>
      </c>
      <c r="H5949" s="3" t="str">
        <f>HYPERLINK("http://ar.linkedin.com/in/vazquezfernando","http://ar.linkedin.com/in/vazquezfernando")</f>
        <v>http://ar.linkedin.com/in/vazquezfernando</v>
      </c>
      <c r="I5949" s="2" t="s">
        <v>15</v>
      </c>
      <c r="J5949" s="2" t="s">
        <v>21</v>
      </c>
      <c r="K5949" s="2" t="s">
        <v>10180</v>
      </c>
    </row>
    <row r="5950" ht="15.75" customHeight="1">
      <c r="A5950" s="2">
        <v>23328.0</v>
      </c>
      <c r="B5950" s="2" t="s">
        <v>59</v>
      </c>
      <c r="C5950" s="2" t="s">
        <v>6556</v>
      </c>
      <c r="D5950" s="2" t="s">
        <v>11688</v>
      </c>
      <c r="E5950" s="2" t="s">
        <v>20</v>
      </c>
      <c r="F5950" s="2">
        <v>7.0</v>
      </c>
      <c r="G5950" s="2">
        <v>364.0</v>
      </c>
      <c r="H5950" s="3" t="str">
        <f>HYPERLINK("http://ar.linkedin.com/in/mpdominguez","http://ar.linkedin.com/in/mpdominguez")</f>
        <v>http://ar.linkedin.com/in/mpdominguez</v>
      </c>
      <c r="I5950" s="2" t="s">
        <v>143</v>
      </c>
      <c r="J5950" s="2" t="s">
        <v>21</v>
      </c>
      <c r="K5950" s="2" t="s">
        <v>10196</v>
      </c>
    </row>
    <row r="5951" ht="15.75" customHeight="1">
      <c r="A5951" s="2">
        <v>23351.0</v>
      </c>
      <c r="B5951" s="2" t="s">
        <v>703</v>
      </c>
      <c r="C5951" s="2" t="s">
        <v>11689</v>
      </c>
      <c r="D5951" s="2" t="s">
        <v>13</v>
      </c>
      <c r="E5951" s="2" t="s">
        <v>20</v>
      </c>
      <c r="F5951" s="2">
        <v>14.0</v>
      </c>
      <c r="G5951" s="2">
        <v>139.0</v>
      </c>
      <c r="H5951" s="3" t="str">
        <f>HYPERLINK("http://www.linkedin.com/pub/rafael-fernandez-le-baron/26/48b/250","http://www.linkedin.com/pub/rafael-fernandez-le-baron/26/48b/250")</f>
        <v>http://www.linkedin.com/pub/rafael-fernandez-le-baron/26/48b/250</v>
      </c>
      <c r="I5951" s="2" t="s">
        <v>69</v>
      </c>
      <c r="J5951" s="2" t="s">
        <v>21</v>
      </c>
      <c r="K5951" s="2" t="s">
        <v>10196</v>
      </c>
    </row>
    <row r="5952" ht="15.75" customHeight="1">
      <c r="A5952" s="2">
        <v>23375.0</v>
      </c>
      <c r="B5952" s="2" t="s">
        <v>5723</v>
      </c>
      <c r="C5952" s="2" t="s">
        <v>9786</v>
      </c>
      <c r="D5952" s="2" t="s">
        <v>13</v>
      </c>
      <c r="E5952" s="2" t="s">
        <v>20</v>
      </c>
      <c r="F5952" s="2">
        <v>0.0</v>
      </c>
      <c r="G5952" s="2">
        <v>500.0</v>
      </c>
      <c r="H5952" s="3" t="str">
        <f>HYPERLINK("http://www.linkedin.com/in/pcapurro","http://www.linkedin.com/in/pcapurro")</f>
        <v>http://www.linkedin.com/in/pcapurro</v>
      </c>
      <c r="I5952" s="2" t="s">
        <v>69</v>
      </c>
      <c r="J5952" s="2" t="s">
        <v>21</v>
      </c>
      <c r="K5952" s="2" t="s">
        <v>10224</v>
      </c>
    </row>
    <row r="5953" ht="15.75" customHeight="1">
      <c r="A5953" s="2">
        <v>23396.0</v>
      </c>
      <c r="B5953" s="2" t="s">
        <v>11690</v>
      </c>
      <c r="C5953" s="2" t="s">
        <v>11691</v>
      </c>
      <c r="D5953" s="2" t="s">
        <v>11692</v>
      </c>
      <c r="E5953" s="2" t="s">
        <v>20</v>
      </c>
      <c r="F5953" s="2">
        <v>66.0</v>
      </c>
      <c r="G5953" s="2">
        <v>500.0</v>
      </c>
      <c r="H5953" s="3" t="str">
        <f>HYPERLINK("http://ar.linkedin.com/in/gmblanco","http://ar.linkedin.com/in/gmblanco")</f>
        <v>http://ar.linkedin.com/in/gmblanco</v>
      </c>
      <c r="I5953" s="2" t="s">
        <v>15</v>
      </c>
      <c r="J5953" s="2" t="s">
        <v>21</v>
      </c>
      <c r="K5953" s="2" t="s">
        <v>10346</v>
      </c>
    </row>
    <row r="5954" ht="15.75" customHeight="1">
      <c r="A5954" s="2">
        <v>23435.0</v>
      </c>
      <c r="B5954" s="2" t="s">
        <v>6496</v>
      </c>
      <c r="C5954" s="2" t="s">
        <v>11693</v>
      </c>
      <c r="D5954" s="2" t="s">
        <v>11694</v>
      </c>
      <c r="E5954" s="2" t="s">
        <v>1041</v>
      </c>
      <c r="F5954" s="2">
        <v>9.0</v>
      </c>
      <c r="G5954" s="2">
        <v>500.0</v>
      </c>
      <c r="H5954" s="3" t="str">
        <f>HYPERLINK("http://www.linkedin.com/pub/karina-san-juan/1/3B0/B30","http://www.linkedin.com/pub/karina-san-juan/1/3B0/B30")</f>
        <v>http://www.linkedin.com/pub/karina-san-juan/1/3B0/B30</v>
      </c>
      <c r="I5954" s="2" t="s">
        <v>844</v>
      </c>
      <c r="J5954" s="2" t="s">
        <v>102</v>
      </c>
      <c r="K5954" s="2" t="s">
        <v>10206</v>
      </c>
    </row>
    <row r="5955" ht="15.75" customHeight="1">
      <c r="A5955" s="2">
        <v>23444.0</v>
      </c>
      <c r="B5955" s="2" t="s">
        <v>362</v>
      </c>
      <c r="C5955" s="2" t="s">
        <v>6162</v>
      </c>
      <c r="D5955" s="2" t="s">
        <v>11695</v>
      </c>
      <c r="E5955" s="2" t="s">
        <v>20</v>
      </c>
      <c r="F5955" s="2">
        <v>11.0</v>
      </c>
      <c r="G5955" s="2">
        <v>218.0</v>
      </c>
      <c r="H5955" s="3" t="str">
        <f>HYPERLINK("http://ar.linkedin.com/in/seoanejavier","http://ar.linkedin.com/in/seoanejavier")</f>
        <v>http://ar.linkedin.com/in/seoanejavier</v>
      </c>
      <c r="I5955" s="2" t="s">
        <v>15</v>
      </c>
      <c r="J5955" s="2" t="s">
        <v>21</v>
      </c>
      <c r="K5955" s="2" t="s">
        <v>10196</v>
      </c>
    </row>
    <row r="5956" ht="15.75" customHeight="1">
      <c r="A5956" s="2">
        <v>23454.0</v>
      </c>
      <c r="B5956" s="2" t="s">
        <v>358</v>
      </c>
      <c r="C5956" s="2" t="s">
        <v>6196</v>
      </c>
      <c r="D5956" s="2" t="s">
        <v>11696</v>
      </c>
      <c r="E5956" s="2" t="s">
        <v>20</v>
      </c>
      <c r="F5956" s="2">
        <v>5.0</v>
      </c>
      <c r="G5956" s="2">
        <v>222.0</v>
      </c>
      <c r="H5956" s="3" t="str">
        <f>HYPERLINK("http://ar.linkedin.com/pub/marcelo-acevedo/B/363/522","http://ar.linkedin.com/pub/marcelo-acevedo/B/363/522")</f>
        <v>http://ar.linkedin.com/pub/marcelo-acevedo/B/363/522</v>
      </c>
      <c r="I5956" s="2" t="s">
        <v>15</v>
      </c>
      <c r="J5956" s="2" t="s">
        <v>21</v>
      </c>
      <c r="K5956" s="2" t="s">
        <v>10196</v>
      </c>
    </row>
    <row r="5957" ht="15.75" customHeight="1">
      <c r="A5957" s="2">
        <v>23510.0</v>
      </c>
      <c r="B5957" s="2" t="s">
        <v>353</v>
      </c>
      <c r="C5957" s="2" t="s">
        <v>314</v>
      </c>
      <c r="D5957" s="2" t="s">
        <v>700</v>
      </c>
      <c r="E5957" s="2" t="s">
        <v>20</v>
      </c>
      <c r="F5957" s="2">
        <v>5.0</v>
      </c>
      <c r="G5957" s="2">
        <v>219.0</v>
      </c>
      <c r="H5957" s="3" t="str">
        <f>HYPERLINK("http://ar.linkedin.com/in/alejandromarcos","http://ar.linkedin.com/in/alejandromarcos")</f>
        <v>http://ar.linkedin.com/in/alejandromarcos</v>
      </c>
      <c r="I5957" s="2" t="s">
        <v>15</v>
      </c>
      <c r="J5957" s="2" t="s">
        <v>21</v>
      </c>
      <c r="K5957" s="2" t="s">
        <v>10187</v>
      </c>
    </row>
    <row r="5958" ht="15.75" customHeight="1">
      <c r="A5958" s="2">
        <v>23564.0</v>
      </c>
      <c r="B5958" s="2" t="s">
        <v>1380</v>
      </c>
      <c r="C5958" s="2" t="s">
        <v>11697</v>
      </c>
      <c r="D5958" s="2" t="s">
        <v>11698</v>
      </c>
      <c r="E5958" s="2" t="s">
        <v>808</v>
      </c>
      <c r="F5958" s="2">
        <v>9.0</v>
      </c>
      <c r="G5958" s="2">
        <v>415.0</v>
      </c>
      <c r="H5958" s="3" t="str">
        <f>HYPERLINK("http://www.linkedin.com/in/rrstalzer","http://www.linkedin.com/in/rrstalzer")</f>
        <v>http://www.linkedin.com/in/rrstalzer</v>
      </c>
      <c r="I5958" s="2" t="s">
        <v>15</v>
      </c>
      <c r="J5958" s="2" t="s">
        <v>102</v>
      </c>
      <c r="K5958" s="2" t="s">
        <v>10176</v>
      </c>
    </row>
    <row r="5959" ht="15.75" customHeight="1">
      <c r="A5959" s="2">
        <v>23565.0</v>
      </c>
      <c r="B5959" s="2" t="s">
        <v>631</v>
      </c>
      <c r="C5959" s="2" t="s">
        <v>11699</v>
      </c>
      <c r="D5959" s="2" t="s">
        <v>11700</v>
      </c>
      <c r="E5959" s="2" t="s">
        <v>1918</v>
      </c>
      <c r="F5959" s="2">
        <v>10.0</v>
      </c>
      <c r="G5959" s="2">
        <v>267.0</v>
      </c>
      <c r="H5959" s="3" t="str">
        <f>HYPERLINK("http://www.linkedin.com/in/chsutherland","http://www.linkedin.com/in/chsutherland")</f>
        <v>http://www.linkedin.com/in/chsutherland</v>
      </c>
      <c r="I5959" s="2" t="s">
        <v>48</v>
      </c>
      <c r="J5959" s="2" t="s">
        <v>102</v>
      </c>
      <c r="K5959" s="2" t="s">
        <v>10184</v>
      </c>
    </row>
    <row r="5960" ht="15.75" customHeight="1">
      <c r="A5960" s="2">
        <v>23568.0</v>
      </c>
      <c r="B5960" s="2" t="s">
        <v>2335</v>
      </c>
      <c r="C5960" s="2" t="s">
        <v>11701</v>
      </c>
      <c r="D5960" s="2" t="s">
        <v>13</v>
      </c>
      <c r="E5960" s="2" t="s">
        <v>11702</v>
      </c>
      <c r="F5960" s="2">
        <v>5.0</v>
      </c>
      <c r="G5960" s="2">
        <v>350.0</v>
      </c>
      <c r="H5960" s="3" t="str">
        <f>HYPERLINK("http://www.linkedin.com/pub/bruno-storniolo/a/165/69b","http://www.linkedin.com/pub/bruno-storniolo/a/165/69b")</f>
        <v>http://www.linkedin.com/pub/bruno-storniolo/a/165/69b</v>
      </c>
      <c r="I5960" s="2" t="s">
        <v>48</v>
      </c>
      <c r="J5960" s="2" t="s">
        <v>337</v>
      </c>
      <c r="K5960" s="2" t="s">
        <v>10196</v>
      </c>
    </row>
    <row r="5961" ht="15.75" customHeight="1">
      <c r="A5961" s="2">
        <v>23578.0</v>
      </c>
      <c r="B5961" s="2" t="s">
        <v>1027</v>
      </c>
      <c r="C5961" s="2" t="s">
        <v>4365</v>
      </c>
      <c r="D5961" s="2"/>
      <c r="E5961" s="2" t="s">
        <v>762</v>
      </c>
      <c r="F5961" s="2">
        <v>4.0</v>
      </c>
      <c r="G5961" s="2">
        <v>330.0</v>
      </c>
      <c r="H5961" s="3" t="str">
        <f>HYPERLINK("http://www.linkedin.com/pub/george-stark/0/BB4/649","http://www.linkedin.com/pub/george-stark/0/BB4/649")</f>
        <v>http://www.linkedin.com/pub/george-stark/0/BB4/649</v>
      </c>
      <c r="I5961" s="2" t="s">
        <v>57</v>
      </c>
      <c r="J5961" s="2" t="s">
        <v>102</v>
      </c>
      <c r="K5961" s="2" t="s">
        <v>10206</v>
      </c>
    </row>
    <row r="5962" ht="15.75" customHeight="1">
      <c r="A5962" s="2">
        <v>23582.0</v>
      </c>
      <c r="B5962" s="2" t="s">
        <v>3190</v>
      </c>
      <c r="C5962" s="2" t="s">
        <v>11703</v>
      </c>
      <c r="D5962" s="2" t="s">
        <v>11704</v>
      </c>
      <c r="E5962" s="2" t="s">
        <v>251</v>
      </c>
      <c r="F5962" s="2">
        <v>10.0</v>
      </c>
      <c r="G5962" s="2">
        <v>500.0</v>
      </c>
      <c r="H5962" s="3" t="str">
        <f>HYPERLINK("http://www.linkedin.com/in/henryschneider","http://www.linkedin.com/in/henryschneider")</f>
        <v>http://www.linkedin.com/in/henryschneider</v>
      </c>
      <c r="I5962" s="2" t="s">
        <v>57</v>
      </c>
      <c r="J5962" s="2" t="s">
        <v>102</v>
      </c>
      <c r="K5962" s="2" t="s">
        <v>10994</v>
      </c>
    </row>
    <row r="5963" ht="15.75" customHeight="1">
      <c r="A5963" s="2">
        <v>23606.0</v>
      </c>
      <c r="B5963" s="2" t="s">
        <v>11705</v>
      </c>
      <c r="C5963" s="2" t="s">
        <v>11706</v>
      </c>
      <c r="D5963" s="2" t="s">
        <v>13</v>
      </c>
      <c r="E5963" s="2" t="s">
        <v>20</v>
      </c>
      <c r="F5963" s="2">
        <v>7.0</v>
      </c>
      <c r="G5963" s="2">
        <v>357.0</v>
      </c>
      <c r="H5963" s="3" t="str">
        <f>HYPERLINK("http://www.linkedin.com/pub/mariana-paula-salinas-somoza/6/4a6/760","http://www.linkedin.com/pub/mariana-paula-salinas-somoza/6/4a6/760")</f>
        <v>http://www.linkedin.com/pub/mariana-paula-salinas-somoza/6/4a6/760</v>
      </c>
      <c r="I5963" s="2" t="s">
        <v>15</v>
      </c>
      <c r="J5963" s="2" t="s">
        <v>21</v>
      </c>
      <c r="K5963" s="2" t="s">
        <v>10180</v>
      </c>
    </row>
    <row r="5964" ht="15.75" customHeight="1">
      <c r="A5964" s="2">
        <v>23620.0</v>
      </c>
      <c r="B5964" s="2" t="s">
        <v>178</v>
      </c>
      <c r="C5964" s="2" t="s">
        <v>11707</v>
      </c>
      <c r="D5964" s="2"/>
      <c r="E5964" s="2" t="s">
        <v>713</v>
      </c>
      <c r="F5964" s="2">
        <v>4.0</v>
      </c>
      <c r="G5964" s="2">
        <v>500.0</v>
      </c>
      <c r="H5964" s="3" t="str">
        <f>HYPERLINK("http://www.linkedin.com/pub/joe-musumano/0/7AB/4A7","http://www.linkedin.com/pub/joe-musumano/0/7AB/4A7")</f>
        <v>http://www.linkedin.com/pub/joe-musumano/0/7AB/4A7</v>
      </c>
      <c r="I5964" s="2" t="s">
        <v>48</v>
      </c>
      <c r="J5964" s="2" t="s">
        <v>102</v>
      </c>
      <c r="K5964" s="2" t="s">
        <v>10184</v>
      </c>
    </row>
    <row r="5965" ht="15.75" customHeight="1">
      <c r="A5965" s="2">
        <v>23639.0</v>
      </c>
      <c r="B5965" s="2" t="s">
        <v>11708</v>
      </c>
      <c r="C5965" s="2" t="s">
        <v>596</v>
      </c>
      <c r="D5965" s="2" t="s">
        <v>13</v>
      </c>
      <c r="E5965" s="2" t="s">
        <v>11709</v>
      </c>
      <c r="F5965" s="2">
        <v>0.0</v>
      </c>
      <c r="G5965" s="2">
        <v>379.0</v>
      </c>
      <c r="H5965" s="3" t="str">
        <f>HYPERLINK("http://www.linkedin.com/pub/ra%C3%BAl-g-moreira/a/a97/256","http://www.linkedin.com/pub/ra%C3%BAl-g-moreira/a/a97/256")</f>
        <v>http://www.linkedin.com/pub/ra%C3%BAl-g-moreira/a/a97/256</v>
      </c>
      <c r="I5965" s="2" t="s">
        <v>3187</v>
      </c>
      <c r="J5965" s="2" t="s">
        <v>102</v>
      </c>
      <c r="K5965" s="2" t="s">
        <v>10482</v>
      </c>
    </row>
    <row r="5966" ht="15.75" customHeight="1">
      <c r="A5966" s="2">
        <v>23690.0</v>
      </c>
      <c r="B5966" s="2" t="s">
        <v>839</v>
      </c>
      <c r="C5966" s="2" t="s">
        <v>10451</v>
      </c>
      <c r="D5966" s="2" t="s">
        <v>11710</v>
      </c>
      <c r="E5966" s="2" t="s">
        <v>2038</v>
      </c>
      <c r="F5966" s="2">
        <v>3.0</v>
      </c>
      <c r="G5966" s="2">
        <v>266.0</v>
      </c>
      <c r="H5966" s="3" t="str">
        <f>HYPERLINK("http://uk.linkedin.com/pub/dave-power/5/763/86","http://uk.linkedin.com/pub/dave-power/5/763/86")</f>
        <v>http://uk.linkedin.com/pub/dave-power/5/763/86</v>
      </c>
      <c r="I5966" s="2" t="s">
        <v>15</v>
      </c>
      <c r="J5966" s="2" t="s">
        <v>53</v>
      </c>
      <c r="K5966" s="2" t="s">
        <v>10180</v>
      </c>
    </row>
    <row r="5967" ht="15.75" customHeight="1">
      <c r="A5967" s="2">
        <v>23697.0</v>
      </c>
      <c r="B5967" s="2" t="s">
        <v>5582</v>
      </c>
      <c r="C5967" s="2" t="s">
        <v>11711</v>
      </c>
      <c r="D5967" s="2" t="s">
        <v>11712</v>
      </c>
      <c r="E5967" s="2" t="s">
        <v>20</v>
      </c>
      <c r="F5967" s="2">
        <v>3.0</v>
      </c>
      <c r="G5967" s="2">
        <v>345.0</v>
      </c>
      <c r="H5967" s="3" t="str">
        <f>HYPERLINK("http://www.linkedin.com/pub/sandra-pensado/15/570/51a","http://www.linkedin.com/pub/sandra-pensado/15/570/51a")</f>
        <v>http://www.linkedin.com/pub/sandra-pensado/15/570/51a</v>
      </c>
      <c r="I5967" s="2" t="s">
        <v>77</v>
      </c>
      <c r="J5967" s="2" t="s">
        <v>21</v>
      </c>
      <c r="K5967" s="2" t="s">
        <v>10940</v>
      </c>
    </row>
    <row r="5968" ht="15.75" customHeight="1">
      <c r="A5968" s="2">
        <v>23703.0</v>
      </c>
      <c r="B5968" s="2" t="s">
        <v>11713</v>
      </c>
      <c r="C5968" s="2" t="s">
        <v>11714</v>
      </c>
      <c r="D5968" s="2" t="s">
        <v>11715</v>
      </c>
      <c r="E5968" s="2" t="s">
        <v>20</v>
      </c>
      <c r="F5968" s="2">
        <v>7.0</v>
      </c>
      <c r="G5968" s="2">
        <v>500.0</v>
      </c>
      <c r="H5968" s="3" t="str">
        <f>HYPERLINK("http://ar.linkedin.com/in/mirava","http://ar.linkedin.com/in/mirava")</f>
        <v>http://ar.linkedin.com/in/mirava</v>
      </c>
      <c r="I5968" s="2" t="s">
        <v>15</v>
      </c>
      <c r="J5968" s="2" t="s">
        <v>21</v>
      </c>
      <c r="K5968" s="2" t="s">
        <v>10196</v>
      </c>
    </row>
    <row r="5969" ht="15.75" customHeight="1">
      <c r="A5969" s="2">
        <v>23719.0</v>
      </c>
      <c r="B5969" s="2" t="s">
        <v>5846</v>
      </c>
      <c r="C5969" s="2" t="s">
        <v>11716</v>
      </c>
      <c r="D5969" s="2" t="s">
        <v>9231</v>
      </c>
      <c r="E5969" s="2" t="s">
        <v>20</v>
      </c>
      <c r="F5969" s="2">
        <v>37.0</v>
      </c>
      <c r="G5969" s="2">
        <v>500.0</v>
      </c>
      <c r="H5969" s="3" t="str">
        <f>HYPERLINK("http://ar.linkedin.com/in/horaciorosales","http://ar.linkedin.com/in/horaciorosales")</f>
        <v>http://ar.linkedin.com/in/horaciorosales</v>
      </c>
      <c r="I5969" s="2" t="s">
        <v>15</v>
      </c>
      <c r="J5969" s="2" t="s">
        <v>21</v>
      </c>
      <c r="K5969" s="2" t="s">
        <v>10196</v>
      </c>
    </row>
    <row r="5970" ht="15.75" customHeight="1">
      <c r="A5970" s="2">
        <v>23737.0</v>
      </c>
      <c r="B5970" s="2" t="s">
        <v>1201</v>
      </c>
      <c r="C5970" s="2" t="s">
        <v>11717</v>
      </c>
      <c r="D5970" s="2" t="s">
        <v>13</v>
      </c>
      <c r="E5970" s="2" t="s">
        <v>20</v>
      </c>
      <c r="F5970" s="2">
        <v>3.0</v>
      </c>
      <c r="G5970" s="2">
        <v>500.0</v>
      </c>
      <c r="H5970" s="3" t="str">
        <f>HYPERLINK("http://www.linkedin.com/pub/marco-colaluce/14/25/b83","http://www.linkedin.com/pub/marco-colaluce/14/25/b83")</f>
        <v>http://www.linkedin.com/pub/marco-colaluce/14/25/b83</v>
      </c>
      <c r="I5970" s="2" t="s">
        <v>119</v>
      </c>
      <c r="J5970" s="2" t="s">
        <v>21</v>
      </c>
      <c r="K5970" s="2" t="s">
        <v>10196</v>
      </c>
    </row>
    <row r="5971" ht="15.75" customHeight="1">
      <c r="A5971" s="2">
        <v>23807.0</v>
      </c>
      <c r="B5971" s="2" t="s">
        <v>414</v>
      </c>
      <c r="C5971" s="2" t="s">
        <v>11718</v>
      </c>
      <c r="D5971" s="2"/>
      <c r="E5971" s="2" t="s">
        <v>1190</v>
      </c>
      <c r="F5971" s="2">
        <v>4.0</v>
      </c>
      <c r="G5971" s="2">
        <v>500.0</v>
      </c>
      <c r="H5971" s="3" t="str">
        <f>HYPERLINK("http://www.linkedin.com/in/tomashelou","http://www.linkedin.com/in/tomashelou")</f>
        <v>http://www.linkedin.com/in/tomashelou</v>
      </c>
      <c r="I5971" s="2" t="s">
        <v>48</v>
      </c>
      <c r="J5971" s="2" t="s">
        <v>102</v>
      </c>
      <c r="K5971" s="2" t="s">
        <v>10727</v>
      </c>
    </row>
    <row r="5972" ht="15.75" customHeight="1">
      <c r="A5972" s="2">
        <v>23808.0</v>
      </c>
      <c r="B5972" s="2" t="s">
        <v>3078</v>
      </c>
      <c r="C5972" s="2" t="s">
        <v>11719</v>
      </c>
      <c r="D5972" s="2" t="s">
        <v>11720</v>
      </c>
      <c r="E5972" s="2" t="s">
        <v>728</v>
      </c>
      <c r="F5972" s="2">
        <v>2.0</v>
      </c>
      <c r="G5972" s="2">
        <v>500.0</v>
      </c>
      <c r="H5972" s="3" t="str">
        <f>HYPERLINK("http://www.linkedin.com/pub/kent-dickson/5/1A6/8B7","http://www.linkedin.com/pub/kent-dickson/5/1A6/8B7")</f>
        <v>http://www.linkedin.com/pub/kent-dickson/5/1A6/8B7</v>
      </c>
      <c r="I5972" s="2" t="s">
        <v>115</v>
      </c>
      <c r="J5972" s="2" t="s">
        <v>102</v>
      </c>
      <c r="K5972" s="2" t="s">
        <v>10196</v>
      </c>
    </row>
    <row r="5973" ht="15.75" customHeight="1">
      <c r="A5973" s="2">
        <v>23878.0</v>
      </c>
      <c r="B5973" s="2" t="s">
        <v>3692</v>
      </c>
      <c r="C5973" s="2" t="s">
        <v>11721</v>
      </c>
      <c r="D5973" s="2" t="s">
        <v>13</v>
      </c>
      <c r="E5973" s="2" t="s">
        <v>20</v>
      </c>
      <c r="F5973" s="2">
        <v>0.0</v>
      </c>
      <c r="G5973" s="2">
        <v>500.0</v>
      </c>
      <c r="H5973" s="3" t="str">
        <f>HYPERLINK("http://www.linkedin.com/pub/federico-caldora/9/92/1a5","http://www.linkedin.com/pub/federico-caldora/9/92/1a5")</f>
        <v>http://www.linkedin.com/pub/federico-caldora/9/92/1a5</v>
      </c>
      <c r="I5973" s="2" t="s">
        <v>579</v>
      </c>
      <c r="J5973" s="2" t="s">
        <v>21</v>
      </c>
      <c r="K5973" s="2" t="s">
        <v>11722</v>
      </c>
    </row>
    <row r="5974" ht="15.75" customHeight="1">
      <c r="A5974" s="2">
        <v>23882.0</v>
      </c>
      <c r="B5974" s="2" t="s">
        <v>82</v>
      </c>
      <c r="C5974" s="2" t="s">
        <v>9918</v>
      </c>
      <c r="D5974" s="2" t="s">
        <v>11723</v>
      </c>
      <c r="E5974" s="2" t="s">
        <v>20</v>
      </c>
      <c r="F5974" s="2">
        <v>6.0</v>
      </c>
      <c r="G5974" s="2">
        <v>500.0</v>
      </c>
      <c r="H5974" s="3" t="str">
        <f>HYPERLINK("http://ar.linkedin.com/in/soniadelossantos","http://ar.linkedin.com/in/soniadelossantos")</f>
        <v>http://ar.linkedin.com/in/soniadelossantos</v>
      </c>
      <c r="I5974" s="2" t="s">
        <v>15</v>
      </c>
      <c r="J5974" s="2" t="s">
        <v>21</v>
      </c>
      <c r="K5974" s="2" t="s">
        <v>10182</v>
      </c>
    </row>
    <row r="5975" ht="15.75" customHeight="1">
      <c r="A5975" s="2">
        <v>24014.0</v>
      </c>
      <c r="B5975" s="2" t="s">
        <v>11724</v>
      </c>
      <c r="C5975" s="2" t="s">
        <v>11725</v>
      </c>
      <c r="D5975" s="2" t="s">
        <v>13</v>
      </c>
      <c r="E5975" s="2" t="s">
        <v>20</v>
      </c>
      <c r="F5975" s="2">
        <v>9.0</v>
      </c>
      <c r="G5975" s="2">
        <v>361.0</v>
      </c>
      <c r="H5975" s="3" t="str">
        <f>HYPERLINK("http://www.linkedin.com/pub/sabrina-ornella-moretti-pmp/8/7b/991","http://www.linkedin.com/pub/sabrina-ornella-moretti-pmp/8/7b/991")</f>
        <v>http://www.linkedin.com/pub/sabrina-ornella-moretti-pmp/8/7b/991</v>
      </c>
      <c r="I5975" s="2" t="s">
        <v>15</v>
      </c>
      <c r="J5975" s="2" t="s">
        <v>21</v>
      </c>
      <c r="K5975" s="2" t="s">
        <v>10196</v>
      </c>
    </row>
    <row r="5976" ht="15.75" customHeight="1">
      <c r="A5976" s="2">
        <v>24097.0</v>
      </c>
      <c r="B5976" s="2" t="s">
        <v>11726</v>
      </c>
      <c r="C5976" s="2" t="s">
        <v>11727</v>
      </c>
      <c r="D5976" s="2" t="s">
        <v>11728</v>
      </c>
      <c r="E5976" s="2" t="s">
        <v>20</v>
      </c>
      <c r="F5976" s="2">
        <v>6.0</v>
      </c>
      <c r="G5976" s="2">
        <v>212.0</v>
      </c>
      <c r="H5976" s="3" t="str">
        <f>HYPERLINK("http://ar.linkedin.com/pub/nahuel-pablo-poth/20/10A/46A","http://ar.linkedin.com/pub/nahuel-pablo-poth/20/10A/46A")</f>
        <v>http://ar.linkedin.com/pub/nahuel-pablo-poth/20/10A/46A</v>
      </c>
      <c r="I5976" s="2" t="s">
        <v>15</v>
      </c>
      <c r="J5976" s="2" t="s">
        <v>21</v>
      </c>
      <c r="K5976" s="2" t="s">
        <v>10196</v>
      </c>
    </row>
    <row r="5977" ht="15.75" customHeight="1">
      <c r="A5977" s="2">
        <v>24109.0</v>
      </c>
      <c r="B5977" s="2" t="s">
        <v>10497</v>
      </c>
      <c r="C5977" s="2" t="s">
        <v>11729</v>
      </c>
      <c r="D5977" s="2" t="s">
        <v>2345</v>
      </c>
      <c r="E5977" s="2" t="s">
        <v>1918</v>
      </c>
      <c r="F5977" s="2">
        <v>6.0</v>
      </c>
      <c r="G5977" s="2">
        <v>339.0</v>
      </c>
      <c r="H5977" s="3" t="str">
        <f>HYPERLINK("http://www.linkedin.com/in/alfonsohernandez","http://www.linkedin.com/in/alfonsohernandez")</f>
        <v>http://www.linkedin.com/in/alfonsohernandez</v>
      </c>
      <c r="I5977" s="2" t="s">
        <v>15</v>
      </c>
      <c r="J5977" s="2" t="s">
        <v>102</v>
      </c>
      <c r="K5977" s="2" t="s">
        <v>10286</v>
      </c>
    </row>
    <row r="5978" ht="15.75" customHeight="1">
      <c r="A5978" s="2">
        <v>24114.0</v>
      </c>
      <c r="B5978" s="2" t="s">
        <v>59</v>
      </c>
      <c r="C5978" s="2" t="s">
        <v>11730</v>
      </c>
      <c r="D5978" s="2" t="s">
        <v>11731</v>
      </c>
      <c r="E5978" s="2" t="s">
        <v>20</v>
      </c>
      <c r="F5978" s="2">
        <v>3.0</v>
      </c>
      <c r="G5978" s="2">
        <v>346.0</v>
      </c>
      <c r="H5978" s="3" t="str">
        <f>HYPERLINK("http://ar.linkedin.com/pub/martin-gabrielli/6/391/884","http://ar.linkedin.com/pub/martin-gabrielli/6/391/884")</f>
        <v>http://ar.linkedin.com/pub/martin-gabrielli/6/391/884</v>
      </c>
      <c r="I5978" s="2" t="s">
        <v>608</v>
      </c>
      <c r="J5978" s="2" t="s">
        <v>21</v>
      </c>
      <c r="K5978" s="2" t="s">
        <v>10187</v>
      </c>
    </row>
    <row r="5979" ht="15.75" customHeight="1">
      <c r="A5979" s="2">
        <v>24143.0</v>
      </c>
      <c r="B5979" s="2" t="s">
        <v>11732</v>
      </c>
      <c r="C5979" s="2" t="s">
        <v>11733</v>
      </c>
      <c r="D5979" s="2" t="s">
        <v>114</v>
      </c>
      <c r="E5979" s="2" t="s">
        <v>713</v>
      </c>
      <c r="F5979" s="2">
        <v>11.0</v>
      </c>
      <c r="G5979" s="2">
        <v>500.0</v>
      </c>
      <c r="H5979" s="3" t="str">
        <f>HYPERLINK("http://www.linkedin.com/pub/john-p-pironti-cgeit-cisa-cism-crisc-cissp/0/216/96A","http://www.linkedin.com/pub/john-p-pironti-cgeit-cisa-cism-crisc-cissp/0/216/96A")</f>
        <v>http://www.linkedin.com/pub/john-p-pironti-cgeit-cisa-cism-crisc-cissp/0/216/96A</v>
      </c>
      <c r="I5979" s="2" t="s">
        <v>15</v>
      </c>
      <c r="J5979" s="2" t="s">
        <v>102</v>
      </c>
      <c r="K5979" s="2" t="s">
        <v>10184</v>
      </c>
    </row>
    <row r="5980" ht="15.75" customHeight="1">
      <c r="A5980" s="2">
        <v>24144.0</v>
      </c>
      <c r="B5980" s="2" t="s">
        <v>993</v>
      </c>
      <c r="C5980" s="2" t="s">
        <v>11734</v>
      </c>
      <c r="D5980" s="2"/>
      <c r="E5980" s="2" t="s">
        <v>1407</v>
      </c>
      <c r="F5980" s="2">
        <v>12.0</v>
      </c>
      <c r="G5980" s="2">
        <v>221.0</v>
      </c>
      <c r="H5980" s="3" t="str">
        <f>HYPERLINK("http://www.linkedin.com/pub/jon-kendzie/0/B9/898","http://www.linkedin.com/pub/jon-kendzie/0/B9/898")</f>
        <v>http://www.linkedin.com/pub/jon-kendzie/0/B9/898</v>
      </c>
      <c r="I5980" s="2" t="s">
        <v>15</v>
      </c>
      <c r="J5980" s="2" t="s">
        <v>102</v>
      </c>
      <c r="K5980" s="2" t="s">
        <v>10184</v>
      </c>
    </row>
    <row r="5981" ht="15.75" customHeight="1">
      <c r="A5981" s="2">
        <v>24151.0</v>
      </c>
      <c r="B5981" s="2" t="s">
        <v>1366</v>
      </c>
      <c r="C5981" s="2" t="s">
        <v>2631</v>
      </c>
      <c r="D5981" s="2" t="s">
        <v>11735</v>
      </c>
      <c r="E5981" s="2" t="s">
        <v>713</v>
      </c>
      <c r="F5981" s="2">
        <v>5.0</v>
      </c>
      <c r="G5981" s="2">
        <v>273.0</v>
      </c>
      <c r="H5981" s="3" t="str">
        <f>HYPERLINK("http://www.linkedin.com/in/masonpeter","http://www.linkedin.com/in/masonpeter")</f>
        <v>http://www.linkedin.com/in/masonpeter</v>
      </c>
      <c r="I5981" s="2" t="s">
        <v>15</v>
      </c>
      <c r="J5981" s="2" t="s">
        <v>102</v>
      </c>
      <c r="K5981" s="2" t="s">
        <v>10263</v>
      </c>
    </row>
    <row r="5982" ht="15.75" customHeight="1">
      <c r="A5982" s="2">
        <v>24231.0</v>
      </c>
      <c r="B5982" s="2" t="s">
        <v>11736</v>
      </c>
      <c r="C5982" s="2" t="s">
        <v>3547</v>
      </c>
      <c r="D5982" s="2" t="s">
        <v>11737</v>
      </c>
      <c r="E5982" s="2" t="s">
        <v>882</v>
      </c>
      <c r="F5982" s="2">
        <v>4.0</v>
      </c>
      <c r="G5982" s="2">
        <v>500.0</v>
      </c>
      <c r="H5982" s="3" t="str">
        <f>HYPERLINK("http://www.linkedin.com/in/patsloanab123","http://www.linkedin.com/in/patsloanab123")</f>
        <v>http://www.linkedin.com/in/patsloanab123</v>
      </c>
      <c r="I5982" s="2" t="s">
        <v>844</v>
      </c>
      <c r="J5982" s="2" t="s">
        <v>102</v>
      </c>
      <c r="K5982" s="2" t="s">
        <v>10182</v>
      </c>
    </row>
    <row r="5983" ht="15.75" customHeight="1">
      <c r="A5983" s="2">
        <v>24232.0</v>
      </c>
      <c r="B5983" s="2" t="s">
        <v>3443</v>
      </c>
      <c r="C5983" s="2" t="s">
        <v>2335</v>
      </c>
      <c r="D5983" s="2" t="s">
        <v>11738</v>
      </c>
      <c r="E5983" s="2" t="s">
        <v>301</v>
      </c>
      <c r="F5983" s="2">
        <v>10.0</v>
      </c>
      <c r="G5983" s="2">
        <v>500.0</v>
      </c>
      <c r="H5983" s="3" t="str">
        <f>HYPERLINK("http://www.linkedin.com/in/dianebruno1313","http://www.linkedin.com/in/dianebruno1313")</f>
        <v>http://www.linkedin.com/in/dianebruno1313</v>
      </c>
      <c r="I5983" s="2" t="s">
        <v>844</v>
      </c>
      <c r="J5983" s="2" t="s">
        <v>102</v>
      </c>
      <c r="K5983" s="2" t="s">
        <v>10209</v>
      </c>
    </row>
    <row r="5984" ht="15.75" customHeight="1">
      <c r="A5984" s="2">
        <v>24244.0</v>
      </c>
      <c r="B5984" s="2" t="s">
        <v>11739</v>
      </c>
      <c r="C5984" s="2" t="s">
        <v>11740</v>
      </c>
      <c r="D5984" s="2" t="s">
        <v>11741</v>
      </c>
      <c r="E5984" s="2" t="s">
        <v>1190</v>
      </c>
      <c r="F5984" s="2">
        <v>6.0</v>
      </c>
      <c r="G5984" s="2">
        <v>500.0</v>
      </c>
      <c r="H5984" s="3" t="str">
        <f>HYPERLINK("http://www.linkedin.com/pub/jurgen-wassmann/5/506/410","http://www.linkedin.com/pub/jurgen-wassmann/5/506/410")</f>
        <v>http://www.linkedin.com/pub/jurgen-wassmann/5/506/410</v>
      </c>
      <c r="I5984" s="2" t="s">
        <v>279</v>
      </c>
      <c r="J5984" s="2" t="s">
        <v>102</v>
      </c>
      <c r="K5984" s="2" t="s">
        <v>10187</v>
      </c>
    </row>
    <row r="5985" ht="15.75" customHeight="1">
      <c r="A5985" s="2">
        <v>24259.0</v>
      </c>
      <c r="B5985" s="2" t="s">
        <v>45</v>
      </c>
      <c r="C5985" s="2" t="s">
        <v>11742</v>
      </c>
      <c r="D5985" s="2"/>
      <c r="E5985" s="2" t="s">
        <v>1190</v>
      </c>
      <c r="F5985" s="2">
        <v>1.0</v>
      </c>
      <c r="G5985" s="2">
        <v>394.0</v>
      </c>
      <c r="H5985" s="3" t="str">
        <f>HYPERLINK("http://www.linkedin.com/pub/carlos-pittier/0/2A7/998","http://www.linkedin.com/pub/carlos-pittier/0/2A7/998")</f>
        <v>http://www.linkedin.com/pub/carlos-pittier/0/2A7/998</v>
      </c>
      <c r="I5985" s="2" t="s">
        <v>279</v>
      </c>
      <c r="J5985" s="2" t="s">
        <v>102</v>
      </c>
      <c r="K5985" s="2" t="s">
        <v>10187</v>
      </c>
    </row>
    <row r="5986" ht="15.75" customHeight="1">
      <c r="A5986" s="2">
        <v>24285.0</v>
      </c>
      <c r="B5986" s="2" t="s">
        <v>5874</v>
      </c>
      <c r="C5986" s="2" t="s">
        <v>11743</v>
      </c>
      <c r="D5986" s="2" t="s">
        <v>11744</v>
      </c>
      <c r="E5986" s="2" t="s">
        <v>5294</v>
      </c>
      <c r="F5986" s="2">
        <v>15.0</v>
      </c>
      <c r="G5986" s="2">
        <v>500.0</v>
      </c>
      <c r="H5986" s="3" t="str">
        <f>HYPERLINK("http://www.linkedin.com/in/juanlebrija","http://www.linkedin.com/in/juanlebrija")</f>
        <v>http://www.linkedin.com/in/juanlebrija</v>
      </c>
      <c r="I5986" s="2" t="s">
        <v>3857</v>
      </c>
      <c r="J5986" s="2" t="s">
        <v>102</v>
      </c>
      <c r="K5986" s="2" t="s">
        <v>10206</v>
      </c>
    </row>
    <row r="5987" ht="15.75" customHeight="1">
      <c r="A5987" s="2">
        <v>24418.0</v>
      </c>
      <c r="B5987" s="2" t="s">
        <v>2943</v>
      </c>
      <c r="C5987" s="2" t="s">
        <v>672</v>
      </c>
      <c r="D5987" s="2" t="s">
        <v>11745</v>
      </c>
      <c r="E5987" s="2" t="s">
        <v>914</v>
      </c>
      <c r="F5987" s="2">
        <v>3.0</v>
      </c>
      <c r="G5987" s="2">
        <v>260.0</v>
      </c>
      <c r="H5987" s="3" t="str">
        <f>HYPERLINK("http://www.linkedin.com/in/babivelho","http://www.linkedin.com/in/babivelho")</f>
        <v>http://www.linkedin.com/in/babivelho</v>
      </c>
      <c r="I5987" s="2" t="s">
        <v>143</v>
      </c>
      <c r="J5987" s="2" t="s">
        <v>102</v>
      </c>
      <c r="K5987" s="2" t="s">
        <v>10184</v>
      </c>
    </row>
    <row r="5988" ht="15.75" customHeight="1">
      <c r="A5988" s="2">
        <v>24428.0</v>
      </c>
      <c r="B5988" s="2" t="s">
        <v>6930</v>
      </c>
      <c r="C5988" s="2" t="s">
        <v>11746</v>
      </c>
      <c r="D5988" s="2" t="s">
        <v>11747</v>
      </c>
      <c r="E5988" s="2" t="s">
        <v>20</v>
      </c>
      <c r="F5988" s="2">
        <v>1.0</v>
      </c>
      <c r="G5988" s="2">
        <v>500.0</v>
      </c>
      <c r="H5988" s="3" t="str">
        <f>HYPERLINK("http://ar.linkedin.com/in/dariowainer","http://ar.linkedin.com/in/dariowainer")</f>
        <v>http://ar.linkedin.com/in/dariowainer</v>
      </c>
      <c r="I5988" s="2" t="s">
        <v>96</v>
      </c>
      <c r="J5988" s="2" t="s">
        <v>21</v>
      </c>
      <c r="K5988" s="2" t="s">
        <v>10229</v>
      </c>
    </row>
    <row r="5989" ht="15.75" customHeight="1">
      <c r="A5989" s="2">
        <v>24501.0</v>
      </c>
      <c r="B5989" s="2" t="s">
        <v>11748</v>
      </c>
      <c r="C5989" s="2" t="s">
        <v>644</v>
      </c>
      <c r="D5989" s="2"/>
      <c r="E5989" s="2" t="s">
        <v>882</v>
      </c>
      <c r="F5989" s="2">
        <v>8.0</v>
      </c>
      <c r="G5989" s="2">
        <v>310.0</v>
      </c>
      <c r="H5989" s="3" t="str">
        <f>HYPERLINK("http://www.linkedin.com/pub/ila-byrne/0/283/228","http://www.linkedin.com/pub/ila-byrne/0/283/228")</f>
        <v>http://www.linkedin.com/pub/ila-byrne/0/283/228</v>
      </c>
      <c r="I5989" s="2" t="s">
        <v>470</v>
      </c>
      <c r="J5989" s="2" t="s">
        <v>102</v>
      </c>
      <c r="K5989" s="2" t="s">
        <v>10206</v>
      </c>
    </row>
    <row r="5990" ht="15.75" customHeight="1">
      <c r="A5990" s="2">
        <v>24518.0</v>
      </c>
      <c r="B5990" s="2" t="s">
        <v>703</v>
      </c>
      <c r="C5990" s="2" t="s">
        <v>11749</v>
      </c>
      <c r="D5990" s="2" t="s">
        <v>11750</v>
      </c>
      <c r="E5990" s="2" t="s">
        <v>882</v>
      </c>
      <c r="F5990" s="2">
        <v>6.0</v>
      </c>
      <c r="G5990" s="2">
        <v>435.0</v>
      </c>
      <c r="H5990" s="3" t="str">
        <f>HYPERLINK("http://www.linkedin.com/in/rpallares","http://www.linkedin.com/in/rpallares")</f>
        <v>http://www.linkedin.com/in/rpallares</v>
      </c>
      <c r="I5990" s="2" t="s">
        <v>105</v>
      </c>
      <c r="J5990" s="2" t="s">
        <v>102</v>
      </c>
      <c r="K5990" s="2" t="s">
        <v>10206</v>
      </c>
    </row>
    <row r="5991" ht="15.75" customHeight="1">
      <c r="A5991" s="2">
        <v>24648.0</v>
      </c>
      <c r="B5991" s="2" t="s">
        <v>11751</v>
      </c>
      <c r="C5991" s="2" t="s">
        <v>11752</v>
      </c>
      <c r="D5991" s="2"/>
      <c r="E5991" s="2" t="s">
        <v>1190</v>
      </c>
      <c r="F5991" s="2">
        <v>1.0</v>
      </c>
      <c r="G5991" s="2">
        <v>78.0</v>
      </c>
      <c r="H5991" s="3" t="str">
        <f>HYPERLINK("http://www.linkedin.com/pub/soraia-berger/0/133/781","http://www.linkedin.com/pub/soraia-berger/0/133/781")</f>
        <v>http://www.linkedin.com/pub/soraia-berger/0/133/781</v>
      </c>
      <c r="I5991" s="2" t="s">
        <v>77</v>
      </c>
      <c r="J5991" s="2" t="s">
        <v>102</v>
      </c>
      <c r="K5991" s="2" t="s">
        <v>10229</v>
      </c>
    </row>
    <row r="5992" ht="15.75" customHeight="1">
      <c r="A5992" s="2">
        <v>24649.0</v>
      </c>
      <c r="B5992" s="2" t="s">
        <v>11753</v>
      </c>
      <c r="C5992" s="2" t="s">
        <v>11754</v>
      </c>
      <c r="D5992" s="2" t="s">
        <v>11755</v>
      </c>
      <c r="E5992" s="2" t="s">
        <v>136</v>
      </c>
      <c r="F5992" s="2">
        <v>0.0</v>
      </c>
      <c r="G5992" s="2">
        <v>335.0</v>
      </c>
      <c r="H5992" s="3" t="str">
        <f>HYPERLINK("http://www.linkedin.com/pub/max-miyazono/0/234/114","http://www.linkedin.com/pub/max-miyazono/0/234/114")</f>
        <v>http://www.linkedin.com/pub/max-miyazono/0/234/114</v>
      </c>
      <c r="I5992" s="2" t="s">
        <v>48</v>
      </c>
      <c r="J5992" s="2" t="s">
        <v>102</v>
      </c>
      <c r="K5992" s="2" t="s">
        <v>10233</v>
      </c>
    </row>
    <row r="5993" ht="15.75" customHeight="1">
      <c r="A5993" s="2">
        <v>24655.0</v>
      </c>
      <c r="B5993" s="2" t="s">
        <v>11756</v>
      </c>
      <c r="C5993" s="2" t="s">
        <v>11757</v>
      </c>
      <c r="D5993" s="2" t="s">
        <v>11758</v>
      </c>
      <c r="E5993" s="2" t="s">
        <v>728</v>
      </c>
      <c r="F5993" s="2">
        <v>8.0</v>
      </c>
      <c r="G5993" s="2">
        <v>468.0</v>
      </c>
      <c r="H5993" s="3" t="str">
        <f>HYPERLINK("http://www.linkedin.com/pub/rom-linhares/1/751/7A0","http://www.linkedin.com/pub/rom-linhares/1/751/7A0")</f>
        <v>http://www.linkedin.com/pub/rom-linhares/1/751/7A0</v>
      </c>
      <c r="I5993" s="2" t="s">
        <v>15</v>
      </c>
      <c r="J5993" s="2" t="s">
        <v>102</v>
      </c>
      <c r="K5993" s="2" t="s">
        <v>10184</v>
      </c>
    </row>
    <row r="5994" ht="15.75" customHeight="1">
      <c r="A5994" s="2">
        <v>24827.0</v>
      </c>
      <c r="B5994" s="2" t="s">
        <v>238</v>
      </c>
      <c r="C5994" s="2" t="s">
        <v>7014</v>
      </c>
      <c r="D5994" s="2" t="s">
        <v>11759</v>
      </c>
      <c r="E5994" s="2" t="s">
        <v>1190</v>
      </c>
      <c r="F5994" s="2">
        <v>1.0</v>
      </c>
      <c r="G5994" s="2">
        <v>419.0</v>
      </c>
      <c r="H5994" s="3" t="str">
        <f>HYPERLINK("http://www.linkedin.com/pub/juan-lozano/5/675/551","http://www.linkedin.com/pub/juan-lozano/5/675/551")</f>
        <v>http://www.linkedin.com/pub/juan-lozano/5/675/551</v>
      </c>
      <c r="I5994" s="2" t="s">
        <v>279</v>
      </c>
      <c r="J5994" s="2" t="s">
        <v>102</v>
      </c>
      <c r="K5994" s="2" t="s">
        <v>10187</v>
      </c>
    </row>
    <row r="5995" ht="15.75" customHeight="1">
      <c r="A5995" s="2">
        <v>24828.0</v>
      </c>
      <c r="B5995" s="2" t="s">
        <v>11760</v>
      </c>
      <c r="C5995" s="2" t="s">
        <v>11761</v>
      </c>
      <c r="D5995" s="2" t="s">
        <v>11762</v>
      </c>
      <c r="E5995" s="2" t="s">
        <v>255</v>
      </c>
      <c r="F5995" s="2">
        <v>14.0</v>
      </c>
      <c r="G5995" s="2">
        <v>500.0</v>
      </c>
      <c r="H5995" s="3" t="str">
        <f>HYPERLINK("http://www.linkedin.com/in/drisstemsamani","http://www.linkedin.com/in/drisstemsamani")</f>
        <v>http://www.linkedin.com/in/drisstemsamani</v>
      </c>
      <c r="I5995" s="2" t="s">
        <v>279</v>
      </c>
      <c r="J5995" s="2" t="s">
        <v>102</v>
      </c>
      <c r="K5995" s="2" t="s">
        <v>10206</v>
      </c>
    </row>
    <row r="5996" ht="15.75" customHeight="1">
      <c r="A5996" s="2">
        <v>24831.0</v>
      </c>
      <c r="B5996" s="2" t="s">
        <v>543</v>
      </c>
      <c r="C5996" s="2" t="s">
        <v>11763</v>
      </c>
      <c r="D5996" s="2" t="s">
        <v>11764</v>
      </c>
      <c r="E5996" s="2" t="s">
        <v>1190</v>
      </c>
      <c r="F5996" s="2">
        <v>6.0</v>
      </c>
      <c r="G5996" s="2">
        <v>211.0</v>
      </c>
      <c r="H5996" s="3" t="str">
        <f>HYPERLINK("http://www.linkedin.com/pub/cesar-rebollar-mba/A/602/289","http://www.linkedin.com/pub/cesar-rebollar-mba/A/602/289")</f>
        <v>http://www.linkedin.com/pub/cesar-rebollar-mba/A/602/289</v>
      </c>
      <c r="I5996" s="2" t="s">
        <v>279</v>
      </c>
      <c r="J5996" s="2" t="s">
        <v>102</v>
      </c>
      <c r="K5996" s="2" t="s">
        <v>10229</v>
      </c>
    </row>
    <row r="5997" ht="15.75" customHeight="1">
      <c r="A5997" s="2">
        <v>24835.0</v>
      </c>
      <c r="B5997" s="2" t="s">
        <v>10728</v>
      </c>
      <c r="C5997" s="2" t="s">
        <v>6122</v>
      </c>
      <c r="D5997" s="2" t="s">
        <v>11765</v>
      </c>
      <c r="E5997" s="2" t="s">
        <v>255</v>
      </c>
      <c r="F5997" s="2">
        <v>3.0</v>
      </c>
      <c r="G5997" s="2">
        <v>160.0</v>
      </c>
      <c r="H5997" s="3" t="str">
        <f>HYPERLINK("http://www.linkedin.com/pub/jenny-ramirez/28/98B/987","http://www.linkedin.com/pub/jenny-ramirez/28/98B/987")</f>
        <v>http://www.linkedin.com/pub/jenny-ramirez/28/98B/987</v>
      </c>
      <c r="I5997" s="2" t="s">
        <v>77</v>
      </c>
      <c r="J5997" s="2" t="s">
        <v>102</v>
      </c>
      <c r="K5997" s="2" t="s">
        <v>10209</v>
      </c>
    </row>
    <row r="5998" ht="15.75" customHeight="1">
      <c r="A5998" s="2">
        <v>24983.0</v>
      </c>
      <c r="B5998" s="2" t="s">
        <v>11766</v>
      </c>
      <c r="C5998" s="2" t="s">
        <v>2480</v>
      </c>
      <c r="D5998" s="2"/>
      <c r="E5998" s="2" t="s">
        <v>914</v>
      </c>
      <c r="F5998" s="2">
        <v>5.0</v>
      </c>
      <c r="G5998" s="2">
        <v>500.0</v>
      </c>
      <c r="H5998" s="3" t="str">
        <f>HYPERLINK("http://www.linkedin.com/pub/howard-gefen/0/70/5A6","http://www.linkedin.com/pub/howard-gefen/0/70/5A6")</f>
        <v>http://www.linkedin.com/pub/howard-gefen/0/70/5A6</v>
      </c>
      <c r="I5998" s="2" t="s">
        <v>1496</v>
      </c>
      <c r="J5998" s="2" t="s">
        <v>102</v>
      </c>
      <c r="K5998" s="2" t="s">
        <v>10187</v>
      </c>
    </row>
    <row r="5999" ht="15.75" customHeight="1">
      <c r="A5999" s="2">
        <v>24984.0</v>
      </c>
      <c r="B5999" s="2" t="s">
        <v>625</v>
      </c>
      <c r="C5999" s="2" t="s">
        <v>11767</v>
      </c>
      <c r="D5999" s="2" t="s">
        <v>11768</v>
      </c>
      <c r="E5999" s="2" t="s">
        <v>136</v>
      </c>
      <c r="F5999" s="2">
        <v>17.0</v>
      </c>
      <c r="G5999" s="2">
        <v>500.0</v>
      </c>
      <c r="H5999" s="3" t="str">
        <f>HYPERLINK("http://www.linkedin.com/pub/tim-choi/0/148/286","http://www.linkedin.com/pub/tim-choi/0/148/286")</f>
        <v>http://www.linkedin.com/pub/tim-choi/0/148/286</v>
      </c>
      <c r="I5999" s="2" t="s">
        <v>48</v>
      </c>
      <c r="J5999" s="2" t="s">
        <v>102</v>
      </c>
      <c r="K5999" s="2" t="s">
        <v>10245</v>
      </c>
    </row>
    <row r="6000" ht="15.75" customHeight="1">
      <c r="A6000" s="2">
        <v>24985.0</v>
      </c>
      <c r="B6000" s="2" t="s">
        <v>677</v>
      </c>
      <c r="C6000" s="2" t="s">
        <v>11769</v>
      </c>
      <c r="D6000" s="2" t="s">
        <v>11770</v>
      </c>
      <c r="E6000" s="2" t="s">
        <v>136</v>
      </c>
      <c r="F6000" s="2">
        <v>9.0</v>
      </c>
      <c r="G6000" s="2">
        <v>500.0</v>
      </c>
      <c r="H6000" s="3" t="str">
        <f>HYPERLINK("http://www.linkedin.com/in/dchang68","http://www.linkedin.com/in/dchang68")</f>
        <v>http://www.linkedin.com/in/dchang68</v>
      </c>
      <c r="I6000" s="2" t="s">
        <v>69</v>
      </c>
      <c r="J6000" s="2" t="s">
        <v>102</v>
      </c>
      <c r="K6000" s="2" t="s">
        <v>10245</v>
      </c>
    </row>
    <row r="6001" ht="15.75" customHeight="1">
      <c r="A6001" s="2">
        <v>24987.0</v>
      </c>
      <c r="B6001" s="2" t="s">
        <v>558</v>
      </c>
      <c r="C6001" s="2" t="s">
        <v>11771</v>
      </c>
      <c r="D6001" s="2"/>
      <c r="E6001" s="2" t="s">
        <v>301</v>
      </c>
      <c r="F6001" s="2">
        <v>7.0</v>
      </c>
      <c r="G6001" s="2">
        <v>500.0</v>
      </c>
      <c r="H6001" s="3" t="str">
        <f>HYPERLINK("http://www.linkedin.com/pub/ted-bissell/0/4B/852","http://www.linkedin.com/pub/ted-bissell/0/4B/852")</f>
        <v>http://www.linkedin.com/pub/ted-bissell/0/4B/852</v>
      </c>
      <c r="I6001" s="2" t="s">
        <v>77</v>
      </c>
      <c r="J6001" s="2" t="s">
        <v>102</v>
      </c>
      <c r="K6001" s="2" t="s">
        <v>10209</v>
      </c>
    </row>
    <row r="6002" ht="15.75" customHeight="1">
      <c r="A6002" s="2">
        <v>24991.0</v>
      </c>
      <c r="B6002" s="2" t="s">
        <v>11772</v>
      </c>
      <c r="C6002" s="2" t="s">
        <v>1087</v>
      </c>
      <c r="D6002" s="2" t="s">
        <v>13</v>
      </c>
      <c r="E6002" s="2" t="s">
        <v>181</v>
      </c>
      <c r="F6002" s="2">
        <v>0.0</v>
      </c>
      <c r="G6002" s="2">
        <v>500.0</v>
      </c>
      <c r="H6002" s="3" t="str">
        <f>HYPERLINK("https://www.linkedin.com/in/saritajames","https://www.linkedin.com/in/saritajames")</f>
        <v>https://www.linkedin.com/in/saritajames</v>
      </c>
      <c r="I6002" s="2" t="s">
        <v>48</v>
      </c>
      <c r="J6002" s="2" t="s">
        <v>102</v>
      </c>
      <c r="K6002" s="2" t="s">
        <v>10176</v>
      </c>
    </row>
    <row r="6003" ht="15.75" customHeight="1">
      <c r="A6003" s="2">
        <v>24994.0</v>
      </c>
      <c r="B6003" s="2" t="s">
        <v>11773</v>
      </c>
      <c r="C6003" s="2" t="s">
        <v>3448</v>
      </c>
      <c r="D6003" s="2" t="s">
        <v>13</v>
      </c>
      <c r="E6003" s="2" t="s">
        <v>891</v>
      </c>
      <c r="F6003" s="2">
        <v>0.0</v>
      </c>
      <c r="G6003" s="2">
        <v>500.0</v>
      </c>
      <c r="H6003" s="3" t="str">
        <f>HYPERLINK("http://www.linkedin.com/pub/deborah-c-hopkins/8/a74/389","http://www.linkedin.com/pub/deborah-c-hopkins/8/a74/389")</f>
        <v>http://www.linkedin.com/pub/deborah-c-hopkins/8/a74/389</v>
      </c>
      <c r="I6003" s="2" t="s">
        <v>279</v>
      </c>
      <c r="J6003" s="2" t="s">
        <v>102</v>
      </c>
      <c r="K6003" s="2" t="s">
        <v>10233</v>
      </c>
    </row>
    <row r="6004" ht="15.75" customHeight="1">
      <c r="A6004" s="2">
        <v>25053.0</v>
      </c>
      <c r="B6004" s="2" t="s">
        <v>358</v>
      </c>
      <c r="C6004" s="2" t="s">
        <v>11774</v>
      </c>
      <c r="D6004" s="2" t="s">
        <v>11775</v>
      </c>
      <c r="E6004" s="2" t="s">
        <v>39</v>
      </c>
      <c r="F6004" s="2">
        <v>5.0</v>
      </c>
      <c r="G6004" s="2">
        <v>357.0</v>
      </c>
      <c r="H6004" s="3" t="str">
        <f>HYPERLINK("http://br.linkedin.com/in/msales","http://br.linkedin.com/in/msales")</f>
        <v>http://br.linkedin.com/in/msales</v>
      </c>
      <c r="I6004" s="2" t="s">
        <v>15</v>
      </c>
      <c r="J6004" s="2" t="s">
        <v>34</v>
      </c>
      <c r="K6004" s="2" t="s">
        <v>10799</v>
      </c>
    </row>
    <row r="6005" ht="15.75" customHeight="1">
      <c r="A6005" s="2">
        <v>25106.0</v>
      </c>
      <c r="B6005" s="2" t="s">
        <v>358</v>
      </c>
      <c r="C6005" s="2" t="s">
        <v>11776</v>
      </c>
      <c r="D6005" s="2" t="s">
        <v>11777</v>
      </c>
      <c r="E6005" s="2" t="s">
        <v>20</v>
      </c>
      <c r="F6005" s="2" t="s">
        <v>13</v>
      </c>
      <c r="G6005" s="2">
        <v>500.0</v>
      </c>
      <c r="H6005" s="3" t="str">
        <f>HYPERLINK("http://ar.linkedin.com/in/marcelosal","http://ar.linkedin.com/in/marcelosal")</f>
        <v>http://ar.linkedin.com/in/marcelosal</v>
      </c>
      <c r="I6005" s="2" t="s">
        <v>374</v>
      </c>
      <c r="J6005" s="2" t="s">
        <v>21</v>
      </c>
      <c r="K6005" s="2" t="s">
        <v>10206</v>
      </c>
    </row>
    <row r="6006" ht="15.75" customHeight="1">
      <c r="A6006" s="2">
        <v>25118.0</v>
      </c>
      <c r="B6006" s="2" t="s">
        <v>2109</v>
      </c>
      <c r="C6006" s="2" t="s">
        <v>11778</v>
      </c>
      <c r="D6006" s="2" t="s">
        <v>11779</v>
      </c>
      <c r="E6006" s="2" t="s">
        <v>136</v>
      </c>
      <c r="F6006" s="2">
        <v>5.0</v>
      </c>
      <c r="G6006" s="2">
        <v>335.0</v>
      </c>
      <c r="H6006" s="3" t="str">
        <f>HYPERLINK("http://www.linkedin.com/in/robdobbins","http://www.linkedin.com/in/robdobbins")</f>
        <v>http://www.linkedin.com/in/robdobbins</v>
      </c>
      <c r="I6006" s="2" t="s">
        <v>15</v>
      </c>
      <c r="J6006" s="2" t="s">
        <v>102</v>
      </c>
      <c r="K6006" s="2" t="s">
        <v>10286</v>
      </c>
    </row>
    <row r="6007" ht="15.75" customHeight="1">
      <c r="A6007" s="2">
        <v>25132.0</v>
      </c>
      <c r="B6007" s="2" t="s">
        <v>11780</v>
      </c>
      <c r="C6007" s="2" t="s">
        <v>5804</v>
      </c>
      <c r="D6007" s="2" t="s">
        <v>11781</v>
      </c>
      <c r="E6007" s="2" t="s">
        <v>11782</v>
      </c>
      <c r="F6007" s="2">
        <v>7.0</v>
      </c>
      <c r="G6007" s="2">
        <v>500.0</v>
      </c>
      <c r="H6007" s="3" t="str">
        <f>HYPERLINK("http://www.linkedin.com/in/pmpdanielsosa","http://www.linkedin.com/in/pmpdanielsosa")</f>
        <v>http://www.linkedin.com/in/pmpdanielsosa</v>
      </c>
      <c r="I6007" s="2" t="s">
        <v>15</v>
      </c>
      <c r="J6007" s="2" t="s">
        <v>21</v>
      </c>
      <c r="K6007" s="2" t="s">
        <v>10196</v>
      </c>
    </row>
    <row r="6008" ht="15.75" customHeight="1">
      <c r="A6008" s="2">
        <v>25196.0</v>
      </c>
      <c r="B6008" s="2" t="s">
        <v>6083</v>
      </c>
      <c r="C6008" s="2" t="s">
        <v>5832</v>
      </c>
      <c r="D6008" s="2"/>
      <c r="E6008" s="2" t="s">
        <v>181</v>
      </c>
      <c r="F6008" s="2">
        <v>6.0</v>
      </c>
      <c r="G6008" s="2">
        <v>500.0</v>
      </c>
      <c r="H6008" s="3" t="str">
        <f>HYPERLINK("http://www.linkedin.com/in/mppellegrini","http://www.linkedin.com/in/mppellegrini")</f>
        <v>http://www.linkedin.com/in/mppellegrini</v>
      </c>
      <c r="I6008" s="2" t="s">
        <v>15</v>
      </c>
      <c r="J6008" s="2" t="s">
        <v>102</v>
      </c>
      <c r="K6008" s="2" t="s">
        <v>10184</v>
      </c>
    </row>
    <row r="6009" ht="15.75" customHeight="1">
      <c r="A6009" s="2">
        <v>25264.0</v>
      </c>
      <c r="B6009" s="2" t="s">
        <v>7461</v>
      </c>
      <c r="C6009" s="2" t="s">
        <v>11783</v>
      </c>
      <c r="D6009" s="2" t="s">
        <v>13</v>
      </c>
      <c r="E6009" s="2" t="s">
        <v>20</v>
      </c>
      <c r="F6009" s="2">
        <v>1.0</v>
      </c>
      <c r="G6009" s="2">
        <v>500.0</v>
      </c>
      <c r="H6009" s="3" t="str">
        <f>HYPERLINK("http://www.linkedin.com/pub/juan-cruz-baudino/25/287/689","http://www.linkedin.com/pub/juan-cruz-baudino/25/287/689")</f>
        <v>http://www.linkedin.com/pub/juan-cruz-baudino/25/287/689</v>
      </c>
      <c r="I6009" s="2" t="s">
        <v>2000</v>
      </c>
      <c r="J6009" s="2" t="s">
        <v>21</v>
      </c>
      <c r="K6009" s="2" t="s">
        <v>10178</v>
      </c>
    </row>
    <row r="6010" ht="15.75" customHeight="1">
      <c r="A6010" s="2">
        <v>25302.0</v>
      </c>
      <c r="B6010" s="2" t="s">
        <v>2153</v>
      </c>
      <c r="C6010" s="2" t="s">
        <v>11784</v>
      </c>
      <c r="D6010" s="2" t="s">
        <v>13</v>
      </c>
      <c r="E6010" s="2" t="s">
        <v>1190</v>
      </c>
      <c r="F6010" s="2">
        <v>0.0</v>
      </c>
      <c r="G6010" s="2">
        <v>500.0</v>
      </c>
      <c r="H6010" s="3" t="str">
        <f>HYPERLINK("https://www.linkedin.com/in/kyriakides","https://www.linkedin.com/in/kyriakides")</f>
        <v>https://www.linkedin.com/in/kyriakides</v>
      </c>
      <c r="I6010" s="2" t="s">
        <v>77</v>
      </c>
      <c r="J6010" s="2" t="s">
        <v>102</v>
      </c>
      <c r="K6010" s="2" t="s">
        <v>10572</v>
      </c>
    </row>
    <row r="6011" ht="15.75" customHeight="1">
      <c r="A6011" s="2">
        <v>25303.0</v>
      </c>
      <c r="B6011" s="2" t="s">
        <v>2350</v>
      </c>
      <c r="C6011" s="2" t="s">
        <v>11785</v>
      </c>
      <c r="D6011" s="2" t="s">
        <v>13</v>
      </c>
      <c r="E6011" s="2" t="s">
        <v>11786</v>
      </c>
      <c r="F6011" s="2">
        <v>13.0</v>
      </c>
      <c r="G6011" s="2">
        <v>500.0</v>
      </c>
      <c r="H6011" s="3" t="str">
        <f>HYPERLINK("http://www.linkedin.com/in/qxork","http://www.linkedin.com/in/qxork")</f>
        <v>http://www.linkedin.com/in/qxork</v>
      </c>
      <c r="I6011" s="2" t="s">
        <v>15</v>
      </c>
      <c r="J6011" s="2" t="s">
        <v>102</v>
      </c>
      <c r="K6011" s="2" t="s">
        <v>10206</v>
      </c>
    </row>
    <row r="6012" ht="15.75" customHeight="1">
      <c r="A6012" s="2">
        <v>25327.0</v>
      </c>
      <c r="B6012" s="2" t="s">
        <v>3223</v>
      </c>
      <c r="C6012" s="2" t="s">
        <v>11787</v>
      </c>
      <c r="D6012" s="2" t="s">
        <v>6129</v>
      </c>
      <c r="E6012" s="2" t="s">
        <v>20</v>
      </c>
      <c r="F6012" s="2">
        <v>8.0</v>
      </c>
      <c r="G6012" s="2">
        <v>424.0</v>
      </c>
      <c r="H6012" s="3" t="str">
        <f>HYPERLINK("http://ar.linkedin.com/in/laurafpetersen","http://ar.linkedin.com/in/laurafpetersen")</f>
        <v>http://ar.linkedin.com/in/laurafpetersen</v>
      </c>
      <c r="I6012" s="2" t="s">
        <v>48</v>
      </c>
      <c r="J6012" s="2" t="s">
        <v>21</v>
      </c>
      <c r="K6012" s="2" t="s">
        <v>10196</v>
      </c>
    </row>
    <row r="6013" ht="15.75" customHeight="1">
      <c r="A6013" s="2">
        <v>25361.0</v>
      </c>
      <c r="B6013" s="2" t="s">
        <v>11788</v>
      </c>
      <c r="C6013" s="2" t="s">
        <v>11789</v>
      </c>
      <c r="D6013" s="2" t="s">
        <v>13</v>
      </c>
      <c r="E6013" s="2" t="s">
        <v>20</v>
      </c>
      <c r="F6013" s="2">
        <v>0.0</v>
      </c>
      <c r="G6013" s="2">
        <v>267.0</v>
      </c>
      <c r="H6013" s="3" t="str">
        <f>HYPERLINK("http://www.linkedin.com/pub/oscar-alberto-scotto-cicale/16/9b2/369","http://www.linkedin.com/pub/oscar-alberto-scotto-cicale/16/9b2/369")</f>
        <v>http://www.linkedin.com/pub/oscar-alberto-scotto-cicale/16/9b2/369</v>
      </c>
      <c r="I6013" s="2" t="s">
        <v>2000</v>
      </c>
      <c r="J6013" s="2" t="s">
        <v>21</v>
      </c>
      <c r="K6013" s="2" t="s">
        <v>10196</v>
      </c>
    </row>
    <row r="6014" ht="15.75" customHeight="1">
      <c r="A6014" s="2">
        <v>25364.0</v>
      </c>
      <c r="B6014" s="2" t="s">
        <v>275</v>
      </c>
      <c r="C6014" s="2" t="s">
        <v>6185</v>
      </c>
      <c r="D6014" s="2"/>
      <c r="E6014" s="2" t="s">
        <v>11790</v>
      </c>
      <c r="F6014" s="2">
        <v>0.0</v>
      </c>
      <c r="G6014" s="2">
        <v>417.0</v>
      </c>
      <c r="H6014" s="3" t="str">
        <f>HYPERLINK("http://www.linkedin.com/pub/mark-spencer/2/94/225","http://www.linkedin.com/pub/mark-spencer/2/94/225")</f>
        <v>http://www.linkedin.com/pub/mark-spencer/2/94/225</v>
      </c>
      <c r="I6014" s="2" t="s">
        <v>77</v>
      </c>
      <c r="J6014" s="2" t="s">
        <v>102</v>
      </c>
      <c r="K6014" s="2" t="s">
        <v>10187</v>
      </c>
    </row>
    <row r="6015" ht="15.75" customHeight="1">
      <c r="A6015" s="2">
        <v>25369.0</v>
      </c>
      <c r="B6015" s="2" t="s">
        <v>11791</v>
      </c>
      <c r="C6015" s="2" t="s">
        <v>11792</v>
      </c>
      <c r="D6015" s="2" t="s">
        <v>8146</v>
      </c>
      <c r="E6015" s="2" t="s">
        <v>301</v>
      </c>
      <c r="F6015" s="2">
        <v>3.0</v>
      </c>
      <c r="G6015" s="2">
        <v>500.0</v>
      </c>
      <c r="H6015" s="3" t="str">
        <f>HYPERLINK("http://www.linkedin.com/in/bhaveshlad","http://www.linkedin.com/in/bhaveshlad")</f>
        <v>http://www.linkedin.com/in/bhaveshlad</v>
      </c>
      <c r="I6015" s="2" t="s">
        <v>77</v>
      </c>
      <c r="J6015" s="2" t="s">
        <v>102</v>
      </c>
      <c r="K6015" s="2" t="s">
        <v>10384</v>
      </c>
    </row>
    <row r="6016" ht="15.75" customHeight="1">
      <c r="A6016" s="2">
        <v>25455.0</v>
      </c>
      <c r="B6016" s="2" t="s">
        <v>3223</v>
      </c>
      <c r="C6016" s="2" t="s">
        <v>11793</v>
      </c>
      <c r="D6016" s="2" t="s">
        <v>13</v>
      </c>
      <c r="E6016" s="2" t="s">
        <v>20</v>
      </c>
      <c r="F6016" s="2">
        <v>2.0</v>
      </c>
      <c r="G6016" s="2">
        <v>428.0</v>
      </c>
      <c r="H6016" s="3" t="str">
        <f>HYPERLINK("http://www.linkedin.com/pub/laura-pividori/b/267/7a8","http://www.linkedin.com/pub/laura-pividori/b/267/7a8")</f>
        <v>http://www.linkedin.com/pub/laura-pividori/b/267/7a8</v>
      </c>
      <c r="I6016" s="2" t="s">
        <v>599</v>
      </c>
      <c r="J6016" s="2" t="s">
        <v>21</v>
      </c>
      <c r="K6016" s="2" t="s">
        <v>10196</v>
      </c>
    </row>
    <row r="6017" ht="15.75" customHeight="1">
      <c r="A6017" s="2">
        <v>25484.0</v>
      </c>
      <c r="B6017" s="2" t="s">
        <v>5558</v>
      </c>
      <c r="C6017" s="2" t="s">
        <v>11794</v>
      </c>
      <c r="D6017" s="2" t="s">
        <v>11795</v>
      </c>
      <c r="E6017" s="2" t="s">
        <v>301</v>
      </c>
      <c r="F6017" s="2">
        <v>5.0</v>
      </c>
      <c r="G6017" s="2">
        <v>500.0</v>
      </c>
      <c r="H6017" s="3" t="str">
        <f>HYPERLINK("http://www.linkedin.com/in/pamelamead","http://www.linkedin.com/in/pamelamead")</f>
        <v>http://www.linkedin.com/in/pamelamead</v>
      </c>
      <c r="I6017" s="2" t="s">
        <v>458</v>
      </c>
      <c r="J6017" s="2" t="s">
        <v>102</v>
      </c>
      <c r="K6017" s="2" t="s">
        <v>10206</v>
      </c>
    </row>
    <row r="6018" ht="15.75" customHeight="1">
      <c r="A6018" s="2">
        <v>25513.0</v>
      </c>
      <c r="B6018" s="2" t="s">
        <v>647</v>
      </c>
      <c r="C6018" s="2" t="s">
        <v>11796</v>
      </c>
      <c r="D6018" s="2" t="s">
        <v>11797</v>
      </c>
      <c r="E6018" s="2" t="s">
        <v>20</v>
      </c>
      <c r="F6018" s="2">
        <v>2.0</v>
      </c>
      <c r="G6018" s="2">
        <v>214.0</v>
      </c>
      <c r="H6018" s="3" t="str">
        <f>HYPERLINK("http://ar.linkedin.com/pub/claudio-segado/18/A72/56","http://ar.linkedin.com/pub/claudio-segado/18/A72/56")</f>
        <v>http://ar.linkedin.com/pub/claudio-segado/18/A72/56</v>
      </c>
      <c r="I6018" s="2" t="s">
        <v>15</v>
      </c>
      <c r="J6018" s="2" t="s">
        <v>21</v>
      </c>
      <c r="K6018" s="2" t="s">
        <v>10180</v>
      </c>
    </row>
    <row r="6019" ht="15.75" customHeight="1">
      <c r="A6019" s="2">
        <v>25528.0</v>
      </c>
      <c r="B6019" s="2" t="s">
        <v>6093</v>
      </c>
      <c r="C6019" s="2" t="s">
        <v>11798</v>
      </c>
      <c r="D6019" s="2" t="s">
        <v>11799</v>
      </c>
      <c r="E6019" s="2" t="s">
        <v>20</v>
      </c>
      <c r="F6019" s="2">
        <v>5.0</v>
      </c>
      <c r="G6019" s="2">
        <v>337.0</v>
      </c>
      <c r="H6019" s="3" t="str">
        <f>HYPERLINK("http://ar.linkedin.com/pub/nicol-s-masotto/5/50A/BA6","http://ar.linkedin.com/pub/nicol-s-masotto/5/50A/BA6")</f>
        <v>http://ar.linkedin.com/pub/nicol-s-masotto/5/50A/BA6</v>
      </c>
      <c r="I6019" s="2" t="s">
        <v>15</v>
      </c>
      <c r="J6019" s="2" t="s">
        <v>21</v>
      </c>
      <c r="K6019" s="2" t="s">
        <v>10196</v>
      </c>
    </row>
    <row r="6020" ht="15.75" customHeight="1">
      <c r="A6020" s="2">
        <v>25535.0</v>
      </c>
      <c r="B6020" s="2" t="s">
        <v>11800</v>
      </c>
      <c r="C6020" s="2" t="s">
        <v>11801</v>
      </c>
      <c r="D6020" s="2" t="s">
        <v>11802</v>
      </c>
      <c r="E6020" s="2" t="s">
        <v>20</v>
      </c>
      <c r="F6020" s="2">
        <v>17.0</v>
      </c>
      <c r="G6020" s="2">
        <v>500.0</v>
      </c>
      <c r="H6020" s="3" t="str">
        <f>HYPERLINK("http://ar.linkedin.com/pub/ivanna-chejoski/4/71/3B3","http://ar.linkedin.com/pub/ivanna-chejoski/4/71/3B3")</f>
        <v>http://ar.linkedin.com/pub/ivanna-chejoski/4/71/3B3</v>
      </c>
      <c r="I6020" s="2" t="s">
        <v>15</v>
      </c>
      <c r="J6020" s="2" t="s">
        <v>21</v>
      </c>
      <c r="K6020" s="2" t="s">
        <v>10196</v>
      </c>
    </row>
    <row r="6021" ht="15.75" customHeight="1">
      <c r="A6021" s="2">
        <v>25539.0</v>
      </c>
      <c r="B6021" s="2" t="s">
        <v>11803</v>
      </c>
      <c r="C6021" s="2" t="s">
        <v>7191</v>
      </c>
      <c r="D6021" s="2" t="s">
        <v>13</v>
      </c>
      <c r="E6021" s="2" t="s">
        <v>20</v>
      </c>
      <c r="F6021" s="2">
        <v>4.0</v>
      </c>
      <c r="G6021" s="2">
        <v>500.0</v>
      </c>
      <c r="H6021" s="3" t="str">
        <f>HYPERLINK("http://www.linkedin.com/pub/rodrigo-javier-quispe/a/465/688","http://www.linkedin.com/pub/rodrigo-javier-quispe/a/465/688")</f>
        <v>http://www.linkedin.com/pub/rodrigo-javier-quispe/a/465/688</v>
      </c>
      <c r="I6021" s="2" t="s">
        <v>48</v>
      </c>
      <c r="J6021" s="2" t="s">
        <v>21</v>
      </c>
      <c r="K6021" s="2" t="s">
        <v>10173</v>
      </c>
    </row>
    <row r="6022" ht="15.75" customHeight="1">
      <c r="A6022" s="2">
        <v>25550.0</v>
      </c>
      <c r="B6022" s="2" t="s">
        <v>11804</v>
      </c>
      <c r="C6022" s="2" t="s">
        <v>11805</v>
      </c>
      <c r="D6022" s="2" t="s">
        <v>11806</v>
      </c>
      <c r="E6022" s="2" t="s">
        <v>20</v>
      </c>
      <c r="F6022" s="2">
        <v>3.0</v>
      </c>
      <c r="G6022" s="2">
        <v>198.0</v>
      </c>
      <c r="H6022" s="3" t="str">
        <f>HYPERLINK("http://ar.linkedin.com/in/dfcasavalle","http://ar.linkedin.com/in/dfcasavalle")</f>
        <v>http://ar.linkedin.com/in/dfcasavalle</v>
      </c>
      <c r="I6022" s="2" t="s">
        <v>15</v>
      </c>
      <c r="J6022" s="2" t="s">
        <v>21</v>
      </c>
      <c r="K6022" s="2" t="s">
        <v>10196</v>
      </c>
    </row>
    <row r="6023" ht="15.75" customHeight="1">
      <c r="A6023" s="2">
        <v>25565.0</v>
      </c>
      <c r="B6023" s="2" t="s">
        <v>8084</v>
      </c>
      <c r="C6023" s="2" t="s">
        <v>11807</v>
      </c>
      <c r="D6023" s="2" t="s">
        <v>13</v>
      </c>
      <c r="E6023" s="2" t="s">
        <v>20</v>
      </c>
      <c r="F6023" s="2">
        <v>6.0</v>
      </c>
      <c r="G6023" s="2">
        <v>298.0</v>
      </c>
      <c r="H6023" s="3" t="str">
        <f>HYPERLINK("http://www.linkedin.com/pub/rocio-klan/16/485/4b1","http://www.linkedin.com/pub/rocio-klan/16/485/4b1")</f>
        <v>http://www.linkedin.com/pub/rocio-klan/16/485/4b1</v>
      </c>
      <c r="I6023" s="2" t="s">
        <v>15</v>
      </c>
      <c r="J6023" s="2" t="s">
        <v>21</v>
      </c>
      <c r="K6023" s="2" t="s">
        <v>10196</v>
      </c>
    </row>
    <row r="6024" ht="15.75" customHeight="1">
      <c r="A6024" s="2">
        <v>25590.0</v>
      </c>
      <c r="B6024" s="2" t="s">
        <v>540</v>
      </c>
      <c r="C6024" s="2" t="s">
        <v>11808</v>
      </c>
      <c r="D6024" s="2" t="s">
        <v>536</v>
      </c>
      <c r="E6024" s="2" t="s">
        <v>20</v>
      </c>
      <c r="F6024" s="2">
        <v>0.0</v>
      </c>
      <c r="G6024" s="2">
        <v>230.0</v>
      </c>
      <c r="H6024" s="3" t="str">
        <f>HYPERLINK("http://ar.linkedin.com/pub/christian-menendez/7/607/923","http://ar.linkedin.com/pub/christian-menendez/7/607/923")</f>
        <v>http://ar.linkedin.com/pub/christian-menendez/7/607/923</v>
      </c>
      <c r="I6024" s="2" t="s">
        <v>195</v>
      </c>
      <c r="J6024" s="2" t="s">
        <v>21</v>
      </c>
      <c r="K6024" s="2" t="s">
        <v>10182</v>
      </c>
    </row>
    <row r="6025" ht="15.75" customHeight="1">
      <c r="A6025" s="2">
        <v>25617.0</v>
      </c>
      <c r="B6025" s="2" t="s">
        <v>671</v>
      </c>
      <c r="C6025" s="2" t="s">
        <v>11809</v>
      </c>
      <c r="D6025" s="2" t="s">
        <v>13</v>
      </c>
      <c r="E6025" s="2" t="s">
        <v>20</v>
      </c>
      <c r="F6025" s="2">
        <v>2.0</v>
      </c>
      <c r="G6025" s="2">
        <v>500.0</v>
      </c>
      <c r="H6025" s="3" t="str">
        <f>HYPERLINK("http://www.linkedin.com/pub/mariana-castro-freyre/9/9b4/ba3","http://www.linkedin.com/pub/mariana-castro-freyre/9/9b4/ba3")</f>
        <v>http://www.linkedin.com/pub/mariana-castro-freyre/9/9b4/ba3</v>
      </c>
      <c r="I6025" s="2" t="s">
        <v>458</v>
      </c>
      <c r="J6025" s="2" t="s">
        <v>21</v>
      </c>
      <c r="K6025" s="2" t="s">
        <v>10196</v>
      </c>
    </row>
    <row r="6026" ht="15.75" customHeight="1">
      <c r="A6026" s="2">
        <v>25627.0</v>
      </c>
      <c r="B6026" s="2" t="s">
        <v>59</v>
      </c>
      <c r="C6026" s="2" t="s">
        <v>11810</v>
      </c>
      <c r="D6026" s="2" t="s">
        <v>13</v>
      </c>
      <c r="E6026" s="2" t="s">
        <v>20</v>
      </c>
      <c r="F6026" s="2">
        <v>6.0</v>
      </c>
      <c r="G6026" s="2">
        <v>438.0</v>
      </c>
      <c r="H6026" s="3" t="str">
        <f>HYPERLINK("http://www.linkedin.com/pub/martin-parrella/21/373/178","http://www.linkedin.com/pub/martin-parrella/21/373/178")</f>
        <v>http://www.linkedin.com/pub/martin-parrella/21/373/178</v>
      </c>
      <c r="I6026" s="2" t="s">
        <v>15</v>
      </c>
      <c r="J6026" s="2" t="s">
        <v>21</v>
      </c>
      <c r="K6026" s="2" t="s">
        <v>10196</v>
      </c>
    </row>
    <row r="6027" ht="15.75" customHeight="1">
      <c r="A6027" s="2">
        <v>25658.0</v>
      </c>
      <c r="B6027" s="2" t="s">
        <v>1076</v>
      </c>
      <c r="C6027" s="2" t="s">
        <v>11811</v>
      </c>
      <c r="D6027" s="2" t="s">
        <v>10754</v>
      </c>
      <c r="E6027" s="2" t="s">
        <v>301</v>
      </c>
      <c r="F6027" s="2">
        <v>5.0</v>
      </c>
      <c r="G6027" s="2">
        <v>126.0</v>
      </c>
      <c r="H6027" s="3" t="str">
        <f>HYPERLINK("http://www.linkedin.com/pub/jennifer-singer/7/613/A75","http://www.linkedin.com/pub/jennifer-singer/7/613/A75")</f>
        <v>http://www.linkedin.com/pub/jennifer-singer/7/613/A75</v>
      </c>
      <c r="I6027" s="2" t="s">
        <v>326</v>
      </c>
      <c r="J6027" s="2" t="s">
        <v>102</v>
      </c>
      <c r="K6027" s="2" t="s">
        <v>10206</v>
      </c>
    </row>
    <row r="6028" ht="15.75" customHeight="1">
      <c r="A6028" s="2">
        <v>25662.0</v>
      </c>
      <c r="B6028" s="2" t="s">
        <v>11812</v>
      </c>
      <c r="C6028" s="2" t="s">
        <v>11813</v>
      </c>
      <c r="D6028" s="2" t="s">
        <v>11814</v>
      </c>
      <c r="E6028" s="2" t="s">
        <v>301</v>
      </c>
      <c r="F6028" s="2">
        <v>27.0</v>
      </c>
      <c r="G6028" s="2">
        <v>459.0</v>
      </c>
      <c r="H6028" s="3" t="str">
        <f>HYPERLINK("http://www.linkedin.com/in/tahleeya","http://www.linkedin.com/in/tahleeya")</f>
        <v>http://www.linkedin.com/in/tahleeya</v>
      </c>
      <c r="I6028" s="2" t="s">
        <v>2081</v>
      </c>
      <c r="J6028" s="2" t="s">
        <v>102</v>
      </c>
      <c r="K6028" s="2" t="s">
        <v>10206</v>
      </c>
    </row>
    <row r="6029" ht="15.75" customHeight="1">
      <c r="A6029" s="2">
        <v>25671.0</v>
      </c>
      <c r="B6029" s="2" t="s">
        <v>5723</v>
      </c>
      <c r="C6029" s="2" t="s">
        <v>11815</v>
      </c>
      <c r="D6029" s="2" t="s">
        <v>7102</v>
      </c>
      <c r="E6029" s="2" t="s">
        <v>20</v>
      </c>
      <c r="F6029" s="2">
        <v>3.0</v>
      </c>
      <c r="G6029" s="2">
        <v>227.0</v>
      </c>
      <c r="H6029" s="3" t="str">
        <f>HYPERLINK("http://ar.linkedin.com/in/pablodelgrosso","http://ar.linkedin.com/in/pablodelgrosso")</f>
        <v>http://ar.linkedin.com/in/pablodelgrosso</v>
      </c>
      <c r="I6029" s="2" t="s">
        <v>69</v>
      </c>
      <c r="J6029" s="2" t="s">
        <v>21</v>
      </c>
      <c r="K6029" s="2" t="s">
        <v>10196</v>
      </c>
    </row>
    <row r="6030" ht="15.75" customHeight="1">
      <c r="A6030" s="2">
        <v>25680.0</v>
      </c>
      <c r="B6030" s="2" t="s">
        <v>6252</v>
      </c>
      <c r="C6030" s="2" t="s">
        <v>11816</v>
      </c>
      <c r="D6030" s="2" t="s">
        <v>13</v>
      </c>
      <c r="E6030" s="2" t="s">
        <v>20</v>
      </c>
      <c r="F6030" s="2">
        <v>2.0</v>
      </c>
      <c r="G6030" s="2">
        <v>500.0</v>
      </c>
      <c r="H6030" s="3" t="str">
        <f>HYPERLINK("http://www.linkedin.com/pub/santiago-cociancich/30/645/2b4","http://www.linkedin.com/pub/santiago-cociancich/30/645/2b4")</f>
        <v>http://www.linkedin.com/pub/santiago-cociancich/30/645/2b4</v>
      </c>
      <c r="I6030" s="2" t="s">
        <v>105</v>
      </c>
      <c r="J6030" s="2" t="s">
        <v>21</v>
      </c>
      <c r="K6030" s="2" t="s">
        <v>10180</v>
      </c>
    </row>
    <row r="6031" ht="15.75" customHeight="1">
      <c r="A6031" s="2">
        <v>25720.0</v>
      </c>
      <c r="B6031" s="2" t="s">
        <v>5883</v>
      </c>
      <c r="C6031" s="2" t="s">
        <v>11817</v>
      </c>
      <c r="D6031" s="2" t="s">
        <v>11818</v>
      </c>
      <c r="E6031" s="2" t="s">
        <v>20</v>
      </c>
      <c r="F6031" s="2">
        <v>3.0</v>
      </c>
      <c r="G6031" s="2">
        <v>91.0</v>
      </c>
      <c r="H6031" s="3" t="str">
        <f>HYPERLINK("http://ar.linkedin.com/in/arielclaus","http://ar.linkedin.com/in/arielclaus")</f>
        <v>http://ar.linkedin.com/in/arielclaus</v>
      </c>
      <c r="I6031" s="2" t="s">
        <v>69</v>
      </c>
      <c r="J6031" s="2" t="s">
        <v>21</v>
      </c>
      <c r="K6031" s="2" t="s">
        <v>10196</v>
      </c>
    </row>
    <row r="6032" ht="15.75" customHeight="1">
      <c r="A6032" s="2">
        <v>25733.0</v>
      </c>
      <c r="B6032" s="2" t="s">
        <v>6948</v>
      </c>
      <c r="C6032" s="2" t="s">
        <v>5555</v>
      </c>
      <c r="D6032" s="2" t="s">
        <v>8326</v>
      </c>
      <c r="E6032" s="2" t="s">
        <v>20</v>
      </c>
      <c r="F6032" s="2" t="s">
        <v>13</v>
      </c>
      <c r="G6032" s="2">
        <v>65.0</v>
      </c>
      <c r="H6032" s="3" t="str">
        <f>HYPERLINK("http://ar.linkedin.com/pub/mar-a-ymf-lab/30/588/827","http://ar.linkedin.com/pub/mar-a-ymf-lab/30/588/827")</f>
        <v>http://ar.linkedin.com/pub/mar-a-ymf-lab/30/588/827</v>
      </c>
      <c r="I6032" s="2" t="s">
        <v>2268</v>
      </c>
      <c r="J6032" s="2" t="s">
        <v>21</v>
      </c>
      <c r="K6032" s="2" t="s">
        <v>10229</v>
      </c>
    </row>
    <row r="6033" ht="15.75" customHeight="1">
      <c r="A6033" s="2">
        <v>25756.0</v>
      </c>
      <c r="B6033" s="2" t="s">
        <v>6252</v>
      </c>
      <c r="C6033" s="2" t="s">
        <v>6214</v>
      </c>
      <c r="D6033" s="2" t="s">
        <v>13</v>
      </c>
      <c r="E6033" s="2" t="s">
        <v>20</v>
      </c>
      <c r="F6033" s="2">
        <v>0.0</v>
      </c>
      <c r="G6033" s="2">
        <v>500.0</v>
      </c>
      <c r="H6033" s="3" t="str">
        <f>HYPERLINK("http://ar.linkedin.com/pub/santiago-estevez/23/721/B1","http://ar.linkedin.com/pub/santiago-estevez/23/721/B1")</f>
        <v>http://ar.linkedin.com/pub/santiago-estevez/23/721/B1</v>
      </c>
      <c r="I6033" s="2" t="s">
        <v>105</v>
      </c>
      <c r="J6033" s="2" t="s">
        <v>21</v>
      </c>
      <c r="K6033" s="2" t="s">
        <v>10184</v>
      </c>
    </row>
    <row r="6034" ht="15.75" customHeight="1">
      <c r="A6034" s="2">
        <v>25772.0</v>
      </c>
      <c r="B6034" s="2" t="s">
        <v>3072</v>
      </c>
      <c r="C6034" s="2" t="s">
        <v>11819</v>
      </c>
      <c r="D6034" s="2" t="s">
        <v>13</v>
      </c>
      <c r="E6034" s="2" t="s">
        <v>20</v>
      </c>
      <c r="F6034" s="2">
        <v>0.0</v>
      </c>
      <c r="G6034" s="2">
        <v>433.0</v>
      </c>
      <c r="H6034" s="3" t="str">
        <f>HYPERLINK("http://www.linkedin.com/pub/luis-catanzariti/a/577/107","http://www.linkedin.com/pub/luis-catanzariti/a/577/107")</f>
        <v>http://www.linkedin.com/pub/luis-catanzariti/a/577/107</v>
      </c>
      <c r="I6034" s="2" t="s">
        <v>15</v>
      </c>
      <c r="J6034" s="2" t="s">
        <v>21</v>
      </c>
      <c r="K6034" s="2" t="s">
        <v>10196</v>
      </c>
    </row>
    <row r="6035" ht="15.75" customHeight="1">
      <c r="A6035" s="2">
        <v>25777.0</v>
      </c>
      <c r="B6035" s="2" t="s">
        <v>431</v>
      </c>
      <c r="C6035" s="2" t="s">
        <v>11820</v>
      </c>
      <c r="D6035" s="2" t="s">
        <v>13</v>
      </c>
      <c r="E6035" s="2" t="s">
        <v>20</v>
      </c>
      <c r="F6035" s="2">
        <v>6.0</v>
      </c>
      <c r="G6035" s="2">
        <v>353.0</v>
      </c>
      <c r="H6035" s="3" t="str">
        <f>HYPERLINK("http://www.linkedin.com/pub/rodrigo-humedes-v%C3%A1zquez/27/918/b5a","http://www.linkedin.com/pub/rodrigo-humedes-v%C3%A1zquez/27/918/b5a")</f>
        <v>http://www.linkedin.com/pub/rodrigo-humedes-v%C3%A1zquez/27/918/b5a</v>
      </c>
      <c r="I6035" s="2" t="s">
        <v>15</v>
      </c>
      <c r="J6035" s="2" t="s">
        <v>21</v>
      </c>
      <c r="K6035" s="2" t="s">
        <v>10340</v>
      </c>
    </row>
    <row r="6036" ht="15.75" customHeight="1">
      <c r="A6036" s="2">
        <v>25788.0</v>
      </c>
      <c r="B6036" s="2" t="s">
        <v>11821</v>
      </c>
      <c r="C6036" s="2" t="s">
        <v>11822</v>
      </c>
      <c r="D6036" s="2" t="s">
        <v>11823</v>
      </c>
      <c r="E6036" s="2" t="s">
        <v>142</v>
      </c>
      <c r="F6036" s="2">
        <v>1.0</v>
      </c>
      <c r="G6036" s="2">
        <v>244.0</v>
      </c>
      <c r="H6036" s="3" t="str">
        <f>HYPERLINK("http://www.linkedin.com/in/emeelnoohi","http://www.linkedin.com/in/emeelnoohi")</f>
        <v>http://www.linkedin.com/in/emeelnoohi</v>
      </c>
      <c r="I6036" s="2" t="s">
        <v>77</v>
      </c>
      <c r="J6036" s="2" t="s">
        <v>144</v>
      </c>
      <c r="K6036" s="2" t="s">
        <v>10180</v>
      </c>
    </row>
    <row r="6037" ht="15.75" customHeight="1">
      <c r="A6037" s="2">
        <v>25811.0</v>
      </c>
      <c r="B6037" s="2" t="s">
        <v>492</v>
      </c>
      <c r="C6037" s="2" t="s">
        <v>11824</v>
      </c>
      <c r="D6037" s="2" t="s">
        <v>11825</v>
      </c>
      <c r="E6037" s="2" t="s">
        <v>20</v>
      </c>
      <c r="F6037" s="2">
        <v>5.0</v>
      </c>
      <c r="G6037" s="2">
        <v>118.0</v>
      </c>
      <c r="H6037" s="3" t="str">
        <f>HYPERLINK("http://ar.linkedin.com/pub/sergio-ostapowicz/19/310/B38","http://ar.linkedin.com/pub/sergio-ostapowicz/19/310/B38")</f>
        <v>http://ar.linkedin.com/pub/sergio-ostapowicz/19/310/B38</v>
      </c>
      <c r="I6037" s="2" t="s">
        <v>15</v>
      </c>
      <c r="J6037" s="2" t="s">
        <v>21</v>
      </c>
      <c r="K6037" s="2" t="s">
        <v>10196</v>
      </c>
    </row>
    <row r="6038" ht="15.75" customHeight="1">
      <c r="A6038" s="2">
        <v>25859.0</v>
      </c>
      <c r="B6038" s="2" t="s">
        <v>11826</v>
      </c>
      <c r="C6038" s="2" t="s">
        <v>206</v>
      </c>
      <c r="D6038" s="2" t="s">
        <v>11827</v>
      </c>
      <c r="E6038" s="2" t="s">
        <v>20</v>
      </c>
      <c r="F6038" s="2">
        <v>1.0</v>
      </c>
      <c r="G6038" s="2">
        <v>231.0</v>
      </c>
      <c r="H6038" s="3" t="str">
        <f>HYPERLINK("http://ar.linkedin.com/pub/manuel-andres-garcia/2A/229/AA","http://ar.linkedin.com/pub/manuel-andres-garcia/2A/229/AA")</f>
        <v>http://ar.linkedin.com/pub/manuel-andres-garcia/2A/229/AA</v>
      </c>
      <c r="I6038" s="2" t="s">
        <v>15</v>
      </c>
      <c r="J6038" s="2" t="s">
        <v>21</v>
      </c>
      <c r="K6038" s="2" t="s">
        <v>10173</v>
      </c>
    </row>
    <row r="6039" ht="15.75" customHeight="1">
      <c r="A6039" s="2">
        <v>25925.0</v>
      </c>
      <c r="B6039" s="2" t="s">
        <v>631</v>
      </c>
      <c r="C6039" s="2" t="s">
        <v>11828</v>
      </c>
      <c r="D6039" s="2" t="s">
        <v>11829</v>
      </c>
      <c r="E6039" s="2" t="s">
        <v>3865</v>
      </c>
      <c r="F6039" s="2">
        <v>24.0</v>
      </c>
      <c r="G6039" s="2">
        <v>500.0</v>
      </c>
      <c r="H6039" s="3" t="str">
        <f>HYPERLINK("http://www.linkedin.com/pub/chris-layfield-cissp/0/1A7/965","http://www.linkedin.com/pub/chris-layfield-cissp/0/1A7/965")</f>
        <v>http://www.linkedin.com/pub/chris-layfield-cissp/0/1A7/965</v>
      </c>
      <c r="I6039" s="2" t="s">
        <v>77</v>
      </c>
      <c r="J6039" s="2" t="s">
        <v>102</v>
      </c>
      <c r="K6039" s="2" t="s">
        <v>10209</v>
      </c>
    </row>
    <row r="6040" ht="15.75" customHeight="1">
      <c r="A6040" s="2">
        <v>25947.0</v>
      </c>
      <c r="B6040" s="2" t="s">
        <v>11830</v>
      </c>
      <c r="C6040" s="2" t="s">
        <v>412</v>
      </c>
      <c r="D6040" s="2" t="s">
        <v>11831</v>
      </c>
      <c r="E6040" s="2" t="s">
        <v>1155</v>
      </c>
      <c r="F6040" s="2">
        <v>7.0</v>
      </c>
      <c r="G6040" s="2">
        <v>500.0</v>
      </c>
      <c r="H6040" s="3" t="str">
        <f>HYPERLINK("http://www.linkedin.com/in/hughrobert","http://www.linkedin.com/in/hughrobert")</f>
        <v>http://www.linkedin.com/in/hughrobert</v>
      </c>
      <c r="I6040" s="2" t="s">
        <v>182</v>
      </c>
      <c r="J6040" s="2" t="s">
        <v>102</v>
      </c>
      <c r="K6040" s="2" t="s">
        <v>10268</v>
      </c>
    </row>
    <row r="6041" ht="15.75" customHeight="1">
      <c r="A6041" s="2">
        <v>25951.0</v>
      </c>
      <c r="B6041" s="2" t="s">
        <v>11832</v>
      </c>
      <c r="C6041" s="2" t="s">
        <v>3951</v>
      </c>
      <c r="D6041" s="2"/>
      <c r="E6041" s="2" t="s">
        <v>542</v>
      </c>
      <c r="F6041" s="2">
        <v>7.0</v>
      </c>
      <c r="G6041" s="2">
        <v>497.0</v>
      </c>
      <c r="H6041" s="3" t="str">
        <f>HYPERLINK("http://www.linkedin.com/pub/catharine-strauss/0/4B0/757","http://www.linkedin.com/pub/catharine-strauss/0/4B0/757")</f>
        <v>http://www.linkedin.com/pub/catharine-strauss/0/4B0/757</v>
      </c>
      <c r="I6041" s="2" t="s">
        <v>15</v>
      </c>
      <c r="J6041" s="2" t="s">
        <v>102</v>
      </c>
      <c r="K6041" s="2" t="s">
        <v>10184</v>
      </c>
    </row>
    <row r="6042" ht="15.75" customHeight="1">
      <c r="A6042" s="2">
        <v>25963.0</v>
      </c>
      <c r="B6042" s="2" t="s">
        <v>1984</v>
      </c>
      <c r="C6042" s="2" t="s">
        <v>11833</v>
      </c>
      <c r="D6042" s="2" t="s">
        <v>6406</v>
      </c>
      <c r="E6042" s="2" t="s">
        <v>301</v>
      </c>
      <c r="F6042" s="2">
        <v>7.0</v>
      </c>
      <c r="G6042" s="2">
        <v>500.0</v>
      </c>
      <c r="H6042" s="3" t="str">
        <f>HYPERLINK("http://www.linkedin.com/in/annejkoller","http://www.linkedin.com/in/annejkoller")</f>
        <v>http://www.linkedin.com/in/annejkoller</v>
      </c>
      <c r="I6042" s="2" t="s">
        <v>4132</v>
      </c>
      <c r="J6042" s="2" t="s">
        <v>102</v>
      </c>
      <c r="K6042" s="2" t="s">
        <v>10182</v>
      </c>
    </row>
    <row r="6043" ht="15.75" customHeight="1">
      <c r="A6043" s="2">
        <v>26012.0</v>
      </c>
      <c r="B6043" s="2" t="s">
        <v>238</v>
      </c>
      <c r="C6043" s="2" t="s">
        <v>11834</v>
      </c>
      <c r="D6043" s="2" t="s">
        <v>11835</v>
      </c>
      <c r="E6043" s="2" t="s">
        <v>1190</v>
      </c>
      <c r="F6043" s="2">
        <v>9.0</v>
      </c>
      <c r="G6043" s="2">
        <v>500.0</v>
      </c>
      <c r="H6043" s="3" t="str">
        <f>HYPERLINK("http://www.linkedin.com/pub/juan-villalobos/7/60A/23B","http://www.linkedin.com/pub/juan-villalobos/7/60A/23B")</f>
        <v>http://www.linkedin.com/pub/juan-villalobos/7/60A/23B</v>
      </c>
      <c r="I6043" s="2" t="s">
        <v>15</v>
      </c>
      <c r="J6043" s="2" t="s">
        <v>102</v>
      </c>
      <c r="K6043" s="2" t="s">
        <v>11153</v>
      </c>
    </row>
    <row r="6044" ht="15.75" customHeight="1">
      <c r="A6044" s="2">
        <v>26014.0</v>
      </c>
      <c r="B6044" s="2" t="s">
        <v>264</v>
      </c>
      <c r="C6044" s="2" t="s">
        <v>11836</v>
      </c>
      <c r="D6044" s="2"/>
      <c r="E6044" s="2" t="s">
        <v>1190</v>
      </c>
      <c r="F6044" s="2">
        <v>12.0</v>
      </c>
      <c r="G6044" s="2">
        <v>500.0</v>
      </c>
      <c r="H6044" s="3" t="str">
        <f>HYPERLINK("http://www.linkedin.com/pub/andres-vasquez/0/278/11","http://www.linkedin.com/pub/andres-vasquez/0/278/11")</f>
        <v>http://www.linkedin.com/pub/andres-vasquez/0/278/11</v>
      </c>
      <c r="I6044" s="2" t="s">
        <v>15</v>
      </c>
      <c r="J6044" s="2" t="s">
        <v>102</v>
      </c>
      <c r="K6044" s="2" t="s">
        <v>10184</v>
      </c>
    </row>
    <row r="6045" ht="15.75" customHeight="1">
      <c r="A6045" s="2">
        <v>26017.0</v>
      </c>
      <c r="B6045" s="2" t="s">
        <v>1296</v>
      </c>
      <c r="C6045" s="2" t="s">
        <v>11837</v>
      </c>
      <c r="D6045" s="2" t="s">
        <v>11838</v>
      </c>
      <c r="E6045" s="2" t="s">
        <v>1190</v>
      </c>
      <c r="F6045" s="2">
        <v>0.0</v>
      </c>
      <c r="G6045" s="2">
        <v>500.0</v>
      </c>
      <c r="H6045" s="3" t="str">
        <f>HYPERLINK("http://www.linkedin.com/pub/andrea-padilla/6/820/781","http://www.linkedin.com/pub/andrea-padilla/6/820/781")</f>
        <v>http://www.linkedin.com/pub/andrea-padilla/6/820/781</v>
      </c>
      <c r="I6045" s="2" t="s">
        <v>1931</v>
      </c>
      <c r="J6045" s="2" t="s">
        <v>102</v>
      </c>
      <c r="K6045" s="2" t="s">
        <v>10209</v>
      </c>
    </row>
    <row r="6046" ht="15.75" customHeight="1">
      <c r="A6046" s="2">
        <v>26026.0</v>
      </c>
      <c r="B6046" s="2" t="s">
        <v>362</v>
      </c>
      <c r="C6046" s="2" t="s">
        <v>11839</v>
      </c>
      <c r="D6046" s="2" t="s">
        <v>7244</v>
      </c>
      <c r="E6046" s="2" t="s">
        <v>20</v>
      </c>
      <c r="F6046" s="2">
        <v>8.0</v>
      </c>
      <c r="G6046" s="2">
        <v>500.0</v>
      </c>
      <c r="H6046" s="3" t="str">
        <f>HYPERLINK("http://ar.linkedin.com/pub/javier-braun/6/226/78B","http://ar.linkedin.com/pub/javier-braun/6/226/78B")</f>
        <v>http://ar.linkedin.com/pub/javier-braun/6/226/78B</v>
      </c>
      <c r="I6046" s="2" t="s">
        <v>15</v>
      </c>
      <c r="J6046" s="2" t="s">
        <v>21</v>
      </c>
      <c r="K6046" s="2" t="s">
        <v>10196</v>
      </c>
    </row>
    <row r="6047" ht="15.75" customHeight="1">
      <c r="A6047" s="2">
        <v>26027.0</v>
      </c>
      <c r="B6047" s="2" t="s">
        <v>253</v>
      </c>
      <c r="C6047" s="2" t="s">
        <v>11840</v>
      </c>
      <c r="D6047" s="2" t="s">
        <v>11841</v>
      </c>
      <c r="E6047" s="2" t="s">
        <v>1190</v>
      </c>
      <c r="F6047" s="2">
        <v>1.0</v>
      </c>
      <c r="G6047" s="2">
        <v>409.0</v>
      </c>
      <c r="H6047" s="3" t="str">
        <f>HYPERLINK("http://www.linkedin.com/pub/fernando-marquez/1/74B/447","http://www.linkedin.com/pub/fernando-marquez/1/74B/447")</f>
        <v>http://www.linkedin.com/pub/fernando-marquez/1/74B/447</v>
      </c>
      <c r="I6047" s="2" t="s">
        <v>873</v>
      </c>
      <c r="J6047" s="2" t="s">
        <v>102</v>
      </c>
      <c r="K6047" s="2" t="s">
        <v>10180</v>
      </c>
    </row>
    <row r="6048" ht="15.75" customHeight="1">
      <c r="A6048" s="2">
        <v>26057.0</v>
      </c>
      <c r="B6048" s="2" t="s">
        <v>677</v>
      </c>
      <c r="C6048" s="2" t="s">
        <v>11842</v>
      </c>
      <c r="D6048" s="2" t="s">
        <v>11843</v>
      </c>
      <c r="E6048" s="2" t="s">
        <v>20</v>
      </c>
      <c r="F6048" s="2">
        <v>3.0</v>
      </c>
      <c r="G6048" s="2">
        <v>500.0</v>
      </c>
      <c r="H6048" s="3" t="str">
        <f>HYPERLINK("http://ar.linkedin.com/in/danieljardo","http://ar.linkedin.com/in/danieljardo")</f>
        <v>http://ar.linkedin.com/in/danieljardo</v>
      </c>
      <c r="I6048" s="2" t="s">
        <v>15</v>
      </c>
      <c r="J6048" s="2" t="s">
        <v>21</v>
      </c>
      <c r="K6048" s="2" t="s">
        <v>10727</v>
      </c>
    </row>
    <row r="6049" ht="15.75" customHeight="1">
      <c r="A6049" s="2">
        <v>26059.0</v>
      </c>
      <c r="B6049" s="2" t="s">
        <v>11844</v>
      </c>
      <c r="C6049" s="2" t="s">
        <v>11845</v>
      </c>
      <c r="D6049" s="2" t="s">
        <v>11846</v>
      </c>
      <c r="E6049" s="2" t="s">
        <v>20</v>
      </c>
      <c r="F6049" s="2">
        <v>5.0</v>
      </c>
      <c r="G6049" s="2">
        <v>406.0</v>
      </c>
      <c r="H6049" s="3" t="str">
        <f>HYPERLINK("http://ar.linkedin.com/in/jadenac","http://ar.linkedin.com/in/jadenac")</f>
        <v>http://ar.linkedin.com/in/jadenac</v>
      </c>
      <c r="I6049" s="2" t="s">
        <v>15</v>
      </c>
      <c r="J6049" s="2" t="s">
        <v>21</v>
      </c>
      <c r="K6049" s="2" t="s">
        <v>10940</v>
      </c>
    </row>
    <row r="6050" ht="15.75" customHeight="1">
      <c r="A6050" s="2">
        <v>26061.0</v>
      </c>
      <c r="B6050" s="2" t="s">
        <v>5883</v>
      </c>
      <c r="C6050" s="2" t="s">
        <v>11847</v>
      </c>
      <c r="D6050" s="2" t="s">
        <v>11848</v>
      </c>
      <c r="E6050" s="2" t="s">
        <v>20</v>
      </c>
      <c r="F6050" s="2">
        <v>6.0</v>
      </c>
      <c r="G6050" s="2">
        <v>500.0</v>
      </c>
      <c r="H6050" s="3" t="str">
        <f>HYPERLINK("http://ar.linkedin.com/pub/ariel-mella/B/743/2B1","http://ar.linkedin.com/pub/ariel-mella/B/743/2B1")</f>
        <v>http://ar.linkedin.com/pub/ariel-mella/B/743/2B1</v>
      </c>
      <c r="I6050" s="2" t="s">
        <v>15</v>
      </c>
      <c r="J6050" s="2" t="s">
        <v>21</v>
      </c>
      <c r="K6050" s="2" t="s">
        <v>10180</v>
      </c>
    </row>
    <row r="6051" ht="15.75" customHeight="1">
      <c r="A6051" s="2">
        <v>26076.0</v>
      </c>
      <c r="B6051" s="2" t="s">
        <v>1254</v>
      </c>
      <c r="C6051" s="2" t="s">
        <v>11849</v>
      </c>
      <c r="D6051" s="2" t="s">
        <v>5749</v>
      </c>
      <c r="E6051" s="2" t="s">
        <v>713</v>
      </c>
      <c r="F6051" s="2" t="s">
        <v>13</v>
      </c>
      <c r="G6051" s="2">
        <v>245.0</v>
      </c>
      <c r="H6051" s="3" t="str">
        <f>HYPERLINK("http://www.linkedin.com/in/richardafrazier","http://www.linkedin.com/in/richardafrazier")</f>
        <v>http://www.linkedin.com/in/richardafrazier</v>
      </c>
      <c r="I6051" s="2" t="s">
        <v>77</v>
      </c>
      <c r="J6051" s="2" t="s">
        <v>102</v>
      </c>
      <c r="K6051" s="2" t="s">
        <v>10572</v>
      </c>
    </row>
    <row r="6052" ht="15.75" customHeight="1">
      <c r="A6052" s="2">
        <v>26161.0</v>
      </c>
      <c r="B6052" s="2" t="s">
        <v>11850</v>
      </c>
      <c r="C6052" s="2" t="s">
        <v>3392</v>
      </c>
      <c r="D6052" s="2" t="s">
        <v>7901</v>
      </c>
      <c r="E6052" s="2" t="s">
        <v>301</v>
      </c>
      <c r="F6052" s="2">
        <v>1.0</v>
      </c>
      <c r="G6052" s="2">
        <v>500.0</v>
      </c>
      <c r="H6052" s="3" t="str">
        <f>HYPERLINK("http://www.linkedin.com/in/micklopez","http://www.linkedin.com/in/micklopez")</f>
        <v>http://www.linkedin.com/in/micklopez</v>
      </c>
      <c r="I6052" s="2" t="s">
        <v>1237</v>
      </c>
      <c r="J6052" s="2" t="s">
        <v>102</v>
      </c>
      <c r="K6052" s="2" t="s">
        <v>10209</v>
      </c>
    </row>
    <row r="6053" ht="15.75" customHeight="1">
      <c r="A6053" s="2">
        <v>26163.0</v>
      </c>
      <c r="B6053" s="2" t="s">
        <v>665</v>
      </c>
      <c r="C6053" s="2" t="s">
        <v>11851</v>
      </c>
      <c r="D6053" s="2" t="s">
        <v>453</v>
      </c>
      <c r="E6053" s="2" t="s">
        <v>1190</v>
      </c>
      <c r="F6053" s="2">
        <v>7.0</v>
      </c>
      <c r="G6053" s="2">
        <v>500.0</v>
      </c>
      <c r="H6053" s="3" t="str">
        <f>HYPERLINK("http://www.linkedin.com/pub/jaime-ponte/1/87A/B94","http://www.linkedin.com/pub/jaime-ponte/1/87A/B94")</f>
        <v>http://www.linkedin.com/pub/jaime-ponte/1/87A/B94</v>
      </c>
      <c r="I6053" s="2" t="s">
        <v>48</v>
      </c>
      <c r="J6053" s="2" t="s">
        <v>102</v>
      </c>
      <c r="K6053" s="2" t="s">
        <v>10298</v>
      </c>
    </row>
    <row r="6054" ht="15.75" customHeight="1">
      <c r="A6054" s="2">
        <v>26167.0</v>
      </c>
      <c r="B6054" s="2" t="s">
        <v>11852</v>
      </c>
      <c r="C6054" s="2" t="s">
        <v>6621</v>
      </c>
      <c r="D6054" s="2" t="s">
        <v>11853</v>
      </c>
      <c r="E6054" s="2" t="s">
        <v>301</v>
      </c>
      <c r="F6054" s="2">
        <v>6.0</v>
      </c>
      <c r="G6054" s="2">
        <v>500.0</v>
      </c>
      <c r="H6054" s="3" t="str">
        <f>HYPERLINK("http://www.linkedin.com/pub/vianeris-ortiz-stiebritz/3/329/58","http://www.linkedin.com/pub/vianeris-ortiz-stiebritz/3/329/58")</f>
        <v>http://www.linkedin.com/pub/vianeris-ortiz-stiebritz/3/329/58</v>
      </c>
      <c r="I6054" s="2" t="s">
        <v>279</v>
      </c>
      <c r="J6054" s="2" t="s">
        <v>102</v>
      </c>
      <c r="K6054" s="2" t="s">
        <v>10206</v>
      </c>
    </row>
    <row r="6055" ht="15.75" customHeight="1">
      <c r="A6055" s="2">
        <v>26168.0</v>
      </c>
      <c r="B6055" s="2" t="s">
        <v>511</v>
      </c>
      <c r="C6055" s="2" t="s">
        <v>11854</v>
      </c>
      <c r="D6055" s="2" t="s">
        <v>4517</v>
      </c>
      <c r="E6055" s="2" t="s">
        <v>1407</v>
      </c>
      <c r="F6055" s="2">
        <v>0.0</v>
      </c>
      <c r="G6055" s="2">
        <v>496.0</v>
      </c>
      <c r="H6055" s="3" t="str">
        <f>HYPERLINK("http://www.linkedin.com/pub/mike-brunner/0/395/856","http://www.linkedin.com/pub/mike-brunner/0/395/856")</f>
        <v>http://www.linkedin.com/pub/mike-brunner/0/395/856</v>
      </c>
      <c r="I6055" s="2" t="s">
        <v>279</v>
      </c>
      <c r="J6055" s="2" t="s">
        <v>102</v>
      </c>
      <c r="K6055" s="2" t="s">
        <v>11855</v>
      </c>
    </row>
    <row r="6056" ht="15.75" customHeight="1">
      <c r="A6056" s="2">
        <v>26169.0</v>
      </c>
      <c r="B6056" s="2" t="s">
        <v>3223</v>
      </c>
      <c r="C6056" s="2" t="s">
        <v>1934</v>
      </c>
      <c r="D6056" s="2" t="s">
        <v>11856</v>
      </c>
      <c r="E6056" s="2" t="s">
        <v>1317</v>
      </c>
      <c r="F6056" s="2">
        <v>0.0</v>
      </c>
      <c r="G6056" s="2">
        <v>500.0</v>
      </c>
      <c r="H6056" s="3" t="str">
        <f>HYPERLINK("http://www.linkedin.com/pub/laura-kelly/7/B5/623","http://www.linkedin.com/pub/laura-kelly/7/B5/623")</f>
        <v>http://www.linkedin.com/pub/laura-kelly/7/B5/623</v>
      </c>
      <c r="I6056" s="2" t="s">
        <v>48</v>
      </c>
      <c r="J6056" s="2" t="s">
        <v>102</v>
      </c>
      <c r="K6056" s="2" t="s">
        <v>10184</v>
      </c>
    </row>
    <row r="6057" ht="15.75" customHeight="1">
      <c r="A6057" s="2">
        <v>26170.0</v>
      </c>
      <c r="B6057" s="2" t="s">
        <v>3895</v>
      </c>
      <c r="C6057" s="2" t="s">
        <v>11857</v>
      </c>
      <c r="D6057" s="2" t="s">
        <v>11858</v>
      </c>
      <c r="E6057" s="2" t="s">
        <v>136</v>
      </c>
      <c r="F6057" s="2">
        <v>3.0</v>
      </c>
      <c r="G6057" s="2">
        <v>455.0</v>
      </c>
      <c r="H6057" s="3" t="str">
        <f>HYPERLINK("http://www.linkedin.com/in/janetguthrie","http://www.linkedin.com/in/janetguthrie")</f>
        <v>http://www.linkedin.com/in/janetguthrie</v>
      </c>
      <c r="I6057" s="2" t="s">
        <v>279</v>
      </c>
      <c r="J6057" s="2" t="s">
        <v>102</v>
      </c>
      <c r="K6057" s="2" t="s">
        <v>10182</v>
      </c>
    </row>
    <row r="6058" ht="15.75" customHeight="1">
      <c r="A6058" s="2">
        <v>26172.0</v>
      </c>
      <c r="B6058" s="2" t="s">
        <v>3667</v>
      </c>
      <c r="C6058" s="2" t="s">
        <v>11859</v>
      </c>
      <c r="D6058" s="2" t="s">
        <v>11860</v>
      </c>
      <c r="E6058" s="2" t="s">
        <v>882</v>
      </c>
      <c r="F6058" s="2" t="s">
        <v>13</v>
      </c>
      <c r="G6058" s="2">
        <v>500.0</v>
      </c>
      <c r="H6058" s="3" t="str">
        <f>HYPERLINK("http://www.linkedin.com/pub/anil-aggarwal/5/406/519","http://www.linkedin.com/pub/anil-aggarwal/5/406/519")</f>
        <v>http://www.linkedin.com/pub/anil-aggarwal/5/406/519</v>
      </c>
      <c r="I6058" s="2" t="s">
        <v>1237</v>
      </c>
      <c r="J6058" s="2" t="s">
        <v>102</v>
      </c>
      <c r="K6058" s="2" t="s">
        <v>11861</v>
      </c>
    </row>
    <row r="6059" ht="15.75" customHeight="1">
      <c r="A6059" s="2">
        <v>26191.0</v>
      </c>
      <c r="B6059" s="2" t="s">
        <v>1296</v>
      </c>
      <c r="C6059" s="2" t="s">
        <v>4867</v>
      </c>
      <c r="D6059" s="2"/>
      <c r="E6059" s="2" t="s">
        <v>11862</v>
      </c>
      <c r="F6059" s="2">
        <v>25.0</v>
      </c>
      <c r="G6059" s="2">
        <v>500.0</v>
      </c>
      <c r="H6059" s="3" t="str">
        <f>HYPERLINK("http://www.linkedin.com/pub/andrea-albert/3/641/AA4","http://www.linkedin.com/pub/andrea-albert/3/641/AA4")</f>
        <v>http://www.linkedin.com/pub/andrea-albert/3/641/AA4</v>
      </c>
      <c r="I6059" s="2" t="s">
        <v>15</v>
      </c>
      <c r="J6059" s="2" t="s">
        <v>102</v>
      </c>
      <c r="K6059" s="2" t="s">
        <v>10184</v>
      </c>
    </row>
    <row r="6060" ht="15.75" customHeight="1">
      <c r="A6060" s="2">
        <v>26204.0</v>
      </c>
      <c r="B6060" s="2" t="s">
        <v>11863</v>
      </c>
      <c r="C6060" s="2" t="s">
        <v>7146</v>
      </c>
      <c r="D6060" s="2"/>
      <c r="E6060" s="2" t="s">
        <v>1407</v>
      </c>
      <c r="F6060" s="2">
        <v>1.0</v>
      </c>
      <c r="G6060" s="2">
        <v>333.0</v>
      </c>
      <c r="H6060" s="3" t="str">
        <f>HYPERLINK("http://www.linkedin.com/pub/eligio-%22lee%22-ramos/3/32A/A15","http://www.linkedin.com/pub/eligio-%22lee%22-ramos/3/32A/A15")</f>
        <v>http://www.linkedin.com/pub/eligio-%22lee%22-ramos/3/32A/A15</v>
      </c>
      <c r="I6060" s="2" t="s">
        <v>15</v>
      </c>
      <c r="J6060" s="2" t="s">
        <v>102</v>
      </c>
      <c r="K6060" s="2" t="s">
        <v>10184</v>
      </c>
    </row>
    <row r="6061" ht="15.75" customHeight="1">
      <c r="A6061" s="2">
        <v>26241.0</v>
      </c>
      <c r="B6061" s="2" t="s">
        <v>492</v>
      </c>
      <c r="C6061" s="2" t="s">
        <v>11864</v>
      </c>
      <c r="D6061" s="2" t="s">
        <v>3440</v>
      </c>
      <c r="E6061" s="2" t="s">
        <v>155</v>
      </c>
      <c r="F6061" s="2">
        <v>17.0</v>
      </c>
      <c r="G6061" s="2">
        <v>500.0</v>
      </c>
      <c r="H6061" s="3" t="str">
        <f>HYPERLINK("http://www.linkedin.com/in/sergiomugnaini","http://www.linkedin.com/in/sergiomugnaini")</f>
        <v>http://www.linkedin.com/in/sergiomugnaini</v>
      </c>
      <c r="I6061" s="2" t="s">
        <v>105</v>
      </c>
      <c r="J6061" s="2" t="s">
        <v>102</v>
      </c>
      <c r="K6061" s="2" t="s">
        <v>10206</v>
      </c>
    </row>
    <row r="6062" ht="15.75" customHeight="1">
      <c r="A6062" s="2">
        <v>26315.0</v>
      </c>
      <c r="B6062" s="2" t="s">
        <v>11865</v>
      </c>
      <c r="C6062" s="2" t="s">
        <v>3392</v>
      </c>
      <c r="D6062" s="2" t="s">
        <v>11866</v>
      </c>
      <c r="E6062" s="2" t="s">
        <v>136</v>
      </c>
      <c r="F6062" s="2">
        <v>11.0</v>
      </c>
      <c r="G6062" s="2">
        <v>375.0</v>
      </c>
      <c r="H6062" s="3" t="str">
        <f>HYPERLINK("http://www.linkedin.com/in/lyndalopez","http://www.linkedin.com/in/lyndalopez")</f>
        <v>http://www.linkedin.com/in/lyndalopez</v>
      </c>
      <c r="I6062" s="2" t="s">
        <v>1452</v>
      </c>
      <c r="J6062" s="2" t="s">
        <v>102</v>
      </c>
      <c r="K6062" s="2" t="s">
        <v>10229</v>
      </c>
    </row>
    <row r="6063" ht="15.75" customHeight="1">
      <c r="A6063" s="2">
        <v>26319.0</v>
      </c>
      <c r="B6063" s="2" t="s">
        <v>2567</v>
      </c>
      <c r="C6063" s="2" t="s">
        <v>59</v>
      </c>
      <c r="D6063" s="2" t="s">
        <v>13</v>
      </c>
      <c r="E6063" s="2" t="s">
        <v>11867</v>
      </c>
      <c r="F6063" s="2">
        <v>0.0</v>
      </c>
      <c r="G6063" s="2">
        <v>500.0</v>
      </c>
      <c r="H6063" s="3" t="str">
        <f>HYPERLINK("http://www.linkedin.com/in/chris37martin","http://www.linkedin.com/in/chris37martin")</f>
        <v>http://www.linkedin.com/in/chris37martin</v>
      </c>
      <c r="I6063" s="2" t="s">
        <v>279</v>
      </c>
      <c r="J6063" s="2" t="s">
        <v>102</v>
      </c>
      <c r="K6063" s="2" t="s">
        <v>10182</v>
      </c>
    </row>
    <row r="6064" ht="15.75" customHeight="1">
      <c r="A6064" s="2">
        <v>26320.0</v>
      </c>
      <c r="B6064" s="2" t="s">
        <v>845</v>
      </c>
      <c r="C6064" s="2" t="s">
        <v>869</v>
      </c>
      <c r="D6064" s="2" t="s">
        <v>11868</v>
      </c>
      <c r="E6064" s="2" t="s">
        <v>136</v>
      </c>
      <c r="F6064" s="2">
        <v>2.0</v>
      </c>
      <c r="G6064" s="2">
        <v>500.0</v>
      </c>
      <c r="H6064" s="3" t="str">
        <f>HYPERLINK("http://www.linkedin.com/pub/david-schwartz/0/151/503","http://www.linkedin.com/pub/david-schwartz/0/151/503")</f>
        <v>http://www.linkedin.com/pub/david-schwartz/0/151/503</v>
      </c>
      <c r="I6064" s="2" t="s">
        <v>279</v>
      </c>
      <c r="J6064" s="2" t="s">
        <v>102</v>
      </c>
      <c r="K6064" s="2" t="s">
        <v>10206</v>
      </c>
    </row>
    <row r="6065" ht="15.75" customHeight="1">
      <c r="A6065" s="2">
        <v>26414.0</v>
      </c>
      <c r="B6065" s="2" t="s">
        <v>11869</v>
      </c>
      <c r="C6065" s="2" t="s">
        <v>4317</v>
      </c>
      <c r="D6065" s="2" t="s">
        <v>11870</v>
      </c>
      <c r="E6065" s="2" t="s">
        <v>4951</v>
      </c>
      <c r="F6065" s="2">
        <v>0.0</v>
      </c>
      <c r="G6065" s="2">
        <v>500.0</v>
      </c>
      <c r="H6065" s="3" t="str">
        <f>HYPERLINK("http://www.linkedin.com/in/xjwang808","http://www.linkedin.com/in/xjwang808")</f>
        <v>http://www.linkedin.com/in/xjwang808</v>
      </c>
      <c r="I6065" s="2" t="s">
        <v>1496</v>
      </c>
      <c r="J6065" s="2" t="s">
        <v>102</v>
      </c>
      <c r="K6065" s="2" t="s">
        <v>10187</v>
      </c>
    </row>
    <row r="6066" ht="15.75" customHeight="1">
      <c r="A6066" s="2">
        <v>26415.0</v>
      </c>
      <c r="B6066" s="2" t="s">
        <v>1232</v>
      </c>
      <c r="C6066" s="2" t="s">
        <v>11871</v>
      </c>
      <c r="D6066" s="2"/>
      <c r="E6066" s="2" t="s">
        <v>713</v>
      </c>
      <c r="F6066" s="2">
        <v>4.0</v>
      </c>
      <c r="G6066" s="2">
        <v>500.0</v>
      </c>
      <c r="H6066" s="3" t="str">
        <f>HYPERLINK("http://www.linkedin.com/pub/roger-entner/0/7B2/2A3","http://www.linkedin.com/pub/roger-entner/0/7B2/2A3")</f>
        <v>http://www.linkedin.com/pub/roger-entner/0/7B2/2A3</v>
      </c>
      <c r="I6066" s="2" t="s">
        <v>77</v>
      </c>
      <c r="J6066" s="2" t="s">
        <v>102</v>
      </c>
      <c r="K6066" s="2" t="s">
        <v>10229</v>
      </c>
    </row>
    <row r="6067" ht="15.75" customHeight="1">
      <c r="A6067" s="2">
        <v>26428.0</v>
      </c>
      <c r="B6067" s="2" t="s">
        <v>152</v>
      </c>
      <c r="C6067" s="2" t="s">
        <v>11872</v>
      </c>
      <c r="D6067" s="2"/>
      <c r="E6067" s="2" t="s">
        <v>1407</v>
      </c>
      <c r="F6067" s="2">
        <v>3.0</v>
      </c>
      <c r="G6067" s="2">
        <v>500.0</v>
      </c>
      <c r="H6067" s="3" t="str">
        <f>HYPERLINK("http://www.linkedin.com/in/eduardoaraujo2009","http://www.linkedin.com/in/eduardoaraujo2009")</f>
        <v>http://www.linkedin.com/in/eduardoaraujo2009</v>
      </c>
      <c r="I6067" s="2" t="s">
        <v>77</v>
      </c>
      <c r="J6067" s="2" t="s">
        <v>102</v>
      </c>
      <c r="K6067" s="2" t="s">
        <v>10229</v>
      </c>
    </row>
    <row r="6068" ht="15.75" customHeight="1">
      <c r="A6068" s="2">
        <v>26489.0</v>
      </c>
      <c r="B6068" s="2" t="s">
        <v>609</v>
      </c>
      <c r="C6068" s="2" t="s">
        <v>11873</v>
      </c>
      <c r="D6068" s="2"/>
      <c r="E6068" s="2" t="s">
        <v>3516</v>
      </c>
      <c r="F6068" s="2">
        <v>28.0</v>
      </c>
      <c r="G6068" s="2">
        <v>500.0</v>
      </c>
      <c r="H6068" s="3" t="str">
        <f>HYPERLINK("http://www.linkedin.com/pub/ricardo-zalcman/0/160/7A9","http://www.linkedin.com/pub/ricardo-zalcman/0/160/7A9")</f>
        <v>http://www.linkedin.com/pub/ricardo-zalcman/0/160/7A9</v>
      </c>
      <c r="I6068" s="2" t="s">
        <v>15</v>
      </c>
      <c r="J6068" s="2" t="s">
        <v>102</v>
      </c>
      <c r="K6068" s="2" t="s">
        <v>10184</v>
      </c>
    </row>
    <row r="6069" ht="15.75" customHeight="1">
      <c r="A6069" s="2">
        <v>26509.0</v>
      </c>
      <c r="B6069" s="2" t="s">
        <v>1934</v>
      </c>
      <c r="C6069" s="2" t="s">
        <v>4471</v>
      </c>
      <c r="D6069" s="2" t="s">
        <v>13</v>
      </c>
      <c r="E6069" s="2" t="s">
        <v>1190</v>
      </c>
      <c r="F6069" s="2">
        <v>0.0</v>
      </c>
      <c r="G6069" s="2">
        <v>500.0</v>
      </c>
      <c r="H6069" s="3" t="str">
        <f>HYPERLINK("https://www.linkedin.com/in/kellyjoyce","https://www.linkedin.com/in/kellyjoyce")</f>
        <v>https://www.linkedin.com/in/kellyjoyce</v>
      </c>
      <c r="I6069" s="2" t="s">
        <v>15</v>
      </c>
      <c r="J6069" s="2" t="s">
        <v>102</v>
      </c>
      <c r="K6069" s="2" t="s">
        <v>11722</v>
      </c>
    </row>
    <row r="6070" ht="15.75" customHeight="1">
      <c r="A6070" s="2">
        <v>26513.0</v>
      </c>
      <c r="B6070" s="2" t="s">
        <v>197</v>
      </c>
      <c r="C6070" s="2" t="s">
        <v>3015</v>
      </c>
      <c r="D6070" s="2"/>
      <c r="E6070" s="2" t="s">
        <v>136</v>
      </c>
      <c r="F6070" s="2">
        <v>0.0</v>
      </c>
      <c r="G6070" s="2">
        <v>38.0</v>
      </c>
      <c r="H6070" s="3" t="str">
        <f>HYPERLINK("http://www.linkedin.com/pub/hector-luciano/0/17A/A9","http://www.linkedin.com/pub/hector-luciano/0/17A/A9")</f>
        <v>http://www.linkedin.com/pub/hector-luciano/0/17A/A9</v>
      </c>
      <c r="I6070" s="2" t="s">
        <v>48</v>
      </c>
      <c r="J6070" s="2" t="s">
        <v>102</v>
      </c>
      <c r="K6070" s="2" t="s">
        <v>10184</v>
      </c>
    </row>
    <row r="6071" ht="15.75" customHeight="1">
      <c r="A6071" s="2">
        <v>26519.0</v>
      </c>
      <c r="B6071" s="2" t="s">
        <v>5322</v>
      </c>
      <c r="C6071" s="2" t="s">
        <v>11874</v>
      </c>
      <c r="D6071" s="2" t="s">
        <v>11875</v>
      </c>
      <c r="E6071" s="2" t="s">
        <v>713</v>
      </c>
      <c r="F6071" s="2">
        <v>0.0</v>
      </c>
      <c r="G6071" s="2">
        <v>275.0</v>
      </c>
      <c r="H6071" s="3" t="str">
        <f>HYPERLINK("http://www.linkedin.com/pub/amber-jozokos/3/B35/B29","http://www.linkedin.com/pub/amber-jozokos/3/B35/B29")</f>
        <v>http://www.linkedin.com/pub/amber-jozokos/3/B35/B29</v>
      </c>
      <c r="I6071" s="2" t="s">
        <v>77</v>
      </c>
      <c r="J6071" s="2" t="s">
        <v>102</v>
      </c>
      <c r="K6071" s="2" t="s">
        <v>10674</v>
      </c>
    </row>
    <row r="6072" ht="15.75" customHeight="1">
      <c r="A6072" s="2">
        <v>26582.0</v>
      </c>
      <c r="B6072" s="2" t="s">
        <v>11275</v>
      </c>
      <c r="C6072" s="2" t="s">
        <v>8932</v>
      </c>
      <c r="D6072" s="2"/>
      <c r="E6072" s="2" t="s">
        <v>1190</v>
      </c>
      <c r="F6072" s="2">
        <v>3.0</v>
      </c>
      <c r="G6072" s="2">
        <v>500.0</v>
      </c>
      <c r="H6072" s="3" t="str">
        <f>HYPERLINK("http://www.linkedin.com/pub/reinaldo-acosta/1/ABA/208","http://www.linkedin.com/pub/reinaldo-acosta/1/ABA/208")</f>
        <v>http://www.linkedin.com/pub/reinaldo-acosta/1/ABA/208</v>
      </c>
      <c r="I6072" s="2" t="s">
        <v>77</v>
      </c>
      <c r="J6072" s="2" t="s">
        <v>102</v>
      </c>
      <c r="K6072" s="2" t="s">
        <v>10229</v>
      </c>
    </row>
    <row r="6073" ht="15.75" customHeight="1">
      <c r="A6073" s="2">
        <v>26590.0</v>
      </c>
      <c r="B6073" s="2" t="s">
        <v>11876</v>
      </c>
      <c r="C6073" s="2" t="s">
        <v>11877</v>
      </c>
      <c r="D6073" s="2" t="s">
        <v>11878</v>
      </c>
      <c r="E6073" s="2" t="s">
        <v>914</v>
      </c>
      <c r="F6073" s="2">
        <v>4.0</v>
      </c>
      <c r="G6073" s="2">
        <v>500.0</v>
      </c>
      <c r="H6073" s="3" t="str">
        <f>HYPERLINK("http://www.linkedin.com/in/lironsd","http://www.linkedin.com/in/lironsd")</f>
        <v>http://www.linkedin.com/in/lironsd</v>
      </c>
      <c r="I6073" s="2" t="s">
        <v>48</v>
      </c>
      <c r="J6073" s="2" t="s">
        <v>102</v>
      </c>
      <c r="K6073" s="2" t="s">
        <v>10233</v>
      </c>
    </row>
    <row r="6074" ht="15.75" customHeight="1">
      <c r="A6074" s="2">
        <v>26592.0</v>
      </c>
      <c r="B6074" s="2" t="s">
        <v>11879</v>
      </c>
      <c r="C6074" s="2" t="s">
        <v>11880</v>
      </c>
      <c r="D6074" s="2" t="s">
        <v>11881</v>
      </c>
      <c r="E6074" s="2" t="s">
        <v>914</v>
      </c>
      <c r="F6074" s="2">
        <v>8.0</v>
      </c>
      <c r="G6074" s="2">
        <v>500.0</v>
      </c>
      <c r="H6074" s="3" t="str">
        <f>HYPERLINK("http://www.linkedin.com/in/dirckschou","http://www.linkedin.com/in/dirckschou")</f>
        <v>http://www.linkedin.com/in/dirckschou</v>
      </c>
      <c r="I6074" s="2" t="s">
        <v>48</v>
      </c>
      <c r="J6074" s="2" t="s">
        <v>102</v>
      </c>
      <c r="K6074" s="2" t="s">
        <v>10233</v>
      </c>
    </row>
    <row r="6075" ht="15.75" customHeight="1">
      <c r="A6075" s="2">
        <v>26594.0</v>
      </c>
      <c r="B6075" s="2" t="s">
        <v>3036</v>
      </c>
      <c r="C6075" s="2" t="s">
        <v>820</v>
      </c>
      <c r="D6075" s="2"/>
      <c r="E6075" s="2" t="s">
        <v>2058</v>
      </c>
      <c r="F6075" s="2">
        <v>9.0</v>
      </c>
      <c r="G6075" s="2">
        <v>467.0</v>
      </c>
      <c r="H6075" s="3" t="str">
        <f>HYPERLINK("http://www.linkedin.com/in/sarajmoore","http://www.linkedin.com/in/sarajmoore")</f>
        <v>http://www.linkedin.com/in/sarajmoore</v>
      </c>
      <c r="I6075" s="2" t="s">
        <v>1496</v>
      </c>
      <c r="J6075" s="2" t="s">
        <v>102</v>
      </c>
      <c r="K6075" s="2" t="s">
        <v>10187</v>
      </c>
    </row>
    <row r="6076" ht="15.75" customHeight="1">
      <c r="A6076" s="2">
        <v>26628.0</v>
      </c>
      <c r="B6076" s="2" t="s">
        <v>5495</v>
      </c>
      <c r="C6076" s="2" t="s">
        <v>7146</v>
      </c>
      <c r="D6076" s="2" t="s">
        <v>4918</v>
      </c>
      <c r="E6076" s="2" t="s">
        <v>11882</v>
      </c>
      <c r="F6076" s="2">
        <v>1.0</v>
      </c>
      <c r="G6076" s="2">
        <v>500.0</v>
      </c>
      <c r="H6076" s="3" t="str">
        <f>HYPERLINK("https://www.linkedin.com/in/srfframos","https://www.linkedin.com/in/srfframos")</f>
        <v>https://www.linkedin.com/in/srfframos</v>
      </c>
      <c r="I6076" s="2" t="s">
        <v>15</v>
      </c>
      <c r="J6076" s="2" t="s">
        <v>34</v>
      </c>
      <c r="K6076" s="2" t="s">
        <v>10233</v>
      </c>
    </row>
    <row r="6077" ht="15.75" customHeight="1">
      <c r="A6077" s="2">
        <v>26656.0</v>
      </c>
      <c r="B6077" s="2" t="s">
        <v>348</v>
      </c>
      <c r="C6077" s="2" t="s">
        <v>11883</v>
      </c>
      <c r="D6077" s="2" t="s">
        <v>11884</v>
      </c>
      <c r="E6077" s="2" t="s">
        <v>1329</v>
      </c>
      <c r="F6077" s="2">
        <v>8.0</v>
      </c>
      <c r="G6077" s="2">
        <v>402.0</v>
      </c>
      <c r="H6077" s="3" t="str">
        <f>HYPERLINK("http://www.linkedin.com/in/kimdziedzic","http://www.linkedin.com/in/kimdziedzic")</f>
        <v>http://www.linkedin.com/in/kimdziedzic</v>
      </c>
      <c r="I6077" s="2" t="s">
        <v>2268</v>
      </c>
      <c r="J6077" s="2" t="s">
        <v>102</v>
      </c>
      <c r="K6077" s="2" t="s">
        <v>10206</v>
      </c>
    </row>
    <row r="6078" ht="15.75" customHeight="1">
      <c r="A6078" s="2">
        <v>26657.0</v>
      </c>
      <c r="B6078" s="2" t="s">
        <v>2353</v>
      </c>
      <c r="C6078" s="2" t="s">
        <v>11885</v>
      </c>
      <c r="D6078" s="2" t="s">
        <v>11886</v>
      </c>
      <c r="E6078" s="2" t="s">
        <v>1329</v>
      </c>
      <c r="F6078" s="2">
        <v>17.0</v>
      </c>
      <c r="G6078" s="2">
        <v>500.0</v>
      </c>
      <c r="H6078" s="3" t="str">
        <f>HYPERLINK("http://www.linkedin.com/in/sarahbeckley","http://www.linkedin.com/in/sarahbeckley")</f>
        <v>http://www.linkedin.com/in/sarahbeckley</v>
      </c>
      <c r="I6078" s="2" t="s">
        <v>105</v>
      </c>
      <c r="J6078" s="2" t="s">
        <v>102</v>
      </c>
      <c r="K6078" s="2" t="s">
        <v>10206</v>
      </c>
    </row>
    <row r="6079" ht="15.75" customHeight="1">
      <c r="A6079" s="2">
        <v>26658.0</v>
      </c>
      <c r="B6079" s="2" t="s">
        <v>5408</v>
      </c>
      <c r="C6079" s="2" t="s">
        <v>11887</v>
      </c>
      <c r="D6079" s="2" t="s">
        <v>11888</v>
      </c>
      <c r="E6079" s="2" t="s">
        <v>628</v>
      </c>
      <c r="F6079" s="2">
        <v>21.0</v>
      </c>
      <c r="G6079" s="2">
        <v>500.0</v>
      </c>
      <c r="H6079" s="3" t="str">
        <f>HYPERLINK("http://www.linkedin.com/in/aaronhuston","http://www.linkedin.com/in/aaronhuston")</f>
        <v>http://www.linkedin.com/in/aaronhuston</v>
      </c>
      <c r="I6079" s="2" t="s">
        <v>48</v>
      </c>
      <c r="J6079" s="2" t="s">
        <v>102</v>
      </c>
      <c r="K6079" s="2" t="s">
        <v>10263</v>
      </c>
    </row>
    <row r="6080" ht="15.75" customHeight="1">
      <c r="A6080" s="2">
        <v>26660.0</v>
      </c>
      <c r="B6080" s="2" t="s">
        <v>2522</v>
      </c>
      <c r="C6080" s="2" t="s">
        <v>11889</v>
      </c>
      <c r="D6080" s="2" t="s">
        <v>11890</v>
      </c>
      <c r="E6080" s="2" t="s">
        <v>628</v>
      </c>
      <c r="F6080" s="2">
        <v>6.0</v>
      </c>
      <c r="G6080" s="2">
        <v>303.0</v>
      </c>
      <c r="H6080" s="3" t="str">
        <f>HYPERLINK("http://www.linkedin.com/pub/lauren-bittner/0/265/A80","http://www.linkedin.com/pub/lauren-bittner/0/265/A80")</f>
        <v>http://www.linkedin.com/pub/lauren-bittner/0/265/A80</v>
      </c>
      <c r="I6080" s="2" t="s">
        <v>669</v>
      </c>
      <c r="J6080" s="2" t="s">
        <v>102</v>
      </c>
      <c r="K6080" s="2" t="s">
        <v>10184</v>
      </c>
    </row>
    <row r="6081" ht="15.75" customHeight="1">
      <c r="A6081" s="2">
        <v>26674.0</v>
      </c>
      <c r="B6081" s="2" t="s">
        <v>7663</v>
      </c>
      <c r="C6081" s="2" t="s">
        <v>11891</v>
      </c>
      <c r="D6081" s="2"/>
      <c r="E6081" s="2" t="s">
        <v>301</v>
      </c>
      <c r="F6081" s="2">
        <v>15.0</v>
      </c>
      <c r="G6081" s="2">
        <v>500.0</v>
      </c>
      <c r="H6081" s="3" t="str">
        <f>HYPERLINK("http://www.linkedin.com/in/leonherszon","http://www.linkedin.com/in/leonherszon")</f>
        <v>http://www.linkedin.com/in/leonherszon</v>
      </c>
      <c r="I6081" s="2" t="s">
        <v>1390</v>
      </c>
      <c r="J6081" s="2" t="s">
        <v>102</v>
      </c>
      <c r="K6081" s="2" t="s">
        <v>10206</v>
      </c>
    </row>
    <row r="6082" ht="15.75" customHeight="1">
      <c r="A6082" s="2">
        <v>26696.0</v>
      </c>
      <c r="B6082" s="2" t="s">
        <v>2350</v>
      </c>
      <c r="C6082" s="2" t="s">
        <v>2848</v>
      </c>
      <c r="D6082" s="2" t="s">
        <v>11892</v>
      </c>
      <c r="E6082" s="2" t="s">
        <v>136</v>
      </c>
      <c r="F6082" s="2">
        <v>32.0</v>
      </c>
      <c r="G6082" s="2">
        <v>500.0</v>
      </c>
      <c r="H6082" s="3" t="str">
        <f>HYPERLINK("http://www.linkedin.com/in/fredlima","http://www.linkedin.com/in/fredlima")</f>
        <v>http://www.linkedin.com/in/fredlima</v>
      </c>
      <c r="I6082" s="2" t="s">
        <v>279</v>
      </c>
      <c r="J6082" s="2" t="s">
        <v>102</v>
      </c>
      <c r="K6082" s="2" t="s">
        <v>10206</v>
      </c>
    </row>
    <row r="6083" ht="15.75" customHeight="1">
      <c r="A6083" s="2">
        <v>26722.0</v>
      </c>
      <c r="B6083" s="2" t="s">
        <v>11893</v>
      </c>
      <c r="C6083" s="2" t="s">
        <v>1619</v>
      </c>
      <c r="D6083" s="2"/>
      <c r="E6083" s="2" t="s">
        <v>914</v>
      </c>
      <c r="F6083" s="2">
        <v>4.0</v>
      </c>
      <c r="G6083" s="2">
        <v>500.0</v>
      </c>
      <c r="H6083" s="3" t="str">
        <f>HYPERLINK("http://www.linkedin.com/pub/saumil-gandhi/0/3B3/AA","http://www.linkedin.com/pub/saumil-gandhi/0/3B3/AA")</f>
        <v>http://www.linkedin.com/pub/saumil-gandhi/0/3B3/AA</v>
      </c>
      <c r="I6083" s="2" t="s">
        <v>15</v>
      </c>
      <c r="J6083" s="2" t="s">
        <v>102</v>
      </c>
      <c r="K6083" s="2" t="s">
        <v>10233</v>
      </c>
    </row>
    <row r="6084" ht="15.75" customHeight="1">
      <c r="A6084" s="2">
        <v>26818.0</v>
      </c>
      <c r="B6084" s="2" t="s">
        <v>11894</v>
      </c>
      <c r="C6084" s="2" t="s">
        <v>10131</v>
      </c>
      <c r="D6084" s="2" t="s">
        <v>11895</v>
      </c>
      <c r="E6084" s="2" t="s">
        <v>1190</v>
      </c>
      <c r="F6084" s="2">
        <v>8.0</v>
      </c>
      <c r="G6084" s="2">
        <v>145.0</v>
      </c>
      <c r="H6084" s="3" t="str">
        <f>HYPERLINK("http://www.linkedin.com/in/geraldolavin","http://www.linkedin.com/in/geraldolavin")</f>
        <v>http://www.linkedin.com/in/geraldolavin</v>
      </c>
      <c r="I6084" s="2" t="s">
        <v>279</v>
      </c>
      <c r="J6084" s="2" t="s">
        <v>102</v>
      </c>
      <c r="K6084" s="2" t="s">
        <v>10380</v>
      </c>
    </row>
    <row r="6085" ht="15.75" customHeight="1">
      <c r="A6085" s="2">
        <v>26871.0</v>
      </c>
      <c r="B6085" s="2" t="s">
        <v>842</v>
      </c>
      <c r="C6085" s="2" t="s">
        <v>2045</v>
      </c>
      <c r="D6085" s="2" t="s">
        <v>11896</v>
      </c>
      <c r="E6085" s="2" t="s">
        <v>1190</v>
      </c>
      <c r="F6085" s="2">
        <v>6.0</v>
      </c>
      <c r="G6085" s="2">
        <v>493.0</v>
      </c>
      <c r="H6085" s="3" t="str">
        <f>HYPERLINK("http://www.linkedin.com/pub/stuart-eaton/0/5A7/531","http://www.linkedin.com/pub/stuart-eaton/0/5A7/531")</f>
        <v>http://www.linkedin.com/pub/stuart-eaton/0/5A7/531</v>
      </c>
      <c r="I6085" s="2" t="s">
        <v>77</v>
      </c>
      <c r="J6085" s="2" t="s">
        <v>102</v>
      </c>
      <c r="K6085" s="2" t="s">
        <v>10229</v>
      </c>
    </row>
    <row r="6086" ht="15.75" customHeight="1">
      <c r="A6086" s="2">
        <v>26941.0</v>
      </c>
      <c r="B6086" s="2" t="s">
        <v>11897</v>
      </c>
      <c r="C6086" s="2" t="s">
        <v>11898</v>
      </c>
      <c r="D6086" s="2" t="s">
        <v>517</v>
      </c>
      <c r="E6086" s="2" t="s">
        <v>136</v>
      </c>
      <c r="F6086" s="2">
        <v>0.0</v>
      </c>
      <c r="G6086" s="2">
        <v>500.0</v>
      </c>
      <c r="H6086" s="3" t="str">
        <f>HYPERLINK("http://www.linkedin.com/in/elizelkha","http://www.linkedin.com/in/elizelkha")</f>
        <v>http://www.linkedin.com/in/elizelkha</v>
      </c>
      <c r="I6086" s="2" t="s">
        <v>240</v>
      </c>
      <c r="J6086" s="2" t="s">
        <v>102</v>
      </c>
      <c r="K6086" s="2" t="s">
        <v>10184</v>
      </c>
    </row>
    <row r="6087" ht="15.75" customHeight="1">
      <c r="A6087" s="2">
        <v>26943.0</v>
      </c>
      <c r="B6087" s="2" t="s">
        <v>1458</v>
      </c>
      <c r="C6087" s="2" t="s">
        <v>11899</v>
      </c>
      <c r="D6087" s="2"/>
      <c r="E6087" s="2" t="s">
        <v>136</v>
      </c>
      <c r="F6087" s="2">
        <v>4.0</v>
      </c>
      <c r="G6087" s="2">
        <v>500.0</v>
      </c>
      <c r="H6087" s="3" t="str">
        <f>HYPERLINK("http://www.linkedin.com/pub/todd-krautkremer/0/4A6/40A","http://www.linkedin.com/pub/todd-krautkremer/0/4A6/40A")</f>
        <v>http://www.linkedin.com/pub/todd-krautkremer/0/4A6/40A</v>
      </c>
      <c r="I6087" s="2" t="s">
        <v>873</v>
      </c>
      <c r="J6087" s="2" t="s">
        <v>102</v>
      </c>
      <c r="K6087" s="2" t="s">
        <v>10206</v>
      </c>
    </row>
    <row r="6088" ht="15.75" customHeight="1">
      <c r="A6088" s="2">
        <v>26956.0</v>
      </c>
      <c r="B6088" s="2" t="s">
        <v>314</v>
      </c>
      <c r="C6088" s="2" t="s">
        <v>11900</v>
      </c>
      <c r="D6088" s="2" t="s">
        <v>11901</v>
      </c>
      <c r="E6088" s="2" t="s">
        <v>11902</v>
      </c>
      <c r="F6088" s="2">
        <v>30.0</v>
      </c>
      <c r="G6088" s="2">
        <v>401.0</v>
      </c>
      <c r="H6088" s="3" t="str">
        <f>HYPERLINK("http://www.linkedin.com/in/marcoscantarelli","http://www.linkedin.com/in/marcoscantarelli")</f>
        <v>http://www.linkedin.com/in/marcoscantarelli</v>
      </c>
      <c r="I6088" s="2" t="s">
        <v>873</v>
      </c>
      <c r="J6088" s="2" t="s">
        <v>102</v>
      </c>
      <c r="K6088" s="2" t="s">
        <v>10263</v>
      </c>
    </row>
    <row r="6089" ht="15.75" customHeight="1">
      <c r="A6089" s="2">
        <v>27089.0</v>
      </c>
      <c r="B6089" s="2" t="s">
        <v>605</v>
      </c>
      <c r="C6089" s="2" t="s">
        <v>11903</v>
      </c>
      <c r="D6089" s="2" t="s">
        <v>11904</v>
      </c>
      <c r="E6089" s="2" t="s">
        <v>1407</v>
      </c>
      <c r="F6089" s="2">
        <v>21.0</v>
      </c>
      <c r="G6089" s="2">
        <v>500.0</v>
      </c>
      <c r="H6089" s="3" t="str">
        <f>HYPERLINK("http://www.linkedin.com/in/rmora","http://www.linkedin.com/in/rmora")</f>
        <v>http://www.linkedin.com/in/rmora</v>
      </c>
      <c r="I6089" s="2" t="s">
        <v>873</v>
      </c>
      <c r="J6089" s="2" t="s">
        <v>102</v>
      </c>
      <c r="K6089" s="2" t="s">
        <v>10180</v>
      </c>
    </row>
    <row r="6090" ht="15.75" customHeight="1">
      <c r="A6090" s="2">
        <v>27100.0</v>
      </c>
      <c r="B6090" s="2" t="s">
        <v>353</v>
      </c>
      <c r="C6090" s="2" t="s">
        <v>11905</v>
      </c>
      <c r="D6090" s="2" t="s">
        <v>13</v>
      </c>
      <c r="E6090" s="2" t="s">
        <v>20</v>
      </c>
      <c r="F6090" s="2">
        <v>0.0</v>
      </c>
      <c r="G6090" s="2">
        <v>500.0</v>
      </c>
      <c r="H6090" s="3" t="str">
        <f>HYPERLINK("http://www.linkedin.com/pub/alejandro-rabboni/4/3b8/164","http://www.linkedin.com/pub/alejandro-rabboni/4/3b8/164")</f>
        <v>http://www.linkedin.com/pub/alejandro-rabboni/4/3b8/164</v>
      </c>
      <c r="I6090" s="2" t="s">
        <v>77</v>
      </c>
      <c r="J6090" s="2" t="s">
        <v>21</v>
      </c>
      <c r="K6090" s="2" t="s">
        <v>11188</v>
      </c>
    </row>
    <row r="6091" ht="15.75" customHeight="1">
      <c r="A6091" s="2">
        <v>27132.0</v>
      </c>
      <c r="B6091" s="2" t="s">
        <v>11906</v>
      </c>
      <c r="C6091" s="2" t="s">
        <v>11907</v>
      </c>
      <c r="D6091" s="2" t="s">
        <v>13</v>
      </c>
      <c r="E6091" s="2" t="s">
        <v>20</v>
      </c>
      <c r="F6091" s="2">
        <v>1.0</v>
      </c>
      <c r="G6091" s="2">
        <v>500.0</v>
      </c>
      <c r="H6091" s="3" t="str">
        <f>HYPERLINK("http://www.linkedin.com/pub/ernesto-cristian-marzik/22/a37/563","http://www.linkedin.com/pub/ernesto-cristian-marzik/22/a37/563")</f>
        <v>http://www.linkedin.com/pub/ernesto-cristian-marzik/22/a37/563</v>
      </c>
      <c r="I6091" s="2" t="s">
        <v>279</v>
      </c>
      <c r="J6091" s="2" t="s">
        <v>21</v>
      </c>
      <c r="K6091" s="2" t="s">
        <v>10229</v>
      </c>
    </row>
    <row r="6092" ht="15.75" customHeight="1">
      <c r="A6092" s="2">
        <v>27153.0</v>
      </c>
      <c r="B6092" s="2" t="s">
        <v>3223</v>
      </c>
      <c r="C6092" s="2" t="s">
        <v>11908</v>
      </c>
      <c r="D6092" s="2" t="s">
        <v>42</v>
      </c>
      <c r="E6092" s="2" t="s">
        <v>20</v>
      </c>
      <c r="F6092" s="2">
        <v>1.0</v>
      </c>
      <c r="G6092" s="2">
        <v>500.0</v>
      </c>
      <c r="H6092" s="3" t="str">
        <f>HYPERLINK("http://ar.linkedin.com/pub/laura-palmer/A/429/988","http://ar.linkedin.com/pub/laura-palmer/A/429/988")</f>
        <v>http://ar.linkedin.com/pub/laura-palmer/A/429/988</v>
      </c>
      <c r="I6092" s="2" t="s">
        <v>458</v>
      </c>
      <c r="J6092" s="2" t="s">
        <v>21</v>
      </c>
      <c r="K6092" s="2" t="s">
        <v>10176</v>
      </c>
    </row>
    <row r="6093" ht="15.75" customHeight="1">
      <c r="A6093" s="2">
        <v>27181.0</v>
      </c>
      <c r="B6093" s="2" t="s">
        <v>329</v>
      </c>
      <c r="C6093" s="2" t="s">
        <v>11909</v>
      </c>
      <c r="D6093" s="2" t="s">
        <v>11910</v>
      </c>
      <c r="E6093" s="2" t="s">
        <v>20</v>
      </c>
      <c r="F6093" s="2">
        <v>14.0</v>
      </c>
      <c r="G6093" s="2">
        <v>239.0</v>
      </c>
      <c r="H6093" s="3" t="str">
        <f>HYPERLINK("http://ar.linkedin.com/pub/juan-pablo-ojeda/8/941/32","http://ar.linkedin.com/pub/juan-pablo-ojeda/8/941/32")</f>
        <v>http://ar.linkedin.com/pub/juan-pablo-ojeda/8/941/32</v>
      </c>
      <c r="I6093" s="2" t="s">
        <v>15</v>
      </c>
      <c r="J6093" s="2" t="s">
        <v>21</v>
      </c>
      <c r="K6093" s="2" t="s">
        <v>10196</v>
      </c>
    </row>
    <row r="6094" ht="15.75" customHeight="1">
      <c r="A6094" s="2">
        <v>27182.0</v>
      </c>
      <c r="B6094" s="2" t="s">
        <v>5728</v>
      </c>
      <c r="C6094" s="2" t="s">
        <v>4391</v>
      </c>
      <c r="D6094" s="2" t="s">
        <v>11911</v>
      </c>
      <c r="E6094" s="2" t="s">
        <v>20</v>
      </c>
      <c r="F6094" s="2">
        <v>8.0</v>
      </c>
      <c r="G6094" s="2">
        <v>212.0</v>
      </c>
      <c r="H6094" s="3" t="str">
        <f>HYPERLINK("http://ar.linkedin.com/in/maximilianovillarreal","http://ar.linkedin.com/in/maximilianovillarreal")</f>
        <v>http://ar.linkedin.com/in/maximilianovillarreal</v>
      </c>
      <c r="I6094" s="2" t="s">
        <v>15</v>
      </c>
      <c r="J6094" s="2" t="s">
        <v>21</v>
      </c>
      <c r="K6094" s="2" t="s">
        <v>10196</v>
      </c>
    </row>
    <row r="6095" ht="15.75" customHeight="1">
      <c r="A6095" s="2">
        <v>27245.0</v>
      </c>
      <c r="B6095" s="2" t="s">
        <v>862</v>
      </c>
      <c r="C6095" s="2" t="s">
        <v>11912</v>
      </c>
      <c r="D6095" s="2" t="s">
        <v>289</v>
      </c>
      <c r="E6095" s="2" t="s">
        <v>20</v>
      </c>
      <c r="F6095" s="2" t="s">
        <v>13</v>
      </c>
      <c r="G6095" s="2">
        <v>369.0</v>
      </c>
      <c r="H6095" s="3" t="str">
        <f>HYPERLINK("http://ar.linkedin.com/pub/gabriel-leonetti/A/113/873","http://ar.linkedin.com/pub/gabriel-leonetti/A/113/873")</f>
        <v>http://ar.linkedin.com/pub/gabriel-leonetti/A/113/873</v>
      </c>
      <c r="I6095" s="2" t="s">
        <v>1740</v>
      </c>
      <c r="J6095" s="2" t="s">
        <v>21</v>
      </c>
      <c r="K6095" s="2" t="s">
        <v>10209</v>
      </c>
    </row>
    <row r="6096" ht="15.75" customHeight="1">
      <c r="A6096" s="2">
        <v>27255.0</v>
      </c>
      <c r="B6096" s="2" t="s">
        <v>2508</v>
      </c>
      <c r="C6096" s="2" t="s">
        <v>11913</v>
      </c>
      <c r="D6096" s="2" t="s">
        <v>13</v>
      </c>
      <c r="E6096" s="2" t="s">
        <v>20</v>
      </c>
      <c r="F6096" s="2">
        <v>0.0</v>
      </c>
      <c r="G6096" s="2">
        <v>351.0</v>
      </c>
      <c r="H6096" s="3" t="str">
        <f>HYPERLINK("http://www.linkedin.com/pub/leo-bagnato/8/440/928","http://www.linkedin.com/pub/leo-bagnato/8/440/928")</f>
        <v>http://www.linkedin.com/pub/leo-bagnato/8/440/928</v>
      </c>
      <c r="I6096" s="2" t="s">
        <v>475</v>
      </c>
      <c r="J6096" s="2" t="s">
        <v>21</v>
      </c>
      <c r="K6096" s="2" t="s">
        <v>10371</v>
      </c>
    </row>
    <row r="6097" ht="15.75" customHeight="1">
      <c r="A6097" s="2">
        <v>27304.0</v>
      </c>
      <c r="B6097" s="2" t="s">
        <v>11914</v>
      </c>
      <c r="C6097" s="2" t="s">
        <v>11915</v>
      </c>
      <c r="D6097" s="2" t="s">
        <v>1674</v>
      </c>
      <c r="E6097" s="2" t="s">
        <v>20</v>
      </c>
      <c r="F6097" s="2">
        <v>7.0</v>
      </c>
      <c r="G6097" s="2">
        <v>262.0</v>
      </c>
      <c r="H6097" s="3" t="str">
        <f>HYPERLINK("http://ar.linkedin.com/in/miguellivi","http://ar.linkedin.com/in/miguellivi")</f>
        <v>http://ar.linkedin.com/in/miguellivi</v>
      </c>
      <c r="I6097" s="2" t="s">
        <v>1728</v>
      </c>
      <c r="J6097" s="2" t="s">
        <v>21</v>
      </c>
      <c r="K6097" s="2" t="s">
        <v>10482</v>
      </c>
    </row>
    <row r="6098" ht="15.75" customHeight="1">
      <c r="A6098" s="2">
        <v>27355.0</v>
      </c>
      <c r="B6098" s="2" t="s">
        <v>7403</v>
      </c>
      <c r="C6098" s="2" t="s">
        <v>11916</v>
      </c>
      <c r="D6098" s="2" t="s">
        <v>13</v>
      </c>
      <c r="E6098" s="2" t="s">
        <v>20</v>
      </c>
      <c r="F6098" s="2">
        <v>0.0</v>
      </c>
      <c r="G6098" s="2">
        <v>142.0</v>
      </c>
      <c r="H6098" s="3" t="str">
        <f>HYPERLINK("http://www.linkedin.com/pub/lorena-p%C3%A9rez-reyes/16/92b/212","http://www.linkedin.com/pub/lorena-p%C3%A9rez-reyes/16/92b/212")</f>
        <v>http://www.linkedin.com/pub/lorena-p%C3%A9rez-reyes/16/92b/212</v>
      </c>
      <c r="I6098" s="2" t="s">
        <v>105</v>
      </c>
      <c r="J6098" s="2" t="s">
        <v>21</v>
      </c>
      <c r="K6098" s="2" t="s">
        <v>10184</v>
      </c>
    </row>
    <row r="6099" ht="15.75" customHeight="1">
      <c r="A6099" s="2">
        <v>27364.0</v>
      </c>
      <c r="B6099" s="2" t="s">
        <v>1296</v>
      </c>
      <c r="C6099" s="2" t="s">
        <v>6105</v>
      </c>
      <c r="D6099" s="2" t="s">
        <v>11917</v>
      </c>
      <c r="E6099" s="2" t="s">
        <v>1190</v>
      </c>
      <c r="F6099" s="2" t="s">
        <v>13</v>
      </c>
      <c r="G6099" s="2">
        <v>42.0</v>
      </c>
      <c r="H6099" s="3" t="str">
        <f>HYPERLINK("http://www.linkedin.com/pub/andrea-aguirre/23/612/770","http://www.linkedin.com/pub/andrea-aguirre/23/612/770")</f>
        <v>http://www.linkedin.com/pub/andrea-aguirre/23/612/770</v>
      </c>
      <c r="I6099" s="2" t="s">
        <v>231</v>
      </c>
      <c r="J6099" s="2" t="s">
        <v>102</v>
      </c>
      <c r="K6099" s="2" t="s">
        <v>10727</v>
      </c>
    </row>
    <row r="6100" ht="15.75" customHeight="1">
      <c r="A6100" s="2">
        <v>27395.0</v>
      </c>
      <c r="B6100" s="2" t="s">
        <v>353</v>
      </c>
      <c r="C6100" s="2" t="s">
        <v>11918</v>
      </c>
      <c r="D6100" s="2" t="s">
        <v>11919</v>
      </c>
      <c r="E6100" s="2" t="s">
        <v>11920</v>
      </c>
      <c r="F6100" s="2">
        <v>2.0</v>
      </c>
      <c r="G6100" s="2">
        <v>285.0</v>
      </c>
      <c r="H6100" s="3" t="str">
        <f>HYPERLINK("http://www.linkedin.com/pub/alejandro-serricchio/12/95A/A84","http://www.linkedin.com/pub/alejandro-serricchio/12/95A/A84")</f>
        <v>http://www.linkedin.com/pub/alejandro-serricchio/12/95A/A84</v>
      </c>
      <c r="I6100" s="2" t="s">
        <v>2183</v>
      </c>
      <c r="J6100" s="2" t="s">
        <v>102</v>
      </c>
      <c r="K6100" s="2" t="s">
        <v>10182</v>
      </c>
    </row>
    <row r="6101" ht="15.75" customHeight="1">
      <c r="A6101" s="2">
        <v>27423.0</v>
      </c>
      <c r="B6101" s="2" t="s">
        <v>1076</v>
      </c>
      <c r="C6101" s="2" t="s">
        <v>11921</v>
      </c>
      <c r="D6101" s="2" t="s">
        <v>11922</v>
      </c>
      <c r="E6101" s="2" t="s">
        <v>301</v>
      </c>
      <c r="F6101" s="2">
        <v>1.0</v>
      </c>
      <c r="G6101" s="2">
        <v>91.0</v>
      </c>
      <c r="H6101" s="3" t="str">
        <f>HYPERLINK("http://www.linkedin.com/pub/jennifer-philipps/4/B08/299","http://www.linkedin.com/pub/jennifer-philipps/4/B08/299")</f>
        <v>http://www.linkedin.com/pub/jennifer-philipps/4/B08/299</v>
      </c>
      <c r="I6101" s="2" t="s">
        <v>105</v>
      </c>
      <c r="J6101" s="2" t="s">
        <v>102</v>
      </c>
      <c r="K6101" s="2" t="s">
        <v>11923</v>
      </c>
    </row>
    <row r="6102" ht="15.75" customHeight="1">
      <c r="A6102" s="2">
        <v>27493.0</v>
      </c>
      <c r="B6102" s="2" t="s">
        <v>5803</v>
      </c>
      <c r="C6102" s="2" t="s">
        <v>685</v>
      </c>
      <c r="D6102" s="2" t="s">
        <v>289</v>
      </c>
      <c r="E6102" s="2" t="s">
        <v>20</v>
      </c>
      <c r="F6102" s="2" t="s">
        <v>13</v>
      </c>
      <c r="G6102" s="2">
        <v>500.0</v>
      </c>
      <c r="H6102" s="3" t="str">
        <f>HYPERLINK("http://ar.linkedin.com/pub/mariano-dantas/6/9A6/863","http://ar.linkedin.com/pub/mariano-dantas/6/9A6/863")</f>
        <v>http://ar.linkedin.com/pub/mariano-dantas/6/9A6/863</v>
      </c>
      <c r="I6102" s="2" t="s">
        <v>57</v>
      </c>
      <c r="J6102" s="2" t="s">
        <v>21</v>
      </c>
      <c r="K6102" s="2" t="s">
        <v>10184</v>
      </c>
    </row>
    <row r="6103" ht="15.75" customHeight="1">
      <c r="A6103" s="2">
        <v>27524.0</v>
      </c>
      <c r="B6103" s="2" t="s">
        <v>11924</v>
      </c>
      <c r="C6103" s="2" t="s">
        <v>6556</v>
      </c>
      <c r="D6103" s="2" t="s">
        <v>13</v>
      </c>
      <c r="E6103" s="2" t="s">
        <v>20</v>
      </c>
      <c r="F6103" s="2">
        <v>12.0</v>
      </c>
      <c r="G6103" s="2">
        <v>500.0</v>
      </c>
      <c r="H6103" s="3" t="str">
        <f>HYPERLINK("http://www.linkedin.com/pub/viviana-n-dominguez/b/68a/62a","http://www.linkedin.com/pub/viviana-n-dominguez/b/68a/62a")</f>
        <v>http://www.linkedin.com/pub/viviana-n-dominguez/b/68a/62a</v>
      </c>
      <c r="I6103" s="2" t="s">
        <v>458</v>
      </c>
      <c r="J6103" s="2" t="s">
        <v>21</v>
      </c>
      <c r="K6103" s="2" t="s">
        <v>10196</v>
      </c>
    </row>
    <row r="6104" ht="15.75" customHeight="1">
      <c r="A6104" s="2">
        <v>27526.0</v>
      </c>
      <c r="B6104" s="2" t="s">
        <v>264</v>
      </c>
      <c r="C6104" s="2" t="s">
        <v>11925</v>
      </c>
      <c r="D6104" s="2" t="s">
        <v>11926</v>
      </c>
      <c r="E6104" s="2" t="s">
        <v>20</v>
      </c>
      <c r="F6104" s="2">
        <v>2.0</v>
      </c>
      <c r="G6104" s="2">
        <v>398.0</v>
      </c>
      <c r="H6104" s="3" t="str">
        <f>HYPERLINK("http://ar.linkedin.com/pub/andres-kamycki/18/156/69B","http://ar.linkedin.com/pub/andres-kamycki/18/156/69B")</f>
        <v>http://ar.linkedin.com/pub/andres-kamycki/18/156/69B</v>
      </c>
      <c r="I6104" s="2" t="s">
        <v>15</v>
      </c>
      <c r="J6104" s="2" t="s">
        <v>21</v>
      </c>
      <c r="K6104" s="2" t="s">
        <v>10196</v>
      </c>
    </row>
    <row r="6105" ht="15.75" customHeight="1">
      <c r="A6105" s="2">
        <v>27532.0</v>
      </c>
      <c r="B6105" s="2" t="s">
        <v>414</v>
      </c>
      <c r="C6105" s="2" t="s">
        <v>11927</v>
      </c>
      <c r="D6105" s="2"/>
      <c r="E6105" s="2" t="s">
        <v>1407</v>
      </c>
      <c r="F6105" s="2">
        <v>2.0</v>
      </c>
      <c r="G6105" s="2">
        <v>227.0</v>
      </c>
      <c r="H6105" s="3" t="str">
        <f>HYPERLINK("http://www.linkedin.com/pub/tom-hogan-pmp/0/75A/51","http://www.linkedin.com/pub/tom-hogan-pmp/0/75A/51")</f>
        <v>http://www.linkedin.com/pub/tom-hogan-pmp/0/75A/51</v>
      </c>
      <c r="I6105" s="2" t="s">
        <v>15</v>
      </c>
      <c r="J6105" s="2" t="s">
        <v>102</v>
      </c>
      <c r="K6105" s="2" t="s">
        <v>10184</v>
      </c>
    </row>
    <row r="6106" ht="15.75" customHeight="1">
      <c r="A6106" s="2">
        <v>27538.0</v>
      </c>
      <c r="B6106" s="2" t="s">
        <v>433</v>
      </c>
      <c r="C6106" s="2" t="s">
        <v>11928</v>
      </c>
      <c r="D6106" s="2"/>
      <c r="E6106" s="2" t="s">
        <v>11867</v>
      </c>
      <c r="F6106" s="2">
        <v>6.0</v>
      </c>
      <c r="G6106" s="2">
        <v>342.0</v>
      </c>
      <c r="H6106" s="3" t="str">
        <f>HYPERLINK("http://www.linkedin.com/pub/andy-cohan/0/32/166","http://www.linkedin.com/pub/andy-cohan/0/32/166")</f>
        <v>http://www.linkedin.com/pub/andy-cohan/0/32/166</v>
      </c>
      <c r="I6106" s="2" t="s">
        <v>15</v>
      </c>
      <c r="J6106" s="2" t="s">
        <v>102</v>
      </c>
      <c r="K6106" s="2" t="s">
        <v>10184</v>
      </c>
    </row>
    <row r="6107" ht="15.75" customHeight="1">
      <c r="A6107" s="2">
        <v>27561.0</v>
      </c>
      <c r="B6107" s="2" t="s">
        <v>11929</v>
      </c>
      <c r="C6107" s="2" t="s">
        <v>8323</v>
      </c>
      <c r="D6107" s="2" t="s">
        <v>13</v>
      </c>
      <c r="E6107" s="2" t="s">
        <v>20</v>
      </c>
      <c r="F6107" s="2">
        <v>0.0</v>
      </c>
      <c r="G6107" s="2">
        <v>193.0</v>
      </c>
      <c r="H6107" s="3" t="str">
        <f>HYPERLINK("http://www.linkedin.com/pub/michelle-sharon-rua/1a/227/701","http://www.linkedin.com/pub/michelle-sharon-rua/1a/227/701")</f>
        <v>http://www.linkedin.com/pub/michelle-sharon-rua/1a/227/701</v>
      </c>
      <c r="I6107" s="2" t="s">
        <v>48</v>
      </c>
      <c r="J6107" s="2" t="s">
        <v>21</v>
      </c>
      <c r="K6107" s="2" t="s">
        <v>10196</v>
      </c>
    </row>
    <row r="6108" ht="15.75" customHeight="1">
      <c r="A6108" s="2">
        <v>27578.0</v>
      </c>
      <c r="B6108" s="2" t="s">
        <v>11930</v>
      </c>
      <c r="C6108" s="2" t="s">
        <v>11931</v>
      </c>
      <c r="D6108" s="2" t="s">
        <v>347</v>
      </c>
      <c r="E6108" s="2" t="s">
        <v>20</v>
      </c>
      <c r="F6108" s="2" t="s">
        <v>13</v>
      </c>
      <c r="G6108" s="2">
        <v>245.0</v>
      </c>
      <c r="H6108" s="3" t="str">
        <f>HYPERLINK("http://www.linkedin.com/pub/marcela-in%C3%A9s-algacibiur/7/b18/92a","http://www.linkedin.com/pub/marcela-in%C3%A9s-algacibiur/7/b18/92a")</f>
        <v>http://www.linkedin.com/pub/marcela-in%C3%A9s-algacibiur/7/b18/92a</v>
      </c>
      <c r="I6108" s="2" t="s">
        <v>15</v>
      </c>
      <c r="J6108" s="2" t="s">
        <v>21</v>
      </c>
      <c r="K6108" s="2" t="s">
        <v>10206</v>
      </c>
    </row>
    <row r="6109" ht="15.75" customHeight="1">
      <c r="A6109" s="2">
        <v>27612.0</v>
      </c>
      <c r="B6109" s="2" t="s">
        <v>11932</v>
      </c>
      <c r="C6109" s="2" t="s">
        <v>11933</v>
      </c>
      <c r="D6109" s="2" t="s">
        <v>11934</v>
      </c>
      <c r="E6109" s="2" t="s">
        <v>720</v>
      </c>
      <c r="F6109" s="2">
        <v>3.0</v>
      </c>
      <c r="G6109" s="2">
        <v>138.0</v>
      </c>
      <c r="H6109" s="3" t="str">
        <f>HYPERLINK("http://www.linkedin.com/pub/clint-dovholuk/5/961/A42","http://www.linkedin.com/pub/clint-dovholuk/5/961/A42")</f>
        <v>http://www.linkedin.com/pub/clint-dovholuk/5/961/A42</v>
      </c>
      <c r="I6109" s="2" t="s">
        <v>48</v>
      </c>
      <c r="J6109" s="2" t="s">
        <v>102</v>
      </c>
      <c r="K6109" s="2" t="s">
        <v>10245</v>
      </c>
    </row>
    <row r="6110" ht="15.75" customHeight="1">
      <c r="A6110" s="2">
        <v>27616.0</v>
      </c>
      <c r="B6110" s="2" t="s">
        <v>11935</v>
      </c>
      <c r="C6110" s="2" t="s">
        <v>11936</v>
      </c>
      <c r="D6110" s="2" t="s">
        <v>13</v>
      </c>
      <c r="E6110" s="2" t="s">
        <v>20</v>
      </c>
      <c r="F6110" s="2">
        <v>0.0</v>
      </c>
      <c r="G6110" s="2">
        <v>89.0</v>
      </c>
      <c r="H6110" s="3" t="str">
        <f>HYPERLINK("http://www.linkedin.com/pub/braian-demian-anelich/1a/785/316","http://www.linkedin.com/pub/braian-demian-anelich/1a/785/316")</f>
        <v>http://www.linkedin.com/pub/braian-demian-anelich/1a/785/316</v>
      </c>
      <c r="I6110" s="2" t="s">
        <v>15</v>
      </c>
      <c r="J6110" s="2" t="s">
        <v>21</v>
      </c>
      <c r="K6110" s="2" t="s">
        <v>10206</v>
      </c>
    </row>
    <row r="6111" ht="15.75" customHeight="1">
      <c r="A6111" s="2">
        <v>27620.0</v>
      </c>
      <c r="B6111" s="2" t="s">
        <v>11937</v>
      </c>
      <c r="C6111" s="2" t="s">
        <v>11938</v>
      </c>
      <c r="D6111" s="2" t="s">
        <v>11939</v>
      </c>
      <c r="E6111" s="2" t="s">
        <v>20</v>
      </c>
      <c r="F6111" s="2">
        <v>15.0</v>
      </c>
      <c r="G6111" s="2">
        <v>500.0</v>
      </c>
      <c r="H6111" s="3" t="str">
        <f>HYPERLINK("http://ar.linkedin.com/in/gustavocrespo","http://ar.linkedin.com/in/gustavocrespo")</f>
        <v>http://ar.linkedin.com/in/gustavocrespo</v>
      </c>
      <c r="I6111" s="2" t="s">
        <v>15</v>
      </c>
      <c r="J6111" s="2" t="s">
        <v>21</v>
      </c>
      <c r="K6111" s="2" t="s">
        <v>10196</v>
      </c>
    </row>
    <row r="6112" ht="15.75" customHeight="1">
      <c r="A6112" s="2">
        <v>27628.0</v>
      </c>
      <c r="B6112" s="2" t="s">
        <v>45</v>
      </c>
      <c r="C6112" s="2" t="s">
        <v>206</v>
      </c>
      <c r="D6112" s="2" t="s">
        <v>11940</v>
      </c>
      <c r="E6112" s="2" t="s">
        <v>20</v>
      </c>
      <c r="F6112" s="2">
        <v>15.0</v>
      </c>
      <c r="G6112" s="2">
        <v>355.0</v>
      </c>
      <c r="H6112" s="3" t="str">
        <f>HYPERLINK("http://ar.linkedin.com/in/carlosgarciaargentina","http://ar.linkedin.com/in/carlosgarciaargentina")</f>
        <v>http://ar.linkedin.com/in/carlosgarciaargentina</v>
      </c>
      <c r="I6112" s="2" t="s">
        <v>15</v>
      </c>
      <c r="J6112" s="2" t="s">
        <v>21</v>
      </c>
      <c r="K6112" s="2" t="s">
        <v>10180</v>
      </c>
    </row>
    <row r="6113" ht="15.75" customHeight="1">
      <c r="A6113" s="2">
        <v>27806.0</v>
      </c>
      <c r="B6113" s="2" t="s">
        <v>918</v>
      </c>
      <c r="C6113" s="2" t="s">
        <v>11941</v>
      </c>
      <c r="D6113" s="2" t="s">
        <v>13</v>
      </c>
      <c r="E6113" s="2" t="s">
        <v>20</v>
      </c>
      <c r="F6113" s="2">
        <v>3.0</v>
      </c>
      <c r="G6113" s="2">
        <v>271.0</v>
      </c>
      <c r="H6113" s="3" t="str">
        <f>HYPERLINK("http://www.linkedin.com/pub/mariel-bencovic/15/558/a0","http://www.linkedin.com/pub/mariel-bencovic/15/558/a0")</f>
        <v>http://www.linkedin.com/pub/mariel-bencovic/15/558/a0</v>
      </c>
      <c r="I6113" s="2" t="s">
        <v>579</v>
      </c>
      <c r="J6113" s="2" t="s">
        <v>21</v>
      </c>
      <c r="K6113" s="2" t="s">
        <v>10196</v>
      </c>
    </row>
    <row r="6114" ht="15.75" customHeight="1">
      <c r="A6114" s="2">
        <v>27817.0</v>
      </c>
      <c r="B6114" s="2" t="s">
        <v>862</v>
      </c>
      <c r="C6114" s="2" t="s">
        <v>11942</v>
      </c>
      <c r="D6114" s="2" t="s">
        <v>11943</v>
      </c>
      <c r="E6114" s="2" t="s">
        <v>20</v>
      </c>
      <c r="F6114" s="2">
        <v>2.0</v>
      </c>
      <c r="G6114" s="2">
        <v>168.0</v>
      </c>
      <c r="H6114" s="3" t="str">
        <f>HYPERLINK("http://www.linkedin.com/pub/gabriel-taormina/23/26b/42a","http://www.linkedin.com/pub/gabriel-taormina/23/26b/42a")</f>
        <v>http://www.linkedin.com/pub/gabriel-taormina/23/26b/42a</v>
      </c>
      <c r="I6114" s="2" t="s">
        <v>15</v>
      </c>
      <c r="J6114" s="2" t="s">
        <v>21</v>
      </c>
      <c r="K6114" s="2" t="s">
        <v>10196</v>
      </c>
    </row>
    <row r="6115" ht="15.75" customHeight="1">
      <c r="A6115" s="2">
        <v>27851.0</v>
      </c>
      <c r="B6115" s="2" t="s">
        <v>5922</v>
      </c>
      <c r="C6115" s="2" t="s">
        <v>11944</v>
      </c>
      <c r="D6115" s="2" t="s">
        <v>11945</v>
      </c>
      <c r="E6115" s="2" t="s">
        <v>20</v>
      </c>
      <c r="F6115" s="2">
        <v>19.0</v>
      </c>
      <c r="G6115" s="2">
        <v>500.0</v>
      </c>
      <c r="H6115" s="3" t="str">
        <f>HYPERLINK("http://ar.linkedin.com/pub/gabriela-cassanelli/9/2A8/A84","http://ar.linkedin.com/pub/gabriela-cassanelli/9/2A8/A84")</f>
        <v>http://ar.linkedin.com/pub/gabriela-cassanelli/9/2A8/A84</v>
      </c>
      <c r="I6115" s="2" t="s">
        <v>15</v>
      </c>
      <c r="J6115" s="2" t="s">
        <v>21</v>
      </c>
      <c r="K6115" s="2" t="s">
        <v>10196</v>
      </c>
    </row>
    <row r="6116" ht="15.75" customHeight="1">
      <c r="A6116" s="2">
        <v>27904.0</v>
      </c>
      <c r="B6116" s="2" t="s">
        <v>7553</v>
      </c>
      <c r="C6116" s="2" t="s">
        <v>11946</v>
      </c>
      <c r="D6116" s="2" t="s">
        <v>13</v>
      </c>
      <c r="E6116" s="2" t="s">
        <v>20</v>
      </c>
      <c r="F6116" s="2">
        <v>0.0</v>
      </c>
      <c r="G6116" s="2">
        <v>500.0</v>
      </c>
      <c r="H6116" s="3" t="str">
        <f>HYPERLINK("http://ar.linkedin.com/pub/elvira-salda%C3%B1a/7/308/267","http://ar.linkedin.com/pub/elvira-salda%C3%B1a/7/308/267")</f>
        <v>http://ar.linkedin.com/pub/elvira-salda%C3%B1a/7/308/267</v>
      </c>
      <c r="I6116" s="2" t="s">
        <v>15</v>
      </c>
      <c r="J6116" s="2" t="s">
        <v>21</v>
      </c>
      <c r="K6116" s="2" t="s">
        <v>10196</v>
      </c>
    </row>
    <row r="6117" ht="15.75" customHeight="1">
      <c r="A6117" s="2">
        <v>27921.0</v>
      </c>
      <c r="B6117" s="2" t="s">
        <v>116</v>
      </c>
      <c r="C6117" s="2" t="s">
        <v>11947</v>
      </c>
      <c r="D6117" s="2"/>
      <c r="E6117" s="2" t="s">
        <v>136</v>
      </c>
      <c r="F6117" s="2">
        <v>5.0</v>
      </c>
      <c r="G6117" s="2">
        <v>500.0</v>
      </c>
      <c r="H6117" s="3" t="str">
        <f>HYPERLINK("http://www.linkedin.com/pub/alex-staub/1/212/B41","http://www.linkedin.com/pub/alex-staub/1/212/B41")</f>
        <v>http://www.linkedin.com/pub/alex-staub/1/212/B41</v>
      </c>
      <c r="I6117" s="2" t="s">
        <v>119</v>
      </c>
      <c r="J6117" s="2" t="s">
        <v>102</v>
      </c>
      <c r="K6117" s="2" t="s">
        <v>10209</v>
      </c>
    </row>
    <row r="6118" ht="15.75" customHeight="1">
      <c r="A6118" s="2">
        <v>27925.0</v>
      </c>
      <c r="B6118" s="2" t="s">
        <v>5849</v>
      </c>
      <c r="C6118" s="2" t="s">
        <v>206</v>
      </c>
      <c r="D6118" s="2" t="s">
        <v>47</v>
      </c>
      <c r="E6118" s="2" t="s">
        <v>4951</v>
      </c>
      <c r="F6118" s="2">
        <v>6.0</v>
      </c>
      <c r="G6118" s="2">
        <v>500.0</v>
      </c>
      <c r="H6118" s="3" t="str">
        <f>HYPERLINK("http://www.linkedin.com/in/facundo","http://www.linkedin.com/in/facundo")</f>
        <v>http://www.linkedin.com/in/facundo</v>
      </c>
      <c r="I6118" s="2" t="s">
        <v>1352</v>
      </c>
      <c r="J6118" s="2" t="s">
        <v>102</v>
      </c>
      <c r="K6118" s="2" t="s">
        <v>10312</v>
      </c>
    </row>
    <row r="6119" ht="15.75" customHeight="1">
      <c r="A6119" s="2">
        <v>27941.0</v>
      </c>
      <c r="B6119" s="2" t="s">
        <v>8601</v>
      </c>
      <c r="C6119" s="2" t="s">
        <v>11948</v>
      </c>
      <c r="D6119" s="2" t="s">
        <v>11949</v>
      </c>
      <c r="E6119" s="2" t="s">
        <v>1179</v>
      </c>
      <c r="F6119" s="2">
        <v>8.0</v>
      </c>
      <c r="G6119" s="2">
        <v>500.0</v>
      </c>
      <c r="H6119" s="3" t="str">
        <f>HYPERLINK("http://www.linkedin.com/pub/denis-denis-pierpoint-com-lion/4/23A/533","http://www.linkedin.com/pub/denis-denis-pierpoint-com-lion/4/23A/533")</f>
        <v>http://www.linkedin.com/pub/denis-denis-pierpoint-com-lion/4/23A/533</v>
      </c>
      <c r="I6119" s="2" t="s">
        <v>48</v>
      </c>
      <c r="J6119" s="2" t="s">
        <v>102</v>
      </c>
      <c r="K6119" s="2" t="s">
        <v>10202</v>
      </c>
    </row>
    <row r="6120" ht="15.75" customHeight="1">
      <c r="A6120" s="2">
        <v>27946.0</v>
      </c>
      <c r="B6120" s="2" t="s">
        <v>5883</v>
      </c>
      <c r="C6120" s="2" t="s">
        <v>8650</v>
      </c>
      <c r="D6120" s="2" t="s">
        <v>6270</v>
      </c>
      <c r="E6120" s="2" t="s">
        <v>20</v>
      </c>
      <c r="F6120" s="2">
        <v>3.0</v>
      </c>
      <c r="G6120" s="2">
        <v>131.0</v>
      </c>
      <c r="H6120" s="3" t="str">
        <f>HYPERLINK("http://ar.linkedin.com/pub/ariel-gimenez/A/883/504","http://ar.linkedin.com/pub/ariel-gimenez/A/883/504")</f>
        <v>http://ar.linkedin.com/pub/ariel-gimenez/A/883/504</v>
      </c>
      <c r="I6120" s="2" t="s">
        <v>15</v>
      </c>
      <c r="J6120" s="2" t="s">
        <v>21</v>
      </c>
      <c r="K6120" s="2" t="s">
        <v>10839</v>
      </c>
    </row>
    <row r="6121" ht="15.75" customHeight="1">
      <c r="A6121" s="2">
        <v>27949.0</v>
      </c>
      <c r="B6121" s="2" t="s">
        <v>11950</v>
      </c>
      <c r="C6121" s="2" t="s">
        <v>11951</v>
      </c>
      <c r="D6121" s="2" t="s">
        <v>6241</v>
      </c>
      <c r="E6121" s="2" t="s">
        <v>20</v>
      </c>
      <c r="F6121" s="2">
        <v>4.0</v>
      </c>
      <c r="G6121" s="2">
        <v>248.0</v>
      </c>
      <c r="H6121" s="3" t="str">
        <f>HYPERLINK("http://ar.linkedin.com/in/gianatiempo","http://ar.linkedin.com/in/gianatiempo")</f>
        <v>http://ar.linkedin.com/in/gianatiempo</v>
      </c>
      <c r="I6121" s="2" t="s">
        <v>15</v>
      </c>
      <c r="J6121" s="2" t="s">
        <v>21</v>
      </c>
      <c r="K6121" s="2" t="s">
        <v>10196</v>
      </c>
    </row>
    <row r="6122" ht="15.75" customHeight="1">
      <c r="A6122" s="2">
        <v>27963.0</v>
      </c>
      <c r="B6122" s="2" t="s">
        <v>358</v>
      </c>
      <c r="C6122" s="2" t="s">
        <v>11952</v>
      </c>
      <c r="D6122" s="2" t="s">
        <v>13</v>
      </c>
      <c r="E6122" s="2" t="s">
        <v>20</v>
      </c>
      <c r="F6122" s="2">
        <v>0.0</v>
      </c>
      <c r="G6122" s="2">
        <v>293.0</v>
      </c>
      <c r="H6122" s="3" t="str">
        <f>HYPERLINK("http://www.linkedin.com/in/marceloorigoni","http://www.linkedin.com/in/marceloorigoni")</f>
        <v>http://www.linkedin.com/in/marceloorigoni</v>
      </c>
      <c r="I6122" s="2" t="s">
        <v>15</v>
      </c>
      <c r="J6122" s="2" t="s">
        <v>21</v>
      </c>
      <c r="K6122" s="2" t="s">
        <v>10229</v>
      </c>
    </row>
    <row r="6123" ht="15.75" customHeight="1">
      <c r="A6123" s="2">
        <v>27971.0</v>
      </c>
      <c r="B6123" s="2" t="s">
        <v>11953</v>
      </c>
      <c r="C6123" s="2" t="s">
        <v>11954</v>
      </c>
      <c r="D6123" s="2" t="s">
        <v>11955</v>
      </c>
      <c r="E6123" s="2" t="s">
        <v>728</v>
      </c>
      <c r="F6123" s="2">
        <v>41.0</v>
      </c>
      <c r="G6123" s="2">
        <v>429.0</v>
      </c>
      <c r="H6123" s="3" t="str">
        <f>HYPERLINK("http://www.linkedin.com/in/kylenebruskipmp","http://www.linkedin.com/in/kylenebruskipmp")</f>
        <v>http://www.linkedin.com/in/kylenebruskipmp</v>
      </c>
      <c r="I6123" s="2" t="s">
        <v>910</v>
      </c>
      <c r="J6123" s="2" t="s">
        <v>102</v>
      </c>
      <c r="K6123" s="2" t="s">
        <v>10187</v>
      </c>
    </row>
    <row r="6124" ht="15.75" customHeight="1">
      <c r="A6124" s="2">
        <v>27973.0</v>
      </c>
      <c r="B6124" s="2" t="s">
        <v>245</v>
      </c>
      <c r="C6124" s="2" t="s">
        <v>4134</v>
      </c>
      <c r="D6124" s="2"/>
      <c r="E6124" s="2" t="s">
        <v>728</v>
      </c>
      <c r="F6124" s="2">
        <v>20.0</v>
      </c>
      <c r="G6124" s="2">
        <v>500.0</v>
      </c>
      <c r="H6124" s="3" t="str">
        <f>HYPERLINK("http://www.linkedin.com/pub/steven-boyd/1/104/35","http://www.linkedin.com/pub/steven-boyd/1/104/35")</f>
        <v>http://www.linkedin.com/pub/steven-boyd/1/104/35</v>
      </c>
      <c r="I6124" s="2" t="s">
        <v>48</v>
      </c>
      <c r="J6124" s="2" t="s">
        <v>102</v>
      </c>
      <c r="K6124" s="2" t="s">
        <v>10184</v>
      </c>
    </row>
    <row r="6125" ht="15.75" customHeight="1">
      <c r="A6125" s="2">
        <v>27975.0</v>
      </c>
      <c r="B6125" s="2" t="s">
        <v>11956</v>
      </c>
      <c r="C6125" s="2" t="s">
        <v>11957</v>
      </c>
      <c r="D6125" s="2" t="s">
        <v>1647</v>
      </c>
      <c r="E6125" s="2" t="s">
        <v>728</v>
      </c>
      <c r="F6125" s="2" t="s">
        <v>13</v>
      </c>
      <c r="G6125" s="2">
        <v>260.0</v>
      </c>
      <c r="H6125" s="3" t="str">
        <f>HYPERLINK("http://www.linkedin.com/pub/kelsey-rafferty/3/9B4/68","http://www.linkedin.com/pub/kelsey-rafferty/3/9B4/68")</f>
        <v>http://www.linkedin.com/pub/kelsey-rafferty/3/9B4/68</v>
      </c>
      <c r="I6125" s="2" t="s">
        <v>48</v>
      </c>
      <c r="J6125" s="2" t="s">
        <v>102</v>
      </c>
      <c r="K6125" s="2" t="s">
        <v>10298</v>
      </c>
    </row>
    <row r="6126" ht="15.75" customHeight="1">
      <c r="A6126" s="2">
        <v>27984.0</v>
      </c>
      <c r="B6126" s="2" t="s">
        <v>6417</v>
      </c>
      <c r="C6126" s="2" t="s">
        <v>11958</v>
      </c>
      <c r="D6126" s="2" t="s">
        <v>11959</v>
      </c>
      <c r="E6126" s="2" t="s">
        <v>20</v>
      </c>
      <c r="F6126" s="2">
        <v>8.0</v>
      </c>
      <c r="G6126" s="2">
        <v>177.0</v>
      </c>
      <c r="H6126" s="3" t="str">
        <f>HYPERLINK("http://ar.linkedin.com/in/gonzaloazor","http://ar.linkedin.com/in/gonzaloazor")</f>
        <v>http://ar.linkedin.com/in/gonzaloazor</v>
      </c>
      <c r="I6126" s="2" t="s">
        <v>15</v>
      </c>
      <c r="J6126" s="2" t="s">
        <v>21</v>
      </c>
      <c r="K6126" s="2" t="s">
        <v>10196</v>
      </c>
    </row>
    <row r="6127" ht="15.75" customHeight="1">
      <c r="A6127" s="2">
        <v>28004.0</v>
      </c>
      <c r="B6127" s="2" t="s">
        <v>5791</v>
      </c>
      <c r="C6127" s="2" t="s">
        <v>11960</v>
      </c>
      <c r="D6127" s="2" t="s">
        <v>11961</v>
      </c>
      <c r="E6127" s="2" t="s">
        <v>20</v>
      </c>
      <c r="F6127" s="2">
        <v>4.0</v>
      </c>
      <c r="G6127" s="2">
        <v>194.0</v>
      </c>
      <c r="H6127" s="3" t="str">
        <f>HYPERLINK("http://ar.linkedin.com/pub/mat%C3%ADas-calegaris/8/A63/80","http://ar.linkedin.com/pub/mat%C3%ADas-calegaris/8/A63/80")</f>
        <v>http://ar.linkedin.com/pub/mat%C3%ADas-calegaris/8/A63/80</v>
      </c>
      <c r="I6127" s="2" t="s">
        <v>15</v>
      </c>
      <c r="J6127" s="2" t="s">
        <v>21</v>
      </c>
      <c r="K6127" s="2" t="s">
        <v>10196</v>
      </c>
    </row>
    <row r="6128" ht="15.75" customHeight="1">
      <c r="A6128" s="2">
        <v>28009.0</v>
      </c>
      <c r="B6128" s="2" t="s">
        <v>329</v>
      </c>
      <c r="C6128" s="2" t="s">
        <v>11962</v>
      </c>
      <c r="D6128" s="2" t="s">
        <v>8209</v>
      </c>
      <c r="E6128" s="2" t="s">
        <v>20</v>
      </c>
      <c r="F6128" s="2">
        <v>7.0</v>
      </c>
      <c r="G6128" s="2">
        <v>262.0</v>
      </c>
      <c r="H6128" s="3" t="str">
        <f>HYPERLINK("http://ar.linkedin.com/in/folcojp","http://ar.linkedin.com/in/folcojp")</f>
        <v>http://ar.linkedin.com/in/folcojp</v>
      </c>
      <c r="I6128" s="2" t="s">
        <v>143</v>
      </c>
      <c r="J6128" s="2" t="s">
        <v>21</v>
      </c>
      <c r="K6128" s="2" t="s">
        <v>10196</v>
      </c>
    </row>
    <row r="6129" ht="15.75" customHeight="1">
      <c r="A6129" s="2">
        <v>28010.0</v>
      </c>
      <c r="B6129" s="2" t="s">
        <v>3201</v>
      </c>
      <c r="C6129" s="2" t="s">
        <v>11963</v>
      </c>
      <c r="D6129" s="2" t="s">
        <v>42</v>
      </c>
      <c r="E6129" s="2" t="s">
        <v>20</v>
      </c>
      <c r="F6129" s="2">
        <v>8.0</v>
      </c>
      <c r="G6129" s="2">
        <v>426.0</v>
      </c>
      <c r="H6129" s="3" t="str">
        <f>HYPERLINK("http://ar.linkedin.com/pub/sebastian-bellucci/8/935/350","http://ar.linkedin.com/pub/sebastian-bellucci/8/935/350")</f>
        <v>http://ar.linkedin.com/pub/sebastian-bellucci/8/935/350</v>
      </c>
      <c r="I6129" s="2" t="s">
        <v>15</v>
      </c>
      <c r="J6129" s="2" t="s">
        <v>21</v>
      </c>
      <c r="K6129" s="2" t="s">
        <v>10196</v>
      </c>
    </row>
    <row r="6130" ht="15.75" customHeight="1">
      <c r="A6130" s="2">
        <v>28025.0</v>
      </c>
      <c r="B6130" s="2" t="s">
        <v>5803</v>
      </c>
      <c r="C6130" s="2" t="s">
        <v>11964</v>
      </c>
      <c r="D6130" s="2" t="s">
        <v>6929</v>
      </c>
      <c r="E6130" s="2" t="s">
        <v>20</v>
      </c>
      <c r="F6130" s="2">
        <v>2.0</v>
      </c>
      <c r="G6130" s="2">
        <v>115.0</v>
      </c>
      <c r="H6130" s="3" t="str">
        <f>HYPERLINK("http://ar.linkedin.com/in/marianodesanze","http://ar.linkedin.com/in/marianodesanze")</f>
        <v>http://ar.linkedin.com/in/marianodesanze</v>
      </c>
      <c r="I6130" s="2" t="s">
        <v>15</v>
      </c>
      <c r="J6130" s="2" t="s">
        <v>21</v>
      </c>
      <c r="K6130" s="2" t="s">
        <v>10196</v>
      </c>
    </row>
    <row r="6131" ht="15.75" customHeight="1">
      <c r="A6131" s="2">
        <v>28053.0</v>
      </c>
      <c r="B6131" s="2" t="s">
        <v>11965</v>
      </c>
      <c r="C6131" s="2" t="s">
        <v>11966</v>
      </c>
      <c r="D6131" s="2" t="s">
        <v>11967</v>
      </c>
      <c r="E6131" s="2" t="s">
        <v>10993</v>
      </c>
      <c r="F6131" s="2" t="s">
        <v>13</v>
      </c>
      <c r="G6131" s="2">
        <v>500.0</v>
      </c>
      <c r="H6131" s="3" t="str">
        <f>HYPERLINK("http://ca.linkedin.com/in/pascalenini","http://ca.linkedin.com/in/pascalenini")</f>
        <v>http://ca.linkedin.com/in/pascalenini</v>
      </c>
      <c r="I6131" s="2" t="s">
        <v>48</v>
      </c>
      <c r="J6131" s="2" t="s">
        <v>44</v>
      </c>
      <c r="K6131" s="2" t="s">
        <v>10209</v>
      </c>
    </row>
    <row r="6132" ht="15.75" customHeight="1">
      <c r="A6132" s="2">
        <v>28080.0</v>
      </c>
      <c r="B6132" s="2" t="s">
        <v>2094</v>
      </c>
      <c r="C6132" s="2" t="s">
        <v>5555</v>
      </c>
      <c r="D6132" s="2" t="s">
        <v>11968</v>
      </c>
      <c r="E6132" s="2" t="s">
        <v>136</v>
      </c>
      <c r="F6132" s="2">
        <v>28.0</v>
      </c>
      <c r="G6132" s="2">
        <v>500.0</v>
      </c>
      <c r="H6132" s="3" t="str">
        <f>HYPERLINK("http://www.linkedin.com/in/claytoncosta","http://www.linkedin.com/in/claytoncosta")</f>
        <v>http://www.linkedin.com/in/claytoncosta</v>
      </c>
      <c r="I6132" s="2" t="s">
        <v>48</v>
      </c>
      <c r="J6132" s="2" t="s">
        <v>102</v>
      </c>
      <c r="K6132" s="2" t="s">
        <v>10202</v>
      </c>
    </row>
    <row r="6133" ht="15.75" customHeight="1">
      <c r="A6133" s="2">
        <v>28109.0</v>
      </c>
      <c r="B6133" s="2" t="s">
        <v>11969</v>
      </c>
      <c r="C6133" s="2" t="s">
        <v>11970</v>
      </c>
      <c r="D6133" s="2" t="s">
        <v>47</v>
      </c>
      <c r="E6133" s="2" t="s">
        <v>39</v>
      </c>
      <c r="F6133" s="2">
        <v>2.0</v>
      </c>
      <c r="G6133" s="2">
        <v>500.0</v>
      </c>
      <c r="H6133" s="3" t="str">
        <f>HYPERLINK("http://br.linkedin.com/in/rodneyrepullo","http://br.linkedin.com/in/rodneyrepullo")</f>
        <v>http://br.linkedin.com/in/rodneyrepullo</v>
      </c>
      <c r="I6133" s="2" t="s">
        <v>48</v>
      </c>
      <c r="J6133" s="2" t="s">
        <v>34</v>
      </c>
      <c r="K6133" s="2" t="s">
        <v>10286</v>
      </c>
    </row>
    <row r="6134" ht="15.75" customHeight="1">
      <c r="A6134" s="2">
        <v>28175.0</v>
      </c>
      <c r="B6134" s="2" t="s">
        <v>11971</v>
      </c>
      <c r="C6134" s="2" t="s">
        <v>2875</v>
      </c>
      <c r="D6134" s="2" t="s">
        <v>11972</v>
      </c>
      <c r="E6134" s="2" t="s">
        <v>5837</v>
      </c>
      <c r="F6134" s="2" t="s">
        <v>13</v>
      </c>
      <c r="G6134" s="2">
        <v>249.0</v>
      </c>
      <c r="H6134" s="3" t="str">
        <f>HYPERLINK("http://www.linkedin.com/pub/a-murillo-zamora/0/33B/A41","http://www.linkedin.com/pub/a-murillo-zamora/0/33B/A41")</f>
        <v>http://www.linkedin.com/pub/a-murillo-zamora/0/33B/A41</v>
      </c>
      <c r="I6134" s="2" t="s">
        <v>1841</v>
      </c>
      <c r="J6134" s="2" t="s">
        <v>34</v>
      </c>
      <c r="K6134" s="2" t="s">
        <v>10184</v>
      </c>
    </row>
    <row r="6135" ht="15.75" customHeight="1">
      <c r="A6135" s="2">
        <v>28177.0</v>
      </c>
      <c r="B6135" s="2" t="s">
        <v>11973</v>
      </c>
      <c r="C6135" s="2" t="s">
        <v>11974</v>
      </c>
      <c r="D6135" s="2"/>
      <c r="E6135" s="2" t="s">
        <v>1190</v>
      </c>
      <c r="F6135" s="2">
        <v>15.0</v>
      </c>
      <c r="G6135" s="2">
        <v>500.0</v>
      </c>
      <c r="H6135" s="3" t="str">
        <f>HYPERLINK("http://www.linkedin.com/in/joselito","http://www.linkedin.com/in/joselito")</f>
        <v>http://www.linkedin.com/in/joselito</v>
      </c>
      <c r="I6135" s="2" t="s">
        <v>15</v>
      </c>
      <c r="J6135" s="2" t="s">
        <v>102</v>
      </c>
      <c r="K6135" s="2" t="s">
        <v>10184</v>
      </c>
    </row>
    <row r="6136" ht="15.75" customHeight="1">
      <c r="A6136" s="2">
        <v>28278.0</v>
      </c>
      <c r="B6136" s="2" t="s">
        <v>1235</v>
      </c>
      <c r="C6136" s="2" t="s">
        <v>11975</v>
      </c>
      <c r="D6136" s="2" t="s">
        <v>11976</v>
      </c>
      <c r="E6136" s="2" t="s">
        <v>1918</v>
      </c>
      <c r="F6136" s="2">
        <v>65.0</v>
      </c>
      <c r="G6136" s="2">
        <v>500.0</v>
      </c>
      <c r="H6136" s="3" t="str">
        <f>HYPERLINK("http://www.linkedin.com/in/ramonsolisjr","http://www.linkedin.com/in/ramonsolisjr")</f>
        <v>http://www.linkedin.com/in/ramonsolisjr</v>
      </c>
      <c r="I6136" s="2" t="s">
        <v>15</v>
      </c>
      <c r="J6136" s="2" t="s">
        <v>102</v>
      </c>
      <c r="K6136" s="2" t="s">
        <v>10184</v>
      </c>
    </row>
    <row r="6137" ht="15.75" customHeight="1">
      <c r="A6137" s="2">
        <v>28279.0</v>
      </c>
      <c r="B6137" s="2" t="s">
        <v>710</v>
      </c>
      <c r="C6137" s="2" t="s">
        <v>3943</v>
      </c>
      <c r="D6137" s="2" t="s">
        <v>11977</v>
      </c>
      <c r="E6137" s="2" t="s">
        <v>762</v>
      </c>
      <c r="F6137" s="2">
        <v>6.0</v>
      </c>
      <c r="G6137" s="2">
        <v>500.0</v>
      </c>
      <c r="H6137" s="3" t="str">
        <f>HYPERLINK("http://www.linkedin.com/in/marketresearchconsultant","http://www.linkedin.com/in/marketresearchconsultant")</f>
        <v>http://www.linkedin.com/in/marketresearchconsultant</v>
      </c>
      <c r="I6137" s="2" t="s">
        <v>2046</v>
      </c>
      <c r="J6137" s="2" t="s">
        <v>102</v>
      </c>
      <c r="K6137" s="2" t="s">
        <v>10206</v>
      </c>
    </row>
    <row r="6138" ht="15.75" customHeight="1">
      <c r="A6138" s="2">
        <v>28288.0</v>
      </c>
      <c r="B6138" s="2" t="s">
        <v>8601</v>
      </c>
      <c r="C6138" s="2" t="s">
        <v>11978</v>
      </c>
      <c r="D6138" s="2" t="s">
        <v>11979</v>
      </c>
      <c r="E6138" s="2" t="s">
        <v>3817</v>
      </c>
      <c r="F6138" s="2">
        <v>8.0</v>
      </c>
      <c r="G6138" s="2">
        <v>500.0</v>
      </c>
      <c r="H6138" s="3" t="str">
        <f>HYPERLINK("http://www.linkedin.com/in/denisblampoix","http://www.linkedin.com/in/denisblampoix")</f>
        <v>http://www.linkedin.com/in/denisblampoix</v>
      </c>
      <c r="I6138" s="2" t="s">
        <v>15</v>
      </c>
      <c r="J6138" s="2" t="s">
        <v>65</v>
      </c>
      <c r="K6138" s="2" t="s">
        <v>11980</v>
      </c>
    </row>
    <row r="6139" ht="15.75" customHeight="1">
      <c r="A6139" s="2">
        <v>28358.0</v>
      </c>
      <c r="B6139" s="2" t="s">
        <v>6219</v>
      </c>
      <c r="C6139" s="2" t="s">
        <v>11981</v>
      </c>
      <c r="D6139" s="2" t="s">
        <v>11982</v>
      </c>
      <c r="E6139" s="2" t="s">
        <v>1918</v>
      </c>
      <c r="F6139" s="2">
        <v>14.0</v>
      </c>
      <c r="G6139" s="2">
        <v>500.0</v>
      </c>
      <c r="H6139" s="3" t="str">
        <f>HYPERLINK("http://www.linkedin.com/in/hugoswart","http://www.linkedin.com/in/hugoswart")</f>
        <v>http://www.linkedin.com/in/hugoswart</v>
      </c>
      <c r="I6139" s="2" t="s">
        <v>77</v>
      </c>
      <c r="J6139" s="2" t="s">
        <v>102</v>
      </c>
      <c r="K6139" s="2" t="s">
        <v>10229</v>
      </c>
    </row>
    <row r="6140" ht="15.75" customHeight="1">
      <c r="A6140" s="2">
        <v>28399.0</v>
      </c>
      <c r="B6140" s="2" t="s">
        <v>2904</v>
      </c>
      <c r="C6140" s="2" t="s">
        <v>11983</v>
      </c>
      <c r="D6140" s="2" t="s">
        <v>13</v>
      </c>
      <c r="E6140" s="2" t="s">
        <v>39</v>
      </c>
      <c r="F6140" s="2">
        <v>0.0</v>
      </c>
      <c r="G6140" s="2">
        <v>500.0</v>
      </c>
      <c r="H6140" s="3" t="str">
        <f>HYPERLINK("http://www.linkedin.com/pub/fabiano-fernandes-soares-mba/2a/55/399","http://www.linkedin.com/pub/fabiano-fernandes-soares-mba/2a/55/399")</f>
        <v>http://www.linkedin.com/pub/fabiano-fernandes-soares-mba/2a/55/399</v>
      </c>
      <c r="I6140" s="2" t="s">
        <v>77</v>
      </c>
      <c r="J6140" s="2" t="s">
        <v>34</v>
      </c>
      <c r="K6140" s="2" t="s">
        <v>10384</v>
      </c>
    </row>
    <row r="6141" ht="15.75" customHeight="1">
      <c r="A6141" s="2">
        <v>28438.0</v>
      </c>
      <c r="B6141" s="2" t="s">
        <v>492</v>
      </c>
      <c r="C6141" s="2" t="s">
        <v>11984</v>
      </c>
      <c r="D6141" s="2" t="s">
        <v>11985</v>
      </c>
      <c r="E6141" s="2" t="s">
        <v>1918</v>
      </c>
      <c r="F6141" s="2">
        <v>16.0</v>
      </c>
      <c r="G6141" s="2">
        <v>500.0</v>
      </c>
      <c r="H6141" s="3" t="str">
        <f>HYPERLINK("http://www.linkedin.com/in/slozoya","http://www.linkedin.com/in/slozoya")</f>
        <v>http://www.linkedin.com/in/slozoya</v>
      </c>
      <c r="I6141" s="2" t="s">
        <v>77</v>
      </c>
      <c r="J6141" s="2" t="s">
        <v>102</v>
      </c>
      <c r="K6141" s="2" t="s">
        <v>10229</v>
      </c>
    </row>
    <row r="6142" ht="15.75" customHeight="1">
      <c r="A6142" s="2">
        <v>28450.0</v>
      </c>
      <c r="B6142" s="2" t="s">
        <v>11986</v>
      </c>
      <c r="C6142" s="2" t="s">
        <v>11987</v>
      </c>
      <c r="D6142" s="2" t="s">
        <v>11988</v>
      </c>
      <c r="E6142" s="2" t="s">
        <v>136</v>
      </c>
      <c r="F6142" s="2">
        <v>10.0</v>
      </c>
      <c r="G6142" s="2">
        <v>500.0</v>
      </c>
      <c r="H6142" s="3" t="str">
        <f>HYPERLINK("http://www.linkedin.com/in/samuelluchini","http://www.linkedin.com/in/samuelluchini")</f>
        <v>http://www.linkedin.com/in/samuelluchini</v>
      </c>
      <c r="I6142" s="2" t="s">
        <v>105</v>
      </c>
      <c r="J6142" s="2" t="s">
        <v>102</v>
      </c>
      <c r="K6142" s="2" t="s">
        <v>10206</v>
      </c>
    </row>
    <row r="6143" ht="15.75" customHeight="1">
      <c r="A6143" s="2">
        <v>28496.0</v>
      </c>
      <c r="B6143" s="2" t="s">
        <v>3695</v>
      </c>
      <c r="C6143" s="2" t="s">
        <v>11989</v>
      </c>
      <c r="D6143" s="2" t="s">
        <v>13</v>
      </c>
      <c r="E6143" s="2" t="s">
        <v>1850</v>
      </c>
      <c r="F6143" s="2">
        <v>0.0</v>
      </c>
      <c r="G6143" s="2">
        <v>500.0</v>
      </c>
      <c r="H6143" s="3" t="str">
        <f>HYPERLINK("https://www.linkedin.com/in/andrepenha","https://www.linkedin.com/in/andrepenha")</f>
        <v>https://www.linkedin.com/in/andrepenha</v>
      </c>
      <c r="I6143" s="2" t="s">
        <v>69</v>
      </c>
      <c r="J6143" s="2" t="s">
        <v>34</v>
      </c>
      <c r="K6143" s="2" t="s">
        <v>10245</v>
      </c>
    </row>
    <row r="6144" ht="15.75" customHeight="1">
      <c r="A6144" s="2">
        <v>28518.0</v>
      </c>
      <c r="B6144" s="2" t="s">
        <v>371</v>
      </c>
      <c r="C6144" s="2" t="s">
        <v>11990</v>
      </c>
      <c r="D6144" s="2" t="s">
        <v>11991</v>
      </c>
      <c r="E6144" s="2" t="s">
        <v>301</v>
      </c>
      <c r="F6144" s="2">
        <v>3.0</v>
      </c>
      <c r="G6144" s="2">
        <v>392.0</v>
      </c>
      <c r="H6144" s="3" t="str">
        <f>HYPERLINK("http://www.linkedin.com/pub/cristina-lilly/5/BBA/69A","http://www.linkedin.com/pub/cristina-lilly/5/BBA/69A")</f>
        <v>http://www.linkedin.com/pub/cristina-lilly/5/BBA/69A</v>
      </c>
      <c r="I6144" s="2" t="s">
        <v>156</v>
      </c>
      <c r="J6144" s="2" t="s">
        <v>102</v>
      </c>
      <c r="K6144" s="2" t="s">
        <v>10182</v>
      </c>
    </row>
    <row r="6145" ht="15.75" customHeight="1">
      <c r="A6145" s="2">
        <v>28590.0</v>
      </c>
      <c r="B6145" s="2" t="s">
        <v>11992</v>
      </c>
      <c r="C6145" s="2" t="s">
        <v>11993</v>
      </c>
      <c r="D6145" s="2" t="s">
        <v>8962</v>
      </c>
      <c r="E6145" s="2" t="s">
        <v>235</v>
      </c>
      <c r="F6145" s="2">
        <v>3.0</v>
      </c>
      <c r="G6145" s="2">
        <v>400.0</v>
      </c>
      <c r="H6145" s="3" t="str">
        <f>HYPERLINK("http://www.linkedin.com/in/wdimachkie","http://www.linkedin.com/in/wdimachkie")</f>
        <v>http://www.linkedin.com/in/wdimachkie</v>
      </c>
      <c r="I6145" s="2" t="s">
        <v>48</v>
      </c>
      <c r="J6145" s="2" t="s">
        <v>102</v>
      </c>
      <c r="K6145" s="2" t="s">
        <v>10286</v>
      </c>
    </row>
    <row r="6146" ht="15.75" customHeight="1">
      <c r="A6146" s="2">
        <v>28593.0</v>
      </c>
      <c r="B6146" s="2" t="s">
        <v>4353</v>
      </c>
      <c r="C6146" s="2" t="s">
        <v>11994</v>
      </c>
      <c r="D6146" s="2"/>
      <c r="E6146" s="2" t="s">
        <v>713</v>
      </c>
      <c r="F6146" s="2">
        <v>5.0</v>
      </c>
      <c r="G6146" s="2">
        <v>443.0</v>
      </c>
      <c r="H6146" s="3" t="str">
        <f>HYPERLINK("http://www.linkedin.com/pub/eugene-luarasi/0/A21/282","http://www.linkedin.com/pub/eugene-luarasi/0/A21/282")</f>
        <v>http://www.linkedin.com/pub/eugene-luarasi/0/A21/282</v>
      </c>
      <c r="I6146" s="2" t="s">
        <v>1496</v>
      </c>
      <c r="J6146" s="2" t="s">
        <v>102</v>
      </c>
      <c r="K6146" s="2" t="s">
        <v>10187</v>
      </c>
    </row>
    <row r="6147" ht="15.75" customHeight="1">
      <c r="A6147" s="2">
        <v>28598.0</v>
      </c>
      <c r="B6147" s="2" t="s">
        <v>11995</v>
      </c>
      <c r="C6147" s="2" t="s">
        <v>11996</v>
      </c>
      <c r="D6147" s="2" t="s">
        <v>11997</v>
      </c>
      <c r="E6147" s="2" t="s">
        <v>101</v>
      </c>
      <c r="F6147" s="2">
        <v>9.0</v>
      </c>
      <c r="G6147" s="2">
        <v>500.0</v>
      </c>
      <c r="H6147" s="3" t="str">
        <f>HYPERLINK("http://www.linkedin.com/pub/june-driscol/10/348/3B8","http://www.linkedin.com/pub/june-driscol/10/348/3B8")</f>
        <v>http://www.linkedin.com/pub/june-driscol/10/348/3B8</v>
      </c>
      <c r="I6147" s="2" t="s">
        <v>1496</v>
      </c>
      <c r="J6147" s="2" t="s">
        <v>102</v>
      </c>
      <c r="K6147" s="2" t="s">
        <v>10988</v>
      </c>
    </row>
    <row r="6148" ht="15.75" customHeight="1">
      <c r="A6148" s="2">
        <v>28600.0</v>
      </c>
      <c r="B6148" s="2" t="s">
        <v>1497</v>
      </c>
      <c r="C6148" s="2" t="s">
        <v>11998</v>
      </c>
      <c r="D6148" s="2" t="s">
        <v>11999</v>
      </c>
      <c r="E6148" s="2" t="s">
        <v>235</v>
      </c>
      <c r="F6148" s="2">
        <v>4.0</v>
      </c>
      <c r="G6148" s="2">
        <v>500.0</v>
      </c>
      <c r="H6148" s="3" t="str">
        <f>HYPERLINK("http://www.linkedin.com/pub/roy-kopeikin/1/131/90B","http://www.linkedin.com/pub/roy-kopeikin/1/131/90B")</f>
        <v>http://www.linkedin.com/pub/roy-kopeikin/1/131/90B</v>
      </c>
      <c r="I6148" s="2" t="s">
        <v>77</v>
      </c>
      <c r="J6148" s="2" t="s">
        <v>102</v>
      </c>
      <c r="K6148" s="2" t="s">
        <v>10209</v>
      </c>
    </row>
    <row r="6149" ht="15.75" customHeight="1">
      <c r="A6149" s="2">
        <v>28601.0</v>
      </c>
      <c r="B6149" s="2" t="s">
        <v>302</v>
      </c>
      <c r="C6149" s="2" t="s">
        <v>4034</v>
      </c>
      <c r="D6149" s="2" t="s">
        <v>12000</v>
      </c>
      <c r="E6149" s="2" t="s">
        <v>235</v>
      </c>
      <c r="F6149" s="2">
        <v>5.0</v>
      </c>
      <c r="G6149" s="2">
        <v>500.0</v>
      </c>
      <c r="H6149" s="3" t="str">
        <f>HYPERLINK("http://www.linkedin.com/in/billchow","http://www.linkedin.com/in/billchow")</f>
        <v>http://www.linkedin.com/in/billchow</v>
      </c>
      <c r="I6149" s="2" t="s">
        <v>77</v>
      </c>
      <c r="J6149" s="2" t="s">
        <v>102</v>
      </c>
      <c r="K6149" s="2" t="s">
        <v>10209</v>
      </c>
    </row>
    <row r="6150" ht="15.75" customHeight="1">
      <c r="A6150" s="2">
        <v>28602.0</v>
      </c>
      <c r="B6150" s="2" t="s">
        <v>12001</v>
      </c>
      <c r="C6150" s="2" t="s">
        <v>12002</v>
      </c>
      <c r="D6150" s="2"/>
      <c r="E6150" s="2" t="s">
        <v>136</v>
      </c>
      <c r="F6150" s="2">
        <v>0.0</v>
      </c>
      <c r="G6150" s="2">
        <v>500.0</v>
      </c>
      <c r="H6150" s="3" t="str">
        <f>HYPERLINK("http://www.linkedin.com/pub/ramsey-a-masri/0/92/113","http://www.linkedin.com/pub/ramsey-a-masri/0/92/113")</f>
        <v>http://www.linkedin.com/pub/ramsey-a-masri/0/92/113</v>
      </c>
      <c r="I6150" s="2" t="s">
        <v>77</v>
      </c>
      <c r="J6150" s="2" t="s">
        <v>102</v>
      </c>
      <c r="K6150" s="2" t="s">
        <v>10187</v>
      </c>
    </row>
    <row r="6151" ht="15.75" customHeight="1">
      <c r="A6151" s="2">
        <v>28639.0</v>
      </c>
      <c r="B6151" s="2" t="s">
        <v>12003</v>
      </c>
      <c r="C6151" s="2" t="s">
        <v>12004</v>
      </c>
      <c r="D6151" s="2" t="s">
        <v>1271</v>
      </c>
      <c r="E6151" s="2" t="s">
        <v>914</v>
      </c>
      <c r="F6151" s="2">
        <v>0.0</v>
      </c>
      <c r="G6151" s="2">
        <v>500.0</v>
      </c>
      <c r="H6151" s="3" t="str">
        <f>HYPERLINK("https://www.linkedin.com/pub/laetitia-rettori/4/608/649","https://www.linkedin.com/pub/laetitia-rettori/4/608/649")</f>
        <v>https://www.linkedin.com/pub/laetitia-rettori/4/608/649</v>
      </c>
      <c r="I6151" s="2" t="s">
        <v>143</v>
      </c>
      <c r="J6151" s="2" t="s">
        <v>102</v>
      </c>
      <c r="K6151" s="2" t="s">
        <v>10799</v>
      </c>
    </row>
    <row r="6152" ht="15.75" customHeight="1">
      <c r="A6152" s="2">
        <v>28643.0</v>
      </c>
      <c r="B6152" s="2" t="s">
        <v>12005</v>
      </c>
      <c r="C6152" s="2" t="s">
        <v>12006</v>
      </c>
      <c r="D6152" s="2"/>
      <c r="E6152" s="2" t="s">
        <v>136</v>
      </c>
      <c r="F6152" s="2">
        <v>26.0</v>
      </c>
      <c r="G6152" s="2">
        <v>500.0</v>
      </c>
      <c r="H6152" s="3" t="str">
        <f>HYPERLINK("http://www.linkedin.com/in/bedyyang","http://www.linkedin.com/in/bedyyang")</f>
        <v>http://www.linkedin.com/in/bedyyang</v>
      </c>
      <c r="I6152" s="2" t="s">
        <v>2725</v>
      </c>
      <c r="J6152" s="2" t="s">
        <v>102</v>
      </c>
      <c r="K6152" s="2" t="s">
        <v>10206</v>
      </c>
    </row>
    <row r="6153" ht="15.75" customHeight="1">
      <c r="A6153" s="2">
        <v>28646.0</v>
      </c>
      <c r="B6153" s="2" t="s">
        <v>12007</v>
      </c>
      <c r="C6153" s="2" t="s">
        <v>12008</v>
      </c>
      <c r="D6153" s="2" t="s">
        <v>13</v>
      </c>
      <c r="E6153" s="2" t="s">
        <v>136</v>
      </c>
      <c r="F6153" s="2">
        <v>0.0</v>
      </c>
      <c r="G6153" s="2">
        <v>500.0</v>
      </c>
      <c r="H6153" s="3" t="str">
        <f>HYPERLINK("http://www.linkedin.com/in/jfrizzo","http://www.linkedin.com/in/jfrizzo")</f>
        <v>http://www.linkedin.com/in/jfrizzo</v>
      </c>
      <c r="I6153" s="2" t="s">
        <v>69</v>
      </c>
      <c r="J6153" s="2" t="s">
        <v>102</v>
      </c>
      <c r="K6153" s="2" t="s">
        <v>10176</v>
      </c>
    </row>
    <row r="6154" ht="15.75" customHeight="1">
      <c r="A6154" s="2">
        <v>28807.0</v>
      </c>
      <c r="B6154" s="2" t="s">
        <v>1458</v>
      </c>
      <c r="C6154" s="2" t="s">
        <v>12009</v>
      </c>
      <c r="D6154" s="2"/>
      <c r="E6154" s="2" t="s">
        <v>713</v>
      </c>
      <c r="F6154" s="2">
        <v>0.0</v>
      </c>
      <c r="G6154" s="2">
        <v>500.0</v>
      </c>
      <c r="H6154" s="3" t="str">
        <f>HYPERLINK("http://www.linkedin.com/in/toddmarkson","http://www.linkedin.com/in/toddmarkson")</f>
        <v>http://www.linkedin.com/in/toddmarkson</v>
      </c>
      <c r="I6154" s="2" t="s">
        <v>57</v>
      </c>
      <c r="J6154" s="2" t="s">
        <v>102</v>
      </c>
      <c r="K6154" s="2" t="s">
        <v>10209</v>
      </c>
    </row>
    <row r="6155" ht="15.75" customHeight="1">
      <c r="A6155" s="2">
        <v>28852.0</v>
      </c>
      <c r="B6155" s="2" t="s">
        <v>12010</v>
      </c>
      <c r="C6155" s="2" t="s">
        <v>740</v>
      </c>
      <c r="D6155" s="2" t="s">
        <v>12011</v>
      </c>
      <c r="E6155" s="2" t="s">
        <v>64</v>
      </c>
      <c r="F6155" s="2">
        <v>12.0</v>
      </c>
      <c r="G6155" s="2">
        <v>345.0</v>
      </c>
      <c r="H6155" s="3" t="str">
        <f>HYPERLINK("http://uk.linkedin.com/pub/anildo-silva/0/247/968","http://uk.linkedin.com/pub/anildo-silva/0/247/968")</f>
        <v>http://uk.linkedin.com/pub/anildo-silva/0/247/968</v>
      </c>
      <c r="I6155" s="2" t="s">
        <v>15</v>
      </c>
      <c r="J6155" s="2" t="s">
        <v>65</v>
      </c>
      <c r="K6155" s="2" t="s">
        <v>10180</v>
      </c>
    </row>
    <row r="6156" ht="15.75" customHeight="1">
      <c r="A6156" s="2">
        <v>28964.0</v>
      </c>
      <c r="B6156" s="2" t="s">
        <v>6134</v>
      </c>
      <c r="C6156" s="2" t="s">
        <v>12012</v>
      </c>
      <c r="D6156" s="2" t="s">
        <v>12013</v>
      </c>
      <c r="E6156" s="2" t="s">
        <v>1190</v>
      </c>
      <c r="F6156" s="2">
        <v>12.0</v>
      </c>
      <c r="G6156" s="2">
        <v>500.0</v>
      </c>
      <c r="H6156" s="3" t="str">
        <f>HYPERLINK("http://www.linkedin.com/in/ericasavka1","http://www.linkedin.com/in/ericasavka1")</f>
        <v>http://www.linkedin.com/in/ericasavka1</v>
      </c>
      <c r="I6156" s="2" t="s">
        <v>279</v>
      </c>
      <c r="J6156" s="2" t="s">
        <v>102</v>
      </c>
      <c r="K6156" s="2" t="s">
        <v>11117</v>
      </c>
    </row>
    <row r="6157" ht="15.75" customHeight="1">
      <c r="A6157" s="2">
        <v>29008.0</v>
      </c>
      <c r="B6157" s="2" t="s">
        <v>341</v>
      </c>
      <c r="C6157" s="2" t="s">
        <v>1588</v>
      </c>
      <c r="D6157" s="2" t="s">
        <v>12014</v>
      </c>
      <c r="E6157" s="2" t="s">
        <v>728</v>
      </c>
      <c r="F6157" s="2">
        <v>13.0</v>
      </c>
      <c r="G6157" s="2">
        <v>500.0</v>
      </c>
      <c r="H6157" s="3" t="str">
        <f>HYPERLINK("http://www.linkedin.com/in/kevinbarnes","http://www.linkedin.com/in/kevinbarnes")</f>
        <v>http://www.linkedin.com/in/kevinbarnes</v>
      </c>
      <c r="I6157" s="2" t="s">
        <v>48</v>
      </c>
      <c r="J6157" s="2" t="s">
        <v>102</v>
      </c>
      <c r="K6157" s="2" t="s">
        <v>10180</v>
      </c>
    </row>
    <row r="6158" ht="15.75" customHeight="1">
      <c r="A6158" s="2">
        <v>29009.0</v>
      </c>
      <c r="B6158" s="2" t="s">
        <v>1004</v>
      </c>
      <c r="C6158" s="2" t="s">
        <v>4981</v>
      </c>
      <c r="D6158" s="2" t="s">
        <v>12015</v>
      </c>
      <c r="E6158" s="2" t="s">
        <v>2968</v>
      </c>
      <c r="F6158" s="2">
        <v>11.0</v>
      </c>
      <c r="G6158" s="2">
        <v>500.0</v>
      </c>
      <c r="H6158" s="3" t="str">
        <f>HYPERLINK("http://www.linkedin.com/in/sedwardharrison","http://www.linkedin.com/in/sedwardharrison")</f>
        <v>http://www.linkedin.com/in/sedwardharrison</v>
      </c>
      <c r="I6158" s="2" t="s">
        <v>15</v>
      </c>
      <c r="J6158" s="2" t="s">
        <v>102</v>
      </c>
      <c r="K6158" s="2" t="s">
        <v>10245</v>
      </c>
    </row>
    <row r="6159" ht="15.75" customHeight="1">
      <c r="A6159" s="2">
        <v>29010.0</v>
      </c>
      <c r="B6159" s="2" t="s">
        <v>759</v>
      </c>
      <c r="C6159" s="2" t="s">
        <v>5026</v>
      </c>
      <c r="D6159" s="2" t="s">
        <v>12016</v>
      </c>
      <c r="E6159" s="2" t="s">
        <v>235</v>
      </c>
      <c r="F6159" s="2">
        <v>4.0</v>
      </c>
      <c r="G6159" s="2">
        <v>219.0</v>
      </c>
      <c r="H6159" s="3" t="str">
        <f>HYPERLINK("http://www.linkedin.com/pub/barbara-wheeler/2/1AA/39A","http://www.linkedin.com/pub/barbara-wheeler/2/1AA/39A")</f>
        <v>http://www.linkedin.com/pub/barbara-wheeler/2/1AA/39A</v>
      </c>
      <c r="I6159" s="2" t="s">
        <v>57</v>
      </c>
      <c r="J6159" s="2" t="s">
        <v>102</v>
      </c>
      <c r="K6159" s="2" t="s">
        <v>10206</v>
      </c>
    </row>
    <row r="6160" ht="15.75" customHeight="1">
      <c r="A6160" s="2">
        <v>29012.0</v>
      </c>
      <c r="B6160" s="2" t="s">
        <v>5389</v>
      </c>
      <c r="C6160" s="2" t="s">
        <v>12017</v>
      </c>
      <c r="D6160" s="2" t="s">
        <v>12018</v>
      </c>
      <c r="E6160" s="2" t="s">
        <v>728</v>
      </c>
      <c r="F6160" s="2">
        <v>7.0</v>
      </c>
      <c r="G6160" s="2">
        <v>300.0</v>
      </c>
      <c r="H6160" s="3" t="str">
        <f>HYPERLINK("http://www.linkedin.com/pub/paula-garb/5/3A8/AB6","http://www.linkedin.com/pub/paula-garb/5/3A8/AB6")</f>
        <v>http://www.linkedin.com/pub/paula-garb/5/3A8/AB6</v>
      </c>
      <c r="I6160" s="2" t="s">
        <v>252</v>
      </c>
      <c r="J6160" s="2" t="s">
        <v>102</v>
      </c>
      <c r="K6160" s="2" t="s">
        <v>10180</v>
      </c>
    </row>
    <row r="6161" ht="15.75" customHeight="1">
      <c r="A6161" s="2">
        <v>29016.0</v>
      </c>
      <c r="B6161" s="2" t="s">
        <v>1380</v>
      </c>
      <c r="C6161" s="2" t="s">
        <v>12019</v>
      </c>
      <c r="D6161" s="2" t="s">
        <v>10765</v>
      </c>
      <c r="E6161" s="2" t="s">
        <v>2968</v>
      </c>
      <c r="F6161" s="2">
        <v>12.0</v>
      </c>
      <c r="G6161" s="2">
        <v>192.0</v>
      </c>
      <c r="H6161" s="3" t="str">
        <f>HYPERLINK("http://www.linkedin.com/pub/randy-cable/28/75/783","http://www.linkedin.com/pub/randy-cable/28/75/783")</f>
        <v>http://www.linkedin.com/pub/randy-cable/28/75/783</v>
      </c>
      <c r="I6161" s="2" t="s">
        <v>77</v>
      </c>
      <c r="J6161" s="2" t="s">
        <v>102</v>
      </c>
      <c r="K6161" s="2" t="s">
        <v>10384</v>
      </c>
    </row>
    <row r="6162" ht="15.75" customHeight="1">
      <c r="A6162" s="2">
        <v>29018.0</v>
      </c>
      <c r="B6162" s="2" t="s">
        <v>12020</v>
      </c>
      <c r="C6162" s="2" t="s">
        <v>12021</v>
      </c>
      <c r="D6162" s="2" t="s">
        <v>12022</v>
      </c>
      <c r="E6162" s="2" t="s">
        <v>728</v>
      </c>
      <c r="F6162" s="2">
        <v>3.0</v>
      </c>
      <c r="G6162" s="2">
        <v>215.0</v>
      </c>
      <c r="H6162" s="3" t="str">
        <f>HYPERLINK("http://www.linkedin.com/in/kambijecminek","http://www.linkedin.com/in/kambijecminek")</f>
        <v>http://www.linkedin.com/in/kambijecminek</v>
      </c>
      <c r="I6162" s="2" t="s">
        <v>279</v>
      </c>
      <c r="J6162" s="2" t="s">
        <v>102</v>
      </c>
      <c r="K6162" s="2" t="s">
        <v>10187</v>
      </c>
    </row>
    <row r="6163" ht="15.75" customHeight="1">
      <c r="A6163" s="2">
        <v>29019.0</v>
      </c>
      <c r="B6163" s="2" t="s">
        <v>8902</v>
      </c>
      <c r="C6163" s="2" t="s">
        <v>12023</v>
      </c>
      <c r="D6163" s="2" t="s">
        <v>12024</v>
      </c>
      <c r="E6163" s="2" t="s">
        <v>728</v>
      </c>
      <c r="F6163" s="2">
        <v>0.0</v>
      </c>
      <c r="G6163" s="2">
        <v>196.0</v>
      </c>
      <c r="H6163" s="3" t="str">
        <f>HYPERLINK("http://www.linkedin.com/pub/bianca-smothers/15/A76/135","http://www.linkedin.com/pub/bianca-smothers/15/A76/135")</f>
        <v>http://www.linkedin.com/pub/bianca-smothers/15/A76/135</v>
      </c>
      <c r="I6163" s="2" t="s">
        <v>1237</v>
      </c>
      <c r="J6163" s="2" t="s">
        <v>102</v>
      </c>
      <c r="K6163" s="2" t="s">
        <v>10268</v>
      </c>
    </row>
    <row r="6164" ht="15.75" customHeight="1">
      <c r="A6164" s="2">
        <v>29020.0</v>
      </c>
      <c r="B6164" s="2" t="s">
        <v>4157</v>
      </c>
      <c r="C6164" s="2" t="s">
        <v>12025</v>
      </c>
      <c r="D6164" s="2" t="s">
        <v>12026</v>
      </c>
      <c r="E6164" s="2" t="s">
        <v>122</v>
      </c>
      <c r="F6164" s="2">
        <v>3.0</v>
      </c>
      <c r="G6164" s="2">
        <v>500.0</v>
      </c>
      <c r="H6164" s="3" t="str">
        <f>HYPERLINK("http://uk.linkedin.com/pub/mary-burke/3/341/851","http://uk.linkedin.com/pub/mary-burke/3/341/851")</f>
        <v>http://uk.linkedin.com/pub/mary-burke/3/341/851</v>
      </c>
      <c r="I6164" s="2" t="s">
        <v>1237</v>
      </c>
      <c r="J6164" s="2" t="s">
        <v>53</v>
      </c>
      <c r="K6164" s="2" t="s">
        <v>12027</v>
      </c>
    </row>
    <row r="6165" ht="15.75" customHeight="1">
      <c r="A6165" s="2">
        <v>29021.0</v>
      </c>
      <c r="B6165" s="2" t="s">
        <v>937</v>
      </c>
      <c r="C6165" s="2" t="s">
        <v>12028</v>
      </c>
      <c r="D6165" s="2" t="s">
        <v>12029</v>
      </c>
      <c r="E6165" s="2" t="s">
        <v>728</v>
      </c>
      <c r="F6165" s="2">
        <v>0.0</v>
      </c>
      <c r="G6165" s="2">
        <v>131.0</v>
      </c>
      <c r="H6165" s="3" t="str">
        <f>HYPERLINK("http://www.linkedin.com/pub/danielle-knipp/6/49/3B6","http://www.linkedin.com/pub/danielle-knipp/6/49/3B6")</f>
        <v>http://www.linkedin.com/pub/danielle-knipp/6/49/3B6</v>
      </c>
      <c r="I6165" s="2" t="s">
        <v>1237</v>
      </c>
      <c r="J6165" s="2" t="s">
        <v>102</v>
      </c>
      <c r="K6165" s="2" t="s">
        <v>10362</v>
      </c>
    </row>
    <row r="6166" ht="15.75" customHeight="1">
      <c r="A6166" s="2">
        <v>29022.0</v>
      </c>
      <c r="B6166" s="2" t="s">
        <v>12030</v>
      </c>
      <c r="C6166" s="2" t="s">
        <v>2148</v>
      </c>
      <c r="D6166" s="2"/>
      <c r="E6166" s="2" t="s">
        <v>728</v>
      </c>
      <c r="F6166" s="2">
        <v>0.0</v>
      </c>
      <c r="G6166" s="2">
        <v>368.0</v>
      </c>
      <c r="H6166" s="3" t="str">
        <f>HYPERLINK("http://www.linkedin.com/pub/kerri-nelson/2/57B/476","http://www.linkedin.com/pub/kerri-nelson/2/57B/476")</f>
        <v>http://www.linkedin.com/pub/kerri-nelson/2/57B/476</v>
      </c>
      <c r="I6166" s="2" t="s">
        <v>1237</v>
      </c>
      <c r="J6166" s="2" t="s">
        <v>102</v>
      </c>
      <c r="K6166" s="2" t="s">
        <v>10187</v>
      </c>
    </row>
    <row r="6167" ht="15.75" customHeight="1">
      <c r="A6167" s="2">
        <v>29025.0</v>
      </c>
      <c r="B6167" s="2" t="s">
        <v>625</v>
      </c>
      <c r="C6167" s="2" t="s">
        <v>12031</v>
      </c>
      <c r="D6167" s="2" t="s">
        <v>114</v>
      </c>
      <c r="E6167" s="2" t="s">
        <v>728</v>
      </c>
      <c r="F6167" s="2">
        <v>7.0</v>
      </c>
      <c r="G6167" s="2">
        <v>500.0</v>
      </c>
      <c r="H6167" s="3" t="str">
        <f>HYPERLINK("http://www.linkedin.com/in/timmarkham","http://www.linkedin.com/in/timmarkham")</f>
        <v>http://www.linkedin.com/in/timmarkham</v>
      </c>
      <c r="I6167" s="2" t="s">
        <v>475</v>
      </c>
      <c r="J6167" s="2" t="s">
        <v>102</v>
      </c>
      <c r="K6167" s="2" t="s">
        <v>12032</v>
      </c>
    </row>
    <row r="6168" ht="15.75" customHeight="1">
      <c r="A6168" s="2">
        <v>29028.0</v>
      </c>
      <c r="B6168" s="2" t="s">
        <v>5803</v>
      </c>
      <c r="C6168" s="2" t="s">
        <v>3566</v>
      </c>
      <c r="D6168" s="2" t="s">
        <v>6213</v>
      </c>
      <c r="E6168" s="2" t="s">
        <v>20</v>
      </c>
      <c r="F6168" s="2">
        <v>2.0</v>
      </c>
      <c r="G6168" s="2">
        <v>500.0</v>
      </c>
      <c r="H6168" s="3" t="str">
        <f>HYPERLINK("http://www.linkedin.com/in/marianos","http://www.linkedin.com/in/marianos")</f>
        <v>http://www.linkedin.com/in/marianos</v>
      </c>
      <c r="I6168" s="2" t="s">
        <v>48</v>
      </c>
      <c r="J6168" s="2" t="s">
        <v>21</v>
      </c>
      <c r="K6168" s="2" t="s">
        <v>10196</v>
      </c>
    </row>
    <row r="6169" ht="15.75" customHeight="1">
      <c r="A6169" s="2">
        <v>29044.0</v>
      </c>
      <c r="B6169" s="2" t="s">
        <v>1071</v>
      </c>
      <c r="C6169" s="2" t="s">
        <v>12033</v>
      </c>
      <c r="D6169" s="2" t="s">
        <v>12034</v>
      </c>
      <c r="E6169" s="2" t="s">
        <v>728</v>
      </c>
      <c r="F6169" s="2">
        <v>1.0</v>
      </c>
      <c r="G6169" s="2">
        <v>329.0</v>
      </c>
      <c r="H6169" s="3" t="str">
        <f>HYPERLINK("http://www.linkedin.com/in/ericbuhring","http://www.linkedin.com/in/ericbuhring")</f>
        <v>http://www.linkedin.com/in/ericbuhring</v>
      </c>
      <c r="I6169" s="2" t="s">
        <v>252</v>
      </c>
      <c r="J6169" s="2" t="s">
        <v>102</v>
      </c>
      <c r="K6169" s="2" t="s">
        <v>10180</v>
      </c>
    </row>
    <row r="6170" ht="15.75" customHeight="1">
      <c r="A6170" s="2">
        <v>29045.0</v>
      </c>
      <c r="B6170" s="2" t="s">
        <v>754</v>
      </c>
      <c r="C6170" s="2" t="s">
        <v>12035</v>
      </c>
      <c r="D6170" s="2" t="s">
        <v>12036</v>
      </c>
      <c r="E6170" s="2" t="s">
        <v>728</v>
      </c>
      <c r="F6170" s="2">
        <v>0.0</v>
      </c>
      <c r="G6170" s="2">
        <v>103.0</v>
      </c>
      <c r="H6170" s="3" t="str">
        <f>HYPERLINK("http://www.linkedin.com/pub/greg-connaughton/7/A9B/B65","http://www.linkedin.com/pub/greg-connaughton/7/A9B/B65")</f>
        <v>http://www.linkedin.com/pub/greg-connaughton/7/A9B/B65</v>
      </c>
      <c r="I6170" s="2" t="s">
        <v>252</v>
      </c>
      <c r="J6170" s="2" t="s">
        <v>102</v>
      </c>
      <c r="K6170" s="2" t="s">
        <v>10180</v>
      </c>
    </row>
    <row r="6171" ht="15.75" customHeight="1">
      <c r="A6171" s="2">
        <v>29047.0</v>
      </c>
      <c r="B6171" s="2" t="s">
        <v>12037</v>
      </c>
      <c r="C6171" s="2" t="s">
        <v>3278</v>
      </c>
      <c r="D6171" s="2" t="s">
        <v>8594</v>
      </c>
      <c r="E6171" s="2" t="s">
        <v>728</v>
      </c>
      <c r="F6171" s="2" t="s">
        <v>13</v>
      </c>
      <c r="G6171" s="2">
        <v>120.0</v>
      </c>
      <c r="H6171" s="3" t="str">
        <f>HYPERLINK("http://www.linkedin.com/pub/worth-baker/4/714/7B2","http://www.linkedin.com/pub/worth-baker/4/714/7B2")</f>
        <v>http://www.linkedin.com/pub/worth-baker/4/714/7B2</v>
      </c>
      <c r="I6171" s="2" t="s">
        <v>48</v>
      </c>
      <c r="J6171" s="2" t="s">
        <v>102</v>
      </c>
      <c r="K6171" s="2" t="s">
        <v>10233</v>
      </c>
    </row>
    <row r="6172" ht="15.75" customHeight="1">
      <c r="A6172" s="2">
        <v>29052.0</v>
      </c>
      <c r="B6172" s="2" t="s">
        <v>275</v>
      </c>
      <c r="C6172" s="2" t="s">
        <v>12038</v>
      </c>
      <c r="D6172" s="2" t="s">
        <v>42</v>
      </c>
      <c r="E6172" s="2" t="s">
        <v>728</v>
      </c>
      <c r="F6172" s="2">
        <v>7.0</v>
      </c>
      <c r="G6172" s="2">
        <v>395.0</v>
      </c>
      <c r="H6172" s="3" t="str">
        <f>HYPERLINK("http://www.linkedin.com/in/markwyss","http://www.linkedin.com/in/markwyss")</f>
        <v>http://www.linkedin.com/in/markwyss</v>
      </c>
      <c r="I6172" s="2" t="s">
        <v>15</v>
      </c>
      <c r="J6172" s="2" t="s">
        <v>102</v>
      </c>
      <c r="K6172" s="2" t="s">
        <v>10184</v>
      </c>
    </row>
    <row r="6173" ht="15.75" customHeight="1">
      <c r="A6173" s="2">
        <v>29056.0</v>
      </c>
      <c r="B6173" s="2" t="s">
        <v>12039</v>
      </c>
      <c r="C6173" s="2" t="s">
        <v>12040</v>
      </c>
      <c r="D6173" s="2" t="s">
        <v>12041</v>
      </c>
      <c r="E6173" s="2" t="s">
        <v>728</v>
      </c>
      <c r="F6173" s="2">
        <v>1.0</v>
      </c>
      <c r="G6173" s="2">
        <v>500.0</v>
      </c>
      <c r="H6173" s="3" t="str">
        <f>HYPERLINK("http://www.linkedin.com/in/theresaenebo","http://www.linkedin.com/in/theresaenebo")</f>
        <v>http://www.linkedin.com/in/theresaenebo</v>
      </c>
      <c r="I6173" s="2" t="s">
        <v>15</v>
      </c>
      <c r="J6173" s="2" t="s">
        <v>102</v>
      </c>
      <c r="K6173" s="2" t="s">
        <v>10184</v>
      </c>
    </row>
    <row r="6174" ht="15.75" customHeight="1">
      <c r="A6174" s="2">
        <v>29100.0</v>
      </c>
      <c r="B6174" s="2" t="s">
        <v>677</v>
      </c>
      <c r="C6174" s="2" t="s">
        <v>12042</v>
      </c>
      <c r="D6174" s="2" t="s">
        <v>12043</v>
      </c>
      <c r="E6174" s="2" t="s">
        <v>1918</v>
      </c>
      <c r="F6174" s="2">
        <v>8.0</v>
      </c>
      <c r="G6174" s="2">
        <v>500.0</v>
      </c>
      <c r="H6174" s="3" t="str">
        <f>HYPERLINK("http://www.linkedin.com/in/danielaltbaum","http://www.linkedin.com/in/danielaltbaum")</f>
        <v>http://www.linkedin.com/in/danielaltbaum</v>
      </c>
      <c r="I6174" s="2" t="s">
        <v>77</v>
      </c>
      <c r="J6174" s="2" t="s">
        <v>102</v>
      </c>
      <c r="K6174" s="2" t="s">
        <v>10229</v>
      </c>
    </row>
    <row r="6175" ht="15.75" customHeight="1">
      <c r="A6175" s="2">
        <v>29111.0</v>
      </c>
      <c r="B6175" s="2" t="s">
        <v>5871</v>
      </c>
      <c r="C6175" s="2" t="s">
        <v>12044</v>
      </c>
      <c r="D6175" s="2" t="s">
        <v>12045</v>
      </c>
      <c r="E6175" s="2" t="s">
        <v>20</v>
      </c>
      <c r="F6175" s="2">
        <v>3.0</v>
      </c>
      <c r="G6175" s="2">
        <v>334.0</v>
      </c>
      <c r="H6175" s="3" t="str">
        <f>HYPERLINK("http://ar.linkedin.com/in/sabrinaberazategui","http://ar.linkedin.com/in/sabrinaberazategui")</f>
        <v>http://ar.linkedin.com/in/sabrinaberazategui</v>
      </c>
      <c r="I6175" s="2" t="s">
        <v>15</v>
      </c>
      <c r="J6175" s="2" t="s">
        <v>21</v>
      </c>
      <c r="K6175" s="2" t="s">
        <v>10196</v>
      </c>
    </row>
    <row r="6176" ht="15.75" customHeight="1">
      <c r="A6176" s="2">
        <v>29121.0</v>
      </c>
      <c r="B6176" s="2" t="s">
        <v>431</v>
      </c>
      <c r="C6176" s="2" t="s">
        <v>638</v>
      </c>
      <c r="D6176" s="2" t="s">
        <v>517</v>
      </c>
      <c r="E6176" s="2" t="s">
        <v>20</v>
      </c>
      <c r="F6176" s="2">
        <v>4.0</v>
      </c>
      <c r="G6176" s="2">
        <v>306.0</v>
      </c>
      <c r="H6176" s="3" t="str">
        <f>HYPERLINK("http://ar.linkedin.com/pub/rodrigo-avila/5/79A/886","http://ar.linkedin.com/pub/rodrigo-avila/5/79A/886")</f>
        <v>http://ar.linkedin.com/pub/rodrigo-avila/5/79A/886</v>
      </c>
      <c r="I6176" s="2" t="s">
        <v>2000</v>
      </c>
      <c r="J6176" s="2" t="s">
        <v>21</v>
      </c>
      <c r="K6176" s="2" t="s">
        <v>10182</v>
      </c>
    </row>
    <row r="6177" ht="15.75" customHeight="1">
      <c r="A6177" s="2">
        <v>29159.0</v>
      </c>
      <c r="B6177" s="2" t="s">
        <v>12046</v>
      </c>
      <c r="C6177" s="2" t="s">
        <v>12047</v>
      </c>
      <c r="D6177" s="2" t="s">
        <v>13</v>
      </c>
      <c r="E6177" s="2" t="s">
        <v>20</v>
      </c>
      <c r="F6177" s="2">
        <v>24.0</v>
      </c>
      <c r="G6177" s="2">
        <v>500.0</v>
      </c>
      <c r="H6177" s="3" t="str">
        <f>HYPERLINK("http://www.linkedin.com/pub/jose-gabriel-magaquian/21/479/245","http://www.linkedin.com/pub/jose-gabriel-magaquian/21/479/245")</f>
        <v>http://www.linkedin.com/pub/jose-gabriel-magaquian/21/479/245</v>
      </c>
      <c r="I6177" s="2" t="s">
        <v>15</v>
      </c>
      <c r="J6177" s="2" t="s">
        <v>21</v>
      </c>
      <c r="K6177" s="2" t="s">
        <v>10196</v>
      </c>
    </row>
    <row r="6178" ht="15.75" customHeight="1">
      <c r="A6178" s="2">
        <v>29177.0</v>
      </c>
      <c r="B6178" s="2" t="s">
        <v>671</v>
      </c>
      <c r="C6178" s="2" t="s">
        <v>12048</v>
      </c>
      <c r="D6178" s="2" t="s">
        <v>12049</v>
      </c>
      <c r="E6178" s="2" t="s">
        <v>20</v>
      </c>
      <c r="F6178" s="2" t="s">
        <v>13</v>
      </c>
      <c r="G6178" s="2">
        <v>218.0</v>
      </c>
      <c r="H6178" s="3" t="str">
        <f>HYPERLINK("http://ar.linkedin.com/pub/mariana-prunes/11/B05/A6A","http://ar.linkedin.com/pub/mariana-prunes/11/B05/A6A")</f>
        <v>http://ar.linkedin.com/pub/mariana-prunes/11/B05/A6A</v>
      </c>
      <c r="I6178" s="2" t="s">
        <v>15</v>
      </c>
      <c r="J6178" s="2" t="s">
        <v>21</v>
      </c>
      <c r="K6178" s="2" t="s">
        <v>10173</v>
      </c>
    </row>
    <row r="6179" ht="15.75" customHeight="1">
      <c r="A6179" s="2">
        <v>29227.0</v>
      </c>
      <c r="B6179" s="2" t="s">
        <v>3891</v>
      </c>
      <c r="C6179" s="2" t="s">
        <v>12050</v>
      </c>
      <c r="D6179" s="2" t="s">
        <v>4973</v>
      </c>
      <c r="E6179" s="2" t="s">
        <v>20</v>
      </c>
      <c r="F6179" s="2">
        <v>5.0</v>
      </c>
      <c r="G6179" s="2">
        <v>500.0</v>
      </c>
      <c r="H6179" s="3" t="str">
        <f>HYPERLINK("http://ar.linkedin.com/pub/veronica-arguello/17/8B6/475","http://ar.linkedin.com/pub/veronica-arguello/17/8B6/475")</f>
        <v>http://ar.linkedin.com/pub/veronica-arguello/17/8B6/475</v>
      </c>
      <c r="I6179" s="2" t="s">
        <v>15</v>
      </c>
      <c r="J6179" s="2" t="s">
        <v>21</v>
      </c>
      <c r="K6179" s="2" t="s">
        <v>10196</v>
      </c>
    </row>
    <row r="6180" ht="15.75" customHeight="1">
      <c r="A6180" s="2">
        <v>29231.0</v>
      </c>
      <c r="B6180" s="2" t="s">
        <v>358</v>
      </c>
      <c r="C6180" s="2" t="s">
        <v>12051</v>
      </c>
      <c r="D6180" s="2" t="s">
        <v>7901</v>
      </c>
      <c r="E6180" s="2" t="s">
        <v>1190</v>
      </c>
      <c r="F6180" s="2" t="s">
        <v>13</v>
      </c>
      <c r="G6180" s="2">
        <v>500.0</v>
      </c>
      <c r="H6180" s="3" t="str">
        <f>HYPERLINK("http://www.linkedin.com/pub/marcelo-di-cugno/0/822/325","http://www.linkedin.com/pub/marcelo-di-cugno/0/822/325")</f>
        <v>http://www.linkedin.com/pub/marcelo-di-cugno/0/822/325</v>
      </c>
      <c r="I6180" s="2" t="s">
        <v>279</v>
      </c>
      <c r="J6180" s="2" t="s">
        <v>102</v>
      </c>
      <c r="K6180" s="2" t="s">
        <v>10187</v>
      </c>
    </row>
    <row r="6181" ht="15.75" customHeight="1">
      <c r="A6181" s="2">
        <v>29243.0</v>
      </c>
      <c r="B6181" s="2" t="s">
        <v>12052</v>
      </c>
      <c r="C6181" s="2" t="s">
        <v>12053</v>
      </c>
      <c r="D6181" s="2" t="s">
        <v>12054</v>
      </c>
      <c r="E6181" s="2" t="s">
        <v>1190</v>
      </c>
      <c r="F6181" s="2">
        <v>29.0</v>
      </c>
      <c r="G6181" s="2">
        <v>500.0</v>
      </c>
      <c r="H6181" s="3" t="str">
        <f>HYPERLINK("http://www.linkedin.com/in/bernardoaraya","http://www.linkedin.com/in/bernardoaraya")</f>
        <v>http://www.linkedin.com/in/bernardoaraya</v>
      </c>
      <c r="I6181" s="2" t="s">
        <v>105</v>
      </c>
      <c r="J6181" s="2" t="s">
        <v>102</v>
      </c>
      <c r="K6181" s="2" t="s">
        <v>10799</v>
      </c>
    </row>
    <row r="6182" ht="15.75" customHeight="1">
      <c r="A6182" s="2">
        <v>29244.0</v>
      </c>
      <c r="B6182" s="2" t="s">
        <v>238</v>
      </c>
      <c r="C6182" s="2" t="s">
        <v>12055</v>
      </c>
      <c r="D6182" s="2"/>
      <c r="E6182" s="2" t="s">
        <v>407</v>
      </c>
      <c r="F6182" s="2">
        <v>5.0</v>
      </c>
      <c r="G6182" s="2">
        <v>494.0</v>
      </c>
      <c r="H6182" s="3" t="str">
        <f>HYPERLINK("http://www.linkedin.com/pub/juan-lontok/1/192/A6A","http://www.linkedin.com/pub/juan-lontok/1/192/A6A")</f>
        <v>http://www.linkedin.com/pub/juan-lontok/1/192/A6A</v>
      </c>
      <c r="I6182" s="2" t="s">
        <v>77</v>
      </c>
      <c r="J6182" s="2" t="s">
        <v>102</v>
      </c>
      <c r="K6182" s="2" t="s">
        <v>10209</v>
      </c>
    </row>
    <row r="6183" ht="15.75" customHeight="1">
      <c r="A6183" s="2">
        <v>29247.0</v>
      </c>
      <c r="B6183" s="2" t="s">
        <v>12056</v>
      </c>
      <c r="C6183" s="2" t="s">
        <v>12057</v>
      </c>
      <c r="D6183" s="2" t="s">
        <v>12058</v>
      </c>
      <c r="E6183" s="2" t="s">
        <v>1190</v>
      </c>
      <c r="F6183" s="2">
        <v>12.0</v>
      </c>
      <c r="G6183" s="2">
        <v>500.0</v>
      </c>
      <c r="H6183" s="3" t="str">
        <f>HYPERLINK("http://www.linkedin.com/pub/nuncio-di-mare/10/549/93","http://www.linkedin.com/pub/nuncio-di-mare/10/549/93")</f>
        <v>http://www.linkedin.com/pub/nuncio-di-mare/10/549/93</v>
      </c>
      <c r="I6183" s="2" t="s">
        <v>77</v>
      </c>
      <c r="J6183" s="2" t="s">
        <v>102</v>
      </c>
      <c r="K6183" s="2" t="s">
        <v>10229</v>
      </c>
    </row>
    <row r="6184" ht="15.75" customHeight="1">
      <c r="A6184" s="2">
        <v>29276.0</v>
      </c>
      <c r="B6184" s="2" t="s">
        <v>4387</v>
      </c>
      <c r="C6184" s="2" t="s">
        <v>12059</v>
      </c>
      <c r="D6184" s="2" t="s">
        <v>12060</v>
      </c>
      <c r="E6184" s="2" t="s">
        <v>136</v>
      </c>
      <c r="F6184" s="2">
        <v>16.0</v>
      </c>
      <c r="G6184" s="2">
        <v>500.0</v>
      </c>
      <c r="H6184" s="3" t="str">
        <f>HYPERLINK("http://www.linkedin.com/in/jfmaitrot","http://www.linkedin.com/in/jfmaitrot")</f>
        <v>http://www.linkedin.com/in/jfmaitrot</v>
      </c>
      <c r="I6184" s="2" t="s">
        <v>167</v>
      </c>
      <c r="J6184" s="2" t="s">
        <v>102</v>
      </c>
      <c r="K6184" s="2" t="s">
        <v>10206</v>
      </c>
    </row>
    <row r="6185" ht="15.75" customHeight="1">
      <c r="A6185" s="2">
        <v>29330.0</v>
      </c>
      <c r="B6185" s="2" t="s">
        <v>12061</v>
      </c>
      <c r="C6185" s="2" t="s">
        <v>12062</v>
      </c>
      <c r="D6185" s="2" t="s">
        <v>12063</v>
      </c>
      <c r="E6185" s="2" t="s">
        <v>101</v>
      </c>
      <c r="F6185" s="2">
        <v>5.0</v>
      </c>
      <c r="G6185" s="2">
        <v>500.0</v>
      </c>
      <c r="H6185" s="3" t="str">
        <f>HYPERLINK("http://www.linkedin.com/pub/leonard-%22len%22-savini/4/4B4/656","http://www.linkedin.com/pub/leonard-%22len%22-savini/4/4B4/656")</f>
        <v>http://www.linkedin.com/pub/leonard-%22len%22-savini/4/4B4/656</v>
      </c>
      <c r="I6185" s="2" t="s">
        <v>599</v>
      </c>
      <c r="J6185" s="2" t="s">
        <v>102</v>
      </c>
      <c r="K6185" s="2" t="s">
        <v>10206</v>
      </c>
    </row>
    <row r="6186" ht="15.75" customHeight="1">
      <c r="A6186" s="2">
        <v>29333.0</v>
      </c>
      <c r="B6186" s="2" t="s">
        <v>10952</v>
      </c>
      <c r="C6186" s="2" t="s">
        <v>12064</v>
      </c>
      <c r="D6186" s="2" t="s">
        <v>10637</v>
      </c>
      <c r="E6186" s="2" t="s">
        <v>181</v>
      </c>
      <c r="F6186" s="2">
        <v>1.0</v>
      </c>
      <c r="G6186" s="2">
        <v>175.0</v>
      </c>
      <c r="H6186" s="3" t="str">
        <f>HYPERLINK("http://www.linkedin.com/pub/salvatore-cippo/2/945/596","http://www.linkedin.com/pub/salvatore-cippo/2/945/596")</f>
        <v>http://www.linkedin.com/pub/salvatore-cippo/2/945/596</v>
      </c>
      <c r="I6186" s="2" t="s">
        <v>15</v>
      </c>
      <c r="J6186" s="2" t="s">
        <v>102</v>
      </c>
      <c r="K6186" s="2" t="s">
        <v>10184</v>
      </c>
    </row>
    <row r="6187" ht="15.75" customHeight="1">
      <c r="A6187" s="2">
        <v>29334.0</v>
      </c>
      <c r="B6187" s="2" t="s">
        <v>431</v>
      </c>
      <c r="C6187" s="2" t="s">
        <v>265</v>
      </c>
      <c r="D6187" s="2" t="s">
        <v>1674</v>
      </c>
      <c r="E6187" s="2" t="s">
        <v>101</v>
      </c>
      <c r="F6187" s="2">
        <v>14.0</v>
      </c>
      <c r="G6187" s="2">
        <v>500.0</v>
      </c>
      <c r="H6187" s="3" t="str">
        <f>HYPERLINK("http://www.linkedin.com/pub/rodrigo-ruiz/6/B24/49","http://www.linkedin.com/pub/rodrigo-ruiz/6/B24/49")</f>
        <v>http://www.linkedin.com/pub/rodrigo-ruiz/6/B24/49</v>
      </c>
      <c r="I6187" s="2" t="s">
        <v>172</v>
      </c>
      <c r="J6187" s="2" t="s">
        <v>102</v>
      </c>
      <c r="K6187" s="2" t="s">
        <v>10312</v>
      </c>
    </row>
    <row r="6188" ht="15.75" customHeight="1">
      <c r="A6188" s="2">
        <v>29335.0</v>
      </c>
      <c r="B6188" s="2" t="s">
        <v>483</v>
      </c>
      <c r="C6188" s="2" t="s">
        <v>12065</v>
      </c>
      <c r="D6188" s="2" t="s">
        <v>11892</v>
      </c>
      <c r="E6188" s="2" t="s">
        <v>294</v>
      </c>
      <c r="F6188" s="2">
        <v>26.0</v>
      </c>
      <c r="G6188" s="2">
        <v>500.0</v>
      </c>
      <c r="H6188" s="3" t="str">
        <f>HYPERLINK("http://www.linkedin.com/in/jairoorea","http://www.linkedin.com/in/jairoorea")</f>
        <v>http://www.linkedin.com/in/jairoorea</v>
      </c>
      <c r="I6188" s="2" t="s">
        <v>279</v>
      </c>
      <c r="J6188" s="2" t="s">
        <v>102</v>
      </c>
      <c r="K6188" s="2" t="s">
        <v>10206</v>
      </c>
    </row>
    <row r="6189" ht="15.75" customHeight="1">
      <c r="A6189" s="2">
        <v>29344.0</v>
      </c>
      <c r="B6189" s="2" t="s">
        <v>12066</v>
      </c>
      <c r="C6189" s="2" t="s">
        <v>12067</v>
      </c>
      <c r="D6189" s="2" t="s">
        <v>12068</v>
      </c>
      <c r="E6189" s="2" t="s">
        <v>101</v>
      </c>
      <c r="F6189" s="2">
        <v>5.0</v>
      </c>
      <c r="G6189" s="2">
        <v>372.0</v>
      </c>
      <c r="H6189" s="3" t="str">
        <f>HYPERLINK("http://www.linkedin.com/pub/kelvin-holbrook/6/A72/A01","http://www.linkedin.com/pub/kelvin-holbrook/6/A72/A01")</f>
        <v>http://www.linkedin.com/pub/kelvin-holbrook/6/A72/A01</v>
      </c>
      <c r="I6189" s="2" t="s">
        <v>681</v>
      </c>
      <c r="J6189" s="2" t="s">
        <v>102</v>
      </c>
      <c r="K6189" s="2" t="s">
        <v>10206</v>
      </c>
    </row>
    <row r="6190" ht="15.75" customHeight="1">
      <c r="A6190" s="2">
        <v>29345.0</v>
      </c>
      <c r="B6190" s="2" t="s">
        <v>2215</v>
      </c>
      <c r="C6190" s="2" t="s">
        <v>12069</v>
      </c>
      <c r="D6190" s="2" t="s">
        <v>12070</v>
      </c>
      <c r="E6190" s="2" t="s">
        <v>101</v>
      </c>
      <c r="F6190" s="2">
        <v>5.0</v>
      </c>
      <c r="G6190" s="2">
        <v>500.0</v>
      </c>
      <c r="H6190" s="3" t="str">
        <f>HYPERLINK("http://www.linkedin.com/in/dnajafi","http://www.linkedin.com/in/dnajafi")</f>
        <v>http://www.linkedin.com/in/dnajafi</v>
      </c>
      <c r="I6190" s="2" t="s">
        <v>15</v>
      </c>
      <c r="J6190" s="2" t="s">
        <v>102</v>
      </c>
      <c r="K6190" s="2" t="s">
        <v>10263</v>
      </c>
    </row>
    <row r="6191" ht="15.75" customHeight="1">
      <c r="A6191" s="2">
        <v>29346.0</v>
      </c>
      <c r="B6191" s="2" t="s">
        <v>2457</v>
      </c>
      <c r="C6191" s="2" t="s">
        <v>12071</v>
      </c>
      <c r="D6191" s="2" t="s">
        <v>12072</v>
      </c>
      <c r="E6191" s="2" t="s">
        <v>101</v>
      </c>
      <c r="F6191" s="2">
        <v>0.0</v>
      </c>
      <c r="G6191" s="2">
        <v>411.0</v>
      </c>
      <c r="H6191" s="3" t="str">
        <f>HYPERLINK("http://www.linkedin.com/pub/stephen-mau/1/A24/B49","http://www.linkedin.com/pub/stephen-mau/1/A24/B49")</f>
        <v>http://www.linkedin.com/pub/stephen-mau/1/A24/B49</v>
      </c>
      <c r="I6191" s="2" t="s">
        <v>15</v>
      </c>
      <c r="J6191" s="2" t="s">
        <v>102</v>
      </c>
      <c r="K6191" s="2" t="s">
        <v>10184</v>
      </c>
    </row>
    <row r="6192" ht="15.75" customHeight="1">
      <c r="A6192" s="2">
        <v>29347.0</v>
      </c>
      <c r="B6192" s="2" t="s">
        <v>774</v>
      </c>
      <c r="C6192" s="2" t="s">
        <v>12073</v>
      </c>
      <c r="D6192" s="2" t="s">
        <v>13</v>
      </c>
      <c r="E6192" s="2" t="s">
        <v>1190</v>
      </c>
      <c r="F6192" s="2">
        <v>0.0</v>
      </c>
      <c r="G6192" s="2">
        <v>438.0</v>
      </c>
      <c r="H6192" s="3" t="str">
        <f>HYPERLINK("http://www.linkedin.com/pub/bruce-d-amico-cop/9/a74/a6b","http://www.linkedin.com/pub/bruce-d-amico-cop/9/a74/a6b")</f>
        <v>http://www.linkedin.com/pub/bruce-d-amico-cop/9/a74/a6b</v>
      </c>
      <c r="I6192" s="2" t="s">
        <v>681</v>
      </c>
      <c r="J6192" s="2" t="s">
        <v>102</v>
      </c>
      <c r="K6192" s="2" t="s">
        <v>10482</v>
      </c>
    </row>
    <row r="6193" ht="15.75" customHeight="1">
      <c r="A6193" s="2">
        <v>29377.0</v>
      </c>
      <c r="B6193" s="2" t="s">
        <v>1486</v>
      </c>
      <c r="C6193" s="2" t="s">
        <v>308</v>
      </c>
      <c r="D6193" s="2" t="s">
        <v>12074</v>
      </c>
      <c r="E6193" s="2" t="s">
        <v>7844</v>
      </c>
      <c r="F6193" s="2">
        <v>0.0</v>
      </c>
      <c r="G6193" s="2">
        <v>252.0</v>
      </c>
      <c r="H6193" s="3" t="str">
        <f>HYPERLINK("http://www.linkedin.com/in/amitgupta12","http://www.linkedin.com/in/amitgupta12")</f>
        <v>http://www.linkedin.com/in/amitgupta12</v>
      </c>
      <c r="I6193" s="2" t="s">
        <v>15</v>
      </c>
      <c r="J6193" s="2" t="s">
        <v>102</v>
      </c>
      <c r="K6193" s="2" t="s">
        <v>10233</v>
      </c>
    </row>
    <row r="6194" ht="15.75" customHeight="1">
      <c r="A6194" s="2">
        <v>29390.0</v>
      </c>
      <c r="B6194" s="2" t="s">
        <v>7689</v>
      </c>
      <c r="C6194" s="2" t="s">
        <v>12075</v>
      </c>
      <c r="D6194" s="2" t="s">
        <v>13</v>
      </c>
      <c r="E6194" s="2" t="s">
        <v>20</v>
      </c>
      <c r="F6194" s="2">
        <v>0.0</v>
      </c>
      <c r="G6194" s="2">
        <v>4.0</v>
      </c>
      <c r="H6194" s="3" t="str">
        <f>HYPERLINK("http://www.linkedin.com/pub/maria-fernanda-yuste/9/672/a2b","http://www.linkedin.com/pub/maria-fernanda-yuste/9/672/a2b")</f>
        <v>http://www.linkedin.com/pub/maria-fernanda-yuste/9/672/a2b</v>
      </c>
      <c r="I6194" s="2" t="s">
        <v>105</v>
      </c>
      <c r="J6194" s="2" t="s">
        <v>21</v>
      </c>
      <c r="K6194" s="2" t="s">
        <v>10187</v>
      </c>
    </row>
    <row r="6195" ht="15.75" customHeight="1">
      <c r="A6195" s="2">
        <v>29425.0</v>
      </c>
      <c r="B6195" s="2" t="s">
        <v>5723</v>
      </c>
      <c r="C6195" s="2" t="s">
        <v>12076</v>
      </c>
      <c r="D6195" s="2" t="s">
        <v>13</v>
      </c>
      <c r="E6195" s="2" t="s">
        <v>20</v>
      </c>
      <c r="F6195" s="2">
        <v>0.0</v>
      </c>
      <c r="G6195" s="2">
        <v>162.0</v>
      </c>
      <c r="H6195" s="3" t="str">
        <f>HYPERLINK("http://www.linkedin.com/pub/pablo-canchelara/2b/2b5/b6b","http://www.linkedin.com/pub/pablo-canchelara/2b/2b5/b6b")</f>
        <v>http://www.linkedin.com/pub/pablo-canchelara/2b/2b5/b6b</v>
      </c>
      <c r="I6195" s="2" t="s">
        <v>15</v>
      </c>
      <c r="J6195" s="2" t="s">
        <v>21</v>
      </c>
      <c r="K6195" s="2" t="s">
        <v>10196</v>
      </c>
    </row>
    <row r="6196" ht="15.75" customHeight="1">
      <c r="A6196" s="2">
        <v>29497.0</v>
      </c>
      <c r="B6196" s="2" t="s">
        <v>18</v>
      </c>
      <c r="C6196" s="2" t="s">
        <v>12077</v>
      </c>
      <c r="D6196" s="2" t="s">
        <v>12078</v>
      </c>
      <c r="E6196" s="2" t="s">
        <v>20</v>
      </c>
      <c r="F6196" s="2">
        <v>2.0</v>
      </c>
      <c r="G6196" s="2">
        <v>167.0</v>
      </c>
      <c r="H6196" s="3" t="str">
        <f>HYPERLINK("http://ar.linkedin.com/pub/mauricio-guarrera/5/217/63","http://ar.linkedin.com/pub/mauricio-guarrera/5/217/63")</f>
        <v>http://ar.linkedin.com/pub/mauricio-guarrera/5/217/63</v>
      </c>
      <c r="I6196" s="2" t="s">
        <v>15</v>
      </c>
      <c r="J6196" s="2" t="s">
        <v>21</v>
      </c>
      <c r="K6196" s="2" t="s">
        <v>10196</v>
      </c>
    </row>
    <row r="6197" ht="15.75" customHeight="1">
      <c r="A6197" s="2">
        <v>29503.0</v>
      </c>
      <c r="B6197" s="2" t="s">
        <v>7744</v>
      </c>
      <c r="C6197" s="2" t="s">
        <v>12079</v>
      </c>
      <c r="D6197" s="2" t="s">
        <v>12080</v>
      </c>
      <c r="E6197" s="2" t="s">
        <v>1407</v>
      </c>
      <c r="F6197" s="2">
        <v>61.0</v>
      </c>
      <c r="G6197" s="2">
        <v>500.0</v>
      </c>
      <c r="H6197" s="3" t="str">
        <f>HYPERLINK("http://www.linkedin.com/in/oscarpozossaldivar","http://www.linkedin.com/in/oscarpozossaldivar")</f>
        <v>http://www.linkedin.com/in/oscarpozossaldivar</v>
      </c>
      <c r="I6197" s="2" t="s">
        <v>77</v>
      </c>
      <c r="J6197" s="2" t="s">
        <v>102</v>
      </c>
      <c r="K6197" s="2" t="s">
        <v>11722</v>
      </c>
    </row>
    <row r="6198" ht="15.75" customHeight="1">
      <c r="A6198" s="2">
        <v>29506.0</v>
      </c>
      <c r="B6198" s="2" t="s">
        <v>1206</v>
      </c>
      <c r="C6198" s="2" t="s">
        <v>12081</v>
      </c>
      <c r="D6198" s="2"/>
      <c r="E6198" s="2" t="s">
        <v>1190</v>
      </c>
      <c r="F6198" s="2">
        <v>2.0</v>
      </c>
      <c r="G6198" s="2">
        <v>500.0</v>
      </c>
      <c r="H6198" s="3" t="str">
        <f>HYPERLINK("http://www.linkedin.com/pub/marcel-del-prado/0/2B6/313","http://www.linkedin.com/pub/marcel-del-prado/0/2B6/313")</f>
        <v>http://www.linkedin.com/pub/marcel-del-prado/0/2B6/313</v>
      </c>
      <c r="I6198" s="2" t="s">
        <v>77</v>
      </c>
      <c r="J6198" s="2" t="s">
        <v>102</v>
      </c>
      <c r="K6198" s="2" t="s">
        <v>10229</v>
      </c>
    </row>
    <row r="6199" ht="15.75" customHeight="1">
      <c r="A6199" s="2">
        <v>29527.0</v>
      </c>
      <c r="B6199" s="2" t="s">
        <v>7553</v>
      </c>
      <c r="C6199" s="2" t="s">
        <v>12082</v>
      </c>
      <c r="D6199" s="2"/>
      <c r="E6199" s="2" t="s">
        <v>301</v>
      </c>
      <c r="F6199" s="2">
        <v>3.0</v>
      </c>
      <c r="G6199" s="2">
        <v>233.0</v>
      </c>
      <c r="H6199" s="3" t="str">
        <f>HYPERLINK("http://www.linkedin.com/pub/elvira-medus/0/500/89","http://www.linkedin.com/pub/elvira-medus/0/500/89")</f>
        <v>http://www.linkedin.com/pub/elvira-medus/0/500/89</v>
      </c>
      <c r="I6199" s="2" t="s">
        <v>1278</v>
      </c>
      <c r="J6199" s="2" t="s">
        <v>102</v>
      </c>
      <c r="K6199" s="2" t="s">
        <v>10206</v>
      </c>
    </row>
    <row r="6200" ht="15.75" customHeight="1">
      <c r="A6200" s="2">
        <v>29544.0</v>
      </c>
      <c r="B6200" s="2" t="s">
        <v>36</v>
      </c>
      <c r="C6200" s="2" t="s">
        <v>12083</v>
      </c>
      <c r="D6200" s="2" t="s">
        <v>12084</v>
      </c>
      <c r="E6200" s="2" t="s">
        <v>20</v>
      </c>
      <c r="F6200" s="2" t="s">
        <v>13</v>
      </c>
      <c r="G6200" s="2">
        <v>291.0</v>
      </c>
      <c r="H6200" s="3" t="str">
        <f>HYPERLINK("http://www.linkedin.com/pub/adriana-petrusic/13/435/64","http://www.linkedin.com/pub/adriana-petrusic/13/435/64")</f>
        <v>http://www.linkedin.com/pub/adriana-petrusic/13/435/64</v>
      </c>
      <c r="I6200" s="2" t="s">
        <v>15</v>
      </c>
      <c r="J6200" s="2" t="s">
        <v>21</v>
      </c>
      <c r="K6200" s="2" t="s">
        <v>12085</v>
      </c>
    </row>
    <row r="6201" ht="15.75" customHeight="1">
      <c r="A6201" s="2">
        <v>29556.0</v>
      </c>
      <c r="B6201" s="2" t="s">
        <v>5389</v>
      </c>
      <c r="C6201" s="2" t="s">
        <v>12086</v>
      </c>
      <c r="D6201" s="2"/>
      <c r="E6201" s="2" t="s">
        <v>914</v>
      </c>
      <c r="F6201" s="2">
        <v>0.0</v>
      </c>
      <c r="G6201" s="2">
        <v>216.0</v>
      </c>
      <c r="H6201" s="3" t="str">
        <f>HYPERLINK("http://www.linkedin.com/pub/paula-paris/3/163/8A5","http://www.linkedin.com/pub/paula-paris/3/163/8A5")</f>
        <v>http://www.linkedin.com/pub/paula-paris/3/163/8A5</v>
      </c>
      <c r="I6201" s="2" t="s">
        <v>15</v>
      </c>
      <c r="J6201" s="2" t="s">
        <v>102</v>
      </c>
      <c r="K6201" s="2" t="s">
        <v>10184</v>
      </c>
    </row>
    <row r="6202" ht="15.75" customHeight="1">
      <c r="A6202" s="2">
        <v>29649.0</v>
      </c>
      <c r="B6202" s="2" t="s">
        <v>5803</v>
      </c>
      <c r="C6202" s="2" t="s">
        <v>12087</v>
      </c>
      <c r="D6202" s="2" t="s">
        <v>12088</v>
      </c>
      <c r="E6202" s="2" t="s">
        <v>20</v>
      </c>
      <c r="F6202" s="2" t="s">
        <v>13</v>
      </c>
      <c r="G6202" s="2">
        <v>315.0</v>
      </c>
      <c r="H6202" s="3" t="str">
        <f>HYPERLINK("http://ar.linkedin.com/pub/mariano-ares/21/583/683","http://ar.linkedin.com/pub/mariano-ares/21/583/683")</f>
        <v>http://ar.linkedin.com/pub/mariano-ares/21/583/683</v>
      </c>
      <c r="I6202" s="2" t="s">
        <v>15</v>
      </c>
      <c r="J6202" s="2" t="s">
        <v>21</v>
      </c>
      <c r="K6202" s="2" t="s">
        <v>10173</v>
      </c>
    </row>
    <row r="6203" ht="15.75" customHeight="1">
      <c r="A6203" s="2">
        <v>29658.0</v>
      </c>
      <c r="B6203" s="2" t="s">
        <v>677</v>
      </c>
      <c r="C6203" s="2" t="s">
        <v>7398</v>
      </c>
      <c r="D6203" s="2" t="s">
        <v>12089</v>
      </c>
      <c r="E6203" s="2" t="s">
        <v>20</v>
      </c>
      <c r="F6203" s="2">
        <v>2.0</v>
      </c>
      <c r="G6203" s="2">
        <v>73.0</v>
      </c>
      <c r="H6203" s="3" t="str">
        <f>HYPERLINK("http://ar.linkedin.com/pub/daniel-moroni/6/357/120","http://ar.linkedin.com/pub/daniel-moroni/6/357/120")</f>
        <v>http://ar.linkedin.com/pub/daniel-moroni/6/357/120</v>
      </c>
      <c r="I6203" s="2" t="s">
        <v>15</v>
      </c>
      <c r="J6203" s="2" t="s">
        <v>21</v>
      </c>
      <c r="K6203" s="2" t="s">
        <v>10196</v>
      </c>
    </row>
    <row r="6204" ht="15.75" customHeight="1">
      <c r="A6204" s="2">
        <v>29672.0</v>
      </c>
      <c r="B6204" s="2" t="s">
        <v>5078</v>
      </c>
      <c r="C6204" s="2" t="s">
        <v>12090</v>
      </c>
      <c r="D6204" s="2" t="s">
        <v>13</v>
      </c>
      <c r="E6204" s="2" t="s">
        <v>491</v>
      </c>
      <c r="F6204" s="2">
        <v>9.0</v>
      </c>
      <c r="G6204" s="2">
        <v>500.0</v>
      </c>
      <c r="H6204" s="3" t="str">
        <f>HYPERLINK("http://www.linkedin.com/pub/diego-carrizo-aslanian/10/38/a7b","http://www.linkedin.com/pub/diego-carrizo-aslanian/10/38/a7b")</f>
        <v>http://www.linkedin.com/pub/diego-carrizo-aslanian/10/38/a7b</v>
      </c>
      <c r="I6204" s="2" t="s">
        <v>15</v>
      </c>
      <c r="J6204" s="2" t="s">
        <v>220</v>
      </c>
      <c r="K6204" s="2" t="s">
        <v>10384</v>
      </c>
    </row>
    <row r="6205" ht="15.75" customHeight="1">
      <c r="A6205" s="2">
        <v>29681.0</v>
      </c>
      <c r="B6205" s="2" t="s">
        <v>1479</v>
      </c>
      <c r="C6205" s="2" t="s">
        <v>12091</v>
      </c>
      <c r="D6205" s="2" t="s">
        <v>3683</v>
      </c>
      <c r="E6205" s="2" t="s">
        <v>728</v>
      </c>
      <c r="F6205" s="2">
        <v>1.0</v>
      </c>
      <c r="G6205" s="2">
        <v>127.0</v>
      </c>
      <c r="H6205" s="3" t="str">
        <f>HYPERLINK("http://www.linkedin.com/pub/frank-weaver/1/140/2AA","http://www.linkedin.com/pub/frank-weaver/1/140/2AA")</f>
        <v>http://www.linkedin.com/pub/frank-weaver/1/140/2AA</v>
      </c>
      <c r="I6205" s="2" t="s">
        <v>77</v>
      </c>
      <c r="J6205" s="2" t="s">
        <v>102</v>
      </c>
      <c r="K6205" s="2" t="s">
        <v>10229</v>
      </c>
    </row>
    <row r="6206" ht="15.75" customHeight="1">
      <c r="A6206" s="2">
        <v>29683.0</v>
      </c>
      <c r="B6206" s="2" t="s">
        <v>12092</v>
      </c>
      <c r="C6206" s="2" t="s">
        <v>12093</v>
      </c>
      <c r="D6206" s="2" t="s">
        <v>12094</v>
      </c>
      <c r="E6206" s="2" t="s">
        <v>728</v>
      </c>
      <c r="F6206" s="2">
        <v>1.0</v>
      </c>
      <c r="G6206" s="2">
        <v>114.0</v>
      </c>
      <c r="H6206" s="3" t="str">
        <f>HYPERLINK("http://www.linkedin.com/pub/woody-linwood/14/80/A4B","http://www.linkedin.com/pub/woody-linwood/14/80/A4B")</f>
        <v>http://www.linkedin.com/pub/woody-linwood/14/80/A4B</v>
      </c>
      <c r="I6206" s="2" t="s">
        <v>77</v>
      </c>
      <c r="J6206" s="2" t="s">
        <v>102</v>
      </c>
      <c r="K6206" s="2" t="s">
        <v>10572</v>
      </c>
    </row>
    <row r="6207" ht="15.75" customHeight="1">
      <c r="A6207" s="2">
        <v>29702.0</v>
      </c>
      <c r="B6207" s="2" t="s">
        <v>12095</v>
      </c>
      <c r="C6207" s="2" t="s">
        <v>4233</v>
      </c>
      <c r="D6207" s="2" t="s">
        <v>12096</v>
      </c>
      <c r="E6207" s="2" t="s">
        <v>20</v>
      </c>
      <c r="F6207" s="2" t="s">
        <v>13</v>
      </c>
      <c r="G6207" s="2">
        <v>41.0</v>
      </c>
      <c r="H6207" s="3" t="str">
        <f>HYPERLINK("http://ar.linkedin.com/pub/hector-manuel-gonzalez/16/903/78B","http://ar.linkedin.com/pub/hector-manuel-gonzalez/16/903/78B")</f>
        <v>http://ar.linkedin.com/pub/hector-manuel-gonzalez/16/903/78B</v>
      </c>
      <c r="I6207" s="2" t="s">
        <v>15</v>
      </c>
      <c r="J6207" s="2" t="s">
        <v>21</v>
      </c>
      <c r="K6207" s="2" t="s">
        <v>10206</v>
      </c>
    </row>
    <row r="6208" ht="15.75" customHeight="1">
      <c r="A6208" s="2">
        <v>29705.0</v>
      </c>
      <c r="B6208" s="2" t="s">
        <v>5078</v>
      </c>
      <c r="C6208" s="2" t="s">
        <v>12097</v>
      </c>
      <c r="D6208" s="2" t="s">
        <v>12098</v>
      </c>
      <c r="E6208" s="2" t="s">
        <v>20</v>
      </c>
      <c r="F6208" s="2">
        <v>2.0</v>
      </c>
      <c r="G6208" s="2">
        <v>238.0</v>
      </c>
      <c r="H6208" s="3" t="str">
        <f>HYPERLINK("http://ar.linkedin.com/pub/diego-manzo/17/338/900","http://ar.linkedin.com/pub/diego-manzo/17/338/900")</f>
        <v>http://ar.linkedin.com/pub/diego-manzo/17/338/900</v>
      </c>
      <c r="I6208" s="2" t="s">
        <v>15</v>
      </c>
      <c r="J6208" s="2" t="s">
        <v>21</v>
      </c>
      <c r="K6208" s="2" t="s">
        <v>10180</v>
      </c>
    </row>
    <row r="6209" ht="15.75" customHeight="1">
      <c r="A6209" s="2">
        <v>29712.0</v>
      </c>
      <c r="B6209" s="2" t="s">
        <v>5723</v>
      </c>
      <c r="C6209" s="2" t="s">
        <v>6380</v>
      </c>
      <c r="D6209" s="2" t="s">
        <v>12099</v>
      </c>
      <c r="E6209" s="2" t="s">
        <v>20</v>
      </c>
      <c r="F6209" s="2">
        <v>3.0</v>
      </c>
      <c r="G6209" s="2">
        <v>209.0</v>
      </c>
      <c r="H6209" s="3" t="str">
        <f>HYPERLINK("http://ar.linkedin.com/pub/pablo-schulz/12/A03/B88","http://ar.linkedin.com/pub/pablo-schulz/12/A03/B88")</f>
        <v>http://ar.linkedin.com/pub/pablo-schulz/12/A03/B88</v>
      </c>
      <c r="I6209" s="2" t="s">
        <v>15</v>
      </c>
      <c r="J6209" s="2" t="s">
        <v>21</v>
      </c>
      <c r="K6209" s="2" t="s">
        <v>10196</v>
      </c>
    </row>
    <row r="6210" ht="15.75" customHeight="1">
      <c r="A6210" s="2">
        <v>29720.0</v>
      </c>
      <c r="B6210" s="2" t="s">
        <v>12100</v>
      </c>
      <c r="C6210" s="2" t="s">
        <v>12101</v>
      </c>
      <c r="D6210" s="2"/>
      <c r="E6210" s="2" t="s">
        <v>101</v>
      </c>
      <c r="F6210" s="2">
        <v>4.0</v>
      </c>
      <c r="G6210" s="2">
        <v>497.0</v>
      </c>
      <c r="H6210" s="3" t="str">
        <f>HYPERLINK("http://www.linkedin.com/in/donnberke","http://www.linkedin.com/in/donnberke")</f>
        <v>http://www.linkedin.com/in/donnberke</v>
      </c>
      <c r="I6210" s="2" t="s">
        <v>15</v>
      </c>
      <c r="J6210" s="2" t="s">
        <v>102</v>
      </c>
      <c r="K6210" s="2" t="s">
        <v>10184</v>
      </c>
    </row>
    <row r="6211" ht="15.75" customHeight="1">
      <c r="A6211" s="2">
        <v>29724.0</v>
      </c>
      <c r="B6211" s="2" t="s">
        <v>329</v>
      </c>
      <c r="C6211" s="2" t="s">
        <v>6508</v>
      </c>
      <c r="D6211" s="2" t="s">
        <v>12102</v>
      </c>
      <c r="E6211" s="2" t="s">
        <v>20</v>
      </c>
      <c r="F6211" s="2">
        <v>18.0</v>
      </c>
      <c r="G6211" s="2">
        <v>377.0</v>
      </c>
      <c r="H6211" s="3" t="str">
        <f>HYPERLINK("http://ar.linkedin.com/pub/juan-pablo/6/226/137","http://ar.linkedin.com/pub/juan-pablo/6/226/137")</f>
        <v>http://ar.linkedin.com/pub/juan-pablo/6/226/137</v>
      </c>
      <c r="I6211" s="2" t="s">
        <v>48</v>
      </c>
      <c r="J6211" s="2" t="s">
        <v>21</v>
      </c>
      <c r="K6211" s="2" t="s">
        <v>10196</v>
      </c>
    </row>
    <row r="6212" ht="15.75" customHeight="1">
      <c r="A6212" s="2">
        <v>29725.0</v>
      </c>
      <c r="B6212" s="2" t="s">
        <v>253</v>
      </c>
      <c r="C6212" s="2" t="s">
        <v>4233</v>
      </c>
      <c r="D6212" s="2" t="s">
        <v>12103</v>
      </c>
      <c r="E6212" s="2" t="s">
        <v>20</v>
      </c>
      <c r="F6212" s="2" t="s">
        <v>13</v>
      </c>
      <c r="G6212" s="2">
        <v>413.0</v>
      </c>
      <c r="H6212" s="3" t="str">
        <f>HYPERLINK("http://ar.linkedin.com/in/fernandorodolfogonzalez","http://ar.linkedin.com/in/fernandorodolfogonzalez")</f>
        <v>http://ar.linkedin.com/in/fernandorodolfogonzalez</v>
      </c>
      <c r="I6212" s="2" t="s">
        <v>15</v>
      </c>
      <c r="J6212" s="2" t="s">
        <v>21</v>
      </c>
      <c r="K6212" s="2" t="s">
        <v>10180</v>
      </c>
    </row>
    <row r="6213" ht="15.75" customHeight="1">
      <c r="A6213" s="2">
        <v>29726.0</v>
      </c>
      <c r="B6213" s="2" t="s">
        <v>201</v>
      </c>
      <c r="C6213" s="2" t="s">
        <v>12104</v>
      </c>
      <c r="D6213" s="2" t="s">
        <v>4562</v>
      </c>
      <c r="E6213" s="2" t="s">
        <v>20</v>
      </c>
      <c r="F6213" s="2">
        <v>9.0</v>
      </c>
      <c r="G6213" s="2">
        <v>182.0</v>
      </c>
      <c r="H6213" s="3" t="str">
        <f>HYPERLINK("http://ar.linkedin.com/pub/natalia-cirilli/26/259/492","http://ar.linkedin.com/pub/natalia-cirilli/26/259/492")</f>
        <v>http://ar.linkedin.com/pub/natalia-cirilli/26/259/492</v>
      </c>
      <c r="I6213" s="2" t="s">
        <v>15</v>
      </c>
      <c r="J6213" s="2" t="s">
        <v>21</v>
      </c>
      <c r="K6213" s="2" t="s">
        <v>10196</v>
      </c>
    </row>
    <row r="6214" ht="15.75" customHeight="1">
      <c r="A6214" s="2">
        <v>29733.0</v>
      </c>
      <c r="B6214" s="2" t="s">
        <v>6004</v>
      </c>
      <c r="C6214" s="2" t="s">
        <v>7976</v>
      </c>
      <c r="D6214" s="2" t="s">
        <v>6137</v>
      </c>
      <c r="E6214" s="2" t="s">
        <v>20</v>
      </c>
      <c r="F6214" s="2">
        <v>11.0</v>
      </c>
      <c r="G6214" s="2">
        <v>209.0</v>
      </c>
      <c r="H6214" s="3" t="str">
        <f>HYPERLINK("http://ar.linkedin.com/pub/juan-manuel-parodi/26/171/342","http://ar.linkedin.com/pub/juan-manuel-parodi/26/171/342")</f>
        <v>http://ar.linkedin.com/pub/juan-manuel-parodi/26/171/342</v>
      </c>
      <c r="I6214" s="2" t="s">
        <v>15</v>
      </c>
      <c r="J6214" s="2" t="s">
        <v>21</v>
      </c>
      <c r="K6214" s="2" t="s">
        <v>10196</v>
      </c>
    </row>
    <row r="6215" ht="15.75" customHeight="1">
      <c r="A6215" s="2">
        <v>29757.0</v>
      </c>
      <c r="B6215" s="2" t="s">
        <v>1659</v>
      </c>
      <c r="C6215" s="2" t="s">
        <v>3200</v>
      </c>
      <c r="D6215" s="2" t="s">
        <v>12105</v>
      </c>
      <c r="E6215" s="2" t="s">
        <v>2429</v>
      </c>
      <c r="F6215" s="2">
        <v>0.0</v>
      </c>
      <c r="G6215" s="2">
        <v>500.0</v>
      </c>
      <c r="H6215" s="3" t="str">
        <f>HYPERLINK("http://www.linkedin.com/pub/jan-jensen/7/34B/36A","http://www.linkedin.com/pub/jan-jensen/7/34B/36A")</f>
        <v>http://www.linkedin.com/pub/jan-jensen/7/34B/36A</v>
      </c>
      <c r="I6215" s="2" t="s">
        <v>48</v>
      </c>
      <c r="J6215" s="2" t="s">
        <v>102</v>
      </c>
      <c r="K6215" s="2" t="s">
        <v>10233</v>
      </c>
    </row>
    <row r="6216" ht="15.75" customHeight="1">
      <c r="A6216" s="2">
        <v>29769.0</v>
      </c>
      <c r="B6216" s="2" t="s">
        <v>12106</v>
      </c>
      <c r="C6216" s="2" t="s">
        <v>6368</v>
      </c>
      <c r="D6216" s="2" t="s">
        <v>12107</v>
      </c>
      <c r="E6216" s="2" t="s">
        <v>20</v>
      </c>
      <c r="F6216" s="2">
        <v>2.0</v>
      </c>
      <c r="G6216" s="2">
        <v>448.0</v>
      </c>
      <c r="H6216" s="3" t="str">
        <f>HYPERLINK("http://ar.linkedin.com/in/mariarusso","http://ar.linkedin.com/in/mariarusso")</f>
        <v>http://ar.linkedin.com/in/mariarusso</v>
      </c>
      <c r="I6216" s="2" t="s">
        <v>15</v>
      </c>
      <c r="J6216" s="2" t="s">
        <v>21</v>
      </c>
      <c r="K6216" s="2" t="s">
        <v>10196</v>
      </c>
    </row>
    <row r="6217" ht="15.75" customHeight="1">
      <c r="A6217" s="2">
        <v>29770.0</v>
      </c>
      <c r="B6217" s="2" t="s">
        <v>5728</v>
      </c>
      <c r="C6217" s="2" t="s">
        <v>12108</v>
      </c>
      <c r="D6217" s="2" t="s">
        <v>12109</v>
      </c>
      <c r="E6217" s="2" t="s">
        <v>20</v>
      </c>
      <c r="F6217" s="2">
        <v>11.0</v>
      </c>
      <c r="G6217" s="2">
        <v>500.0</v>
      </c>
      <c r="H6217" s="3" t="str">
        <f>HYPERLINK("http://ar.linkedin.com/pub/maximiliano-hapes/5/96A/89B","http://ar.linkedin.com/pub/maximiliano-hapes/5/96A/89B")</f>
        <v>http://ar.linkedin.com/pub/maximiliano-hapes/5/96A/89B</v>
      </c>
      <c r="I6217" s="2" t="s">
        <v>15</v>
      </c>
      <c r="J6217" s="2" t="s">
        <v>21</v>
      </c>
      <c r="K6217" s="2" t="s">
        <v>10180</v>
      </c>
    </row>
    <row r="6218" ht="15.75" customHeight="1">
      <c r="A6218" s="2">
        <v>29781.0</v>
      </c>
      <c r="B6218" s="2" t="s">
        <v>201</v>
      </c>
      <c r="C6218" s="2" t="s">
        <v>12110</v>
      </c>
      <c r="D6218" s="2" t="s">
        <v>347</v>
      </c>
      <c r="E6218" s="2" t="s">
        <v>20</v>
      </c>
      <c r="F6218" s="2" t="s">
        <v>13</v>
      </c>
      <c r="G6218" s="2">
        <v>114.0</v>
      </c>
      <c r="H6218" s="3" t="str">
        <f>HYPERLINK("http://ar.linkedin.com/pub/natalia-goyena/25/3AB/91A","http://ar.linkedin.com/pub/natalia-goyena/25/3AB/91A")</f>
        <v>http://ar.linkedin.com/pub/natalia-goyena/25/3AB/91A</v>
      </c>
      <c r="I6218" s="2" t="s">
        <v>15</v>
      </c>
      <c r="J6218" s="2" t="s">
        <v>21</v>
      </c>
      <c r="K6218" s="2" t="s">
        <v>10180</v>
      </c>
    </row>
    <row r="6219" ht="15.75" customHeight="1">
      <c r="A6219" s="2">
        <v>29789.0</v>
      </c>
      <c r="B6219" s="2" t="s">
        <v>12111</v>
      </c>
      <c r="C6219" s="2" t="s">
        <v>637</v>
      </c>
      <c r="D6219" s="2" t="s">
        <v>13</v>
      </c>
      <c r="E6219" s="2" t="s">
        <v>20</v>
      </c>
      <c r="F6219" s="2">
        <v>0.0</v>
      </c>
      <c r="G6219" s="2">
        <v>500.0</v>
      </c>
      <c r="H6219" s="3" t="str">
        <f>HYPERLINK("http://www.linkedin.com/pub/feas-leonardo/9/11b/b24","http://www.linkedin.com/pub/feas-leonardo/9/11b/b24")</f>
        <v>http://www.linkedin.com/pub/feas-leonardo/9/11b/b24</v>
      </c>
      <c r="I6219" s="2" t="s">
        <v>15</v>
      </c>
      <c r="J6219" s="2" t="s">
        <v>21</v>
      </c>
      <c r="K6219" s="2" t="s">
        <v>10196</v>
      </c>
    </row>
    <row r="6220" ht="15.75" customHeight="1">
      <c r="A6220" s="2">
        <v>29800.0</v>
      </c>
      <c r="B6220" s="2" t="s">
        <v>12112</v>
      </c>
      <c r="C6220" s="2" t="s">
        <v>12113</v>
      </c>
      <c r="D6220" s="2" t="s">
        <v>12114</v>
      </c>
      <c r="E6220" s="2" t="s">
        <v>20</v>
      </c>
      <c r="F6220" s="2">
        <v>2.0</v>
      </c>
      <c r="G6220" s="2">
        <v>400.0</v>
      </c>
      <c r="H6220" s="3" t="str">
        <f>HYPERLINK("http://www.linkedin.com/pub/marcela-alejandra-villan/b/617/692","http://www.linkedin.com/pub/marcela-alejandra-villan/b/617/692")</f>
        <v>http://www.linkedin.com/pub/marcela-alejandra-villan/b/617/692</v>
      </c>
      <c r="I6220" s="2" t="s">
        <v>599</v>
      </c>
      <c r="J6220" s="2" t="s">
        <v>21</v>
      </c>
      <c r="K6220" s="2" t="s">
        <v>10196</v>
      </c>
    </row>
    <row r="6221" ht="15.75" customHeight="1">
      <c r="A6221" s="2">
        <v>29877.0</v>
      </c>
      <c r="B6221" s="2" t="s">
        <v>12115</v>
      </c>
      <c r="C6221" s="2" t="s">
        <v>12116</v>
      </c>
      <c r="D6221" s="2" t="s">
        <v>12117</v>
      </c>
      <c r="E6221" s="2" t="s">
        <v>20</v>
      </c>
      <c r="F6221" s="2">
        <v>14.0</v>
      </c>
      <c r="G6221" s="2">
        <v>500.0</v>
      </c>
      <c r="H6221" s="3" t="str">
        <f>HYPERLINK("http://ar.linkedin.com/in/emygalceran","http://ar.linkedin.com/in/emygalceran")</f>
        <v>http://ar.linkedin.com/in/emygalceran</v>
      </c>
      <c r="I6221" s="2" t="s">
        <v>252</v>
      </c>
      <c r="J6221" s="2" t="s">
        <v>21</v>
      </c>
      <c r="K6221" s="2" t="s">
        <v>10184</v>
      </c>
    </row>
    <row r="6222" ht="15.75" customHeight="1">
      <c r="A6222" s="2">
        <v>29901.0</v>
      </c>
      <c r="B6222" s="2" t="s">
        <v>238</v>
      </c>
      <c r="C6222" s="2" t="s">
        <v>12118</v>
      </c>
      <c r="D6222" s="2" t="s">
        <v>42</v>
      </c>
      <c r="E6222" s="2" t="s">
        <v>20</v>
      </c>
      <c r="F6222" s="2">
        <v>32.0</v>
      </c>
      <c r="G6222" s="2">
        <v>235.0</v>
      </c>
      <c r="H6222" s="3" t="str">
        <f>HYPERLINK("http://ar.linkedin.com/in/juanbarles","http://ar.linkedin.com/in/juanbarles")</f>
        <v>http://ar.linkedin.com/in/juanbarles</v>
      </c>
      <c r="I6222" s="2" t="s">
        <v>15</v>
      </c>
      <c r="J6222" s="2" t="s">
        <v>21</v>
      </c>
      <c r="K6222" s="2" t="s">
        <v>10196</v>
      </c>
    </row>
    <row r="6223" ht="15.75" customHeight="1">
      <c r="A6223" s="2">
        <v>29950.0</v>
      </c>
      <c r="B6223" s="2" t="s">
        <v>12119</v>
      </c>
      <c r="C6223" s="2" t="s">
        <v>8210</v>
      </c>
      <c r="D6223" s="2" t="s">
        <v>12120</v>
      </c>
      <c r="E6223" s="2" t="s">
        <v>20</v>
      </c>
      <c r="F6223" s="2">
        <v>2.0</v>
      </c>
      <c r="G6223" s="2">
        <v>394.0</v>
      </c>
      <c r="H6223" s="3" t="str">
        <f>HYPERLINK("http://www.linkedin.com/in/melinamartinez","http://www.linkedin.com/in/melinamartinez")</f>
        <v>http://www.linkedin.com/in/melinamartinez</v>
      </c>
      <c r="I6223" s="2" t="s">
        <v>15</v>
      </c>
      <c r="J6223" s="2" t="s">
        <v>21</v>
      </c>
      <c r="K6223" s="2" t="s">
        <v>12121</v>
      </c>
    </row>
    <row r="6224" ht="15.75" customHeight="1">
      <c r="A6224" s="2">
        <v>29951.0</v>
      </c>
      <c r="B6224" s="2" t="s">
        <v>12122</v>
      </c>
      <c r="C6224" s="2" t="s">
        <v>12123</v>
      </c>
      <c r="D6224" s="2" t="s">
        <v>13</v>
      </c>
      <c r="E6224" s="2" t="s">
        <v>20</v>
      </c>
      <c r="F6224" s="2">
        <v>0.0</v>
      </c>
      <c r="G6224" s="2">
        <v>500.0</v>
      </c>
      <c r="H6224" s="3" t="str">
        <f>HYPERLINK("http://www.linkedin.com/pub/luis-maria-cravino/23/687/aa2","http://www.linkedin.com/pub/luis-maria-cravino/23/687/aa2")</f>
        <v>http://www.linkedin.com/pub/luis-maria-cravino/23/687/aa2</v>
      </c>
      <c r="I6224" s="2" t="s">
        <v>458</v>
      </c>
      <c r="J6224" s="2" t="s">
        <v>21</v>
      </c>
      <c r="K6224" s="2" t="s">
        <v>10206</v>
      </c>
    </row>
    <row r="6225" ht="15.75" customHeight="1">
      <c r="A6225" s="2">
        <v>30016.0</v>
      </c>
      <c r="B6225" s="2" t="s">
        <v>7795</v>
      </c>
      <c r="C6225" s="2" t="s">
        <v>2695</v>
      </c>
      <c r="D6225" s="2" t="s">
        <v>835</v>
      </c>
      <c r="E6225" s="2" t="s">
        <v>1190</v>
      </c>
      <c r="F6225" s="2">
        <v>27.0</v>
      </c>
      <c r="G6225" s="2">
        <v>500.0</v>
      </c>
      <c r="H6225" s="3" t="str">
        <f>HYPERLINK("http://www.linkedin.com/in/hmonteiro","http://www.linkedin.com/in/hmonteiro")</f>
        <v>http://www.linkedin.com/in/hmonteiro</v>
      </c>
      <c r="I6225" s="2" t="s">
        <v>77</v>
      </c>
      <c r="J6225" s="2" t="s">
        <v>102</v>
      </c>
      <c r="K6225" s="2" t="s">
        <v>10312</v>
      </c>
    </row>
    <row r="6226" ht="15.75" customHeight="1">
      <c r="A6226" s="2">
        <v>30054.0</v>
      </c>
      <c r="B6226" s="2" t="s">
        <v>362</v>
      </c>
      <c r="C6226" s="2" t="s">
        <v>12124</v>
      </c>
      <c r="D6226" s="2" t="s">
        <v>13</v>
      </c>
      <c r="E6226" s="2" t="s">
        <v>355</v>
      </c>
      <c r="F6226" s="2">
        <v>0.0</v>
      </c>
      <c r="G6226" s="2">
        <v>500.0</v>
      </c>
      <c r="H6226" s="3" t="str">
        <f>HYPERLINK("https://www.linkedin.com/pub/javier-mata/27/654/867","https://www.linkedin.com/pub/javier-mata/27/654/867")</f>
        <v>https://www.linkedin.com/pub/javier-mata/27/654/867</v>
      </c>
      <c r="I6226" s="2" t="s">
        <v>69</v>
      </c>
      <c r="J6226" s="2" t="s">
        <v>28</v>
      </c>
      <c r="K6226" s="2" t="s">
        <v>10482</v>
      </c>
    </row>
    <row r="6227" ht="15.75" customHeight="1">
      <c r="A6227" s="2">
        <v>30175.0</v>
      </c>
      <c r="B6227" s="2" t="s">
        <v>12125</v>
      </c>
      <c r="C6227" s="2" t="s">
        <v>12126</v>
      </c>
      <c r="D6227" s="2"/>
      <c r="E6227" s="2" t="s">
        <v>301</v>
      </c>
      <c r="F6227" s="2">
        <v>5.0</v>
      </c>
      <c r="G6227" s="2">
        <v>500.0</v>
      </c>
      <c r="H6227" s="3" t="str">
        <f>HYPERLINK("http://www.linkedin.com/pub/lino-ribolla/0/34/615","http://www.linkedin.com/pub/lino-ribolla/0/34/615")</f>
        <v>http://www.linkedin.com/pub/lino-ribolla/0/34/615</v>
      </c>
      <c r="I6227" s="2" t="s">
        <v>105</v>
      </c>
      <c r="J6227" s="2" t="s">
        <v>102</v>
      </c>
      <c r="K6227" s="2" t="s">
        <v>10206</v>
      </c>
    </row>
    <row r="6228" ht="15.75" customHeight="1">
      <c r="A6228" s="2">
        <v>30177.0</v>
      </c>
      <c r="B6228" s="2" t="s">
        <v>12127</v>
      </c>
      <c r="C6228" s="2" t="s">
        <v>12128</v>
      </c>
      <c r="D6228" s="2" t="s">
        <v>12129</v>
      </c>
      <c r="E6228" s="2" t="s">
        <v>301</v>
      </c>
      <c r="F6228" s="2">
        <v>6.0</v>
      </c>
      <c r="G6228" s="2">
        <v>306.0</v>
      </c>
      <c r="H6228" s="3" t="str">
        <f>HYPERLINK("http://www.linkedin.com/in/sylviefirestone","http://www.linkedin.com/in/sylviefirestone")</f>
        <v>http://www.linkedin.com/in/sylviefirestone</v>
      </c>
      <c r="I6228" s="2" t="s">
        <v>105</v>
      </c>
      <c r="J6228" s="2" t="s">
        <v>102</v>
      </c>
      <c r="K6228" s="2" t="s">
        <v>10206</v>
      </c>
    </row>
    <row r="6229" ht="15.75" customHeight="1">
      <c r="A6229" s="2">
        <v>30180.0</v>
      </c>
      <c r="B6229" s="2" t="s">
        <v>2099</v>
      </c>
      <c r="C6229" s="2" t="s">
        <v>12130</v>
      </c>
      <c r="D6229" s="2" t="s">
        <v>3440</v>
      </c>
      <c r="E6229" s="2" t="s">
        <v>301</v>
      </c>
      <c r="F6229" s="2">
        <v>2.0</v>
      </c>
      <c r="G6229" s="2">
        <v>500.0</v>
      </c>
      <c r="H6229" s="3" t="str">
        <f>HYPERLINK("http://www.linkedin.com/in/marrelli","http://www.linkedin.com/in/marrelli")</f>
        <v>http://www.linkedin.com/in/marrelli</v>
      </c>
      <c r="I6229" s="2" t="s">
        <v>105</v>
      </c>
      <c r="J6229" s="2" t="s">
        <v>102</v>
      </c>
      <c r="K6229" s="2" t="s">
        <v>10206</v>
      </c>
    </row>
    <row r="6230" ht="15.75" customHeight="1">
      <c r="A6230" s="2">
        <v>30236.0</v>
      </c>
      <c r="B6230" s="2" t="s">
        <v>12131</v>
      </c>
      <c r="C6230" s="2" t="s">
        <v>12132</v>
      </c>
      <c r="D6230" s="2"/>
      <c r="E6230" s="2" t="s">
        <v>136</v>
      </c>
      <c r="F6230" s="2">
        <v>6.0</v>
      </c>
      <c r="G6230" s="2">
        <v>500.0</v>
      </c>
      <c r="H6230" s="3" t="str">
        <f>HYPERLINK("http://www.linkedin.com/in/honor","http://www.linkedin.com/in/honor")</f>
        <v>http://www.linkedin.com/in/honor</v>
      </c>
      <c r="I6230" s="2" t="s">
        <v>69</v>
      </c>
      <c r="J6230" s="2" t="s">
        <v>102</v>
      </c>
      <c r="K6230" s="2" t="s">
        <v>10176</v>
      </c>
    </row>
    <row r="6231" ht="15.75" customHeight="1">
      <c r="A6231" s="2">
        <v>30283.0</v>
      </c>
      <c r="B6231" s="2" t="s">
        <v>1366</v>
      </c>
      <c r="C6231" s="2" t="s">
        <v>12133</v>
      </c>
      <c r="D6231" s="2"/>
      <c r="E6231" s="2" t="s">
        <v>301</v>
      </c>
      <c r="F6231" s="2">
        <v>0.0</v>
      </c>
      <c r="G6231" s="2">
        <v>500.0</v>
      </c>
      <c r="H6231" s="3" t="str">
        <f>HYPERLINK("http://www.linkedin.com/pub/peter-rivera/1/62/659","http://www.linkedin.com/pub/peter-rivera/1/62/659")</f>
        <v>http://www.linkedin.com/pub/peter-rivera/1/62/659</v>
      </c>
      <c r="I6231" s="2" t="s">
        <v>77</v>
      </c>
      <c r="J6231" s="2" t="s">
        <v>102</v>
      </c>
      <c r="K6231" s="2" t="s">
        <v>10187</v>
      </c>
    </row>
    <row r="6232" ht="15.75" customHeight="1">
      <c r="A6232" s="2">
        <v>30291.0</v>
      </c>
      <c r="B6232" s="2" t="s">
        <v>358</v>
      </c>
      <c r="C6232" s="2" t="s">
        <v>12134</v>
      </c>
      <c r="D6232" s="2"/>
      <c r="E6232" s="2" t="s">
        <v>2058</v>
      </c>
      <c r="F6232" s="2">
        <v>4.0</v>
      </c>
      <c r="G6232" s="2">
        <v>500.0</v>
      </c>
      <c r="H6232" s="3" t="str">
        <f>HYPERLINK("http://www.linkedin.com/in/dellarda","http://www.linkedin.com/in/dellarda")</f>
        <v>http://www.linkedin.com/in/dellarda</v>
      </c>
      <c r="I6232" s="2" t="s">
        <v>77</v>
      </c>
      <c r="J6232" s="2" t="s">
        <v>102</v>
      </c>
      <c r="K6232" s="2" t="s">
        <v>10229</v>
      </c>
    </row>
    <row r="6233" ht="15.75" customHeight="1">
      <c r="A6233" s="2">
        <v>30319.0</v>
      </c>
      <c r="B6233" s="2" t="s">
        <v>1230</v>
      </c>
      <c r="C6233" s="2" t="s">
        <v>11872</v>
      </c>
      <c r="D6233" s="2" t="s">
        <v>47</v>
      </c>
      <c r="E6233" s="2" t="s">
        <v>109</v>
      </c>
      <c r="F6233" s="2">
        <v>0.0</v>
      </c>
      <c r="G6233" s="2">
        <v>281.0</v>
      </c>
      <c r="H6233" s="3" t="str">
        <f>HYPERLINK("http://www.linkedin.com/pub/alberto-araujo/B/497/526","http://www.linkedin.com/pub/alberto-araujo/B/497/526")</f>
        <v>http://www.linkedin.com/pub/alberto-araujo/B/497/526</v>
      </c>
      <c r="I6233" s="2" t="s">
        <v>77</v>
      </c>
      <c r="J6233" s="2" t="s">
        <v>110</v>
      </c>
      <c r="K6233" s="2" t="s">
        <v>10337</v>
      </c>
    </row>
    <row r="6234" ht="15.75" customHeight="1">
      <c r="A6234" s="2">
        <v>30326.0</v>
      </c>
      <c r="B6234" s="2" t="s">
        <v>12135</v>
      </c>
      <c r="C6234" s="2" t="s">
        <v>12136</v>
      </c>
      <c r="D6234" s="2" t="s">
        <v>12137</v>
      </c>
      <c r="E6234" s="2" t="s">
        <v>109</v>
      </c>
      <c r="F6234" s="2">
        <v>11.0</v>
      </c>
      <c r="G6234" s="2">
        <v>483.0</v>
      </c>
      <c r="H6234" s="3" t="str">
        <f>HYPERLINK("http://www.linkedin.com/pub/rui-n%C3%B3brega/0/278/974","http://www.linkedin.com/pub/rui-n%C3%B3brega/0/278/974")</f>
        <v>http://www.linkedin.com/pub/rui-n%C3%B3brega/0/278/974</v>
      </c>
      <c r="I6234" s="2" t="s">
        <v>77</v>
      </c>
      <c r="J6234" s="2" t="s">
        <v>110</v>
      </c>
      <c r="K6234" s="2" t="s">
        <v>10572</v>
      </c>
    </row>
    <row r="6235" ht="15.75" customHeight="1">
      <c r="A6235" s="2">
        <v>30429.0</v>
      </c>
      <c r="B6235" s="2" t="s">
        <v>12138</v>
      </c>
      <c r="C6235" s="2" t="s">
        <v>12139</v>
      </c>
      <c r="D6235" s="2" t="s">
        <v>12140</v>
      </c>
      <c r="E6235" s="2" t="s">
        <v>301</v>
      </c>
      <c r="F6235" s="2">
        <v>9.0</v>
      </c>
      <c r="G6235" s="2">
        <v>500.0</v>
      </c>
      <c r="H6235" s="3" t="str">
        <f>HYPERLINK("http://www.linkedin.com/in/cindynovak","http://www.linkedin.com/in/cindynovak")</f>
        <v>http://www.linkedin.com/in/cindynovak</v>
      </c>
      <c r="I6235" s="2" t="s">
        <v>105</v>
      </c>
      <c r="J6235" s="2" t="s">
        <v>102</v>
      </c>
      <c r="K6235" s="2" t="s">
        <v>10206</v>
      </c>
    </row>
    <row r="6236" ht="15.75" customHeight="1">
      <c r="A6236" s="2">
        <v>30430.0</v>
      </c>
      <c r="B6236" s="2" t="s">
        <v>1445</v>
      </c>
      <c r="C6236" s="2" t="s">
        <v>12141</v>
      </c>
      <c r="D6236" s="2" t="s">
        <v>12142</v>
      </c>
      <c r="E6236" s="2" t="s">
        <v>1918</v>
      </c>
      <c r="F6236" s="2" t="s">
        <v>13</v>
      </c>
      <c r="G6236" s="2">
        <v>500.0</v>
      </c>
      <c r="H6236" s="3" t="str">
        <f>HYPERLINK("http://www.linkedin.com/pub/marko-myllymaki/10/849/45B","http://www.linkedin.com/pub/marko-myllymaki/10/849/45B")</f>
        <v>http://www.linkedin.com/pub/marko-myllymaki/10/849/45B</v>
      </c>
      <c r="I6236" s="2" t="s">
        <v>77</v>
      </c>
      <c r="J6236" s="2" t="s">
        <v>102</v>
      </c>
      <c r="K6236" s="2" t="s">
        <v>10572</v>
      </c>
    </row>
    <row r="6237" ht="15.75" customHeight="1">
      <c r="A6237" s="2">
        <v>30434.0</v>
      </c>
      <c r="B6237" s="2" t="s">
        <v>133</v>
      </c>
      <c r="C6237" s="2" t="s">
        <v>12143</v>
      </c>
      <c r="D6237" s="2" t="s">
        <v>335</v>
      </c>
      <c r="E6237" s="2" t="s">
        <v>1407</v>
      </c>
      <c r="F6237" s="2">
        <v>5.0</v>
      </c>
      <c r="G6237" s="2">
        <v>447.0</v>
      </c>
      <c r="H6237" s="3" t="str">
        <f>HYPERLINK("http://www.linkedin.com/pub/michael-gargiulo/0/489/805","http://www.linkedin.com/pub/michael-gargiulo/0/489/805")</f>
        <v>http://www.linkedin.com/pub/michael-gargiulo/0/489/805</v>
      </c>
      <c r="I6237" s="2" t="s">
        <v>1496</v>
      </c>
      <c r="J6237" s="2" t="s">
        <v>102</v>
      </c>
      <c r="K6237" s="2" t="s">
        <v>10187</v>
      </c>
    </row>
    <row r="6238" ht="15.75" customHeight="1">
      <c r="A6238" s="2">
        <v>30441.0</v>
      </c>
      <c r="B6238" s="2" t="s">
        <v>1458</v>
      </c>
      <c r="C6238" s="2" t="s">
        <v>12144</v>
      </c>
      <c r="D6238" s="2"/>
      <c r="E6238" s="2" t="s">
        <v>1407</v>
      </c>
      <c r="F6238" s="2">
        <v>2.0</v>
      </c>
      <c r="G6238" s="2">
        <v>227.0</v>
      </c>
      <c r="H6238" s="3" t="str">
        <f>HYPERLINK("http://www.linkedin.com/pub/todd-paladini/0/83A/10B","http://www.linkedin.com/pub/todd-paladini/0/83A/10B")</f>
        <v>http://www.linkedin.com/pub/todd-paladini/0/83A/10B</v>
      </c>
      <c r="I6238" s="2" t="s">
        <v>910</v>
      </c>
      <c r="J6238" s="2" t="s">
        <v>102</v>
      </c>
      <c r="K6238" s="2" t="s">
        <v>10187</v>
      </c>
    </row>
    <row r="6239" ht="15.75" customHeight="1">
      <c r="A6239" s="2">
        <v>30445.0</v>
      </c>
      <c r="B6239" s="2" t="s">
        <v>3305</v>
      </c>
      <c r="C6239" s="2" t="s">
        <v>12145</v>
      </c>
      <c r="D6239" s="2" t="s">
        <v>12146</v>
      </c>
      <c r="E6239" s="2" t="s">
        <v>255</v>
      </c>
      <c r="F6239" s="2">
        <v>2.0</v>
      </c>
      <c r="G6239" s="2">
        <v>500.0</v>
      </c>
      <c r="H6239" s="3" t="str">
        <f>HYPERLINK("http://www.linkedin.com/in/anabrowne","http://www.linkedin.com/in/anabrowne")</f>
        <v>http://www.linkedin.com/in/anabrowne</v>
      </c>
      <c r="I6239" s="2" t="s">
        <v>69</v>
      </c>
      <c r="J6239" s="2" t="s">
        <v>102</v>
      </c>
      <c r="K6239" s="2" t="s">
        <v>10245</v>
      </c>
    </row>
    <row r="6240" ht="15.75" customHeight="1">
      <c r="A6240" s="2">
        <v>30453.0</v>
      </c>
      <c r="B6240" s="2" t="s">
        <v>12147</v>
      </c>
      <c r="C6240" s="2" t="s">
        <v>12148</v>
      </c>
      <c r="D6240" s="2" t="s">
        <v>12149</v>
      </c>
      <c r="E6240" s="2" t="s">
        <v>931</v>
      </c>
      <c r="F6240" s="2">
        <v>15.0</v>
      </c>
      <c r="G6240" s="2">
        <v>500.0</v>
      </c>
      <c r="H6240" s="3" t="str">
        <f>HYPERLINK("http://uk.linkedin.com/pub/f-bio-tambosi/8/19B/55","http://uk.linkedin.com/pub/f-bio-tambosi/8/19B/55")</f>
        <v>http://uk.linkedin.com/pub/f-bio-tambosi/8/19B/55</v>
      </c>
      <c r="I6240" s="2" t="s">
        <v>77</v>
      </c>
      <c r="J6240" s="2" t="s">
        <v>53</v>
      </c>
      <c r="K6240" s="2" t="s">
        <v>12150</v>
      </c>
    </row>
    <row r="6241" ht="15.75" customHeight="1">
      <c r="A6241" s="2">
        <v>30480.0</v>
      </c>
      <c r="B6241" s="2" t="s">
        <v>431</v>
      </c>
      <c r="C6241" s="2" t="s">
        <v>12151</v>
      </c>
      <c r="D6241" s="2" t="s">
        <v>12152</v>
      </c>
      <c r="E6241" s="2" t="s">
        <v>7035</v>
      </c>
      <c r="F6241" s="2">
        <v>8.0</v>
      </c>
      <c r="G6241" s="2">
        <v>500.0</v>
      </c>
      <c r="H6241" s="3" t="str">
        <f>HYPERLINK("https://www.linkedin.com/in/rodrigomeirelles","https://www.linkedin.com/in/rodrigomeirelles")</f>
        <v>https://www.linkedin.com/in/rodrigomeirelles</v>
      </c>
      <c r="I6241" s="2" t="s">
        <v>69</v>
      </c>
      <c r="J6241" s="2" t="s">
        <v>102</v>
      </c>
      <c r="K6241" s="2" t="s">
        <v>10206</v>
      </c>
    </row>
    <row r="6242" ht="15.75" customHeight="1">
      <c r="A6242" s="2">
        <v>30527.0</v>
      </c>
      <c r="B6242" s="2" t="s">
        <v>12153</v>
      </c>
      <c r="C6242" s="2" t="s">
        <v>8632</v>
      </c>
      <c r="D6242" s="2" t="s">
        <v>13</v>
      </c>
      <c r="E6242" s="2" t="s">
        <v>39</v>
      </c>
      <c r="F6242" s="2">
        <v>4.0</v>
      </c>
      <c r="G6242" s="2">
        <v>500.0</v>
      </c>
      <c r="H6242" s="3" t="str">
        <f>HYPERLINK("http://www.linkedin.com/pub/reny-virginia-borges-esteves/29/a28/aaa","http://www.linkedin.com/pub/reny-virginia-borges-esteves/29/a28/aaa")</f>
        <v>http://www.linkedin.com/pub/reny-virginia-borges-esteves/29/a28/aaa</v>
      </c>
      <c r="I6242" s="2" t="s">
        <v>681</v>
      </c>
      <c r="J6242" s="2" t="s">
        <v>34</v>
      </c>
      <c r="K6242" s="2" t="s">
        <v>12154</v>
      </c>
    </row>
    <row r="6243" ht="15.75" customHeight="1">
      <c r="A6243" s="2">
        <v>30580.0</v>
      </c>
      <c r="B6243" s="2" t="s">
        <v>2003</v>
      </c>
      <c r="C6243" s="2" t="s">
        <v>2736</v>
      </c>
      <c r="D6243" s="2" t="s">
        <v>12155</v>
      </c>
      <c r="E6243" s="2" t="s">
        <v>12156</v>
      </c>
      <c r="F6243" s="2">
        <v>0.0</v>
      </c>
      <c r="G6243" s="2">
        <v>226.0</v>
      </c>
      <c r="H6243" s="3" t="str">
        <f>HYPERLINK("http://www.linkedin.com/in/valeriesimpson1","http://www.linkedin.com/in/valeriesimpson1")</f>
        <v>http://www.linkedin.com/in/valeriesimpson1</v>
      </c>
      <c r="I6243" s="2" t="s">
        <v>1948</v>
      </c>
      <c r="J6243" s="2" t="s">
        <v>102</v>
      </c>
      <c r="K6243" s="2" t="s">
        <v>10482</v>
      </c>
    </row>
    <row r="6244" ht="15.75" customHeight="1">
      <c r="A6244" s="2">
        <v>30649.0</v>
      </c>
      <c r="B6244" s="2" t="s">
        <v>1903</v>
      </c>
      <c r="C6244" s="2" t="s">
        <v>12157</v>
      </c>
      <c r="D6244" s="2"/>
      <c r="E6244" s="2" t="s">
        <v>1190</v>
      </c>
      <c r="F6244" s="2">
        <v>2.0</v>
      </c>
      <c r="G6244" s="2">
        <v>134.0</v>
      </c>
      <c r="H6244" s="3" t="str">
        <f>HYPERLINK("http://www.linkedin.com/pub/gil-boas/0/169/631","http://www.linkedin.com/pub/gil-boas/0/169/631")</f>
        <v>http://www.linkedin.com/pub/gil-boas/0/169/631</v>
      </c>
      <c r="I6244" s="2" t="s">
        <v>77</v>
      </c>
      <c r="J6244" s="2" t="s">
        <v>102</v>
      </c>
      <c r="K6244" s="2" t="s">
        <v>10229</v>
      </c>
    </row>
    <row r="6245" ht="15.75" customHeight="1">
      <c r="A6245" s="2">
        <v>30707.0</v>
      </c>
      <c r="B6245" s="2" t="s">
        <v>1427</v>
      </c>
      <c r="C6245" s="2" t="s">
        <v>12158</v>
      </c>
      <c r="D6245" s="2" t="s">
        <v>12159</v>
      </c>
      <c r="E6245" s="2" t="s">
        <v>235</v>
      </c>
      <c r="F6245" s="2">
        <v>20.0</v>
      </c>
      <c r="G6245" s="2">
        <v>500.0</v>
      </c>
      <c r="H6245" s="3" t="str">
        <f>HYPERLINK("http://www.linkedin.com/in/imransiddiqui","http://www.linkedin.com/in/imransiddiqui")</f>
        <v>http://www.linkedin.com/in/imransiddiqui</v>
      </c>
      <c r="I6245" s="2" t="s">
        <v>195</v>
      </c>
      <c r="J6245" s="2" t="s">
        <v>102</v>
      </c>
      <c r="K6245" s="2" t="s">
        <v>10380</v>
      </c>
    </row>
    <row r="6246" ht="15.75" customHeight="1">
      <c r="A6246" s="2">
        <v>30741.0</v>
      </c>
      <c r="B6246" s="2" t="s">
        <v>631</v>
      </c>
      <c r="C6246" s="2" t="s">
        <v>797</v>
      </c>
      <c r="D6246" s="2" t="s">
        <v>400</v>
      </c>
      <c r="E6246" s="2" t="s">
        <v>2058</v>
      </c>
      <c r="F6246" s="2">
        <v>59.0</v>
      </c>
      <c r="G6246" s="2">
        <v>500.0</v>
      </c>
      <c r="H6246" s="3" t="str">
        <f>HYPERLINK("http://www.linkedin.com/in/christopherataylor","http://www.linkedin.com/in/christopherataylor")</f>
        <v>http://www.linkedin.com/in/christopherataylor</v>
      </c>
      <c r="I6246" s="2" t="s">
        <v>15</v>
      </c>
      <c r="J6246" s="2" t="s">
        <v>102</v>
      </c>
      <c r="K6246" s="2" t="s">
        <v>10233</v>
      </c>
    </row>
    <row r="6247" ht="15.75" customHeight="1">
      <c r="A6247" s="2">
        <v>30746.0</v>
      </c>
      <c r="B6247" s="2" t="s">
        <v>18</v>
      </c>
      <c r="C6247" s="2" t="s">
        <v>12160</v>
      </c>
      <c r="D6247" s="2" t="s">
        <v>47</v>
      </c>
      <c r="E6247" s="2" t="s">
        <v>882</v>
      </c>
      <c r="F6247" s="2">
        <v>6.0</v>
      </c>
      <c r="G6247" s="2">
        <v>500.0</v>
      </c>
      <c r="H6247" s="3" t="str">
        <f>HYPERLINK("http://www.linkedin.com/pub/mauricio-bellora/0/427/500","http://www.linkedin.com/pub/mauricio-bellora/0/427/500")</f>
        <v>http://www.linkedin.com/pub/mauricio-bellora/0/427/500</v>
      </c>
      <c r="I6247" s="2" t="s">
        <v>57</v>
      </c>
      <c r="J6247" s="2" t="s">
        <v>102</v>
      </c>
      <c r="K6247" s="2" t="s">
        <v>10206</v>
      </c>
    </row>
    <row r="6248" ht="15.75" customHeight="1">
      <c r="A6248" s="2">
        <v>30792.0</v>
      </c>
      <c r="B6248" s="2" t="s">
        <v>353</v>
      </c>
      <c r="C6248" s="2" t="s">
        <v>12161</v>
      </c>
      <c r="D6248" s="2" t="s">
        <v>380</v>
      </c>
      <c r="E6248" s="2" t="s">
        <v>20</v>
      </c>
      <c r="F6248" s="2">
        <v>0.0</v>
      </c>
      <c r="G6248" s="2">
        <v>500.0</v>
      </c>
      <c r="H6248" s="3" t="str">
        <f>HYPERLINK("http://ar.linkedin.com/pub/alejandro-pineda/4/120/B13","http://ar.linkedin.com/pub/alejandro-pineda/4/120/B13")</f>
        <v>http://ar.linkedin.com/pub/alejandro-pineda/4/120/B13</v>
      </c>
      <c r="I6248" s="2" t="s">
        <v>681</v>
      </c>
      <c r="J6248" s="2" t="s">
        <v>21</v>
      </c>
      <c r="K6248" s="2" t="s">
        <v>10187</v>
      </c>
    </row>
    <row r="6249" ht="15.75" customHeight="1">
      <c r="A6249" s="2">
        <v>30811.0</v>
      </c>
      <c r="B6249" s="2" t="s">
        <v>5915</v>
      </c>
      <c r="C6249" s="2" t="s">
        <v>12162</v>
      </c>
      <c r="D6249" s="2" t="s">
        <v>12163</v>
      </c>
      <c r="E6249" s="2" t="s">
        <v>20</v>
      </c>
      <c r="F6249" s="2">
        <v>1.0</v>
      </c>
      <c r="G6249" s="2">
        <v>500.0</v>
      </c>
      <c r="H6249" s="3" t="str">
        <f>HYPERLINK("http://ar.linkedin.com/pub/cecilia-konig/13/49B/492","http://ar.linkedin.com/pub/cecilia-konig/13/49B/492")</f>
        <v>http://ar.linkedin.com/pub/cecilia-konig/13/49B/492</v>
      </c>
      <c r="I6249" s="2" t="s">
        <v>458</v>
      </c>
      <c r="J6249" s="2" t="s">
        <v>21</v>
      </c>
      <c r="K6249" s="2" t="s">
        <v>10209</v>
      </c>
    </row>
    <row r="6250" ht="15.75" customHeight="1">
      <c r="A6250" s="2">
        <v>30826.0</v>
      </c>
      <c r="B6250" s="2" t="s">
        <v>523</v>
      </c>
      <c r="C6250" s="2" t="s">
        <v>8580</v>
      </c>
      <c r="D6250" s="2" t="s">
        <v>12164</v>
      </c>
      <c r="E6250" s="2" t="s">
        <v>12165</v>
      </c>
      <c r="F6250" s="2">
        <v>8.0</v>
      </c>
      <c r="G6250" s="2">
        <v>500.0</v>
      </c>
      <c r="H6250" s="3" t="str">
        <f>HYPERLINK("http://www.linkedin.com/pub/ignacio-tolosa/0/115/964","http://www.linkedin.com/pub/ignacio-tolosa/0/115/964")</f>
        <v>http://www.linkedin.com/pub/ignacio-tolosa/0/115/964</v>
      </c>
      <c r="I6250" s="2" t="s">
        <v>579</v>
      </c>
      <c r="J6250" s="2" t="s">
        <v>102</v>
      </c>
      <c r="K6250" s="2" t="s">
        <v>10209</v>
      </c>
    </row>
    <row r="6251" ht="15.75" customHeight="1">
      <c r="A6251" s="2">
        <v>30845.0</v>
      </c>
      <c r="B6251" s="2" t="s">
        <v>5078</v>
      </c>
      <c r="C6251" s="2" t="s">
        <v>12166</v>
      </c>
      <c r="D6251" s="2" t="s">
        <v>12167</v>
      </c>
      <c r="E6251" s="2" t="s">
        <v>20</v>
      </c>
      <c r="F6251" s="2">
        <v>39.0</v>
      </c>
      <c r="G6251" s="2">
        <v>500.0</v>
      </c>
      <c r="H6251" s="3" t="str">
        <f>HYPERLINK("http://ar.linkedin.com/in/dsanesteban","http://ar.linkedin.com/in/dsanesteban")</f>
        <v>http://ar.linkedin.com/in/dsanesteban</v>
      </c>
      <c r="I6251" s="2" t="s">
        <v>15</v>
      </c>
      <c r="J6251" s="2" t="s">
        <v>21</v>
      </c>
      <c r="K6251" s="2" t="s">
        <v>10182</v>
      </c>
    </row>
    <row r="6252" ht="15.75" customHeight="1">
      <c r="A6252" s="2">
        <v>30850.0</v>
      </c>
      <c r="B6252" s="2" t="s">
        <v>5723</v>
      </c>
      <c r="C6252" s="2" t="s">
        <v>12168</v>
      </c>
      <c r="D6252" s="2" t="s">
        <v>380</v>
      </c>
      <c r="E6252" s="2" t="s">
        <v>20</v>
      </c>
      <c r="F6252" s="2" t="s">
        <v>13</v>
      </c>
      <c r="G6252" s="2">
        <v>226.0</v>
      </c>
      <c r="H6252" s="3" t="str">
        <f>HYPERLINK("http://ar.linkedin.com/in/pabloroviralta","http://ar.linkedin.com/in/pabloroviralta")</f>
        <v>http://ar.linkedin.com/in/pabloroviralta</v>
      </c>
      <c r="I6252" s="2" t="s">
        <v>374</v>
      </c>
      <c r="J6252" s="2" t="s">
        <v>21</v>
      </c>
      <c r="K6252" s="2" t="s">
        <v>10184</v>
      </c>
    </row>
    <row r="6253" ht="15.75" customHeight="1">
      <c r="A6253" s="2">
        <v>30879.0</v>
      </c>
      <c r="B6253" s="2" t="s">
        <v>12169</v>
      </c>
      <c r="C6253" s="2" t="s">
        <v>12170</v>
      </c>
      <c r="D6253" s="2" t="s">
        <v>12171</v>
      </c>
      <c r="E6253" s="2" t="s">
        <v>20</v>
      </c>
      <c r="F6253" s="2">
        <v>8.0</v>
      </c>
      <c r="G6253" s="2">
        <v>238.0</v>
      </c>
      <c r="H6253" s="3" t="str">
        <f>HYPERLINK("http://ar.linkedin.com/in/fernandojorgefraga","http://ar.linkedin.com/in/fernandojorgefraga")</f>
        <v>http://ar.linkedin.com/in/fernandojorgefraga</v>
      </c>
      <c r="I6253" s="2" t="s">
        <v>15</v>
      </c>
      <c r="J6253" s="2" t="s">
        <v>21</v>
      </c>
      <c r="K6253" s="2" t="s">
        <v>10196</v>
      </c>
    </row>
    <row r="6254" ht="15.75" customHeight="1">
      <c r="A6254" s="2">
        <v>30909.0</v>
      </c>
      <c r="B6254" s="2" t="s">
        <v>5794</v>
      </c>
      <c r="C6254" s="2" t="s">
        <v>12172</v>
      </c>
      <c r="D6254" s="2" t="s">
        <v>12173</v>
      </c>
      <c r="E6254" s="2" t="s">
        <v>20</v>
      </c>
      <c r="F6254" s="2">
        <v>2.0</v>
      </c>
      <c r="G6254" s="2">
        <v>500.0</v>
      </c>
      <c r="H6254" s="3" t="str">
        <f>HYPERLINK("http://ar.linkedin.com/pub/silvina-gornatti/6/22A/762","http://ar.linkedin.com/pub/silvina-gornatti/6/22A/762")</f>
        <v>http://ar.linkedin.com/pub/silvina-gornatti/6/22A/762</v>
      </c>
      <c r="I6254" s="2" t="s">
        <v>48</v>
      </c>
      <c r="J6254" s="2" t="s">
        <v>21</v>
      </c>
      <c r="K6254" s="2" t="s">
        <v>10180</v>
      </c>
    </row>
    <row r="6255" ht="15.75" customHeight="1">
      <c r="A6255" s="2">
        <v>30981.0</v>
      </c>
      <c r="B6255" s="2" t="s">
        <v>5763</v>
      </c>
      <c r="C6255" s="2" t="s">
        <v>12174</v>
      </c>
      <c r="D6255" s="2" t="s">
        <v>8505</v>
      </c>
      <c r="E6255" s="2" t="s">
        <v>20</v>
      </c>
      <c r="F6255" s="2">
        <v>1.0</v>
      </c>
      <c r="G6255" s="2">
        <v>483.0</v>
      </c>
      <c r="H6255" s="3" t="str">
        <f>HYPERLINK("http://ar.linkedin.com/in/ezequieljadib","http://ar.linkedin.com/in/ezequieljadib")</f>
        <v>http://ar.linkedin.com/in/ezequieljadib</v>
      </c>
      <c r="I6255" s="2" t="s">
        <v>48</v>
      </c>
      <c r="J6255" s="2" t="s">
        <v>21</v>
      </c>
      <c r="K6255" s="2" t="s">
        <v>10173</v>
      </c>
    </row>
    <row r="6256" ht="15.75" customHeight="1">
      <c r="A6256" s="2">
        <v>30996.0</v>
      </c>
      <c r="B6256" s="2" t="s">
        <v>253</v>
      </c>
      <c r="C6256" s="2" t="s">
        <v>12175</v>
      </c>
      <c r="D6256" s="2" t="s">
        <v>8690</v>
      </c>
      <c r="E6256" s="2" t="s">
        <v>20</v>
      </c>
      <c r="F6256" s="2">
        <v>1.0</v>
      </c>
      <c r="G6256" s="2">
        <v>429.0</v>
      </c>
      <c r="H6256" s="3" t="str">
        <f>HYPERLINK("http://ar.linkedin.com/pub/fernando-otegui/15/903/12B","http://ar.linkedin.com/pub/fernando-otegui/15/903/12B")</f>
        <v>http://ar.linkedin.com/pub/fernando-otegui/15/903/12B</v>
      </c>
      <c r="I6256" s="2" t="s">
        <v>2081</v>
      </c>
      <c r="J6256" s="2" t="s">
        <v>21</v>
      </c>
      <c r="K6256" s="2" t="s">
        <v>10229</v>
      </c>
    </row>
    <row r="6257" ht="15.75" customHeight="1">
      <c r="A6257" s="2">
        <v>31029.0</v>
      </c>
      <c r="B6257" s="2" t="s">
        <v>940</v>
      </c>
      <c r="C6257" s="2" t="s">
        <v>12176</v>
      </c>
      <c r="D6257" s="2" t="s">
        <v>12177</v>
      </c>
      <c r="E6257" s="2" t="s">
        <v>808</v>
      </c>
      <c r="F6257" s="2">
        <v>8.0</v>
      </c>
      <c r="G6257" s="2">
        <v>500.0</v>
      </c>
      <c r="H6257" s="3" t="str">
        <f>HYPERLINK("http://www.linkedin.com/in/bobgnewuch","http://www.linkedin.com/in/bobgnewuch")</f>
        <v>http://www.linkedin.com/in/bobgnewuch</v>
      </c>
      <c r="I6257" s="2" t="s">
        <v>48</v>
      </c>
      <c r="J6257" s="2" t="s">
        <v>102</v>
      </c>
      <c r="K6257" s="2" t="s">
        <v>10245</v>
      </c>
    </row>
    <row r="6258" ht="15.75" customHeight="1">
      <c r="A6258" s="2">
        <v>31030.0</v>
      </c>
      <c r="B6258" s="2" t="s">
        <v>133</v>
      </c>
      <c r="C6258" s="2" t="s">
        <v>12178</v>
      </c>
      <c r="D6258" s="2" t="s">
        <v>6202</v>
      </c>
      <c r="E6258" s="2" t="s">
        <v>1041</v>
      </c>
      <c r="F6258" s="2">
        <v>1.0</v>
      </c>
      <c r="G6258" s="2">
        <v>95.0</v>
      </c>
      <c r="H6258" s="3" t="str">
        <f>HYPERLINK("http://www.linkedin.com/pub/michael-frisch/5/200/2B1","http://www.linkedin.com/pub/michael-frisch/5/200/2B1")</f>
        <v>http://www.linkedin.com/pub/michael-frisch/5/200/2B1</v>
      </c>
      <c r="I6258" s="2" t="s">
        <v>48</v>
      </c>
      <c r="J6258" s="2" t="s">
        <v>102</v>
      </c>
      <c r="K6258" s="2" t="s">
        <v>10233</v>
      </c>
    </row>
    <row r="6259" ht="15.75" customHeight="1">
      <c r="A6259" s="2">
        <v>31035.0</v>
      </c>
      <c r="B6259" s="2" t="s">
        <v>1653</v>
      </c>
      <c r="C6259" s="2" t="s">
        <v>12179</v>
      </c>
      <c r="D6259" s="2" t="s">
        <v>114</v>
      </c>
      <c r="E6259" s="2" t="s">
        <v>989</v>
      </c>
      <c r="F6259" s="2">
        <v>6.0</v>
      </c>
      <c r="G6259" s="2">
        <v>500.0</v>
      </c>
      <c r="H6259" s="3" t="str">
        <f>HYPERLINK("http://www.linkedin.com/in/douglantz","http://www.linkedin.com/in/douglantz")</f>
        <v>http://www.linkedin.com/in/douglantz</v>
      </c>
      <c r="I6259" s="2" t="s">
        <v>15</v>
      </c>
      <c r="J6259" s="2" t="s">
        <v>102</v>
      </c>
      <c r="K6259" s="2" t="s">
        <v>10233</v>
      </c>
    </row>
    <row r="6260" ht="15.75" customHeight="1">
      <c r="A6260" s="2">
        <v>31044.0</v>
      </c>
      <c r="B6260" s="2" t="s">
        <v>1163</v>
      </c>
      <c r="C6260" s="2" t="s">
        <v>9353</v>
      </c>
      <c r="D6260" s="2" t="s">
        <v>12180</v>
      </c>
      <c r="E6260" s="2" t="s">
        <v>20</v>
      </c>
      <c r="F6260" s="2">
        <v>15.0</v>
      </c>
      <c r="G6260" s="2">
        <v>500.0</v>
      </c>
      <c r="H6260" s="3" t="str">
        <f>HYPERLINK("http://www.linkedin.com/in/macozzi","http://www.linkedin.com/in/macozzi")</f>
        <v>http://www.linkedin.com/in/macozzi</v>
      </c>
      <c r="I6260" s="2" t="s">
        <v>844</v>
      </c>
      <c r="J6260" s="2" t="s">
        <v>21</v>
      </c>
      <c r="K6260" s="2" t="s">
        <v>10196</v>
      </c>
    </row>
    <row r="6261" ht="15.75" customHeight="1">
      <c r="A6261" s="2">
        <v>31058.0</v>
      </c>
      <c r="B6261" s="2" t="s">
        <v>9458</v>
      </c>
      <c r="C6261" s="2" t="s">
        <v>12181</v>
      </c>
      <c r="D6261" s="2" t="s">
        <v>8326</v>
      </c>
      <c r="E6261" s="2" t="s">
        <v>20</v>
      </c>
      <c r="F6261" s="2">
        <v>1.0</v>
      </c>
      <c r="G6261" s="2">
        <v>500.0</v>
      </c>
      <c r="H6261" s="3" t="str">
        <f>HYPERLINK("http://ar.linkedin.com/in/agospiana","http://ar.linkedin.com/in/agospiana")</f>
        <v>http://ar.linkedin.com/in/agospiana</v>
      </c>
      <c r="I6261" s="2" t="s">
        <v>105</v>
      </c>
      <c r="J6261" s="2" t="s">
        <v>21</v>
      </c>
      <c r="K6261" s="2" t="s">
        <v>10184</v>
      </c>
    </row>
    <row r="6262" ht="15.75" customHeight="1">
      <c r="A6262" s="2">
        <v>31086.0</v>
      </c>
      <c r="B6262" s="2" t="s">
        <v>59</v>
      </c>
      <c r="C6262" s="2" t="s">
        <v>12182</v>
      </c>
      <c r="D6262" s="2" t="s">
        <v>12183</v>
      </c>
      <c r="E6262" s="2" t="s">
        <v>20</v>
      </c>
      <c r="F6262" s="2">
        <v>9.0</v>
      </c>
      <c r="G6262" s="2">
        <v>500.0</v>
      </c>
      <c r="H6262" s="3" t="str">
        <f>HYPERLINK("http://ar.linkedin.com/pub/martin-galmarino/2A/B20/807","http://ar.linkedin.com/pub/martin-galmarino/2A/B20/807")</f>
        <v>http://ar.linkedin.com/pub/martin-galmarino/2A/B20/807</v>
      </c>
      <c r="I6262" s="2" t="s">
        <v>69</v>
      </c>
      <c r="J6262" s="2" t="s">
        <v>21</v>
      </c>
      <c r="K6262" s="2" t="s">
        <v>10187</v>
      </c>
    </row>
    <row r="6263" ht="15.75" customHeight="1">
      <c r="A6263" s="2">
        <v>31112.0</v>
      </c>
      <c r="B6263" s="2" t="s">
        <v>362</v>
      </c>
      <c r="C6263" s="2" t="s">
        <v>12184</v>
      </c>
      <c r="D6263" s="2" t="s">
        <v>12185</v>
      </c>
      <c r="E6263" s="2" t="s">
        <v>20</v>
      </c>
      <c r="F6263" s="2">
        <v>4.0</v>
      </c>
      <c r="G6263" s="2">
        <v>135.0</v>
      </c>
      <c r="H6263" s="3" t="str">
        <f>HYPERLINK("http://ar.linkedin.com/pub/javier-valletta/1B/33B/A18","http://ar.linkedin.com/pub/javier-valletta/1B/33B/A18")</f>
        <v>http://ar.linkedin.com/pub/javier-valletta/1B/33B/A18</v>
      </c>
      <c r="I6263" s="2" t="s">
        <v>15</v>
      </c>
      <c r="J6263" s="2" t="s">
        <v>21</v>
      </c>
      <c r="K6263" s="2" t="s">
        <v>10196</v>
      </c>
    </row>
    <row r="6264" ht="15.75" customHeight="1">
      <c r="A6264" s="2">
        <v>31190.0</v>
      </c>
      <c r="B6264" s="2" t="s">
        <v>3692</v>
      </c>
      <c r="C6264" s="2" t="s">
        <v>12186</v>
      </c>
      <c r="D6264" s="2" t="s">
        <v>12187</v>
      </c>
      <c r="E6264" s="2" t="s">
        <v>20</v>
      </c>
      <c r="F6264" s="2">
        <v>6.0</v>
      </c>
      <c r="G6264" s="2">
        <v>316.0</v>
      </c>
      <c r="H6264" s="3" t="str">
        <f>HYPERLINK("http://ar.linkedin.com/pub/federico-bisignani/B/802/968","http://ar.linkedin.com/pub/federico-bisignani/B/802/968")</f>
        <v>http://ar.linkedin.com/pub/federico-bisignani/B/802/968</v>
      </c>
      <c r="I6264" s="2" t="s">
        <v>15</v>
      </c>
      <c r="J6264" s="2" t="s">
        <v>21</v>
      </c>
      <c r="K6264" s="2" t="s">
        <v>10196</v>
      </c>
    </row>
    <row r="6265" ht="15.75" customHeight="1">
      <c r="A6265" s="2">
        <v>31258.0</v>
      </c>
      <c r="B6265" s="2" t="s">
        <v>70</v>
      </c>
      <c r="C6265" s="2" t="s">
        <v>6794</v>
      </c>
      <c r="D6265" s="2" t="s">
        <v>11159</v>
      </c>
      <c r="E6265" s="2" t="s">
        <v>20</v>
      </c>
      <c r="F6265" s="2">
        <v>12.0</v>
      </c>
      <c r="G6265" s="2">
        <v>218.0</v>
      </c>
      <c r="H6265" s="3" t="str">
        <f>HYPERLINK("http://ar.linkedin.com/in/gustavoferrari","http://ar.linkedin.com/in/gustavoferrari")</f>
        <v>http://ar.linkedin.com/in/gustavoferrari</v>
      </c>
      <c r="I6265" s="2" t="s">
        <v>15</v>
      </c>
      <c r="J6265" s="2" t="s">
        <v>21</v>
      </c>
      <c r="K6265" s="2" t="s">
        <v>10196</v>
      </c>
    </row>
    <row r="6266" ht="15.75" customHeight="1">
      <c r="A6266" s="2">
        <v>31266.0</v>
      </c>
      <c r="B6266" s="2" t="s">
        <v>12188</v>
      </c>
      <c r="C6266" s="2" t="s">
        <v>5891</v>
      </c>
      <c r="D6266" s="2" t="s">
        <v>12189</v>
      </c>
      <c r="E6266" s="2" t="s">
        <v>762</v>
      </c>
      <c r="F6266" s="2">
        <v>3.0</v>
      </c>
      <c r="G6266" s="2">
        <v>78.0</v>
      </c>
      <c r="H6266" s="3" t="str">
        <f>HYPERLINK("http://www.linkedin.com/pub/allison-herrera/6/166/103","http://www.linkedin.com/pub/allison-herrera/6/166/103")</f>
        <v>http://www.linkedin.com/pub/allison-herrera/6/166/103</v>
      </c>
      <c r="I6266" s="2" t="s">
        <v>167</v>
      </c>
      <c r="J6266" s="2" t="s">
        <v>102</v>
      </c>
      <c r="K6266" s="2" t="s">
        <v>10206</v>
      </c>
    </row>
    <row r="6267" ht="15.75" customHeight="1">
      <c r="A6267" s="2">
        <v>31278.0</v>
      </c>
      <c r="B6267" s="2" t="s">
        <v>3015</v>
      </c>
      <c r="C6267" s="2" t="s">
        <v>12190</v>
      </c>
      <c r="D6267" s="2" t="s">
        <v>12191</v>
      </c>
      <c r="E6267" s="2" t="s">
        <v>136</v>
      </c>
      <c r="F6267" s="2">
        <v>0.0</v>
      </c>
      <c r="G6267" s="2">
        <v>354.0</v>
      </c>
      <c r="H6267" s="3" t="str">
        <f>HYPERLINK("http://www.linkedin.com/in/lucianoverger","http://www.linkedin.com/in/lucianoverger")</f>
        <v>http://www.linkedin.com/in/lucianoverger</v>
      </c>
      <c r="I6267" s="2" t="s">
        <v>1452</v>
      </c>
      <c r="J6267" s="2" t="s">
        <v>102</v>
      </c>
      <c r="K6267" s="2" t="s">
        <v>12192</v>
      </c>
    </row>
    <row r="6268" ht="15.75" customHeight="1">
      <c r="A6268" s="2">
        <v>31279.0</v>
      </c>
      <c r="B6268" s="2" t="s">
        <v>12193</v>
      </c>
      <c r="C6268" s="2" t="s">
        <v>12194</v>
      </c>
      <c r="D6268" s="2" t="s">
        <v>12191</v>
      </c>
      <c r="E6268" s="2" t="s">
        <v>136</v>
      </c>
      <c r="F6268" s="2">
        <v>0.0</v>
      </c>
      <c r="G6268" s="2">
        <v>169.0</v>
      </c>
      <c r="H6268" s="3" t="str">
        <f>HYPERLINK("http://www.linkedin.com/pub/adeel-alam/28/125/982","http://www.linkedin.com/pub/adeel-alam/28/125/982")</f>
        <v>http://www.linkedin.com/pub/adeel-alam/28/125/982</v>
      </c>
      <c r="I6268" s="2" t="s">
        <v>1452</v>
      </c>
      <c r="J6268" s="2" t="s">
        <v>102</v>
      </c>
      <c r="K6268" s="2" t="s">
        <v>12192</v>
      </c>
    </row>
    <row r="6269" ht="15.75" customHeight="1">
      <c r="A6269" s="2">
        <v>31280.0</v>
      </c>
      <c r="B6269" s="2" t="s">
        <v>1601</v>
      </c>
      <c r="C6269" s="2" t="s">
        <v>12195</v>
      </c>
      <c r="D6269" s="2"/>
      <c r="E6269" s="2" t="s">
        <v>136</v>
      </c>
      <c r="F6269" s="2">
        <v>2.0</v>
      </c>
      <c r="G6269" s="2">
        <v>217.0</v>
      </c>
      <c r="H6269" s="3" t="str">
        <f>HYPERLINK("http://www.linkedin.com/pub/murali-bandaru/1/6/2B8","http://www.linkedin.com/pub/murali-bandaru/1/6/2B8")</f>
        <v>http://www.linkedin.com/pub/murali-bandaru/1/6/2B8</v>
      </c>
      <c r="I6269" s="2" t="s">
        <v>1496</v>
      </c>
      <c r="J6269" s="2" t="s">
        <v>102</v>
      </c>
      <c r="K6269" s="2" t="s">
        <v>10209</v>
      </c>
    </row>
    <row r="6270" ht="15.75" customHeight="1">
      <c r="A6270" s="2">
        <v>31282.0</v>
      </c>
      <c r="B6270" s="2" t="s">
        <v>12196</v>
      </c>
      <c r="C6270" s="2" t="s">
        <v>12197</v>
      </c>
      <c r="D6270" s="2" t="s">
        <v>12198</v>
      </c>
      <c r="E6270" s="2" t="s">
        <v>762</v>
      </c>
      <c r="F6270" s="2" t="s">
        <v>13</v>
      </c>
      <c r="G6270" s="2">
        <v>500.0</v>
      </c>
      <c r="H6270" s="3" t="str">
        <f>HYPERLINK("http://www.linkedin.com/pub/nouhad-elhassan/0/B41/151","http://www.linkedin.com/pub/nouhad-elhassan/0/B41/151")</f>
        <v>http://www.linkedin.com/pub/nouhad-elhassan/0/B41/151</v>
      </c>
      <c r="I6270" s="2" t="s">
        <v>77</v>
      </c>
      <c r="J6270" s="2" t="s">
        <v>102</v>
      </c>
      <c r="K6270" s="2" t="s">
        <v>10187</v>
      </c>
    </row>
    <row r="6271" ht="15.75" customHeight="1">
      <c r="A6271" s="2">
        <v>31283.0</v>
      </c>
      <c r="B6271" s="2" t="s">
        <v>12199</v>
      </c>
      <c r="C6271" s="2" t="s">
        <v>12200</v>
      </c>
      <c r="D6271" s="2" t="s">
        <v>12201</v>
      </c>
      <c r="E6271" s="2" t="s">
        <v>4951</v>
      </c>
      <c r="F6271" s="2" t="s">
        <v>13</v>
      </c>
      <c r="G6271" s="2">
        <v>325.0</v>
      </c>
      <c r="H6271" s="3" t="str">
        <f>HYPERLINK("http://www.linkedin.com/pub/sola-babalola/1/738/217","http://www.linkedin.com/pub/sola-babalola/1/738/217")</f>
        <v>http://www.linkedin.com/pub/sola-babalola/1/738/217</v>
      </c>
      <c r="I6271" s="2" t="s">
        <v>1496</v>
      </c>
      <c r="J6271" s="2" t="s">
        <v>102</v>
      </c>
      <c r="K6271" s="2" t="s">
        <v>10187</v>
      </c>
    </row>
    <row r="6272" ht="15.75" customHeight="1">
      <c r="A6272" s="2">
        <v>31314.0</v>
      </c>
      <c r="B6272" s="2" t="s">
        <v>12202</v>
      </c>
      <c r="C6272" s="2" t="s">
        <v>12203</v>
      </c>
      <c r="D6272" s="2" t="s">
        <v>12204</v>
      </c>
      <c r="E6272" s="2" t="s">
        <v>235</v>
      </c>
      <c r="F6272" s="2">
        <v>22.0</v>
      </c>
      <c r="G6272" s="2">
        <v>500.0</v>
      </c>
      <c r="H6272" s="3" t="str">
        <f>HYPERLINK("http://www.linkedin.com/in/shaheenva","http://www.linkedin.com/in/shaheenva")</f>
        <v>http://www.linkedin.com/in/shaheenva</v>
      </c>
      <c r="I6272" s="2" t="s">
        <v>48</v>
      </c>
      <c r="J6272" s="2" t="s">
        <v>102</v>
      </c>
      <c r="K6272" s="2" t="s">
        <v>10245</v>
      </c>
    </row>
    <row r="6273" ht="15.75" customHeight="1">
      <c r="A6273" s="2">
        <v>31315.0</v>
      </c>
      <c r="B6273" s="2" t="s">
        <v>12205</v>
      </c>
      <c r="C6273" s="2" t="s">
        <v>1705</v>
      </c>
      <c r="D6273" s="2" t="s">
        <v>12206</v>
      </c>
      <c r="E6273" s="2" t="s">
        <v>235</v>
      </c>
      <c r="F6273" s="2">
        <v>13.0</v>
      </c>
      <c r="G6273" s="2">
        <v>142.0</v>
      </c>
      <c r="H6273" s="3" t="str">
        <f>HYPERLINK("http://www.linkedin.com/pub/shubh-kaur/3/765/43A","http://www.linkedin.com/pub/shubh-kaur/3/765/43A")</f>
        <v>http://www.linkedin.com/pub/shubh-kaur/3/765/43A</v>
      </c>
      <c r="I6273" s="2" t="s">
        <v>77</v>
      </c>
      <c r="J6273" s="2" t="s">
        <v>102</v>
      </c>
      <c r="K6273" s="2" t="s">
        <v>10674</v>
      </c>
    </row>
    <row r="6274" ht="15.75" customHeight="1">
      <c r="A6274" s="2">
        <v>31326.0</v>
      </c>
      <c r="B6274" s="2" t="s">
        <v>193</v>
      </c>
      <c r="C6274" s="2" t="s">
        <v>12207</v>
      </c>
      <c r="D6274" s="2" t="s">
        <v>13</v>
      </c>
      <c r="E6274" s="2" t="s">
        <v>20</v>
      </c>
      <c r="F6274" s="2">
        <v>0.0</v>
      </c>
      <c r="G6274" s="2">
        <v>487.0</v>
      </c>
      <c r="H6274" s="3" t="str">
        <f>HYPERLINK("http://www.linkedin.com/pub/guillermo-prados-cba/7/315/b13","http://www.linkedin.com/pub/guillermo-prados-cba/7/315/b13")</f>
        <v>http://www.linkedin.com/pub/guillermo-prados-cba/7/315/b13</v>
      </c>
      <c r="I6274" s="2" t="s">
        <v>48</v>
      </c>
      <c r="J6274" s="2" t="s">
        <v>21</v>
      </c>
      <c r="K6274" s="2" t="s">
        <v>10173</v>
      </c>
    </row>
    <row r="6275" ht="15.75" customHeight="1">
      <c r="A6275" s="2">
        <v>31339.0</v>
      </c>
      <c r="B6275" s="2" t="s">
        <v>12208</v>
      </c>
      <c r="C6275" s="2" t="s">
        <v>6684</v>
      </c>
      <c r="D6275" s="2" t="s">
        <v>12209</v>
      </c>
      <c r="E6275" s="2" t="s">
        <v>20</v>
      </c>
      <c r="F6275" s="2">
        <v>5.0</v>
      </c>
      <c r="G6275" s="2">
        <v>176.0</v>
      </c>
      <c r="H6275" s="3" t="str">
        <f>HYPERLINK("http://ar.linkedin.com/pub/walter-agustin-campos/22/976/884","http://ar.linkedin.com/pub/walter-agustin-campos/22/976/884")</f>
        <v>http://ar.linkedin.com/pub/walter-agustin-campos/22/976/884</v>
      </c>
      <c r="I6275" s="2" t="s">
        <v>48</v>
      </c>
      <c r="J6275" s="2" t="s">
        <v>21</v>
      </c>
      <c r="K6275" s="2" t="s">
        <v>10196</v>
      </c>
    </row>
    <row r="6276" ht="15.75" customHeight="1">
      <c r="A6276" s="2">
        <v>31345.0</v>
      </c>
      <c r="B6276" s="2" t="s">
        <v>12210</v>
      </c>
      <c r="C6276" s="2" t="s">
        <v>12211</v>
      </c>
      <c r="D6276" s="2" t="s">
        <v>517</v>
      </c>
      <c r="E6276" s="2" t="s">
        <v>12212</v>
      </c>
      <c r="F6276" s="2">
        <v>1.0</v>
      </c>
      <c r="G6276" s="2">
        <v>500.0</v>
      </c>
      <c r="H6276" s="3" t="str">
        <f>HYPERLINK("http://ar.linkedin.com/in/anamercado","http://ar.linkedin.com/in/anamercado")</f>
        <v>http://ar.linkedin.com/in/anamercado</v>
      </c>
      <c r="I6276" s="2" t="s">
        <v>69</v>
      </c>
      <c r="J6276" s="2" t="s">
        <v>12213</v>
      </c>
      <c r="K6276" s="2" t="s">
        <v>10173</v>
      </c>
    </row>
    <row r="6277" ht="15.75" customHeight="1">
      <c r="A6277" s="2">
        <v>31388.0</v>
      </c>
      <c r="B6277" s="2" t="s">
        <v>5078</v>
      </c>
      <c r="C6277" s="2" t="s">
        <v>12214</v>
      </c>
      <c r="D6277" s="2" t="s">
        <v>47</v>
      </c>
      <c r="E6277" s="2" t="s">
        <v>914</v>
      </c>
      <c r="F6277" s="2">
        <v>3.0</v>
      </c>
      <c r="G6277" s="2">
        <v>500.0</v>
      </c>
      <c r="H6277" s="3" t="str">
        <f>HYPERLINK("http://www.linkedin.com/in/diegum","http://www.linkedin.com/in/diegum")</f>
        <v>http://www.linkedin.com/in/diegum</v>
      </c>
      <c r="I6277" s="2" t="s">
        <v>48</v>
      </c>
      <c r="J6277" s="2" t="s">
        <v>102</v>
      </c>
      <c r="K6277" s="2" t="s">
        <v>10263</v>
      </c>
    </row>
    <row r="6278" ht="15.75" customHeight="1">
      <c r="A6278" s="2">
        <v>31398.0</v>
      </c>
      <c r="B6278" s="2" t="s">
        <v>1380</v>
      </c>
      <c r="C6278" s="2" t="s">
        <v>12215</v>
      </c>
      <c r="D6278" s="2" t="s">
        <v>12216</v>
      </c>
      <c r="E6278" s="2" t="s">
        <v>12217</v>
      </c>
      <c r="F6278" s="2">
        <v>4.0</v>
      </c>
      <c r="G6278" s="2">
        <v>256.0</v>
      </c>
      <c r="H6278" s="3" t="str">
        <f>HYPERLINK("http://www.linkedin.com/pub/randy-oxentenko/3/585/AB4","http://www.linkedin.com/pub/randy-oxentenko/3/585/AB4")</f>
        <v>http://www.linkedin.com/pub/randy-oxentenko/3/585/AB4</v>
      </c>
      <c r="I6278" s="2" t="s">
        <v>15</v>
      </c>
      <c r="J6278" s="2" t="s">
        <v>102</v>
      </c>
      <c r="K6278" s="2" t="s">
        <v>10184</v>
      </c>
    </row>
    <row r="6279" ht="15.75" customHeight="1">
      <c r="A6279" s="2">
        <v>31399.0</v>
      </c>
      <c r="B6279" s="2" t="s">
        <v>2457</v>
      </c>
      <c r="C6279" s="2" t="s">
        <v>12218</v>
      </c>
      <c r="D6279" s="2" t="s">
        <v>12219</v>
      </c>
      <c r="E6279" s="2" t="s">
        <v>1155</v>
      </c>
      <c r="F6279" s="2" t="s">
        <v>13</v>
      </c>
      <c r="G6279" s="2">
        <v>236.0</v>
      </c>
      <c r="H6279" s="3" t="str">
        <f>HYPERLINK("http://www.linkedin.com/in/stephenclopp","http://www.linkedin.com/in/stephenclopp")</f>
        <v>http://www.linkedin.com/in/stephenclopp</v>
      </c>
      <c r="I6279" s="2" t="s">
        <v>15</v>
      </c>
      <c r="J6279" s="2" t="s">
        <v>102</v>
      </c>
      <c r="K6279" s="2" t="s">
        <v>10233</v>
      </c>
    </row>
    <row r="6280" ht="15.75" customHeight="1">
      <c r="A6280" s="2">
        <v>31402.0</v>
      </c>
      <c r="B6280" s="2" t="s">
        <v>12220</v>
      </c>
      <c r="C6280" s="2" t="s">
        <v>12221</v>
      </c>
      <c r="D6280" s="2" t="s">
        <v>12222</v>
      </c>
      <c r="E6280" s="2" t="s">
        <v>136</v>
      </c>
      <c r="F6280" s="2">
        <v>1.0</v>
      </c>
      <c r="G6280" s="2">
        <v>99.0</v>
      </c>
      <c r="H6280" s="3" t="str">
        <f>HYPERLINK("http://www.linkedin.com/pub/chandrika-taduri/4/331/452","http://www.linkedin.com/pub/chandrika-taduri/4/331/452")</f>
        <v>http://www.linkedin.com/pub/chandrika-taduri/4/331/452</v>
      </c>
      <c r="I6280" s="2" t="s">
        <v>48</v>
      </c>
      <c r="J6280" s="2" t="s">
        <v>102</v>
      </c>
      <c r="K6280" s="2" t="s">
        <v>10233</v>
      </c>
    </row>
    <row r="6281" ht="15.75" customHeight="1">
      <c r="A6281" s="2">
        <v>31403.0</v>
      </c>
      <c r="B6281" s="2" t="s">
        <v>12223</v>
      </c>
      <c r="C6281" s="2" t="s">
        <v>12224</v>
      </c>
      <c r="D6281" s="2"/>
      <c r="E6281" s="2" t="s">
        <v>136</v>
      </c>
      <c r="F6281" s="2">
        <v>8.0</v>
      </c>
      <c r="G6281" s="2">
        <v>348.0</v>
      </c>
      <c r="H6281" s="3" t="str">
        <f>HYPERLINK("http://www.linkedin.com/in/brendanrankin","http://www.linkedin.com/in/brendanrankin")</f>
        <v>http://www.linkedin.com/in/brendanrankin</v>
      </c>
      <c r="I6281" s="2" t="s">
        <v>167</v>
      </c>
      <c r="J6281" s="2" t="s">
        <v>102</v>
      </c>
      <c r="K6281" s="2" t="s">
        <v>10206</v>
      </c>
    </row>
    <row r="6282" ht="15.75" customHeight="1">
      <c r="A6282" s="2">
        <v>31419.0</v>
      </c>
      <c r="B6282" s="2" t="s">
        <v>253</v>
      </c>
      <c r="C6282" s="2" t="s">
        <v>12225</v>
      </c>
      <c r="D6282" s="2" t="s">
        <v>10385</v>
      </c>
      <c r="E6282" s="2" t="s">
        <v>136</v>
      </c>
      <c r="F6282" s="2" t="s">
        <v>13</v>
      </c>
      <c r="G6282" s="2">
        <v>64.0</v>
      </c>
      <c r="H6282" s="3" t="str">
        <f>HYPERLINK("http://www.linkedin.com/in/frayas","http://www.linkedin.com/in/frayas")</f>
        <v>http://www.linkedin.com/in/frayas</v>
      </c>
      <c r="I6282" s="2" t="s">
        <v>1237</v>
      </c>
      <c r="J6282" s="2" t="s">
        <v>102</v>
      </c>
      <c r="K6282" s="2" t="s">
        <v>10209</v>
      </c>
    </row>
    <row r="6283" ht="15.75" customHeight="1">
      <c r="A6283" s="2">
        <v>31430.0</v>
      </c>
      <c r="B6283" s="2" t="s">
        <v>45</v>
      </c>
      <c r="C6283" s="2" t="s">
        <v>12226</v>
      </c>
      <c r="D6283" s="2"/>
      <c r="E6283" s="2" t="s">
        <v>12227</v>
      </c>
      <c r="F6283" s="2">
        <v>0.0</v>
      </c>
      <c r="G6283" s="2">
        <v>500.0</v>
      </c>
      <c r="H6283" s="3" t="str">
        <f>HYPERLINK("http://www.linkedin.com/pub/carlos-diuk-wasser/2/7B7/238","http://www.linkedin.com/pub/carlos-diuk-wasser/2/7B7/238")</f>
        <v>http://www.linkedin.com/pub/carlos-diuk-wasser/2/7B7/238</v>
      </c>
      <c r="I6283" s="2" t="s">
        <v>48</v>
      </c>
      <c r="J6283" s="2" t="s">
        <v>102</v>
      </c>
      <c r="K6283" s="2" t="s">
        <v>10184</v>
      </c>
    </row>
    <row r="6284" ht="15.75" customHeight="1">
      <c r="A6284" s="2">
        <v>31433.0</v>
      </c>
      <c r="B6284" s="2" t="s">
        <v>492</v>
      </c>
      <c r="C6284" s="2" t="s">
        <v>9660</v>
      </c>
      <c r="D6284" s="2" t="s">
        <v>12228</v>
      </c>
      <c r="E6284" s="2" t="s">
        <v>20</v>
      </c>
      <c r="F6284" s="2">
        <v>8.0</v>
      </c>
      <c r="G6284" s="2">
        <v>331.0</v>
      </c>
      <c r="H6284" s="3" t="str">
        <f>HYPERLINK("http://ar.linkedin.com/pub/sergio-peralta/3/A41/521","http://ar.linkedin.com/pub/sergio-peralta/3/A41/521")</f>
        <v>http://ar.linkedin.com/pub/sergio-peralta/3/A41/521</v>
      </c>
      <c r="I6284" s="2" t="s">
        <v>15</v>
      </c>
      <c r="J6284" s="2" t="s">
        <v>21</v>
      </c>
      <c r="K6284" s="2" t="s">
        <v>10180</v>
      </c>
    </row>
    <row r="6285" ht="15.75" customHeight="1">
      <c r="A6285" s="2">
        <v>31443.0</v>
      </c>
      <c r="B6285" s="2" t="s">
        <v>12229</v>
      </c>
      <c r="C6285" s="2" t="s">
        <v>12230</v>
      </c>
      <c r="D6285" s="2" t="s">
        <v>12231</v>
      </c>
      <c r="E6285" s="2" t="s">
        <v>136</v>
      </c>
      <c r="F6285" s="2">
        <v>5.0</v>
      </c>
      <c r="G6285" s="2">
        <v>236.0</v>
      </c>
      <c r="H6285" s="3" t="str">
        <f>HYPERLINK("http://www.linkedin.com/in/divyasarasan","http://www.linkedin.com/in/divyasarasan")</f>
        <v>http://www.linkedin.com/in/divyasarasan</v>
      </c>
      <c r="I6285" s="2" t="s">
        <v>48</v>
      </c>
      <c r="J6285" s="2" t="s">
        <v>102</v>
      </c>
      <c r="K6285" s="2" t="s">
        <v>10286</v>
      </c>
    </row>
    <row r="6286" ht="15.75" customHeight="1">
      <c r="A6286" s="2">
        <v>31524.0</v>
      </c>
      <c r="B6286" s="2" t="s">
        <v>5803</v>
      </c>
      <c r="C6286" s="2" t="s">
        <v>8412</v>
      </c>
      <c r="D6286" s="2" t="s">
        <v>6069</v>
      </c>
      <c r="E6286" s="2" t="s">
        <v>20</v>
      </c>
      <c r="F6286" s="2">
        <v>1.0</v>
      </c>
      <c r="G6286" s="2">
        <v>48.0</v>
      </c>
      <c r="H6286" s="3" t="str">
        <f>HYPERLINK("http://www.linkedin.com/in/marianocardoso","http://www.linkedin.com/in/marianocardoso")</f>
        <v>http://www.linkedin.com/in/marianocardoso</v>
      </c>
      <c r="I6286" s="2" t="s">
        <v>15</v>
      </c>
      <c r="J6286" s="2" t="s">
        <v>21</v>
      </c>
      <c r="K6286" s="2" t="s">
        <v>10206</v>
      </c>
    </row>
    <row r="6287" ht="15.75" customHeight="1">
      <c r="A6287" s="2">
        <v>31555.0</v>
      </c>
      <c r="B6287" s="2" t="s">
        <v>5824</v>
      </c>
      <c r="C6287" s="2" t="s">
        <v>12232</v>
      </c>
      <c r="D6287" s="2" t="s">
        <v>12233</v>
      </c>
      <c r="E6287" s="2" t="s">
        <v>20</v>
      </c>
      <c r="F6287" s="2">
        <v>2.0</v>
      </c>
      <c r="G6287" s="2">
        <v>500.0</v>
      </c>
      <c r="H6287" s="3" t="str">
        <f>HYPERLINK("http://ar.linkedin.com/in/alejandracaretto","http://ar.linkedin.com/in/alejandracaretto")</f>
        <v>http://ar.linkedin.com/in/alejandracaretto</v>
      </c>
      <c r="I6287" s="2" t="s">
        <v>15</v>
      </c>
      <c r="J6287" s="2" t="s">
        <v>21</v>
      </c>
      <c r="K6287" s="2" t="s">
        <v>10196</v>
      </c>
    </row>
    <row r="6288" ht="15.75" customHeight="1">
      <c r="A6288" s="2">
        <v>31611.0</v>
      </c>
      <c r="B6288" s="2" t="s">
        <v>59</v>
      </c>
      <c r="C6288" s="2" t="s">
        <v>12234</v>
      </c>
      <c r="D6288" s="2" t="s">
        <v>400</v>
      </c>
      <c r="E6288" s="2" t="s">
        <v>20</v>
      </c>
      <c r="F6288" s="2">
        <v>1.0</v>
      </c>
      <c r="G6288" s="2">
        <v>500.0</v>
      </c>
      <c r="H6288" s="3" t="str">
        <f>HYPERLINK("http://www.linkedin.com/in/martinweidemann","http://www.linkedin.com/in/martinweidemann")</f>
        <v>http://www.linkedin.com/in/martinweidemann</v>
      </c>
      <c r="I6288" s="2" t="s">
        <v>69</v>
      </c>
      <c r="J6288" s="2" t="s">
        <v>21</v>
      </c>
      <c r="K6288" s="2" t="s">
        <v>10224</v>
      </c>
    </row>
    <row r="6289" ht="15.75" customHeight="1">
      <c r="A6289" s="2">
        <v>31612.0</v>
      </c>
      <c r="B6289" s="2" t="s">
        <v>5078</v>
      </c>
      <c r="C6289" s="2" t="s">
        <v>12235</v>
      </c>
      <c r="D6289" s="2" t="s">
        <v>517</v>
      </c>
      <c r="E6289" s="2" t="s">
        <v>20</v>
      </c>
      <c r="F6289" s="2">
        <v>3.0</v>
      </c>
      <c r="G6289" s="2">
        <v>500.0</v>
      </c>
      <c r="H6289" s="3" t="str">
        <f>HYPERLINK("http://ar.linkedin.com/in/dmusolino","http://ar.linkedin.com/in/dmusolino")</f>
        <v>http://ar.linkedin.com/in/dmusolino</v>
      </c>
      <c r="I6289" s="2" t="s">
        <v>579</v>
      </c>
      <c r="J6289" s="2" t="s">
        <v>21</v>
      </c>
      <c r="K6289" s="2" t="s">
        <v>12236</v>
      </c>
    </row>
    <row r="6290" ht="15.75" customHeight="1">
      <c r="A6290" s="2">
        <v>31654.0</v>
      </c>
      <c r="B6290" s="2" t="s">
        <v>11582</v>
      </c>
      <c r="C6290" s="2" t="s">
        <v>5946</v>
      </c>
      <c r="D6290" s="2" t="s">
        <v>12237</v>
      </c>
      <c r="E6290" s="2" t="s">
        <v>20</v>
      </c>
      <c r="F6290" s="2">
        <v>7.0</v>
      </c>
      <c r="G6290" s="2">
        <v>198.0</v>
      </c>
      <c r="H6290" s="3" t="str">
        <f>HYPERLINK("http://ar.linkedin.com/in/ggmolinari","http://ar.linkedin.com/in/ggmolinari")</f>
        <v>http://ar.linkedin.com/in/ggmolinari</v>
      </c>
      <c r="I6290" s="2" t="s">
        <v>15</v>
      </c>
      <c r="J6290" s="2" t="s">
        <v>21</v>
      </c>
      <c r="K6290" s="2" t="s">
        <v>10196</v>
      </c>
    </row>
    <row r="6291" ht="15.75" customHeight="1">
      <c r="A6291" s="2">
        <v>31665.0</v>
      </c>
      <c r="B6291" s="2" t="s">
        <v>45</v>
      </c>
      <c r="C6291" s="2" t="s">
        <v>12238</v>
      </c>
      <c r="D6291" s="2" t="s">
        <v>6129</v>
      </c>
      <c r="E6291" s="2" t="s">
        <v>20</v>
      </c>
      <c r="F6291" s="2">
        <v>10.0</v>
      </c>
      <c r="G6291" s="2">
        <v>201.0</v>
      </c>
      <c r="H6291" s="3" t="str">
        <f>HYPERLINK("http://ar.linkedin.com/in/carlosijelchuk","http://ar.linkedin.com/in/carlosijelchuk")</f>
        <v>http://ar.linkedin.com/in/carlosijelchuk</v>
      </c>
      <c r="I6291" s="2" t="s">
        <v>15</v>
      </c>
      <c r="J6291" s="2" t="s">
        <v>21</v>
      </c>
      <c r="K6291" s="2" t="s">
        <v>10196</v>
      </c>
    </row>
    <row r="6292" ht="15.75" customHeight="1">
      <c r="A6292" s="2">
        <v>31671.0</v>
      </c>
      <c r="B6292" s="2" t="s">
        <v>6531</v>
      </c>
      <c r="C6292" s="2" t="s">
        <v>12239</v>
      </c>
      <c r="D6292" s="2" t="s">
        <v>12240</v>
      </c>
      <c r="E6292" s="2" t="s">
        <v>914</v>
      </c>
      <c r="F6292" s="2">
        <v>4.0</v>
      </c>
      <c r="G6292" s="2">
        <v>413.0</v>
      </c>
      <c r="H6292" s="3" t="str">
        <f>HYPERLINK("http://www.linkedin.com/in/gnarvaja","http://www.linkedin.com/in/gnarvaja")</f>
        <v>http://www.linkedin.com/in/gnarvaja</v>
      </c>
      <c r="I6292" s="2" t="s">
        <v>48</v>
      </c>
      <c r="J6292" s="2" t="s">
        <v>102</v>
      </c>
      <c r="K6292" s="2" t="s">
        <v>10184</v>
      </c>
    </row>
    <row r="6293" ht="15.75" customHeight="1">
      <c r="A6293" s="2">
        <v>31680.0</v>
      </c>
      <c r="B6293" s="2" t="s">
        <v>3692</v>
      </c>
      <c r="C6293" s="2" t="s">
        <v>12241</v>
      </c>
      <c r="D6293" s="2" t="s">
        <v>42</v>
      </c>
      <c r="E6293" s="2" t="s">
        <v>20</v>
      </c>
      <c r="F6293" s="2">
        <v>5.0</v>
      </c>
      <c r="G6293" s="2">
        <v>164.0</v>
      </c>
      <c r="H6293" s="3" t="str">
        <f>HYPERLINK("http://ar.linkedin.com/in/federicomz","http://ar.linkedin.com/in/federicomz")</f>
        <v>http://ar.linkedin.com/in/federicomz</v>
      </c>
      <c r="I6293" s="2" t="s">
        <v>15</v>
      </c>
      <c r="J6293" s="2" t="s">
        <v>21</v>
      </c>
      <c r="K6293" s="2" t="s">
        <v>10196</v>
      </c>
    </row>
    <row r="6294" ht="15.75" customHeight="1">
      <c r="A6294" s="2">
        <v>31764.0</v>
      </c>
      <c r="B6294" s="2" t="s">
        <v>842</v>
      </c>
      <c r="C6294" s="2" t="s">
        <v>12242</v>
      </c>
      <c r="D6294" s="2" t="s">
        <v>12243</v>
      </c>
      <c r="E6294" s="2" t="s">
        <v>12244</v>
      </c>
      <c r="F6294" s="2">
        <v>14.0</v>
      </c>
      <c r="G6294" s="2">
        <v>500.0</v>
      </c>
      <c r="H6294" s="3" t="str">
        <f>HYPERLINK("http://www.linkedin.com/in/stuartgwood","http://www.linkedin.com/in/stuartgwood")</f>
        <v>http://www.linkedin.com/in/stuartgwood</v>
      </c>
      <c r="I6294" s="2" t="s">
        <v>579</v>
      </c>
      <c r="J6294" s="2" t="s">
        <v>102</v>
      </c>
      <c r="K6294" s="2" t="s">
        <v>10394</v>
      </c>
    </row>
    <row r="6295" ht="15.75" customHeight="1">
      <c r="A6295" s="2">
        <v>31768.0</v>
      </c>
      <c r="B6295" s="2" t="s">
        <v>3072</v>
      </c>
      <c r="C6295" s="2" t="s">
        <v>2547</v>
      </c>
      <c r="D6295" s="2" t="s">
        <v>12245</v>
      </c>
      <c r="E6295" s="2" t="s">
        <v>101</v>
      </c>
      <c r="F6295" s="2">
        <v>2.0</v>
      </c>
      <c r="G6295" s="2">
        <v>487.0</v>
      </c>
      <c r="H6295" s="3" t="str">
        <f>HYPERLINK("http://www.linkedin.com/in/luisfranco00","http://www.linkedin.com/in/luisfranco00")</f>
        <v>http://www.linkedin.com/in/luisfranco00</v>
      </c>
      <c r="I6295" s="2" t="s">
        <v>172</v>
      </c>
      <c r="J6295" s="2" t="s">
        <v>102</v>
      </c>
      <c r="K6295" s="2" t="s">
        <v>10206</v>
      </c>
    </row>
    <row r="6296" ht="15.75" customHeight="1">
      <c r="A6296" s="2">
        <v>31802.0</v>
      </c>
      <c r="B6296" s="2" t="s">
        <v>3980</v>
      </c>
      <c r="C6296" s="2" t="s">
        <v>10533</v>
      </c>
      <c r="D6296" s="2" t="s">
        <v>12246</v>
      </c>
      <c r="E6296" s="2" t="s">
        <v>1918</v>
      </c>
      <c r="F6296" s="2">
        <v>2.0</v>
      </c>
      <c r="G6296" s="2">
        <v>187.0</v>
      </c>
      <c r="H6296" s="3" t="str">
        <f>HYPERLINK("http://www.linkedin.com/pub/nathan-rupert/30/B24/295","http://www.linkedin.com/pub/nathan-rupert/30/B24/295")</f>
        <v>http://www.linkedin.com/pub/nathan-rupert/30/B24/295</v>
      </c>
      <c r="I6296" s="2" t="s">
        <v>77</v>
      </c>
      <c r="J6296" s="2" t="s">
        <v>102</v>
      </c>
      <c r="K6296" s="2" t="s">
        <v>11722</v>
      </c>
    </row>
    <row r="6297" ht="15.75" customHeight="1">
      <c r="A6297" s="2">
        <v>31906.0</v>
      </c>
      <c r="B6297" s="2" t="s">
        <v>275</v>
      </c>
      <c r="C6297" s="2" t="s">
        <v>12247</v>
      </c>
      <c r="D6297" s="2" t="s">
        <v>12248</v>
      </c>
      <c r="E6297" s="2" t="s">
        <v>136</v>
      </c>
      <c r="F6297" s="2">
        <v>4.0</v>
      </c>
      <c r="G6297" s="2">
        <v>166.0</v>
      </c>
      <c r="H6297" s="3" t="str">
        <f>HYPERLINK("http://www.linkedin.com/in/mrathjen","http://www.linkedin.com/in/mrathjen")</f>
        <v>http://www.linkedin.com/in/mrathjen</v>
      </c>
      <c r="I6297" s="2" t="s">
        <v>77</v>
      </c>
      <c r="J6297" s="2" t="s">
        <v>102</v>
      </c>
      <c r="K6297" s="2" t="s">
        <v>10209</v>
      </c>
    </row>
    <row r="6298" ht="15.75" customHeight="1">
      <c r="A6298" s="2">
        <v>31908.0</v>
      </c>
      <c r="B6298" s="2" t="s">
        <v>752</v>
      </c>
      <c r="C6298" s="2" t="s">
        <v>12249</v>
      </c>
      <c r="D6298" s="2"/>
      <c r="E6298" s="2" t="s">
        <v>136</v>
      </c>
      <c r="F6298" s="2">
        <v>2.0</v>
      </c>
      <c r="G6298" s="2">
        <v>500.0</v>
      </c>
      <c r="H6298" s="3" t="str">
        <f>HYPERLINK("http://www.linkedin.com/pub/jim-jaquet/0/502/48B","http://www.linkedin.com/pub/jim-jaquet/0/502/48B")</f>
        <v>http://www.linkedin.com/pub/jim-jaquet/0/502/48B</v>
      </c>
      <c r="I6298" s="2" t="s">
        <v>1496</v>
      </c>
      <c r="J6298" s="2" t="s">
        <v>102</v>
      </c>
      <c r="K6298" s="2" t="s">
        <v>10209</v>
      </c>
    </row>
    <row r="6299" ht="15.75" customHeight="1">
      <c r="A6299" s="2">
        <v>32000.0</v>
      </c>
      <c r="B6299" s="2" t="s">
        <v>12250</v>
      </c>
      <c r="C6299" s="2" t="s">
        <v>12251</v>
      </c>
      <c r="D6299" s="2" t="s">
        <v>13</v>
      </c>
      <c r="E6299" s="2" t="s">
        <v>136</v>
      </c>
      <c r="F6299" s="2">
        <v>0.0</v>
      </c>
      <c r="G6299" s="2">
        <v>369.0</v>
      </c>
      <c r="H6299" s="3" t="str">
        <f>HYPERLINK("http://www.linkedin.com/in/koljareiss","http://www.linkedin.com/in/koljareiss")</f>
        <v>http://www.linkedin.com/in/koljareiss</v>
      </c>
      <c r="I6299" s="2" t="s">
        <v>77</v>
      </c>
      <c r="J6299" s="2" t="s">
        <v>102</v>
      </c>
      <c r="K6299" s="2" t="s">
        <v>10245</v>
      </c>
    </row>
    <row r="6300" ht="15.75" customHeight="1">
      <c r="A6300" s="2">
        <v>32020.0</v>
      </c>
      <c r="B6300" s="2" t="s">
        <v>12252</v>
      </c>
      <c r="C6300" s="2" t="s">
        <v>12253</v>
      </c>
      <c r="D6300" s="2" t="s">
        <v>12254</v>
      </c>
      <c r="E6300" s="2" t="s">
        <v>914</v>
      </c>
      <c r="F6300" s="2">
        <v>2.0</v>
      </c>
      <c r="G6300" s="2">
        <v>500.0</v>
      </c>
      <c r="H6300" s="3" t="str">
        <f>HYPERLINK("http://www.linkedin.com/pub/shakil-haroon/1/953/B42","http://www.linkedin.com/pub/shakil-haroon/1/953/B42")</f>
        <v>http://www.linkedin.com/pub/shakil-haroon/1/953/B42</v>
      </c>
      <c r="I6300" s="2" t="s">
        <v>69</v>
      </c>
      <c r="J6300" s="2" t="s">
        <v>102</v>
      </c>
      <c r="K6300" s="2" t="s">
        <v>10176</v>
      </c>
    </row>
    <row r="6301" ht="15.75" customHeight="1">
      <c r="A6301" s="2">
        <v>32117.0</v>
      </c>
      <c r="B6301" s="2" t="s">
        <v>12255</v>
      </c>
      <c r="C6301" s="2" t="s">
        <v>12256</v>
      </c>
      <c r="D6301" s="2"/>
      <c r="E6301" s="2" t="s">
        <v>136</v>
      </c>
      <c r="F6301" s="2">
        <v>4.0</v>
      </c>
      <c r="G6301" s="2">
        <v>500.0</v>
      </c>
      <c r="H6301" s="3" t="str">
        <f>HYPERLINK("http://www.linkedin.com/pub/tila-enser/0/11B/111","http://www.linkedin.com/pub/tila-enser/0/11B/111")</f>
        <v>http://www.linkedin.com/pub/tila-enser/0/11B/111</v>
      </c>
      <c r="I6301" s="2" t="s">
        <v>48</v>
      </c>
      <c r="J6301" s="2" t="s">
        <v>102</v>
      </c>
      <c r="K6301" s="2" t="s">
        <v>10184</v>
      </c>
    </row>
    <row r="6302" ht="15.75" customHeight="1">
      <c r="A6302" s="2">
        <v>32134.0</v>
      </c>
      <c r="B6302" s="2" t="s">
        <v>8597</v>
      </c>
      <c r="C6302" s="2" t="s">
        <v>12257</v>
      </c>
      <c r="D6302" s="2" t="s">
        <v>12258</v>
      </c>
      <c r="E6302" s="2" t="s">
        <v>301</v>
      </c>
      <c r="F6302" s="2">
        <v>9.0</v>
      </c>
      <c r="G6302" s="2">
        <v>500.0</v>
      </c>
      <c r="H6302" s="3" t="str">
        <f>HYPERLINK("http://www.linkedin.com/in/fmemoria","http://www.linkedin.com/in/fmemoria")</f>
        <v>http://www.linkedin.com/in/fmemoria</v>
      </c>
      <c r="I6302" s="2" t="s">
        <v>105</v>
      </c>
      <c r="J6302" s="2" t="s">
        <v>102</v>
      </c>
      <c r="K6302" s="2" t="s">
        <v>10206</v>
      </c>
    </row>
    <row r="6303" ht="15.75" customHeight="1">
      <c r="A6303" s="2">
        <v>32210.0</v>
      </c>
      <c r="B6303" s="2" t="s">
        <v>414</v>
      </c>
      <c r="C6303" s="2" t="s">
        <v>10818</v>
      </c>
      <c r="D6303" s="2" t="s">
        <v>12259</v>
      </c>
      <c r="E6303" s="2" t="s">
        <v>101</v>
      </c>
      <c r="F6303" s="2">
        <v>16.0</v>
      </c>
      <c r="G6303" s="2">
        <v>500.0</v>
      </c>
      <c r="H6303" s="3" t="str">
        <f>HYPERLINK("http://www.linkedin.com/in/tomdaly","http://www.linkedin.com/in/tomdaly")</f>
        <v>http://www.linkedin.com/in/tomdaly</v>
      </c>
      <c r="I6303" s="2" t="s">
        <v>470</v>
      </c>
      <c r="J6303" s="2" t="s">
        <v>102</v>
      </c>
      <c r="K6303" s="2" t="s">
        <v>10206</v>
      </c>
    </row>
    <row r="6304" ht="15.75" customHeight="1">
      <c r="A6304" s="2">
        <v>32223.0</v>
      </c>
      <c r="B6304" s="2" t="s">
        <v>358</v>
      </c>
      <c r="C6304" s="2" t="s">
        <v>12260</v>
      </c>
      <c r="D6304" s="2" t="s">
        <v>12261</v>
      </c>
      <c r="E6304" s="2" t="s">
        <v>136</v>
      </c>
      <c r="F6304" s="2">
        <v>4.0</v>
      </c>
      <c r="G6304" s="2">
        <v>356.0</v>
      </c>
      <c r="H6304" s="3" t="str">
        <f>HYPERLINK("http://www.linkedin.com/in/marcelovba","http://www.linkedin.com/in/marcelovba")</f>
        <v>http://www.linkedin.com/in/marcelovba</v>
      </c>
      <c r="I6304" s="2" t="s">
        <v>15</v>
      </c>
      <c r="J6304" s="2" t="s">
        <v>102</v>
      </c>
      <c r="K6304" s="2" t="s">
        <v>10184</v>
      </c>
    </row>
    <row r="6305" ht="15.75" customHeight="1">
      <c r="A6305" s="2">
        <v>32241.0</v>
      </c>
      <c r="B6305" s="2" t="s">
        <v>10450</v>
      </c>
      <c r="C6305" s="2" t="s">
        <v>12262</v>
      </c>
      <c r="D6305" s="2" t="s">
        <v>400</v>
      </c>
      <c r="E6305" s="2" t="s">
        <v>728</v>
      </c>
      <c r="F6305" s="2" t="s">
        <v>13</v>
      </c>
      <c r="G6305" s="2">
        <v>476.0</v>
      </c>
      <c r="H6305" s="3" t="str">
        <f>HYPERLINK("http://www.linkedin.com/pub/bryan-sorge/5/35A/A26","http://www.linkedin.com/pub/bryan-sorge/5/35A/A26")</f>
        <v>http://www.linkedin.com/pub/bryan-sorge/5/35A/A26</v>
      </c>
      <c r="I6305" s="2" t="s">
        <v>1094</v>
      </c>
      <c r="J6305" s="2" t="s">
        <v>102</v>
      </c>
      <c r="K6305" s="2" t="s">
        <v>12263</v>
      </c>
    </row>
    <row r="6306" ht="15.75" customHeight="1">
      <c r="A6306" s="2">
        <v>32310.0</v>
      </c>
      <c r="B6306" s="2" t="s">
        <v>12188</v>
      </c>
      <c r="C6306" s="2" t="s">
        <v>12264</v>
      </c>
      <c r="D6306" s="2"/>
      <c r="E6306" s="2" t="s">
        <v>301</v>
      </c>
      <c r="F6306" s="2">
        <v>13.0</v>
      </c>
      <c r="G6306" s="2">
        <v>500.0</v>
      </c>
      <c r="H6306" s="3" t="str">
        <f>HYPERLINK("http://www.linkedin.com/pub/allison-hickey/1/154/21","http://www.linkedin.com/pub/allison-hickey/1/154/21")</f>
        <v>http://www.linkedin.com/pub/allison-hickey/1/154/21</v>
      </c>
      <c r="I6306" s="2" t="s">
        <v>326</v>
      </c>
      <c r="J6306" s="2" t="s">
        <v>102</v>
      </c>
      <c r="K6306" s="2" t="s">
        <v>10206</v>
      </c>
    </row>
    <row r="6307" ht="15.75" customHeight="1">
      <c r="A6307" s="2">
        <v>32316.0</v>
      </c>
      <c r="B6307" s="2" t="s">
        <v>12265</v>
      </c>
      <c r="C6307" s="2" t="s">
        <v>12266</v>
      </c>
      <c r="D6307" s="2"/>
      <c r="E6307" s="2" t="s">
        <v>12267</v>
      </c>
      <c r="F6307" s="2">
        <v>6.0</v>
      </c>
      <c r="G6307" s="2">
        <v>500.0</v>
      </c>
      <c r="H6307" s="3" t="str">
        <f>HYPERLINK("http://www.linkedin.com/in/buckdossey","http://www.linkedin.com/in/buckdossey")</f>
        <v>http://www.linkedin.com/in/buckdossey</v>
      </c>
      <c r="I6307" s="2" t="s">
        <v>105</v>
      </c>
      <c r="J6307" s="2" t="s">
        <v>102</v>
      </c>
      <c r="K6307" s="2" t="s">
        <v>10206</v>
      </c>
    </row>
    <row r="6308" ht="15.75" customHeight="1">
      <c r="A6308" s="2">
        <v>32318.0</v>
      </c>
      <c r="B6308" s="2" t="s">
        <v>534</v>
      </c>
      <c r="C6308" s="2" t="s">
        <v>12268</v>
      </c>
      <c r="D6308" s="2" t="s">
        <v>12269</v>
      </c>
      <c r="E6308" s="2" t="s">
        <v>301</v>
      </c>
      <c r="F6308" s="2">
        <v>7.0</v>
      </c>
      <c r="G6308" s="2">
        <v>500.0</v>
      </c>
      <c r="H6308" s="3" t="str">
        <f>HYPERLINK("http://www.linkedin.com/pub/matthew-schulte/0/612/A45","http://www.linkedin.com/pub/matthew-schulte/0/612/A45")</f>
        <v>http://www.linkedin.com/pub/matthew-schulte/0/612/A45</v>
      </c>
      <c r="I6308" s="2" t="s">
        <v>560</v>
      </c>
      <c r="J6308" s="2" t="s">
        <v>102</v>
      </c>
      <c r="K6308" s="2" t="s">
        <v>10206</v>
      </c>
    </row>
    <row r="6309" ht="15.75" customHeight="1">
      <c r="A6309" s="2">
        <v>32319.0</v>
      </c>
      <c r="B6309" s="2" t="s">
        <v>133</v>
      </c>
      <c r="C6309" s="2" t="s">
        <v>12270</v>
      </c>
      <c r="D6309" s="2"/>
      <c r="E6309" s="2" t="s">
        <v>301</v>
      </c>
      <c r="F6309" s="2">
        <v>6.0</v>
      </c>
      <c r="G6309" s="2">
        <v>500.0</v>
      </c>
      <c r="H6309" s="3" t="str">
        <f>HYPERLINK("http://www.linkedin.com/pub/michael-saperstein/2/523/787","http://www.linkedin.com/pub/michael-saperstein/2/523/787")</f>
        <v>http://www.linkedin.com/pub/michael-saperstein/2/523/787</v>
      </c>
      <c r="I6309" s="2" t="s">
        <v>326</v>
      </c>
      <c r="J6309" s="2" t="s">
        <v>102</v>
      </c>
      <c r="K6309" s="2" t="s">
        <v>10206</v>
      </c>
    </row>
    <row r="6310" ht="15.75" customHeight="1">
      <c r="A6310" s="2">
        <v>32320.0</v>
      </c>
      <c r="B6310" s="2" t="s">
        <v>12271</v>
      </c>
      <c r="C6310" s="2" t="s">
        <v>12272</v>
      </c>
      <c r="D6310" s="2" t="s">
        <v>12273</v>
      </c>
      <c r="E6310" s="2" t="s">
        <v>301</v>
      </c>
      <c r="F6310" s="2">
        <v>11.0</v>
      </c>
      <c r="G6310" s="2">
        <v>500.0</v>
      </c>
      <c r="H6310" s="3" t="str">
        <f>HYPERLINK("http://www.linkedin.com/in/nadavgeft","http://www.linkedin.com/in/nadavgeft")</f>
        <v>http://www.linkedin.com/in/nadavgeft</v>
      </c>
      <c r="I6310" s="2" t="s">
        <v>69</v>
      </c>
      <c r="J6310" s="2" t="s">
        <v>102</v>
      </c>
      <c r="K6310" s="2" t="s">
        <v>10245</v>
      </c>
    </row>
    <row r="6311" ht="15.75" customHeight="1">
      <c r="A6311" s="2">
        <v>32323.0</v>
      </c>
      <c r="B6311" s="2" t="s">
        <v>1593</v>
      </c>
      <c r="C6311" s="2" t="s">
        <v>12274</v>
      </c>
      <c r="D6311" s="2"/>
      <c r="E6311" s="2" t="s">
        <v>2058</v>
      </c>
      <c r="F6311" s="2">
        <v>5.0</v>
      </c>
      <c r="G6311" s="2">
        <v>500.0</v>
      </c>
      <c r="H6311" s="3" t="str">
        <f>HYPERLINK("http://www.linkedin.com/pub/adam-felenstein/1/5B/524","http://www.linkedin.com/pub/adam-felenstein/1/5B/524")</f>
        <v>http://www.linkedin.com/pub/adam-felenstein/1/5B/524</v>
      </c>
      <c r="I6311" s="2" t="s">
        <v>105</v>
      </c>
      <c r="J6311" s="2" t="s">
        <v>102</v>
      </c>
      <c r="K6311" s="2" t="s">
        <v>10209</v>
      </c>
    </row>
    <row r="6312" ht="15.75" customHeight="1">
      <c r="A6312" s="2">
        <v>32328.0</v>
      </c>
      <c r="B6312" s="2" t="s">
        <v>12275</v>
      </c>
      <c r="C6312" s="2" t="s">
        <v>12276</v>
      </c>
      <c r="D6312" s="2" t="s">
        <v>12277</v>
      </c>
      <c r="E6312" s="2" t="s">
        <v>155</v>
      </c>
      <c r="F6312" s="2">
        <v>17.0</v>
      </c>
      <c r="G6312" s="2">
        <v>484.0</v>
      </c>
      <c r="H6312" s="3" t="str">
        <f>HYPERLINK("http://www.linkedin.com/in/terifoley","http://www.linkedin.com/in/terifoley")</f>
        <v>http://www.linkedin.com/in/terifoley</v>
      </c>
      <c r="I6312" s="2" t="s">
        <v>2000</v>
      </c>
      <c r="J6312" s="2" t="s">
        <v>102</v>
      </c>
      <c r="K6312" s="2" t="s">
        <v>10206</v>
      </c>
    </row>
    <row r="6313" ht="15.75" customHeight="1">
      <c r="A6313" s="2">
        <v>32329.0</v>
      </c>
      <c r="B6313" s="2" t="s">
        <v>2153</v>
      </c>
      <c r="C6313" s="2" t="s">
        <v>399</v>
      </c>
      <c r="D6313" s="2"/>
      <c r="E6313" s="2" t="s">
        <v>181</v>
      </c>
      <c r="F6313" s="2">
        <v>6.0</v>
      </c>
      <c r="G6313" s="2">
        <v>500.0</v>
      </c>
      <c r="H6313" s="3" t="str">
        <f>HYPERLINK("http://www.linkedin.com/pub/nick-johnson/0/280/A89","http://www.linkedin.com/pub/nick-johnson/0/280/A89")</f>
        <v>http://www.linkedin.com/pub/nick-johnson/0/280/A89</v>
      </c>
      <c r="I6313" s="2" t="s">
        <v>69</v>
      </c>
      <c r="J6313" s="2" t="s">
        <v>102</v>
      </c>
      <c r="K6313" s="2" t="s">
        <v>10176</v>
      </c>
    </row>
    <row r="6314" ht="15.75" customHeight="1">
      <c r="A6314" s="2">
        <v>32331.0</v>
      </c>
      <c r="B6314" s="2" t="s">
        <v>2166</v>
      </c>
      <c r="C6314" s="2" t="s">
        <v>1364</v>
      </c>
      <c r="D6314" s="2" t="s">
        <v>12278</v>
      </c>
      <c r="E6314" s="2" t="s">
        <v>181</v>
      </c>
      <c r="F6314" s="2">
        <v>0.0</v>
      </c>
      <c r="G6314" s="2">
        <v>500.0</v>
      </c>
      <c r="H6314" s="3" t="str">
        <f>HYPERLINK("http://www.linkedin.com/in/loralesage","http://www.linkedin.com/in/loralesage")</f>
        <v>http://www.linkedin.com/in/loralesage</v>
      </c>
      <c r="I6314" s="2" t="s">
        <v>910</v>
      </c>
      <c r="J6314" s="2" t="s">
        <v>102</v>
      </c>
      <c r="K6314" s="2" t="s">
        <v>12279</v>
      </c>
    </row>
    <row r="6315" ht="15.75" customHeight="1">
      <c r="A6315" s="2">
        <v>32332.0</v>
      </c>
      <c r="B6315" s="2" t="s">
        <v>3385</v>
      </c>
      <c r="C6315" s="2" t="s">
        <v>1934</v>
      </c>
      <c r="D6315" s="2" t="s">
        <v>12280</v>
      </c>
      <c r="E6315" s="2" t="s">
        <v>155</v>
      </c>
      <c r="F6315" s="2">
        <v>4.0</v>
      </c>
      <c r="G6315" s="2">
        <v>500.0</v>
      </c>
      <c r="H6315" s="3" t="str">
        <f>HYPERLINK("http://www.linkedin.com/pub/carrie-kelly/0/8A2/435","http://www.linkedin.com/pub/carrie-kelly/0/8A2/435")</f>
        <v>http://www.linkedin.com/pub/carrie-kelly/0/8A2/435</v>
      </c>
      <c r="I6315" s="2" t="s">
        <v>326</v>
      </c>
      <c r="J6315" s="2" t="s">
        <v>102</v>
      </c>
      <c r="K6315" s="2" t="s">
        <v>10206</v>
      </c>
    </row>
    <row r="6316" ht="15.75" customHeight="1">
      <c r="A6316" s="2">
        <v>32333.0</v>
      </c>
      <c r="B6316" s="2" t="s">
        <v>11149</v>
      </c>
      <c r="C6316" s="2" t="s">
        <v>12281</v>
      </c>
      <c r="D6316" s="2" t="s">
        <v>12282</v>
      </c>
      <c r="E6316" s="2" t="s">
        <v>1407</v>
      </c>
      <c r="F6316" s="2">
        <v>1.0</v>
      </c>
      <c r="G6316" s="2">
        <v>470.0</v>
      </c>
      <c r="H6316" s="3" t="str">
        <f>HYPERLINK("http://www.linkedin.com/in/brettmedellin","http://www.linkedin.com/in/brettmedellin")</f>
        <v>http://www.linkedin.com/in/brettmedellin</v>
      </c>
      <c r="I6316" s="2" t="s">
        <v>105</v>
      </c>
      <c r="J6316" s="2" t="s">
        <v>102</v>
      </c>
      <c r="K6316" s="2" t="s">
        <v>10209</v>
      </c>
    </row>
    <row r="6317" ht="15.75" customHeight="1">
      <c r="A6317" s="2">
        <v>32462.0</v>
      </c>
      <c r="B6317" s="2" t="s">
        <v>12283</v>
      </c>
      <c r="C6317" s="2" t="s">
        <v>12284</v>
      </c>
      <c r="D6317" s="2" t="s">
        <v>12285</v>
      </c>
      <c r="E6317" s="2" t="s">
        <v>713</v>
      </c>
      <c r="F6317" s="2">
        <v>8.0</v>
      </c>
      <c r="G6317" s="2">
        <v>500.0</v>
      </c>
      <c r="H6317" s="3" t="str">
        <f>HYPERLINK("http://www.linkedin.com/in/tunctanin","http://www.linkedin.com/in/tunctanin")</f>
        <v>http://www.linkedin.com/in/tunctanin</v>
      </c>
      <c r="I6317" s="2" t="s">
        <v>279</v>
      </c>
      <c r="J6317" s="2" t="s">
        <v>102</v>
      </c>
      <c r="K6317" s="2" t="s">
        <v>10187</v>
      </c>
    </row>
    <row r="6318" ht="15.75" customHeight="1">
      <c r="A6318" s="2">
        <v>32553.0</v>
      </c>
      <c r="B6318" s="2" t="s">
        <v>8765</v>
      </c>
      <c r="C6318" s="2" t="s">
        <v>6122</v>
      </c>
      <c r="D6318" s="2"/>
      <c r="E6318" s="2" t="s">
        <v>1190</v>
      </c>
      <c r="F6318" s="2">
        <v>0.0</v>
      </c>
      <c r="G6318" s="2">
        <v>454.0</v>
      </c>
      <c r="H6318" s="3" t="str">
        <f>HYPERLINK("http://www.linkedin.com/pub/vicente-ramirez/0/155/55","http://www.linkedin.com/pub/vicente-ramirez/0/155/55")</f>
        <v>http://www.linkedin.com/pub/vicente-ramirez/0/155/55</v>
      </c>
      <c r="I6318" s="2" t="s">
        <v>77</v>
      </c>
      <c r="J6318" s="2" t="s">
        <v>102</v>
      </c>
      <c r="K6318" s="2" t="s">
        <v>10229</v>
      </c>
    </row>
    <row r="6319" ht="15.75" customHeight="1">
      <c r="A6319" s="2">
        <v>32563.0</v>
      </c>
      <c r="B6319" s="2" t="s">
        <v>549</v>
      </c>
      <c r="C6319" s="2" t="s">
        <v>12286</v>
      </c>
      <c r="D6319" s="2" t="s">
        <v>12287</v>
      </c>
      <c r="E6319" s="2" t="s">
        <v>1407</v>
      </c>
      <c r="F6319" s="2">
        <v>6.0</v>
      </c>
      <c r="G6319" s="2">
        <v>419.0</v>
      </c>
      <c r="H6319" s="3" t="str">
        <f>HYPERLINK("http://www.linkedin.com/pub/mario-venta/0/B0/749","http://www.linkedin.com/pub/mario-venta/0/B0/749")</f>
        <v>http://www.linkedin.com/pub/mario-venta/0/B0/749</v>
      </c>
      <c r="I6319" s="2" t="s">
        <v>77</v>
      </c>
      <c r="J6319" s="2" t="s">
        <v>102</v>
      </c>
      <c r="K6319" s="2" t="s">
        <v>12288</v>
      </c>
    </row>
    <row r="6320" ht="15.75" customHeight="1">
      <c r="A6320" s="2">
        <v>32569.0</v>
      </c>
      <c r="B6320" s="2" t="s">
        <v>2021</v>
      </c>
      <c r="C6320" s="2" t="s">
        <v>12289</v>
      </c>
      <c r="D6320" s="2" t="s">
        <v>12290</v>
      </c>
      <c r="E6320" s="2" t="s">
        <v>1041</v>
      </c>
      <c r="F6320" s="2">
        <v>3.0</v>
      </c>
      <c r="G6320" s="2">
        <v>246.0</v>
      </c>
      <c r="H6320" s="3" t="str">
        <f>HYPERLINK("http://www.linkedin.com/pub/bailey-allard/0/315/130","http://www.linkedin.com/pub/bailey-allard/0/315/130")</f>
        <v>http://www.linkedin.com/pub/bailey-allard/0/315/130</v>
      </c>
      <c r="I6320" s="2" t="s">
        <v>1390</v>
      </c>
      <c r="J6320" s="2" t="s">
        <v>102</v>
      </c>
      <c r="K6320" s="2" t="s">
        <v>10206</v>
      </c>
    </row>
    <row r="6321" ht="15.75" customHeight="1">
      <c r="A6321" s="2">
        <v>32584.0</v>
      </c>
      <c r="B6321" s="2" t="s">
        <v>12291</v>
      </c>
      <c r="C6321" s="2" t="s">
        <v>3917</v>
      </c>
      <c r="D6321" s="2" t="s">
        <v>6369</v>
      </c>
      <c r="E6321" s="2" t="s">
        <v>301</v>
      </c>
      <c r="F6321" s="2">
        <v>8.0</v>
      </c>
      <c r="G6321" s="2">
        <v>500.0</v>
      </c>
      <c r="H6321" s="3" t="str">
        <f>HYPERLINK("http://www.linkedin.com/in/morsela","http://www.linkedin.com/in/morsela")</f>
        <v>http://www.linkedin.com/in/morsela</v>
      </c>
      <c r="I6321" s="2" t="s">
        <v>15</v>
      </c>
      <c r="J6321" s="2" t="s">
        <v>102</v>
      </c>
      <c r="K6321" s="2" t="s">
        <v>10286</v>
      </c>
    </row>
    <row r="6322" ht="15.75" customHeight="1">
      <c r="A6322" s="2">
        <v>32585.0</v>
      </c>
      <c r="B6322" s="2" t="s">
        <v>12292</v>
      </c>
      <c r="C6322" s="2" t="s">
        <v>12293</v>
      </c>
      <c r="D6322" s="2" t="s">
        <v>400</v>
      </c>
      <c r="E6322" s="2" t="s">
        <v>713</v>
      </c>
      <c r="F6322" s="2">
        <v>1.0</v>
      </c>
      <c r="G6322" s="2">
        <v>500.0</v>
      </c>
      <c r="H6322" s="3" t="str">
        <f>HYPERLINK("http://www.linkedin.com/in/ilanreiter","http://www.linkedin.com/in/ilanreiter")</f>
        <v>http://www.linkedin.com/in/ilanreiter</v>
      </c>
      <c r="I6322" s="2" t="s">
        <v>1496</v>
      </c>
      <c r="J6322" s="2" t="s">
        <v>102</v>
      </c>
      <c r="K6322" s="2" t="s">
        <v>10572</v>
      </c>
    </row>
    <row r="6323" ht="15.75" customHeight="1">
      <c r="A6323" s="2">
        <v>32590.0</v>
      </c>
      <c r="B6323" s="2" t="s">
        <v>45</v>
      </c>
      <c r="C6323" s="2" t="s">
        <v>5997</v>
      </c>
      <c r="D6323" s="2" t="s">
        <v>444</v>
      </c>
      <c r="E6323" s="2" t="s">
        <v>325</v>
      </c>
      <c r="F6323" s="2">
        <v>8.0</v>
      </c>
      <c r="G6323" s="2">
        <v>416.0</v>
      </c>
      <c r="H6323" s="3" t="str">
        <f>HYPERLINK("http://www.linkedin.com/pub/carlos-arias/0/A41/678","http://www.linkedin.com/pub/carlos-arias/0/A41/678")</f>
        <v>http://www.linkedin.com/pub/carlos-arias/0/A41/678</v>
      </c>
      <c r="I6323" s="2" t="s">
        <v>77</v>
      </c>
      <c r="J6323" s="2" t="s">
        <v>102</v>
      </c>
      <c r="K6323" s="2" t="s">
        <v>10384</v>
      </c>
    </row>
    <row r="6324" ht="15.75" customHeight="1">
      <c r="A6324" s="2">
        <v>32595.0</v>
      </c>
      <c r="B6324" s="2" t="s">
        <v>2773</v>
      </c>
      <c r="C6324" s="2" t="s">
        <v>12294</v>
      </c>
      <c r="D6324" s="2" t="s">
        <v>12295</v>
      </c>
      <c r="E6324" s="2" t="s">
        <v>1407</v>
      </c>
      <c r="F6324" s="2">
        <v>1.0</v>
      </c>
      <c r="G6324" s="2">
        <v>137.0</v>
      </c>
      <c r="H6324" s="3" t="str">
        <f>HYPERLINK("http://www.linkedin.com/pub/jose-roberto-morgero-gon%C3%A7alves/0/409/401","http://www.linkedin.com/pub/jose-roberto-morgero-gon%C3%A7alves/0/409/401")</f>
        <v>http://www.linkedin.com/pub/jose-roberto-morgero-gon%C3%A7alves/0/409/401</v>
      </c>
      <c r="I6324" s="2" t="s">
        <v>77</v>
      </c>
      <c r="J6324" s="2" t="s">
        <v>102</v>
      </c>
      <c r="K6324" s="2" t="s">
        <v>10229</v>
      </c>
    </row>
    <row r="6325" ht="15.75" customHeight="1">
      <c r="A6325" s="2">
        <v>32603.0</v>
      </c>
      <c r="B6325" s="2" t="s">
        <v>1510</v>
      </c>
      <c r="C6325" s="2" t="s">
        <v>12296</v>
      </c>
      <c r="D6325" s="2"/>
      <c r="E6325" s="2" t="s">
        <v>762</v>
      </c>
      <c r="F6325" s="2">
        <v>0.0</v>
      </c>
      <c r="G6325" s="2">
        <v>166.0</v>
      </c>
      <c r="H6325" s="3" t="str">
        <f>HYPERLINK("http://www.linkedin.com/pub/luke-downs/0/157/8A3","http://www.linkedin.com/pub/luke-downs/0/157/8A3")</f>
        <v>http://www.linkedin.com/pub/luke-downs/0/157/8A3</v>
      </c>
      <c r="I6325" s="2" t="s">
        <v>77</v>
      </c>
      <c r="J6325" s="2" t="s">
        <v>102</v>
      </c>
      <c r="K6325" s="2" t="s">
        <v>10187</v>
      </c>
    </row>
    <row r="6326" ht="15.75" customHeight="1">
      <c r="A6326" s="2">
        <v>32629.0</v>
      </c>
      <c r="B6326" s="2" t="s">
        <v>358</v>
      </c>
      <c r="C6326" s="2" t="s">
        <v>12297</v>
      </c>
      <c r="D6326" s="2" t="s">
        <v>12298</v>
      </c>
      <c r="E6326" s="2" t="s">
        <v>301</v>
      </c>
      <c r="F6326" s="2">
        <v>6.0</v>
      </c>
      <c r="G6326" s="2">
        <v>500.0</v>
      </c>
      <c r="H6326" s="3" t="str">
        <f>HYPERLINK("http://www.linkedin.com/in/mloureiro0906","http://www.linkedin.com/in/mloureiro0906")</f>
        <v>http://www.linkedin.com/in/mloureiro0906</v>
      </c>
      <c r="I6326" s="2" t="s">
        <v>374</v>
      </c>
      <c r="J6326" s="2" t="s">
        <v>102</v>
      </c>
      <c r="K6326" s="2" t="s">
        <v>10206</v>
      </c>
    </row>
    <row r="6327" ht="15.75" customHeight="1">
      <c r="A6327" s="2">
        <v>32690.0</v>
      </c>
      <c r="B6327" s="2" t="s">
        <v>5808</v>
      </c>
      <c r="C6327" s="2" t="s">
        <v>12299</v>
      </c>
      <c r="D6327" s="2" t="s">
        <v>12300</v>
      </c>
      <c r="E6327" s="2" t="s">
        <v>20</v>
      </c>
      <c r="F6327" s="2">
        <v>6.0</v>
      </c>
      <c r="G6327" s="2">
        <v>204.0</v>
      </c>
      <c r="H6327" s="3" t="str">
        <f>HYPERLINK("http://ar.linkedin.com/pub/matias-salmeri/29/222/129","http://ar.linkedin.com/pub/matias-salmeri/29/222/129")</f>
        <v>http://ar.linkedin.com/pub/matias-salmeri/29/222/129</v>
      </c>
      <c r="I6327" s="2" t="s">
        <v>15</v>
      </c>
      <c r="J6327" s="2" t="s">
        <v>21</v>
      </c>
      <c r="K6327" s="2" t="s">
        <v>10196</v>
      </c>
    </row>
    <row r="6328" ht="15.75" customHeight="1">
      <c r="A6328" s="2">
        <v>32711.0</v>
      </c>
      <c r="B6328" s="2" t="s">
        <v>5803</v>
      </c>
      <c r="C6328" s="2" t="s">
        <v>12301</v>
      </c>
      <c r="D6328" s="2" t="s">
        <v>13</v>
      </c>
      <c r="E6328" s="2" t="s">
        <v>20</v>
      </c>
      <c r="F6328" s="2">
        <v>0.0</v>
      </c>
      <c r="G6328" s="2">
        <v>135.0</v>
      </c>
      <c r="H6328" s="3" t="str">
        <f>HYPERLINK("http://www.linkedin.com/pub/mariano-due%C3%B1az/12/368/66a","http://www.linkedin.com/pub/mariano-due%C3%B1az/12/368/66a")</f>
        <v>http://www.linkedin.com/pub/mariano-due%C3%B1az/12/368/66a</v>
      </c>
      <c r="I6328" s="2" t="s">
        <v>156</v>
      </c>
      <c r="J6328" s="2" t="s">
        <v>21</v>
      </c>
      <c r="K6328" s="2" t="s">
        <v>10184</v>
      </c>
    </row>
    <row r="6329" ht="15.75" customHeight="1">
      <c r="A6329" s="2">
        <v>32744.0</v>
      </c>
      <c r="B6329" s="2" t="s">
        <v>5763</v>
      </c>
      <c r="C6329" s="2" t="s">
        <v>12008</v>
      </c>
      <c r="D6329" s="2" t="s">
        <v>12302</v>
      </c>
      <c r="E6329" s="2" t="s">
        <v>20</v>
      </c>
      <c r="F6329" s="2" t="s">
        <v>13</v>
      </c>
      <c r="G6329" s="2">
        <v>161.0</v>
      </c>
      <c r="H6329" s="3" t="str">
        <f>HYPERLINK("http://ar.linkedin.com/pub/ezequiel-rizzo/28/53B/9A9","http://ar.linkedin.com/pub/ezequiel-rizzo/28/53B/9A9")</f>
        <v>http://ar.linkedin.com/pub/ezequiel-rizzo/28/53B/9A9</v>
      </c>
      <c r="I6329" s="2" t="s">
        <v>15</v>
      </c>
      <c r="J6329" s="2" t="s">
        <v>21</v>
      </c>
      <c r="K6329" s="2" t="s">
        <v>10173</v>
      </c>
    </row>
    <row r="6330" ht="15.75" customHeight="1">
      <c r="A6330" s="2">
        <v>32757.0</v>
      </c>
      <c r="B6330" s="2" t="s">
        <v>6930</v>
      </c>
      <c r="C6330" s="2" t="s">
        <v>12303</v>
      </c>
      <c r="D6330" s="2" t="s">
        <v>13</v>
      </c>
      <c r="E6330" s="2" t="s">
        <v>20</v>
      </c>
      <c r="F6330" s="2">
        <v>0.0</v>
      </c>
      <c r="G6330" s="2">
        <v>500.0</v>
      </c>
      <c r="H6330" s="3" t="str">
        <f>HYPERLINK("http://www.linkedin.com/pub/dario-stawski/4/314/321","http://www.linkedin.com/pub/dario-stawski/4/314/321")</f>
        <v>http://www.linkedin.com/pub/dario-stawski/4/314/321</v>
      </c>
      <c r="I6330" s="2" t="s">
        <v>1698</v>
      </c>
      <c r="J6330" s="2" t="s">
        <v>21</v>
      </c>
      <c r="K6330" s="2" t="s">
        <v>10184</v>
      </c>
    </row>
    <row r="6331" ht="15.75" customHeight="1">
      <c r="A6331" s="2">
        <v>32758.0</v>
      </c>
      <c r="B6331" s="2" t="s">
        <v>358</v>
      </c>
      <c r="C6331" s="2" t="s">
        <v>12304</v>
      </c>
      <c r="D6331" s="2" t="s">
        <v>380</v>
      </c>
      <c r="E6331" s="2" t="s">
        <v>20</v>
      </c>
      <c r="F6331" s="2">
        <v>0.0</v>
      </c>
      <c r="G6331" s="2">
        <v>500.0</v>
      </c>
      <c r="H6331" s="3" t="str">
        <f>HYPERLINK("http://ar.linkedin.com/pub/marcelo-simonian/4/189/956","http://ar.linkedin.com/pub/marcelo-simonian/4/189/956")</f>
        <v>http://ar.linkedin.com/pub/marcelo-simonian/4/189/956</v>
      </c>
      <c r="I6331" s="2" t="s">
        <v>910</v>
      </c>
      <c r="J6331" s="2" t="s">
        <v>21</v>
      </c>
      <c r="K6331" s="2" t="s">
        <v>10482</v>
      </c>
    </row>
    <row r="6332" ht="15.75" customHeight="1">
      <c r="A6332" s="2">
        <v>32787.0</v>
      </c>
      <c r="B6332" s="2" t="s">
        <v>3165</v>
      </c>
      <c r="C6332" s="2" t="s">
        <v>8259</v>
      </c>
      <c r="D6332" s="2" t="s">
        <v>12305</v>
      </c>
      <c r="E6332" s="2" t="s">
        <v>20</v>
      </c>
      <c r="F6332" s="2" t="s">
        <v>13</v>
      </c>
      <c r="G6332" s="2">
        <v>152.0</v>
      </c>
      <c r="H6332" s="3" t="str">
        <f>HYPERLINK("http://ar.linkedin.com/pub/luciana-paez/23/596/560","http://ar.linkedin.com/pub/luciana-paez/23/596/560")</f>
        <v>http://ar.linkedin.com/pub/luciana-paez/23/596/560</v>
      </c>
      <c r="I6332" s="2" t="s">
        <v>599</v>
      </c>
      <c r="J6332" s="2" t="s">
        <v>21</v>
      </c>
      <c r="K6332" s="2" t="s">
        <v>10206</v>
      </c>
    </row>
    <row r="6333" ht="15.75" customHeight="1">
      <c r="A6333" s="2">
        <v>32870.0</v>
      </c>
      <c r="B6333" s="2" t="s">
        <v>759</v>
      </c>
      <c r="C6333" s="2" t="s">
        <v>12306</v>
      </c>
      <c r="D6333" s="2"/>
      <c r="E6333" s="2" t="s">
        <v>1190</v>
      </c>
      <c r="F6333" s="2">
        <v>1.0</v>
      </c>
      <c r="G6333" s="2">
        <v>16.0</v>
      </c>
      <c r="H6333" s="3" t="str">
        <f>HYPERLINK("http://www.linkedin.com/pub/barbara-reyes/0/855/31","http://www.linkedin.com/pub/barbara-reyes/0/855/31")</f>
        <v>http://www.linkedin.com/pub/barbara-reyes/0/855/31</v>
      </c>
      <c r="I6333" s="2" t="s">
        <v>15</v>
      </c>
      <c r="J6333" s="2" t="s">
        <v>102</v>
      </c>
      <c r="K6333" s="2" t="s">
        <v>10187</v>
      </c>
    </row>
    <row r="6334" ht="15.75" customHeight="1">
      <c r="A6334" s="2">
        <v>32927.0</v>
      </c>
      <c r="B6334" s="2" t="s">
        <v>6417</v>
      </c>
      <c r="C6334" s="2" t="s">
        <v>12307</v>
      </c>
      <c r="D6334" s="2" t="s">
        <v>13</v>
      </c>
      <c r="E6334" s="2" t="s">
        <v>20</v>
      </c>
      <c r="F6334" s="2">
        <v>0.0</v>
      </c>
      <c r="G6334" s="2">
        <v>349.0</v>
      </c>
      <c r="H6334" s="3" t="str">
        <f>HYPERLINK("http://www.linkedin.com/pub/gonzalo-manuppella/b/22a/10a","http://www.linkedin.com/pub/gonzalo-manuppella/b/22a/10a")</f>
        <v>http://www.linkedin.com/pub/gonzalo-manuppella/b/22a/10a</v>
      </c>
      <c r="I6334" s="2" t="s">
        <v>57</v>
      </c>
      <c r="J6334" s="2" t="s">
        <v>21</v>
      </c>
      <c r="K6334" s="2" t="s">
        <v>10180</v>
      </c>
    </row>
    <row r="6335" ht="15.75" customHeight="1">
      <c r="A6335" s="2">
        <v>32934.0</v>
      </c>
      <c r="B6335" s="2" t="s">
        <v>12308</v>
      </c>
      <c r="C6335" s="2" t="s">
        <v>8932</v>
      </c>
      <c r="D6335" s="2" t="s">
        <v>12309</v>
      </c>
      <c r="E6335" s="2" t="s">
        <v>20</v>
      </c>
      <c r="F6335" s="2">
        <v>7.0</v>
      </c>
      <c r="G6335" s="2">
        <v>500.0</v>
      </c>
      <c r="H6335" s="3" t="str">
        <f>HYPERLINK("http://ar.linkedin.com/pub/pedro-javier-acosta/21/519/689","http://ar.linkedin.com/pub/pedro-javier-acosta/21/519/689")</f>
        <v>http://ar.linkedin.com/pub/pedro-javier-acosta/21/519/689</v>
      </c>
      <c r="I6335" s="2" t="s">
        <v>15</v>
      </c>
      <c r="J6335" s="2" t="s">
        <v>21</v>
      </c>
      <c r="K6335" s="2" t="s">
        <v>10196</v>
      </c>
    </row>
    <row r="6336" ht="15.75" customHeight="1">
      <c r="A6336" s="2">
        <v>32940.0</v>
      </c>
      <c r="B6336" s="2" t="s">
        <v>531</v>
      </c>
      <c r="C6336" s="2" t="s">
        <v>12310</v>
      </c>
      <c r="D6336" s="2" t="s">
        <v>12311</v>
      </c>
      <c r="E6336" s="2" t="s">
        <v>20</v>
      </c>
      <c r="F6336" s="2">
        <v>16.0</v>
      </c>
      <c r="G6336" s="2">
        <v>341.0</v>
      </c>
      <c r="H6336" s="3" t="str">
        <f>HYPERLINK("http://ar.linkedin.com/in/rubenbarbieri","http://ar.linkedin.com/in/rubenbarbieri")</f>
        <v>http://ar.linkedin.com/in/rubenbarbieri</v>
      </c>
      <c r="I6336" s="2" t="s">
        <v>15</v>
      </c>
      <c r="J6336" s="2" t="s">
        <v>21</v>
      </c>
      <c r="K6336" s="2" t="s">
        <v>10196</v>
      </c>
    </row>
    <row r="6337" ht="15.75" customHeight="1">
      <c r="A6337" s="2">
        <v>32997.0</v>
      </c>
      <c r="B6337" s="2" t="s">
        <v>10748</v>
      </c>
      <c r="C6337" s="2" t="s">
        <v>3514</v>
      </c>
      <c r="D6337" s="2" t="s">
        <v>6129</v>
      </c>
      <c r="E6337" s="2" t="s">
        <v>20</v>
      </c>
      <c r="F6337" s="2">
        <v>2.0</v>
      </c>
      <c r="G6337" s="2">
        <v>244.0</v>
      </c>
      <c r="H6337" s="3" t="str">
        <f>HYPERLINK("http://ar.linkedin.com/pub/marsha-schlesinger/17/9AB/B50","http://ar.linkedin.com/pub/marsha-schlesinger/17/9AB/B50")</f>
        <v>http://ar.linkedin.com/pub/marsha-schlesinger/17/9AB/B50</v>
      </c>
      <c r="I6337" s="2" t="s">
        <v>69</v>
      </c>
      <c r="J6337" s="2" t="s">
        <v>21</v>
      </c>
      <c r="K6337" s="2" t="s">
        <v>10196</v>
      </c>
    </row>
    <row r="6338" ht="15.75" customHeight="1">
      <c r="A6338" s="2">
        <v>33031.0</v>
      </c>
      <c r="B6338" s="2" t="s">
        <v>6225</v>
      </c>
      <c r="C6338" s="2" t="s">
        <v>12312</v>
      </c>
      <c r="D6338" s="2" t="s">
        <v>12313</v>
      </c>
      <c r="E6338" s="2" t="s">
        <v>728</v>
      </c>
      <c r="F6338" s="2">
        <v>0.0</v>
      </c>
      <c r="G6338" s="2">
        <v>140.0</v>
      </c>
      <c r="H6338" s="3" t="str">
        <f>HYPERLINK("http://www.linkedin.com/pub/paola-arroyave/2B/759/699","http://www.linkedin.com/pub/paola-arroyave/2B/759/699")</f>
        <v>http://www.linkedin.com/pub/paola-arroyave/2B/759/699</v>
      </c>
      <c r="I6338" s="2" t="s">
        <v>279</v>
      </c>
      <c r="J6338" s="2" t="s">
        <v>102</v>
      </c>
      <c r="K6338" s="2" t="s">
        <v>10799</v>
      </c>
    </row>
    <row r="6339" ht="15.75" customHeight="1">
      <c r="A6339" s="2">
        <v>33049.0</v>
      </c>
      <c r="B6339" s="2" t="s">
        <v>5582</v>
      </c>
      <c r="C6339" s="2" t="s">
        <v>3943</v>
      </c>
      <c r="D6339" s="2" t="s">
        <v>12314</v>
      </c>
      <c r="E6339" s="2" t="s">
        <v>1234</v>
      </c>
      <c r="F6339" s="2">
        <v>0.0</v>
      </c>
      <c r="G6339" s="2">
        <v>147.0</v>
      </c>
      <c r="H6339" s="3" t="str">
        <f>HYPERLINK("http://www.linkedin.com/pub/sandra-rodriguez/10/8B3/290","http://www.linkedin.com/pub/sandra-rodriguez/10/8B3/290")</f>
        <v>http://www.linkedin.com/pub/sandra-rodriguez/10/8B3/290</v>
      </c>
      <c r="I6339" s="2" t="s">
        <v>48</v>
      </c>
      <c r="J6339" s="2" t="s">
        <v>102</v>
      </c>
      <c r="K6339" s="2" t="s">
        <v>10233</v>
      </c>
    </row>
    <row r="6340" ht="15.75" customHeight="1">
      <c r="A6340" s="2">
        <v>33094.0</v>
      </c>
      <c r="B6340" s="2" t="s">
        <v>1019</v>
      </c>
      <c r="C6340" s="2" t="s">
        <v>548</v>
      </c>
      <c r="D6340" s="2" t="s">
        <v>12315</v>
      </c>
      <c r="E6340" s="2" t="s">
        <v>294</v>
      </c>
      <c r="F6340" s="2">
        <v>2.0</v>
      </c>
      <c r="G6340" s="2">
        <v>155.0</v>
      </c>
      <c r="H6340" s="3" t="str">
        <f>HYPERLINK("http://www.linkedin.com/in/mattcookct","http://www.linkedin.com/in/mattcookct")</f>
        <v>http://www.linkedin.com/in/mattcookct</v>
      </c>
      <c r="I6340" s="2" t="s">
        <v>365</v>
      </c>
      <c r="J6340" s="2" t="s">
        <v>102</v>
      </c>
      <c r="K6340" s="2" t="s">
        <v>10206</v>
      </c>
    </row>
    <row r="6341" ht="15.75" customHeight="1">
      <c r="A6341" s="2">
        <v>33095.0</v>
      </c>
      <c r="B6341" s="2" t="s">
        <v>759</v>
      </c>
      <c r="C6341" s="2" t="s">
        <v>12316</v>
      </c>
      <c r="D6341" s="2" t="s">
        <v>12317</v>
      </c>
      <c r="E6341" s="2" t="s">
        <v>12318</v>
      </c>
      <c r="F6341" s="2">
        <v>0.0</v>
      </c>
      <c r="G6341" s="2">
        <v>42.0</v>
      </c>
      <c r="H6341" s="3" t="str">
        <f>HYPERLINK("http://www.linkedin.com/pub/barbara-whitehouse/9/244/A04","http://www.linkedin.com/pub/barbara-whitehouse/9/244/A04")</f>
        <v>http://www.linkedin.com/pub/barbara-whitehouse/9/244/A04</v>
      </c>
      <c r="I6341" s="2" t="s">
        <v>579</v>
      </c>
      <c r="J6341" s="2" t="s">
        <v>102</v>
      </c>
      <c r="K6341" s="2" t="s">
        <v>10394</v>
      </c>
    </row>
    <row r="6342" ht="15.75" customHeight="1">
      <c r="A6342" s="2">
        <v>33098.0</v>
      </c>
      <c r="B6342" s="2" t="s">
        <v>12319</v>
      </c>
      <c r="C6342" s="2" t="s">
        <v>12320</v>
      </c>
      <c r="D6342" s="2" t="s">
        <v>12321</v>
      </c>
      <c r="E6342" s="2" t="s">
        <v>294</v>
      </c>
      <c r="F6342" s="2" t="s">
        <v>13</v>
      </c>
      <c r="G6342" s="2">
        <v>241.0</v>
      </c>
      <c r="H6342" s="3" t="str">
        <f>HYPERLINK("http://www.linkedin.com/pub/prashanth-morishetty/1A/786/610","http://www.linkedin.com/pub/prashanth-morishetty/1A/786/610")</f>
        <v>http://www.linkedin.com/pub/prashanth-morishetty/1A/786/610</v>
      </c>
      <c r="I6342" s="2" t="s">
        <v>579</v>
      </c>
      <c r="J6342" s="2" t="s">
        <v>102</v>
      </c>
      <c r="K6342" s="2" t="s">
        <v>10394</v>
      </c>
    </row>
    <row r="6343" ht="15.75" customHeight="1">
      <c r="A6343" s="2">
        <v>33099.0</v>
      </c>
      <c r="B6343" s="2" t="s">
        <v>3927</v>
      </c>
      <c r="C6343" s="2" t="s">
        <v>12322</v>
      </c>
      <c r="D6343" s="2" t="s">
        <v>3621</v>
      </c>
      <c r="E6343" s="2" t="s">
        <v>12323</v>
      </c>
      <c r="F6343" s="2">
        <v>0.0</v>
      </c>
      <c r="G6343" s="2">
        <v>191.0</v>
      </c>
      <c r="H6343" s="3" t="str">
        <f>HYPERLINK("http://www.linkedin.com/pub/tina-hall-booher/5/658/7A7","http://www.linkedin.com/pub/tina-hall-booher/5/658/7A7")</f>
        <v>http://www.linkedin.com/pub/tina-hall-booher/5/658/7A7</v>
      </c>
      <c r="I6343" s="2" t="s">
        <v>458</v>
      </c>
      <c r="J6343" s="2" t="s">
        <v>102</v>
      </c>
      <c r="K6343" s="2" t="s">
        <v>12324</v>
      </c>
    </row>
    <row r="6344" ht="15.75" customHeight="1">
      <c r="A6344" s="2">
        <v>33101.0</v>
      </c>
      <c r="B6344" s="2" t="s">
        <v>677</v>
      </c>
      <c r="C6344" s="2" t="s">
        <v>12325</v>
      </c>
      <c r="D6344" s="2" t="s">
        <v>12326</v>
      </c>
      <c r="E6344" s="2" t="s">
        <v>219</v>
      </c>
      <c r="F6344" s="2">
        <v>6.0</v>
      </c>
      <c r="G6344" s="2">
        <v>233.0</v>
      </c>
      <c r="H6344" s="3" t="str">
        <f>HYPERLINK("http://ar.linkedin.com/in/danielceillan","http://ar.linkedin.com/in/danielceillan")</f>
        <v>http://ar.linkedin.com/in/danielceillan</v>
      </c>
      <c r="I6344" s="2" t="s">
        <v>440</v>
      </c>
      <c r="J6344" s="2" t="s">
        <v>220</v>
      </c>
      <c r="K6344" s="2" t="s">
        <v>10384</v>
      </c>
    </row>
    <row r="6345" ht="15.75" customHeight="1">
      <c r="A6345" s="2">
        <v>33142.0</v>
      </c>
      <c r="B6345" s="2" t="s">
        <v>5732</v>
      </c>
      <c r="C6345" s="2" t="s">
        <v>12327</v>
      </c>
      <c r="D6345" s="2" t="s">
        <v>12328</v>
      </c>
      <c r="E6345" s="2" t="s">
        <v>20</v>
      </c>
      <c r="F6345" s="2">
        <v>7.0</v>
      </c>
      <c r="G6345" s="2">
        <v>295.0</v>
      </c>
      <c r="H6345" s="3" t="str">
        <f>HYPERLINK("http://ar.linkedin.com/in/martinzugnoni","http://ar.linkedin.com/in/martinzugnoni")</f>
        <v>http://ar.linkedin.com/in/martinzugnoni</v>
      </c>
      <c r="I6345" s="2" t="s">
        <v>15</v>
      </c>
      <c r="J6345" s="2" t="s">
        <v>21</v>
      </c>
      <c r="K6345" s="2" t="s">
        <v>10182</v>
      </c>
    </row>
    <row r="6346" ht="15.75" customHeight="1">
      <c r="A6346" s="2">
        <v>33155.0</v>
      </c>
      <c r="B6346" s="2" t="s">
        <v>133</v>
      </c>
      <c r="C6346" s="2" t="s">
        <v>2660</v>
      </c>
      <c r="D6346" s="2" t="s">
        <v>12329</v>
      </c>
      <c r="E6346" s="2" t="s">
        <v>7844</v>
      </c>
      <c r="F6346" s="2">
        <v>26.0</v>
      </c>
      <c r="G6346" s="2">
        <v>500.0</v>
      </c>
      <c r="H6346" s="3" t="str">
        <f>HYPERLINK("http://www.linkedin.com/in/michaelxml","http://www.linkedin.com/in/michaelxml")</f>
        <v>http://www.linkedin.com/in/michaelxml</v>
      </c>
      <c r="I6346" s="2" t="s">
        <v>48</v>
      </c>
      <c r="J6346" s="2" t="s">
        <v>102</v>
      </c>
      <c r="K6346" s="2" t="s">
        <v>10184</v>
      </c>
    </row>
    <row r="6347" ht="15.75" customHeight="1">
      <c r="A6347" s="2">
        <v>33165.0</v>
      </c>
      <c r="B6347" s="2" t="s">
        <v>2239</v>
      </c>
      <c r="C6347" s="2" t="s">
        <v>12330</v>
      </c>
      <c r="D6347" s="2" t="s">
        <v>12331</v>
      </c>
      <c r="E6347" s="2" t="s">
        <v>2058</v>
      </c>
      <c r="F6347" s="2">
        <v>1.0</v>
      </c>
      <c r="G6347" s="2">
        <v>500.0</v>
      </c>
      <c r="H6347" s="3" t="str">
        <f>HYPERLINK("http://www.linkedin.com/in/russellgrin","http://www.linkedin.com/in/russellgrin")</f>
        <v>http://www.linkedin.com/in/russellgrin</v>
      </c>
      <c r="I6347" s="2" t="s">
        <v>105</v>
      </c>
      <c r="J6347" s="2" t="s">
        <v>102</v>
      </c>
      <c r="K6347" s="2" t="s">
        <v>10209</v>
      </c>
    </row>
    <row r="6348" ht="15.75" customHeight="1">
      <c r="A6348" s="2">
        <v>33167.0</v>
      </c>
      <c r="B6348" s="2" t="s">
        <v>4390</v>
      </c>
      <c r="C6348" s="2" t="s">
        <v>1153</v>
      </c>
      <c r="D6348" s="2" t="s">
        <v>12332</v>
      </c>
      <c r="E6348" s="2" t="s">
        <v>294</v>
      </c>
      <c r="F6348" s="2">
        <v>0.0</v>
      </c>
      <c r="G6348" s="2">
        <v>306.0</v>
      </c>
      <c r="H6348" s="3" t="str">
        <f>HYPERLINK("http://www.linkedin.com/pub/jake-brown/0/590/24","http://www.linkedin.com/pub/jake-brown/0/590/24")</f>
        <v>http://www.linkedin.com/pub/jake-brown/0/590/24</v>
      </c>
      <c r="I6348" s="2" t="s">
        <v>579</v>
      </c>
      <c r="J6348" s="2" t="s">
        <v>102</v>
      </c>
      <c r="K6348" s="2" t="s">
        <v>10187</v>
      </c>
    </row>
    <row r="6349" ht="15.75" customHeight="1">
      <c r="A6349" s="2">
        <v>33171.0</v>
      </c>
      <c r="B6349" s="2" t="s">
        <v>5723</v>
      </c>
      <c r="C6349" s="2" t="s">
        <v>12333</v>
      </c>
      <c r="D6349" s="2" t="s">
        <v>12334</v>
      </c>
      <c r="E6349" s="2" t="s">
        <v>20</v>
      </c>
      <c r="F6349" s="2">
        <v>2.0</v>
      </c>
      <c r="G6349" s="2">
        <v>180.0</v>
      </c>
      <c r="H6349" s="3" t="str">
        <f>HYPERLINK("http://ar.linkedin.com/in/pablobiagioli","http://ar.linkedin.com/in/pablobiagioli")</f>
        <v>http://ar.linkedin.com/in/pablobiagioli</v>
      </c>
      <c r="I6349" s="2" t="s">
        <v>15</v>
      </c>
      <c r="J6349" s="2" t="s">
        <v>21</v>
      </c>
      <c r="K6349" s="2" t="s">
        <v>10196</v>
      </c>
    </row>
    <row r="6350" ht="15.75" customHeight="1">
      <c r="A6350" s="2">
        <v>33219.0</v>
      </c>
      <c r="B6350" s="2" t="s">
        <v>12335</v>
      </c>
      <c r="C6350" s="2" t="s">
        <v>12336</v>
      </c>
      <c r="D6350" s="2" t="s">
        <v>7102</v>
      </c>
      <c r="E6350" s="2" t="s">
        <v>20</v>
      </c>
      <c r="F6350" s="2">
        <v>6.0</v>
      </c>
      <c r="G6350" s="2">
        <v>162.0</v>
      </c>
      <c r="H6350" s="3" t="str">
        <f>HYPERLINK("http://ar.linkedin.com/in/juanferreyra","http://ar.linkedin.com/in/juanferreyra")</f>
        <v>http://ar.linkedin.com/in/juanferreyra</v>
      </c>
      <c r="I6350" s="2" t="s">
        <v>15</v>
      </c>
      <c r="J6350" s="2" t="s">
        <v>21</v>
      </c>
      <c r="K6350" s="2" t="s">
        <v>10196</v>
      </c>
    </row>
    <row r="6351" ht="15.75" customHeight="1">
      <c r="A6351" s="2">
        <v>33256.0</v>
      </c>
      <c r="B6351" s="2" t="s">
        <v>12337</v>
      </c>
      <c r="C6351" s="2" t="s">
        <v>12338</v>
      </c>
      <c r="D6351" s="2" t="s">
        <v>12339</v>
      </c>
      <c r="E6351" s="2" t="s">
        <v>20</v>
      </c>
      <c r="F6351" s="2" t="s">
        <v>13</v>
      </c>
      <c r="G6351" s="2">
        <v>500.0</v>
      </c>
      <c r="H6351" s="3" t="str">
        <f>HYPERLINK("http://ar.linkedin.com/pub/milka-ercegovic/17/8AB/BA","http://ar.linkedin.com/pub/milka-ercegovic/17/8AB/BA")</f>
        <v>http://ar.linkedin.com/pub/milka-ercegovic/17/8AB/BA</v>
      </c>
      <c r="I6351" s="2" t="s">
        <v>15</v>
      </c>
      <c r="J6351" s="2" t="s">
        <v>21</v>
      </c>
      <c r="K6351" s="2" t="s">
        <v>10173</v>
      </c>
    </row>
    <row r="6352" ht="15.75" customHeight="1">
      <c r="A6352" s="2">
        <v>33277.0</v>
      </c>
      <c r="B6352" s="2" t="s">
        <v>7863</v>
      </c>
      <c r="C6352" s="2" t="s">
        <v>12340</v>
      </c>
      <c r="D6352" s="2" t="s">
        <v>12341</v>
      </c>
      <c r="E6352" s="2" t="s">
        <v>20</v>
      </c>
      <c r="F6352" s="2">
        <v>10.0</v>
      </c>
      <c r="G6352" s="2">
        <v>223.0</v>
      </c>
      <c r="H6352" s="3" t="str">
        <f>HYPERLINK("http://ar.linkedin.com/pub/lic-virginia-cuesta-cardoso/21/372/73","http://ar.linkedin.com/pub/lic-virginia-cuesta-cardoso/21/372/73")</f>
        <v>http://ar.linkedin.com/pub/lic-virginia-cuesta-cardoso/21/372/73</v>
      </c>
      <c r="I6352" s="2" t="s">
        <v>15</v>
      </c>
      <c r="J6352" s="2" t="s">
        <v>21</v>
      </c>
      <c r="K6352" s="2" t="s">
        <v>10337</v>
      </c>
    </row>
    <row r="6353" ht="15.75" customHeight="1">
      <c r="A6353" s="2">
        <v>33281.0</v>
      </c>
      <c r="B6353" s="2" t="s">
        <v>6312</v>
      </c>
      <c r="C6353" s="2" t="s">
        <v>12342</v>
      </c>
      <c r="D6353" s="2" t="s">
        <v>373</v>
      </c>
      <c r="E6353" s="2" t="s">
        <v>20</v>
      </c>
      <c r="F6353" s="2">
        <v>4.0</v>
      </c>
      <c r="G6353" s="2">
        <v>500.0</v>
      </c>
      <c r="H6353" s="3" t="str">
        <f>HYPERLINK("http://ar.linkedin.com/pub/milagros-noriega-benedit/9/30/345","http://ar.linkedin.com/pub/milagros-noriega-benedit/9/30/345")</f>
        <v>http://ar.linkedin.com/pub/milagros-noriega-benedit/9/30/345</v>
      </c>
      <c r="I6353" s="2" t="s">
        <v>15</v>
      </c>
      <c r="J6353" s="2" t="s">
        <v>21</v>
      </c>
      <c r="K6353" s="2" t="s">
        <v>10196</v>
      </c>
    </row>
    <row r="6354" ht="15.75" customHeight="1">
      <c r="A6354" s="2">
        <v>33287.0</v>
      </c>
      <c r="B6354" s="2" t="s">
        <v>609</v>
      </c>
      <c r="C6354" s="2" t="s">
        <v>1455</v>
      </c>
      <c r="D6354" s="2"/>
      <c r="E6354" s="2" t="s">
        <v>1407</v>
      </c>
      <c r="F6354" s="2">
        <v>4.0</v>
      </c>
      <c r="G6354" s="2">
        <v>282.0</v>
      </c>
      <c r="H6354" s="3" t="str">
        <f>HYPERLINK("http://www.linkedin.com/pub/ricardo-rothman/0/124/331","http://www.linkedin.com/pub/ricardo-rothman/0/124/331")</f>
        <v>http://www.linkedin.com/pub/ricardo-rothman/0/124/331</v>
      </c>
      <c r="I6354" s="2" t="s">
        <v>77</v>
      </c>
      <c r="J6354" s="2" t="s">
        <v>102</v>
      </c>
      <c r="K6354" s="2" t="s">
        <v>10229</v>
      </c>
    </row>
    <row r="6355" ht="15.75" customHeight="1">
      <c r="A6355" s="2">
        <v>33322.0</v>
      </c>
      <c r="B6355" s="2" t="s">
        <v>5728</v>
      </c>
      <c r="C6355" s="2" t="s">
        <v>12343</v>
      </c>
      <c r="D6355" s="2" t="s">
        <v>13</v>
      </c>
      <c r="E6355" s="2" t="s">
        <v>20</v>
      </c>
      <c r="F6355" s="2">
        <v>0.0</v>
      </c>
      <c r="G6355" s="2">
        <v>500.0</v>
      </c>
      <c r="H6355" s="3" t="str">
        <f>HYPERLINK("http://www.linkedin.com/pub/maximiliano-stankovic/12/b55/340","http://www.linkedin.com/pub/maximiliano-stankovic/12/b55/340")</f>
        <v>http://www.linkedin.com/pub/maximiliano-stankovic/12/b55/340</v>
      </c>
      <c r="I6355" s="2" t="s">
        <v>77</v>
      </c>
      <c r="J6355" s="2" t="s">
        <v>21</v>
      </c>
      <c r="K6355" s="2" t="s">
        <v>10196</v>
      </c>
    </row>
    <row r="6356" ht="15.75" customHeight="1">
      <c r="A6356" s="2">
        <v>33341.0</v>
      </c>
      <c r="B6356" s="2" t="s">
        <v>12344</v>
      </c>
      <c r="C6356" s="2" t="s">
        <v>12345</v>
      </c>
      <c r="D6356" s="2" t="s">
        <v>12346</v>
      </c>
      <c r="E6356" s="2" t="s">
        <v>20</v>
      </c>
      <c r="F6356" s="2">
        <v>4.0</v>
      </c>
      <c r="G6356" s="2">
        <v>220.0</v>
      </c>
      <c r="H6356" s="3" t="str">
        <f>HYPERLINK("http://ar.linkedin.com/in/scerrato","http://ar.linkedin.com/in/scerrato")</f>
        <v>http://ar.linkedin.com/in/scerrato</v>
      </c>
      <c r="I6356" s="2" t="s">
        <v>48</v>
      </c>
      <c r="J6356" s="2" t="s">
        <v>21</v>
      </c>
      <c r="K6356" s="2" t="s">
        <v>10196</v>
      </c>
    </row>
    <row r="6357" ht="15.75" customHeight="1">
      <c r="A6357" s="2">
        <v>33386.0</v>
      </c>
      <c r="B6357" s="2" t="s">
        <v>3201</v>
      </c>
      <c r="C6357" s="2" t="s">
        <v>3259</v>
      </c>
      <c r="D6357" s="2" t="s">
        <v>2079</v>
      </c>
      <c r="E6357" s="2" t="s">
        <v>20</v>
      </c>
      <c r="F6357" s="2">
        <v>2.0</v>
      </c>
      <c r="G6357" s="2">
        <v>223.0</v>
      </c>
      <c r="H6357" s="3" t="str">
        <f>HYPERLINK("http://ar.linkedin.com/in/sebastianrossi","http://ar.linkedin.com/in/sebastianrossi")</f>
        <v>http://ar.linkedin.com/in/sebastianrossi</v>
      </c>
      <c r="I6357" s="2" t="s">
        <v>48</v>
      </c>
      <c r="J6357" s="2" t="s">
        <v>21</v>
      </c>
      <c r="K6357" s="2" t="s">
        <v>10196</v>
      </c>
    </row>
    <row r="6358" ht="15.75" customHeight="1">
      <c r="A6358" s="2">
        <v>33388.0</v>
      </c>
      <c r="B6358" s="2" t="s">
        <v>133</v>
      </c>
      <c r="C6358" s="2" t="s">
        <v>12347</v>
      </c>
      <c r="D6358" s="2" t="s">
        <v>12348</v>
      </c>
      <c r="E6358" s="2" t="s">
        <v>1407</v>
      </c>
      <c r="F6358" s="2">
        <v>10.0</v>
      </c>
      <c r="G6358" s="2">
        <v>330.0</v>
      </c>
      <c r="H6358" s="3" t="str">
        <f>HYPERLINK("http://www.linkedin.com/in/mwrichardson","http://www.linkedin.com/in/mwrichardson")</f>
        <v>http://www.linkedin.com/in/mwrichardson</v>
      </c>
      <c r="I6358" s="2" t="s">
        <v>910</v>
      </c>
      <c r="J6358" s="2" t="s">
        <v>102</v>
      </c>
      <c r="K6358" s="2" t="s">
        <v>11117</v>
      </c>
    </row>
    <row r="6359" ht="15.75" customHeight="1">
      <c r="A6359" s="2">
        <v>33389.0</v>
      </c>
      <c r="B6359" s="2" t="s">
        <v>3201</v>
      </c>
      <c r="C6359" s="2" t="s">
        <v>12349</v>
      </c>
      <c r="D6359" s="2" t="s">
        <v>12350</v>
      </c>
      <c r="E6359" s="2" t="s">
        <v>142</v>
      </c>
      <c r="F6359" s="2">
        <v>4.0</v>
      </c>
      <c r="G6359" s="2">
        <v>210.0</v>
      </c>
      <c r="H6359" s="3" t="str">
        <f>HYPERLINK("http://www.linkedin.com/in/spereyro","http://www.linkedin.com/in/spereyro")</f>
        <v>http://www.linkedin.com/in/spereyro</v>
      </c>
      <c r="I6359" s="2" t="s">
        <v>77</v>
      </c>
      <c r="J6359" s="2" t="s">
        <v>144</v>
      </c>
      <c r="K6359" s="2" t="s">
        <v>10384</v>
      </c>
    </row>
    <row r="6360" ht="15.75" customHeight="1">
      <c r="A6360" s="2">
        <v>33399.0</v>
      </c>
      <c r="B6360" s="2" t="s">
        <v>358</v>
      </c>
      <c r="C6360" s="2" t="s">
        <v>12351</v>
      </c>
      <c r="D6360" s="2" t="s">
        <v>6129</v>
      </c>
      <c r="E6360" s="2" t="s">
        <v>20</v>
      </c>
      <c r="F6360" s="2">
        <v>15.0</v>
      </c>
      <c r="G6360" s="2">
        <v>463.0</v>
      </c>
      <c r="H6360" s="3" t="str">
        <f>HYPERLINK("http://ar.linkedin.com/in/marceloacosta","http://ar.linkedin.com/in/marceloacosta")</f>
        <v>http://ar.linkedin.com/in/marceloacosta</v>
      </c>
      <c r="I6360" s="2" t="s">
        <v>15</v>
      </c>
      <c r="J6360" s="2" t="s">
        <v>21</v>
      </c>
      <c r="K6360" s="2" t="s">
        <v>10196</v>
      </c>
    </row>
    <row r="6361" ht="15.75" customHeight="1">
      <c r="A6361" s="2">
        <v>33426.0</v>
      </c>
      <c r="B6361" s="2" t="s">
        <v>460</v>
      </c>
      <c r="C6361" s="2" t="s">
        <v>2528</v>
      </c>
      <c r="D6361" s="2"/>
      <c r="E6361" s="2" t="s">
        <v>12352</v>
      </c>
      <c r="F6361" s="2">
        <v>3.0</v>
      </c>
      <c r="G6361" s="2">
        <v>133.0</v>
      </c>
      <c r="H6361" s="3" t="str">
        <f>HYPERLINK("http://www.linkedin.com/pub/john-harper/2/B29/B8A","http://www.linkedin.com/pub/john-harper/2/B29/B8A")</f>
        <v>http://www.linkedin.com/pub/john-harper/2/B29/B8A</v>
      </c>
      <c r="I6361" s="2" t="s">
        <v>48</v>
      </c>
      <c r="J6361" s="2" t="s">
        <v>102</v>
      </c>
      <c r="K6361" s="2" t="s">
        <v>10184</v>
      </c>
    </row>
    <row r="6362" ht="15.75" customHeight="1">
      <c r="A6362" s="2">
        <v>33439.0</v>
      </c>
      <c r="B6362" s="2" t="s">
        <v>6417</v>
      </c>
      <c r="C6362" s="2" t="s">
        <v>12353</v>
      </c>
      <c r="D6362" s="2" t="s">
        <v>12354</v>
      </c>
      <c r="E6362" s="2" t="s">
        <v>20</v>
      </c>
      <c r="F6362" s="2" t="s">
        <v>13</v>
      </c>
      <c r="G6362" s="2">
        <v>337.0</v>
      </c>
      <c r="H6362" s="3" t="str">
        <f>HYPERLINK("http://ar.linkedin.com/pub/gonzalo-erro/21/A9A/948","http://ar.linkedin.com/pub/gonzalo-erro/21/A9A/948")</f>
        <v>http://ar.linkedin.com/pub/gonzalo-erro/21/A9A/948</v>
      </c>
      <c r="I6362" s="2" t="s">
        <v>48</v>
      </c>
      <c r="J6362" s="2" t="s">
        <v>21</v>
      </c>
      <c r="K6362" s="2" t="s">
        <v>10206</v>
      </c>
    </row>
    <row r="6363" ht="15.75" customHeight="1">
      <c r="A6363" s="2">
        <v>33495.0</v>
      </c>
      <c r="B6363" s="2" t="s">
        <v>523</v>
      </c>
      <c r="C6363" s="2" t="s">
        <v>12355</v>
      </c>
      <c r="D6363" s="2" t="s">
        <v>13</v>
      </c>
      <c r="E6363" s="2" t="s">
        <v>713</v>
      </c>
      <c r="F6363" s="2">
        <v>7.0</v>
      </c>
      <c r="G6363" s="2">
        <v>500.0</v>
      </c>
      <c r="H6363" s="3" t="str">
        <f>HYPERLINK("http://www.linkedin.com/pub/ignacio-fern%C3%A1ndez-dussaut/7/a24/67","http://www.linkedin.com/pub/ignacio-fern%C3%A1ndez-dussaut/7/a24/67")</f>
        <v>http://www.linkedin.com/pub/ignacio-fern%C3%A1ndez-dussaut/7/a24/67</v>
      </c>
      <c r="I6363" s="2" t="s">
        <v>910</v>
      </c>
      <c r="J6363" s="2" t="s">
        <v>102</v>
      </c>
      <c r="K6363" s="2" t="s">
        <v>12356</v>
      </c>
    </row>
    <row r="6364" ht="15.75" customHeight="1">
      <c r="A6364" s="2">
        <v>33510.0</v>
      </c>
      <c r="B6364" s="2" t="s">
        <v>12357</v>
      </c>
      <c r="C6364" s="2" t="s">
        <v>12358</v>
      </c>
      <c r="D6364" s="2" t="s">
        <v>289</v>
      </c>
      <c r="E6364" s="2" t="s">
        <v>20</v>
      </c>
      <c r="F6364" s="2" t="s">
        <v>13</v>
      </c>
      <c r="G6364" s="2">
        <v>195.0</v>
      </c>
      <c r="H6364" s="3" t="str">
        <f>HYPERLINK("http://ar.linkedin.com/pub/maria-mercedes-domenech/5/54/6A1","http://ar.linkedin.com/pub/maria-mercedes-domenech/5/54/6A1")</f>
        <v>http://ar.linkedin.com/pub/maria-mercedes-domenech/5/54/6A1</v>
      </c>
      <c r="I6364" s="2" t="s">
        <v>57</v>
      </c>
      <c r="J6364" s="2" t="s">
        <v>21</v>
      </c>
      <c r="K6364" s="2" t="s">
        <v>10184</v>
      </c>
    </row>
    <row r="6365" ht="15.75" customHeight="1">
      <c r="A6365" s="2">
        <v>33519.0</v>
      </c>
      <c r="B6365" s="2" t="s">
        <v>362</v>
      </c>
      <c r="C6365" s="2" t="s">
        <v>12359</v>
      </c>
      <c r="D6365" s="2" t="s">
        <v>289</v>
      </c>
      <c r="E6365" s="2" t="s">
        <v>20</v>
      </c>
      <c r="F6365" s="2">
        <v>1.0</v>
      </c>
      <c r="G6365" s="2">
        <v>450.0</v>
      </c>
      <c r="H6365" s="3" t="str">
        <f>HYPERLINK("http://ar.linkedin.com/pub/javier-corona/14/51A/419","http://ar.linkedin.com/pub/javier-corona/14/51A/419")</f>
        <v>http://ar.linkedin.com/pub/javier-corona/14/51A/419</v>
      </c>
      <c r="I6365" s="2" t="s">
        <v>57</v>
      </c>
      <c r="J6365" s="2" t="s">
        <v>21</v>
      </c>
      <c r="K6365" s="2" t="s">
        <v>10184</v>
      </c>
    </row>
    <row r="6366" ht="15.75" customHeight="1">
      <c r="A6366" s="2">
        <v>33545.0</v>
      </c>
      <c r="B6366" s="2" t="s">
        <v>227</v>
      </c>
      <c r="C6366" s="2" t="s">
        <v>12360</v>
      </c>
      <c r="D6366" s="2" t="s">
        <v>12361</v>
      </c>
      <c r="E6366" s="2" t="s">
        <v>20</v>
      </c>
      <c r="F6366" s="2">
        <v>2.0</v>
      </c>
      <c r="G6366" s="2">
        <v>115.0</v>
      </c>
      <c r="H6366" s="3" t="str">
        <f>HYPERLINK("http://ar.linkedin.com/in/seguil64","http://ar.linkedin.com/in/seguil64")</f>
        <v>http://ar.linkedin.com/in/seguil64</v>
      </c>
      <c r="I6366" s="2" t="s">
        <v>15</v>
      </c>
      <c r="J6366" s="2" t="s">
        <v>21</v>
      </c>
      <c r="K6366" s="2" t="s">
        <v>10196</v>
      </c>
    </row>
    <row r="6367" ht="15.75" customHeight="1">
      <c r="A6367" s="2">
        <v>33569.0</v>
      </c>
      <c r="B6367" s="2" t="s">
        <v>5483</v>
      </c>
      <c r="C6367" s="2" t="s">
        <v>12362</v>
      </c>
      <c r="D6367" s="2" t="s">
        <v>13</v>
      </c>
      <c r="E6367" s="2" t="s">
        <v>20</v>
      </c>
      <c r="F6367" s="2">
        <v>0.0</v>
      </c>
      <c r="G6367" s="2">
        <v>261.0</v>
      </c>
      <c r="H6367" s="3" t="str">
        <f>HYPERLINK("http://www.linkedin.com/pub/anibal-gimenez-konstantinow/b/b99/a46","http://www.linkedin.com/pub/anibal-gimenez-konstantinow/b/b99/a46")</f>
        <v>http://www.linkedin.com/pub/anibal-gimenez-konstantinow/b/b99/a46</v>
      </c>
      <c r="I6367" s="2" t="s">
        <v>2000</v>
      </c>
      <c r="J6367" s="2" t="s">
        <v>21</v>
      </c>
      <c r="K6367" s="2" t="s">
        <v>10206</v>
      </c>
    </row>
    <row r="6368" ht="15.75" customHeight="1">
      <c r="A6368" s="2">
        <v>33634.0</v>
      </c>
      <c r="B6368" s="2" t="s">
        <v>12308</v>
      </c>
      <c r="C6368" s="2" t="s">
        <v>12363</v>
      </c>
      <c r="D6368" s="2" t="s">
        <v>13</v>
      </c>
      <c r="E6368" s="2" t="s">
        <v>20</v>
      </c>
      <c r="F6368" s="2">
        <v>7.0</v>
      </c>
      <c r="G6368" s="2">
        <v>151.0</v>
      </c>
      <c r="H6368" s="3" t="str">
        <f>HYPERLINK("http://www.linkedin.com/pub/pedro-javier-del-rosso/13/279/99a","http://www.linkedin.com/pub/pedro-javier-del-rosso/13/279/99a")</f>
        <v>http://www.linkedin.com/pub/pedro-javier-del-rosso/13/279/99a</v>
      </c>
      <c r="I6368" s="2" t="s">
        <v>15</v>
      </c>
      <c r="J6368" s="2" t="s">
        <v>21</v>
      </c>
      <c r="K6368" s="2" t="s">
        <v>10180</v>
      </c>
    </row>
    <row r="6369" ht="15.75" customHeight="1">
      <c r="A6369" s="2">
        <v>33644.0</v>
      </c>
      <c r="B6369" s="2" t="s">
        <v>12364</v>
      </c>
      <c r="C6369" s="2" t="s">
        <v>12365</v>
      </c>
      <c r="D6369" s="2" t="s">
        <v>12366</v>
      </c>
      <c r="E6369" s="2" t="s">
        <v>301</v>
      </c>
      <c r="F6369" s="2" t="s">
        <v>13</v>
      </c>
      <c r="G6369" s="2">
        <v>500.0</v>
      </c>
      <c r="H6369" s="3" t="str">
        <f>HYPERLINK("http://www.linkedin.com/in/winnievonwerne","http://www.linkedin.com/in/winnievonwerne")</f>
        <v>http://www.linkedin.com/in/winnievonwerne</v>
      </c>
      <c r="I6369" s="2" t="s">
        <v>248</v>
      </c>
      <c r="J6369" s="2" t="s">
        <v>102</v>
      </c>
      <c r="K6369" s="2" t="s">
        <v>10206</v>
      </c>
    </row>
    <row r="6370" ht="15.75" customHeight="1">
      <c r="A6370" s="2">
        <v>33646.0</v>
      </c>
      <c r="B6370" s="2" t="s">
        <v>10719</v>
      </c>
      <c r="C6370" s="2" t="s">
        <v>12367</v>
      </c>
      <c r="D6370" s="2"/>
      <c r="E6370" s="2" t="s">
        <v>294</v>
      </c>
      <c r="F6370" s="2">
        <v>2.0</v>
      </c>
      <c r="G6370" s="2">
        <v>367.0</v>
      </c>
      <c r="H6370" s="3" t="str">
        <f>HYPERLINK("http://www.linkedin.com/in/brandnewllc","http://www.linkedin.com/in/brandnewllc")</f>
        <v>http://www.linkedin.com/in/brandnewllc</v>
      </c>
      <c r="I6370" s="2" t="s">
        <v>105</v>
      </c>
      <c r="J6370" s="2" t="s">
        <v>102</v>
      </c>
      <c r="K6370" s="2" t="s">
        <v>10206</v>
      </c>
    </row>
    <row r="6371" ht="15.75" customHeight="1">
      <c r="A6371" s="2">
        <v>33660.0</v>
      </c>
      <c r="B6371" s="2" t="s">
        <v>12368</v>
      </c>
      <c r="C6371" s="2" t="s">
        <v>12369</v>
      </c>
      <c r="D6371" s="2"/>
      <c r="E6371" s="2" t="s">
        <v>397</v>
      </c>
      <c r="F6371" s="2">
        <v>7.0</v>
      </c>
      <c r="G6371" s="2">
        <v>500.0</v>
      </c>
      <c r="H6371" s="3" t="str">
        <f>HYPERLINK("http://www.linkedin.com/pub/kristen-thiede/0/144/886","http://www.linkedin.com/pub/kristen-thiede/0/144/886")</f>
        <v>http://www.linkedin.com/pub/kristen-thiede/0/144/886</v>
      </c>
      <c r="I6371" s="2" t="s">
        <v>69</v>
      </c>
      <c r="J6371" s="2" t="s">
        <v>102</v>
      </c>
      <c r="K6371" s="2" t="s">
        <v>10176</v>
      </c>
    </row>
    <row r="6372" ht="15.75" customHeight="1">
      <c r="A6372" s="2">
        <v>33666.0</v>
      </c>
      <c r="B6372" s="2" t="s">
        <v>12370</v>
      </c>
      <c r="C6372" s="2" t="s">
        <v>12371</v>
      </c>
      <c r="D6372" s="2" t="s">
        <v>12372</v>
      </c>
      <c r="E6372" s="2" t="s">
        <v>301</v>
      </c>
      <c r="F6372" s="2" t="s">
        <v>13</v>
      </c>
      <c r="G6372" s="2">
        <v>383.0</v>
      </c>
      <c r="H6372" s="3" t="str">
        <f>HYPERLINK("http://www.linkedin.com/pub/micha-hirshman/2/80B/3A1","http://www.linkedin.com/pub/micha-hirshman/2/80B/3A1")</f>
        <v>http://www.linkedin.com/pub/micha-hirshman/2/80B/3A1</v>
      </c>
      <c r="I6372" s="2" t="s">
        <v>77</v>
      </c>
      <c r="J6372" s="2" t="s">
        <v>102</v>
      </c>
      <c r="K6372" s="2" t="s">
        <v>10394</v>
      </c>
    </row>
    <row r="6373" ht="15.75" customHeight="1">
      <c r="A6373" s="2">
        <v>33684.0</v>
      </c>
      <c r="B6373" s="2" t="s">
        <v>1676</v>
      </c>
      <c r="C6373" s="2" t="s">
        <v>3943</v>
      </c>
      <c r="D6373" s="2"/>
      <c r="E6373" s="2" t="s">
        <v>1407</v>
      </c>
      <c r="F6373" s="2">
        <v>2.0</v>
      </c>
      <c r="G6373" s="2">
        <v>255.0</v>
      </c>
      <c r="H6373" s="3" t="str">
        <f>HYPERLINK("http://www.linkedin.com/pub/raul-rodriguez/0/A92/590","http://www.linkedin.com/pub/raul-rodriguez/0/A92/590")</f>
        <v>http://www.linkedin.com/pub/raul-rodriguez/0/A92/590</v>
      </c>
      <c r="I6373" s="2" t="s">
        <v>77</v>
      </c>
      <c r="J6373" s="2" t="s">
        <v>102</v>
      </c>
      <c r="K6373" s="2" t="s">
        <v>10229</v>
      </c>
    </row>
    <row r="6374" ht="15.75" customHeight="1">
      <c r="A6374" s="2">
        <v>33689.0</v>
      </c>
      <c r="B6374" s="2" t="s">
        <v>1676</v>
      </c>
      <c r="C6374" s="2" t="s">
        <v>12373</v>
      </c>
      <c r="D6374" s="2" t="s">
        <v>13</v>
      </c>
      <c r="E6374" s="2" t="s">
        <v>1190</v>
      </c>
      <c r="F6374" s="2">
        <v>0.0</v>
      </c>
      <c r="G6374" s="2">
        <v>500.0</v>
      </c>
      <c r="H6374" s="3" t="str">
        <f>HYPERLINK("https://www.linkedin.com/in/raulgalofre","https://www.linkedin.com/in/raulgalofre")</f>
        <v>https://www.linkedin.com/in/raulgalofre</v>
      </c>
      <c r="I6374" s="2" t="s">
        <v>69</v>
      </c>
      <c r="J6374" s="2" t="s">
        <v>102</v>
      </c>
      <c r="K6374" s="2" t="s">
        <v>10245</v>
      </c>
    </row>
    <row r="6375" ht="15.75" customHeight="1">
      <c r="A6375" s="2">
        <v>33711.0</v>
      </c>
      <c r="B6375" s="2" t="s">
        <v>12374</v>
      </c>
      <c r="C6375" s="2" t="s">
        <v>12375</v>
      </c>
      <c r="D6375" s="2" t="s">
        <v>12376</v>
      </c>
      <c r="E6375" s="2" t="s">
        <v>882</v>
      </c>
      <c r="F6375" s="2">
        <v>6.0</v>
      </c>
      <c r="G6375" s="2">
        <v>500.0</v>
      </c>
      <c r="H6375" s="3" t="str">
        <f>HYPERLINK("http://www.linkedin.com/in/afdhelaziz","http://www.linkedin.com/in/afdhelaziz")</f>
        <v>http://www.linkedin.com/in/afdhelaziz</v>
      </c>
      <c r="I6375" s="2" t="s">
        <v>6777</v>
      </c>
      <c r="J6375" s="2" t="s">
        <v>102</v>
      </c>
      <c r="K6375" s="2" t="s">
        <v>10206</v>
      </c>
    </row>
    <row r="6376" ht="15.75" customHeight="1">
      <c r="A6376" s="2">
        <v>33713.0</v>
      </c>
      <c r="B6376" s="2" t="s">
        <v>12377</v>
      </c>
      <c r="C6376" s="2" t="s">
        <v>12378</v>
      </c>
      <c r="D6376" s="2" t="s">
        <v>12379</v>
      </c>
      <c r="E6376" s="2" t="s">
        <v>235</v>
      </c>
      <c r="F6376" s="2">
        <v>2.0</v>
      </c>
      <c r="G6376" s="2">
        <v>169.0</v>
      </c>
      <c r="H6376" s="3" t="str">
        <f>HYPERLINK("http://www.linkedin.com/pub/johann-marron/5/447/892","http://www.linkedin.com/pub/johann-marron/5/447/892")</f>
        <v>http://www.linkedin.com/pub/johann-marron/5/447/892</v>
      </c>
      <c r="I6376" s="2" t="s">
        <v>105</v>
      </c>
      <c r="J6376" s="2" t="s">
        <v>102</v>
      </c>
      <c r="K6376" s="2" t="s">
        <v>10206</v>
      </c>
    </row>
    <row r="6377" ht="15.75" customHeight="1">
      <c r="A6377" s="2">
        <v>33754.0</v>
      </c>
      <c r="B6377" s="2" t="s">
        <v>11352</v>
      </c>
      <c r="C6377" s="2" t="s">
        <v>12380</v>
      </c>
      <c r="D6377" s="2" t="s">
        <v>13</v>
      </c>
      <c r="E6377" s="2" t="s">
        <v>136</v>
      </c>
      <c r="F6377" s="2">
        <v>0.0</v>
      </c>
      <c r="G6377" s="2">
        <v>500.0</v>
      </c>
      <c r="H6377" s="3" t="str">
        <f>HYPERLINK("https://www.linkedin.com/pub/francois-depayras/0/27b/b64","https://www.linkedin.com/pub/francois-depayras/0/27b/b64")</f>
        <v>https://www.linkedin.com/pub/francois-depayras/0/27b/b64</v>
      </c>
      <c r="I6377" s="2" t="s">
        <v>48</v>
      </c>
      <c r="J6377" s="2" t="s">
        <v>102</v>
      </c>
      <c r="K6377" s="2" t="s">
        <v>10176</v>
      </c>
    </row>
    <row r="6378" ht="15.75" customHeight="1">
      <c r="A6378" s="2">
        <v>33767.0</v>
      </c>
      <c r="B6378" s="2" t="s">
        <v>845</v>
      </c>
      <c r="C6378" s="2" t="s">
        <v>12381</v>
      </c>
      <c r="D6378" s="2"/>
      <c r="E6378" s="2" t="s">
        <v>12382</v>
      </c>
      <c r="F6378" s="2">
        <v>1.0</v>
      </c>
      <c r="G6378" s="2">
        <v>500.0</v>
      </c>
      <c r="H6378" s="3" t="str">
        <f>HYPERLINK("http://www.linkedin.com/in/davidbarkai","http://www.linkedin.com/in/davidbarkai")</f>
        <v>http://www.linkedin.com/in/davidbarkai</v>
      </c>
      <c r="I6378" s="2" t="s">
        <v>119</v>
      </c>
      <c r="J6378" s="2" t="s">
        <v>102</v>
      </c>
      <c r="K6378" s="2" t="s">
        <v>10187</v>
      </c>
    </row>
    <row r="6379" ht="15.75" customHeight="1">
      <c r="A6379" s="2">
        <v>33771.0</v>
      </c>
      <c r="B6379" s="2" t="s">
        <v>506</v>
      </c>
      <c r="C6379" s="2" t="s">
        <v>12383</v>
      </c>
      <c r="D6379" s="2" t="s">
        <v>6483</v>
      </c>
      <c r="E6379" s="2" t="s">
        <v>301</v>
      </c>
      <c r="F6379" s="2">
        <v>2.0</v>
      </c>
      <c r="G6379" s="2">
        <v>226.0</v>
      </c>
      <c r="H6379" s="3" t="str">
        <f>HYPERLINK("http://www.linkedin.com/pub/jose-brunheroto/2/54/7B3","http://www.linkedin.com/pub/jose-brunheroto/2/54/7B3")</f>
        <v>http://www.linkedin.com/pub/jose-brunheroto/2/54/7B3</v>
      </c>
      <c r="I6379" s="2" t="s">
        <v>119</v>
      </c>
      <c r="J6379" s="2" t="s">
        <v>102</v>
      </c>
      <c r="K6379" s="2" t="s">
        <v>10209</v>
      </c>
    </row>
    <row r="6380" ht="15.75" customHeight="1">
      <c r="A6380" s="2">
        <v>33859.0</v>
      </c>
      <c r="B6380" s="2" t="s">
        <v>6531</v>
      </c>
      <c r="C6380" s="2" t="s">
        <v>2531</v>
      </c>
      <c r="D6380" s="2"/>
      <c r="E6380" s="2" t="s">
        <v>407</v>
      </c>
      <c r="F6380" s="2">
        <v>1.0</v>
      </c>
      <c r="G6380" s="2">
        <v>307.0</v>
      </c>
      <c r="H6380" s="3" t="str">
        <f>HYPERLINK("http://www.linkedin.com/pub/gerardo-chavez/0/299/927","http://www.linkedin.com/pub/gerardo-chavez/0/299/927")</f>
        <v>http://www.linkedin.com/pub/gerardo-chavez/0/299/927</v>
      </c>
      <c r="I6380" s="2" t="s">
        <v>77</v>
      </c>
      <c r="J6380" s="2" t="s">
        <v>102</v>
      </c>
      <c r="K6380" s="2" t="s">
        <v>10187</v>
      </c>
    </row>
    <row r="6381" ht="15.75" customHeight="1">
      <c r="A6381" s="2">
        <v>33980.0</v>
      </c>
      <c r="B6381" s="2" t="s">
        <v>2335</v>
      </c>
      <c r="C6381" s="2" t="s">
        <v>12384</v>
      </c>
      <c r="D6381" s="2" t="s">
        <v>12385</v>
      </c>
      <c r="E6381" s="2" t="s">
        <v>4479</v>
      </c>
      <c r="F6381" s="2">
        <v>3.0</v>
      </c>
      <c r="G6381" s="2">
        <v>500.0</v>
      </c>
      <c r="H6381" s="3" t="str">
        <f>HYPERLINK("http://www.linkedin.com/in/brunoschirch","http://www.linkedin.com/in/brunoschirch")</f>
        <v>http://www.linkedin.com/in/brunoschirch</v>
      </c>
      <c r="I6381" s="2" t="s">
        <v>143</v>
      </c>
      <c r="J6381" s="2" t="s">
        <v>102</v>
      </c>
      <c r="K6381" s="2" t="s">
        <v>10286</v>
      </c>
    </row>
    <row r="6382" ht="15.75" customHeight="1">
      <c r="A6382" s="2">
        <v>33985.0</v>
      </c>
      <c r="B6382" s="2" t="s">
        <v>12386</v>
      </c>
      <c r="C6382" s="2" t="s">
        <v>12387</v>
      </c>
      <c r="D6382" s="2" t="s">
        <v>12388</v>
      </c>
      <c r="E6382" s="2" t="s">
        <v>2058</v>
      </c>
      <c r="F6382" s="2" t="s">
        <v>13</v>
      </c>
      <c r="G6382" s="2">
        <v>500.0</v>
      </c>
      <c r="H6382" s="3" t="str">
        <f>HYPERLINK("http://www.linkedin.com/pub/michele-edelman/0/3A0/A5A","http://www.linkedin.com/pub/michele-edelman/0/3A0/A5A")</f>
        <v>http://www.linkedin.com/pub/michele-edelman/0/3A0/A5A</v>
      </c>
      <c r="I6382" s="2" t="s">
        <v>910</v>
      </c>
      <c r="J6382" s="2" t="s">
        <v>102</v>
      </c>
      <c r="K6382" s="2" t="s">
        <v>10187</v>
      </c>
    </row>
    <row r="6383" ht="15.75" customHeight="1">
      <c r="A6383" s="2">
        <v>33990.0</v>
      </c>
      <c r="B6383" s="2" t="s">
        <v>414</v>
      </c>
      <c r="C6383" s="2" t="s">
        <v>7919</v>
      </c>
      <c r="D6383" s="2"/>
      <c r="E6383" s="2" t="s">
        <v>2058</v>
      </c>
      <c r="F6383" s="2">
        <v>6.0</v>
      </c>
      <c r="G6383" s="2">
        <v>500.0</v>
      </c>
      <c r="H6383" s="3" t="str">
        <f>HYPERLINK("http://www.linkedin.com/pub/tom-deluca/0/3AA/A29","http://www.linkedin.com/pub/tom-deluca/0/3AA/A29")</f>
        <v>http://www.linkedin.com/pub/tom-deluca/0/3AA/A29</v>
      </c>
      <c r="I6383" s="2" t="s">
        <v>105</v>
      </c>
      <c r="J6383" s="2" t="s">
        <v>102</v>
      </c>
      <c r="K6383" s="2" t="s">
        <v>10209</v>
      </c>
    </row>
    <row r="6384" ht="15.75" customHeight="1">
      <c r="A6384" s="2">
        <v>34009.0</v>
      </c>
      <c r="B6384" s="2" t="s">
        <v>10781</v>
      </c>
      <c r="C6384" s="2" t="s">
        <v>12389</v>
      </c>
      <c r="D6384" s="2" t="s">
        <v>12390</v>
      </c>
      <c r="E6384" s="2" t="s">
        <v>1190</v>
      </c>
      <c r="F6384" s="2">
        <v>12.0</v>
      </c>
      <c r="G6384" s="2">
        <v>469.0</v>
      </c>
      <c r="H6384" s="3" t="str">
        <f>HYPERLINK("http://www.linkedin.com/pub/danny-bolivar/3/785/2A3","http://www.linkedin.com/pub/danny-bolivar/3/785/2A3")</f>
        <v>http://www.linkedin.com/pub/danny-bolivar/3/785/2A3</v>
      </c>
      <c r="I6384" s="2" t="s">
        <v>195</v>
      </c>
      <c r="J6384" s="2" t="s">
        <v>102</v>
      </c>
      <c r="K6384" s="2" t="s">
        <v>10209</v>
      </c>
    </row>
    <row r="6385" ht="15.75" customHeight="1">
      <c r="A6385" s="2">
        <v>34027.0</v>
      </c>
      <c r="B6385" s="2" t="s">
        <v>4183</v>
      </c>
      <c r="C6385" s="2" t="s">
        <v>12391</v>
      </c>
      <c r="D6385" s="2" t="s">
        <v>12392</v>
      </c>
      <c r="E6385" s="2" t="s">
        <v>2058</v>
      </c>
      <c r="F6385" s="2">
        <v>8.0</v>
      </c>
      <c r="G6385" s="2">
        <v>500.0</v>
      </c>
      <c r="H6385" s="3" t="str">
        <f>HYPERLINK("http://www.linkedin.com/pub/kenneth-bartlett/1/2AA/609","http://www.linkedin.com/pub/kenneth-bartlett/1/2AA/609")</f>
        <v>http://www.linkedin.com/pub/kenneth-bartlett/1/2AA/609</v>
      </c>
      <c r="I6385" s="2" t="s">
        <v>15</v>
      </c>
      <c r="J6385" s="2" t="s">
        <v>102</v>
      </c>
      <c r="K6385" s="2" t="s">
        <v>10371</v>
      </c>
    </row>
    <row r="6386" ht="15.75" customHeight="1">
      <c r="A6386" s="2">
        <v>34033.0</v>
      </c>
      <c r="B6386" s="2" t="s">
        <v>3832</v>
      </c>
      <c r="C6386" s="2" t="s">
        <v>6896</v>
      </c>
      <c r="D6386" s="2" t="s">
        <v>835</v>
      </c>
      <c r="E6386" s="2" t="s">
        <v>628</v>
      </c>
      <c r="F6386" s="2">
        <v>5.0</v>
      </c>
      <c r="G6386" s="2">
        <v>500.0</v>
      </c>
      <c r="H6386" s="3" t="str">
        <f>HYPERLINK("http://www.linkedin.com/pub/alain-castro/0/242/242","http://www.linkedin.com/pub/alain-castro/0/242/242")</f>
        <v>http://www.linkedin.com/pub/alain-castro/0/242/242</v>
      </c>
      <c r="I6386" s="2" t="s">
        <v>663</v>
      </c>
      <c r="J6386" s="2" t="s">
        <v>102</v>
      </c>
      <c r="K6386" s="2" t="s">
        <v>10187</v>
      </c>
    </row>
    <row r="6387" ht="15.75" customHeight="1">
      <c r="A6387" s="2">
        <v>34043.0</v>
      </c>
      <c r="B6387" s="2" t="s">
        <v>2109</v>
      </c>
      <c r="C6387" s="2" t="s">
        <v>12393</v>
      </c>
      <c r="D6387" s="2" t="s">
        <v>1780</v>
      </c>
      <c r="E6387" s="2" t="s">
        <v>301</v>
      </c>
      <c r="F6387" s="2">
        <v>26.0</v>
      </c>
      <c r="G6387" s="2">
        <v>500.0</v>
      </c>
      <c r="H6387" s="3" t="str">
        <f>HYPERLINK("http://www.linkedin.com/in/robmumby","http://www.linkedin.com/in/robmumby")</f>
        <v>http://www.linkedin.com/in/robmumby</v>
      </c>
      <c r="I6387" s="2" t="s">
        <v>77</v>
      </c>
      <c r="J6387" s="2" t="s">
        <v>102</v>
      </c>
      <c r="K6387" s="2" t="s">
        <v>10384</v>
      </c>
    </row>
    <row r="6388" ht="15.75" customHeight="1">
      <c r="A6388" s="2">
        <v>34045.0</v>
      </c>
      <c r="B6388" s="2" t="s">
        <v>1071</v>
      </c>
      <c r="C6388" s="2" t="s">
        <v>12394</v>
      </c>
      <c r="D6388" s="2" t="s">
        <v>12395</v>
      </c>
      <c r="E6388" s="2" t="s">
        <v>301</v>
      </c>
      <c r="F6388" s="2" t="s">
        <v>13</v>
      </c>
      <c r="G6388" s="2">
        <v>467.0</v>
      </c>
      <c r="H6388" s="3" t="str">
        <f>HYPERLINK("http://www.linkedin.com/pub/eric-raney/0/4B7/525","http://www.linkedin.com/pub/eric-raney/0/4B7/525")</f>
        <v>http://www.linkedin.com/pub/eric-raney/0/4B7/525</v>
      </c>
      <c r="I6388" s="2" t="s">
        <v>77</v>
      </c>
      <c r="J6388" s="2" t="s">
        <v>102</v>
      </c>
      <c r="K6388" s="2" t="s">
        <v>10187</v>
      </c>
    </row>
    <row r="6389" ht="15.75" customHeight="1">
      <c r="A6389" s="2">
        <v>34051.0</v>
      </c>
      <c r="B6389" s="2" t="s">
        <v>7771</v>
      </c>
      <c r="C6389" s="2" t="s">
        <v>12396</v>
      </c>
      <c r="D6389" s="2" t="s">
        <v>12397</v>
      </c>
      <c r="E6389" s="2" t="s">
        <v>255</v>
      </c>
      <c r="F6389" s="2">
        <v>5.0</v>
      </c>
      <c r="G6389" s="2">
        <v>500.0</v>
      </c>
      <c r="H6389" s="3" t="str">
        <f>HYPERLINK("http://www.linkedin.com/pub/cristiano-laux/0/259/4B9","http://www.linkedin.com/pub/cristiano-laux/0/259/4B9")</f>
        <v>http://www.linkedin.com/pub/cristiano-laux/0/259/4B9</v>
      </c>
      <c r="I6389" s="2" t="s">
        <v>57</v>
      </c>
      <c r="J6389" s="2" t="s">
        <v>102</v>
      </c>
      <c r="K6389" s="2" t="s">
        <v>12398</v>
      </c>
    </row>
    <row r="6390" ht="15.75" customHeight="1">
      <c r="A6390" s="2">
        <v>34056.0</v>
      </c>
      <c r="B6390" s="2" t="s">
        <v>12399</v>
      </c>
      <c r="C6390" s="2" t="s">
        <v>12400</v>
      </c>
      <c r="D6390" s="2" t="s">
        <v>12401</v>
      </c>
      <c r="E6390" s="2" t="s">
        <v>499</v>
      </c>
      <c r="F6390" s="2">
        <v>11.0</v>
      </c>
      <c r="G6390" s="2">
        <v>500.0</v>
      </c>
      <c r="H6390" s="3" t="str">
        <f>HYPERLINK("http://www.linkedin.com/in/gprujansky","http://www.linkedin.com/in/gprujansky")</f>
        <v>http://www.linkedin.com/in/gprujansky</v>
      </c>
      <c r="I6390" s="2" t="s">
        <v>69</v>
      </c>
      <c r="J6390" s="2" t="s">
        <v>34</v>
      </c>
      <c r="K6390" s="2" t="s">
        <v>10176</v>
      </c>
    </row>
    <row r="6391" ht="15.75" customHeight="1">
      <c r="A6391" s="2">
        <v>34062.0</v>
      </c>
      <c r="B6391" s="2" t="s">
        <v>1027</v>
      </c>
      <c r="C6391" s="2" t="s">
        <v>12402</v>
      </c>
      <c r="D6391" s="2" t="s">
        <v>12403</v>
      </c>
      <c r="E6391" s="2" t="s">
        <v>181</v>
      </c>
      <c r="F6391" s="2">
        <v>1.0</v>
      </c>
      <c r="G6391" s="2">
        <v>500.0</v>
      </c>
      <c r="H6391" s="3" t="str">
        <f>HYPERLINK("http://www.linkedin.com/pub/george-linardos/0/439/A06","http://www.linkedin.com/pub/george-linardos/0/439/A06")</f>
        <v>http://www.linkedin.com/pub/george-linardos/0/439/A06</v>
      </c>
      <c r="I6391" s="2" t="s">
        <v>1698</v>
      </c>
      <c r="J6391" s="2" t="s">
        <v>102</v>
      </c>
      <c r="K6391" s="2" t="s">
        <v>10209</v>
      </c>
    </row>
    <row r="6392" ht="15.75" customHeight="1">
      <c r="A6392" s="2">
        <v>34096.0</v>
      </c>
      <c r="B6392" s="2" t="s">
        <v>506</v>
      </c>
      <c r="C6392" s="2" t="s">
        <v>1185</v>
      </c>
      <c r="D6392" s="2"/>
      <c r="E6392" s="2" t="s">
        <v>235</v>
      </c>
      <c r="F6392" s="2">
        <v>0.0</v>
      </c>
      <c r="G6392" s="2">
        <v>500.0</v>
      </c>
      <c r="H6392" s="3" t="str">
        <f>HYPERLINK("http://www.linkedin.com/pub/jose-xavier-ferreira/0/284/2A8","http://www.linkedin.com/pub/jose-xavier-ferreira/0/284/2A8")</f>
        <v>http://www.linkedin.com/pub/jose-xavier-ferreira/0/284/2A8</v>
      </c>
      <c r="I6392" s="2" t="s">
        <v>15</v>
      </c>
      <c r="J6392" s="2" t="s">
        <v>102</v>
      </c>
      <c r="K6392" s="2" t="s">
        <v>10184</v>
      </c>
    </row>
    <row r="6393" ht="15.75" customHeight="1">
      <c r="A6393" s="2">
        <v>34147.0</v>
      </c>
      <c r="B6393" s="2" t="s">
        <v>1821</v>
      </c>
      <c r="C6393" s="2" t="s">
        <v>4536</v>
      </c>
      <c r="D6393" s="2" t="s">
        <v>12404</v>
      </c>
      <c r="E6393" s="2" t="s">
        <v>301</v>
      </c>
      <c r="F6393" s="2">
        <v>4.0</v>
      </c>
      <c r="G6393" s="2">
        <v>500.0</v>
      </c>
      <c r="H6393" s="3" t="str">
        <f>HYPERLINK("http://www.linkedin.com/pub/keith-dawson/0/B71/B17","http://www.linkedin.com/pub/keith-dawson/0/B71/B17")</f>
        <v>http://www.linkedin.com/pub/keith-dawson/0/B71/B17</v>
      </c>
      <c r="I6393" s="2" t="s">
        <v>225</v>
      </c>
      <c r="J6393" s="2" t="s">
        <v>102</v>
      </c>
      <c r="K6393" s="2" t="s">
        <v>10206</v>
      </c>
    </row>
    <row r="6394" ht="15.75" customHeight="1">
      <c r="A6394" s="2">
        <v>34242.0</v>
      </c>
      <c r="B6394" s="2" t="s">
        <v>12405</v>
      </c>
      <c r="C6394" s="2" t="s">
        <v>12406</v>
      </c>
      <c r="D6394" s="2" t="s">
        <v>6129</v>
      </c>
      <c r="E6394" s="2" t="s">
        <v>20</v>
      </c>
      <c r="F6394" s="2">
        <v>14.0</v>
      </c>
      <c r="G6394" s="2">
        <v>422.0</v>
      </c>
      <c r="H6394" s="3" t="str">
        <f>HYPERLINK("http://ar.linkedin.com/in/lisianeteixeira","http://ar.linkedin.com/in/lisianeteixeira")</f>
        <v>http://ar.linkedin.com/in/lisianeteixeira</v>
      </c>
      <c r="I6394" s="2" t="s">
        <v>15</v>
      </c>
      <c r="J6394" s="2" t="s">
        <v>21</v>
      </c>
      <c r="K6394" s="2" t="s">
        <v>12407</v>
      </c>
    </row>
    <row r="6395" ht="15.75" customHeight="1">
      <c r="A6395" s="2">
        <v>34422.0</v>
      </c>
      <c r="B6395" s="2" t="s">
        <v>7935</v>
      </c>
      <c r="C6395" s="2" t="s">
        <v>3271</v>
      </c>
      <c r="D6395" s="2" t="s">
        <v>12408</v>
      </c>
      <c r="E6395" s="2" t="s">
        <v>235</v>
      </c>
      <c r="F6395" s="2">
        <v>1.0</v>
      </c>
      <c r="G6395" s="2">
        <v>390.0</v>
      </c>
      <c r="H6395" s="3" t="str">
        <f>HYPERLINK("http://www.linkedin.com/pub/charlie-conway/0/614/62A","http://www.linkedin.com/pub/charlie-conway/0/614/62A")</f>
        <v>http://www.linkedin.com/pub/charlie-conway/0/614/62A</v>
      </c>
      <c r="I6395" s="2" t="s">
        <v>195</v>
      </c>
      <c r="J6395" s="2" t="s">
        <v>102</v>
      </c>
      <c r="K6395" s="2" t="s">
        <v>12192</v>
      </c>
    </row>
    <row r="6396" ht="15.75" customHeight="1">
      <c r="A6396" s="2">
        <v>34424.0</v>
      </c>
      <c r="B6396" s="2" t="s">
        <v>631</v>
      </c>
      <c r="C6396" s="2" t="s">
        <v>1934</v>
      </c>
      <c r="D6396" s="2"/>
      <c r="E6396" s="2" t="s">
        <v>1407</v>
      </c>
      <c r="F6396" s="2">
        <v>1.0</v>
      </c>
      <c r="G6396" s="2">
        <v>139.0</v>
      </c>
      <c r="H6396" s="3" t="str">
        <f>HYPERLINK("http://www.linkedin.com/pub/chris-kelly/3/593/829","http://www.linkedin.com/pub/chris-kelly/3/593/829")</f>
        <v>http://www.linkedin.com/pub/chris-kelly/3/593/829</v>
      </c>
      <c r="I6396" s="2" t="s">
        <v>1496</v>
      </c>
      <c r="J6396" s="2" t="s">
        <v>102</v>
      </c>
      <c r="K6396" s="2" t="s">
        <v>10187</v>
      </c>
    </row>
    <row r="6397" ht="15.75" customHeight="1">
      <c r="A6397" s="2">
        <v>34515.0</v>
      </c>
      <c r="B6397" s="2" t="s">
        <v>874</v>
      </c>
      <c r="C6397" s="2" t="s">
        <v>12409</v>
      </c>
      <c r="D6397" s="2" t="s">
        <v>12410</v>
      </c>
      <c r="E6397" s="2" t="s">
        <v>136</v>
      </c>
      <c r="F6397" s="2">
        <v>3.0</v>
      </c>
      <c r="G6397" s="2">
        <v>500.0</v>
      </c>
      <c r="H6397" s="3" t="str">
        <f>HYPERLINK("http://www.linkedin.com/in/timothymorey","http://www.linkedin.com/in/timothymorey")</f>
        <v>http://www.linkedin.com/in/timothymorey</v>
      </c>
      <c r="I6397" s="2" t="s">
        <v>57</v>
      </c>
      <c r="J6397" s="2" t="s">
        <v>102</v>
      </c>
      <c r="K6397" s="2" t="s">
        <v>10206</v>
      </c>
    </row>
    <row r="6398" ht="15.75" customHeight="1">
      <c r="A6398" s="2">
        <v>34523.0</v>
      </c>
      <c r="B6398" s="2" t="s">
        <v>5337</v>
      </c>
      <c r="C6398" s="2" t="s">
        <v>12411</v>
      </c>
      <c r="D6398" s="2" t="s">
        <v>13</v>
      </c>
      <c r="E6398" s="2" t="s">
        <v>136</v>
      </c>
      <c r="F6398" s="2">
        <v>21.0</v>
      </c>
      <c r="G6398" s="2">
        <v>500.0</v>
      </c>
      <c r="H6398" s="3" t="str">
        <f>HYPERLINK("https://www.linkedin.com/in/brentbaer","https://www.linkedin.com/in/brentbaer")</f>
        <v>https://www.linkedin.com/in/brentbaer</v>
      </c>
      <c r="I6398" s="2" t="s">
        <v>105</v>
      </c>
      <c r="J6398" s="2" t="s">
        <v>102</v>
      </c>
      <c r="K6398" s="2" t="s">
        <v>10206</v>
      </c>
    </row>
    <row r="6399" ht="15.75" customHeight="1">
      <c r="A6399" s="2">
        <v>34540.0</v>
      </c>
      <c r="B6399" s="2" t="s">
        <v>12412</v>
      </c>
      <c r="C6399" s="2" t="s">
        <v>12413</v>
      </c>
      <c r="D6399" s="2" t="s">
        <v>47</v>
      </c>
      <c r="E6399" s="2" t="s">
        <v>301</v>
      </c>
      <c r="F6399" s="2">
        <v>25.0</v>
      </c>
      <c r="G6399" s="2">
        <v>500.0</v>
      </c>
      <c r="H6399" s="3" t="str">
        <f>HYPERLINK("http://www.linkedin.com/in/mariansalzman","http://www.linkedin.com/in/mariansalzman")</f>
        <v>http://www.linkedin.com/in/mariansalzman</v>
      </c>
      <c r="I6399" s="2" t="s">
        <v>844</v>
      </c>
      <c r="J6399" s="2" t="s">
        <v>102</v>
      </c>
      <c r="K6399" s="2" t="s">
        <v>10206</v>
      </c>
    </row>
    <row r="6400" ht="15.75" customHeight="1">
      <c r="A6400" s="2">
        <v>34549.0</v>
      </c>
      <c r="B6400" s="2" t="s">
        <v>133</v>
      </c>
      <c r="C6400" s="2" t="s">
        <v>12414</v>
      </c>
      <c r="D6400" s="2" t="s">
        <v>12415</v>
      </c>
      <c r="E6400" s="2" t="s">
        <v>762</v>
      </c>
      <c r="F6400" s="2">
        <v>8.0</v>
      </c>
      <c r="G6400" s="2">
        <v>500.0</v>
      </c>
      <c r="H6400" s="3" t="str">
        <f>HYPERLINK("http://www.linkedin.com/in/drapkin","http://www.linkedin.com/in/drapkin")</f>
        <v>http://www.linkedin.com/in/drapkin</v>
      </c>
      <c r="I6400" s="2" t="s">
        <v>240</v>
      </c>
      <c r="J6400" s="2" t="s">
        <v>102</v>
      </c>
      <c r="K6400" s="2" t="s">
        <v>12416</v>
      </c>
    </row>
    <row r="6401" ht="15.75" customHeight="1">
      <c r="A6401" s="2">
        <v>34551.0</v>
      </c>
      <c r="B6401" s="2" t="s">
        <v>2457</v>
      </c>
      <c r="C6401" s="2" t="s">
        <v>12417</v>
      </c>
      <c r="D6401" s="2" t="s">
        <v>114</v>
      </c>
      <c r="E6401" s="2" t="s">
        <v>136</v>
      </c>
      <c r="F6401" s="2">
        <v>4.0</v>
      </c>
      <c r="G6401" s="2">
        <v>426.0</v>
      </c>
      <c r="H6401" s="3" t="str">
        <f>HYPERLINK("http://www.linkedin.com/pub/stephen-klein/0/A68/402","http://www.linkedin.com/pub/stephen-klein/0/A68/402")</f>
        <v>http://www.linkedin.com/pub/stephen-klein/0/A68/402</v>
      </c>
      <c r="I6401" s="2" t="s">
        <v>910</v>
      </c>
      <c r="J6401" s="2" t="s">
        <v>102</v>
      </c>
      <c r="K6401" s="2" t="s">
        <v>10206</v>
      </c>
    </row>
    <row r="6402" ht="15.75" customHeight="1">
      <c r="A6402" s="2">
        <v>34553.0</v>
      </c>
      <c r="B6402" s="2" t="s">
        <v>845</v>
      </c>
      <c r="C6402" s="2" t="s">
        <v>12418</v>
      </c>
      <c r="D6402" s="2" t="s">
        <v>835</v>
      </c>
      <c r="E6402" s="2" t="s">
        <v>301</v>
      </c>
      <c r="F6402" s="2">
        <v>6.0</v>
      </c>
      <c r="G6402" s="2">
        <v>500.0</v>
      </c>
      <c r="H6402" s="3" t="str">
        <f>HYPERLINK("http://www.linkedin.com/in/dpakman","http://www.linkedin.com/in/dpakman")</f>
        <v>http://www.linkedin.com/in/dpakman</v>
      </c>
      <c r="I6402" s="2" t="s">
        <v>709</v>
      </c>
      <c r="J6402" s="2" t="s">
        <v>102</v>
      </c>
      <c r="K6402" s="2" t="s">
        <v>10206</v>
      </c>
    </row>
    <row r="6403" ht="15.75" customHeight="1">
      <c r="A6403" s="2">
        <v>34556.0</v>
      </c>
      <c r="B6403" s="2" t="s">
        <v>59</v>
      </c>
      <c r="C6403" s="2" t="s">
        <v>923</v>
      </c>
      <c r="D6403" s="2" t="s">
        <v>12419</v>
      </c>
      <c r="E6403" s="2" t="s">
        <v>914</v>
      </c>
      <c r="F6403" s="2">
        <v>1.0</v>
      </c>
      <c r="G6403" s="2">
        <v>500.0</v>
      </c>
      <c r="H6403" s="3" t="str">
        <f>HYPERLINK("http://www.linkedin.com/in/martintobias","http://www.linkedin.com/in/martintobias")</f>
        <v>http://www.linkedin.com/in/martintobias</v>
      </c>
      <c r="I6403" s="2" t="s">
        <v>48</v>
      </c>
      <c r="J6403" s="2" t="s">
        <v>102</v>
      </c>
      <c r="K6403" s="2" t="s">
        <v>10371</v>
      </c>
    </row>
    <row r="6404" ht="15.75" customHeight="1">
      <c r="A6404" s="2">
        <v>34580.0</v>
      </c>
      <c r="B6404" s="2" t="s">
        <v>8966</v>
      </c>
      <c r="C6404" s="2" t="s">
        <v>7351</v>
      </c>
      <c r="D6404" s="2" t="s">
        <v>12420</v>
      </c>
      <c r="E6404" s="2" t="s">
        <v>301</v>
      </c>
      <c r="F6404" s="2">
        <v>24.0</v>
      </c>
      <c r="G6404" s="2">
        <v>500.0</v>
      </c>
      <c r="H6404" s="3" t="str">
        <f>HYPERLINK("http://www.linkedin.com/pub/carina-kuhl/3/25B/298","http://www.linkedin.com/pub/carina-kuhl/3/25B/298")</f>
        <v>http://www.linkedin.com/pub/carina-kuhl/3/25B/298</v>
      </c>
      <c r="I6404" s="2" t="s">
        <v>225</v>
      </c>
      <c r="J6404" s="2" t="s">
        <v>102</v>
      </c>
      <c r="K6404" s="2" t="s">
        <v>10206</v>
      </c>
    </row>
    <row r="6405" ht="15.75" customHeight="1">
      <c r="A6405" s="2">
        <v>34594.0</v>
      </c>
      <c r="B6405" s="2" t="s">
        <v>2457</v>
      </c>
      <c r="C6405" s="2" t="s">
        <v>12421</v>
      </c>
      <c r="D6405" s="2" t="s">
        <v>47</v>
      </c>
      <c r="E6405" s="2" t="s">
        <v>122</v>
      </c>
      <c r="F6405" s="2">
        <v>0.0</v>
      </c>
      <c r="G6405" s="2">
        <v>349.0</v>
      </c>
      <c r="H6405" s="3" t="str">
        <f>HYPERLINK("http://uk.linkedin.com/pub/stephen-navin/3/759/3A3","http://uk.linkedin.com/pub/stephen-navin/3/759/3A3")</f>
        <v>http://uk.linkedin.com/pub/stephen-navin/3/759/3A3</v>
      </c>
      <c r="I6405" s="2" t="s">
        <v>318</v>
      </c>
      <c r="J6405" s="2" t="s">
        <v>53</v>
      </c>
      <c r="K6405" s="2" t="s">
        <v>10799</v>
      </c>
    </row>
    <row r="6406" ht="15.75" customHeight="1">
      <c r="A6406" s="2">
        <v>34598.0</v>
      </c>
      <c r="B6406" s="2" t="s">
        <v>2457</v>
      </c>
      <c r="C6406" s="2" t="s">
        <v>1103</v>
      </c>
      <c r="D6406" s="2" t="s">
        <v>12422</v>
      </c>
      <c r="E6406" s="2" t="s">
        <v>136</v>
      </c>
      <c r="F6406" s="2">
        <v>1.0</v>
      </c>
      <c r="G6406" s="2">
        <v>182.0</v>
      </c>
      <c r="H6406" s="3" t="str">
        <f>HYPERLINK("http://www.linkedin.com/pub/stephen-hill/0/1/771","http://www.linkedin.com/pub/stephen-hill/0/1/771")</f>
        <v>http://www.linkedin.com/pub/stephen-hill/0/1/771</v>
      </c>
      <c r="I6406" s="2" t="s">
        <v>318</v>
      </c>
      <c r="J6406" s="2" t="s">
        <v>102</v>
      </c>
      <c r="K6406" s="2" t="s">
        <v>10182</v>
      </c>
    </row>
    <row r="6407" ht="15.75" customHeight="1">
      <c r="A6407" s="2">
        <v>34663.0</v>
      </c>
      <c r="B6407" s="2" t="s">
        <v>506</v>
      </c>
      <c r="C6407" s="2" t="s">
        <v>12423</v>
      </c>
      <c r="D6407" s="2" t="s">
        <v>12424</v>
      </c>
      <c r="E6407" s="2" t="s">
        <v>20</v>
      </c>
      <c r="F6407" s="2" t="s">
        <v>13</v>
      </c>
      <c r="G6407" s="2">
        <v>428.0</v>
      </c>
      <c r="H6407" s="3" t="str">
        <f>HYPERLINK("http://ar.linkedin.com/in/josefigueredo","http://ar.linkedin.com/in/josefigueredo")</f>
        <v>http://ar.linkedin.com/in/josefigueredo</v>
      </c>
      <c r="I6407" s="2" t="s">
        <v>2000</v>
      </c>
      <c r="J6407" s="2" t="s">
        <v>21</v>
      </c>
      <c r="K6407" s="2" t="s">
        <v>10206</v>
      </c>
    </row>
    <row r="6408" ht="15.75" customHeight="1">
      <c r="A6408" s="2">
        <v>34671.0</v>
      </c>
      <c r="B6408" s="2" t="s">
        <v>862</v>
      </c>
      <c r="C6408" s="2" t="s">
        <v>12425</v>
      </c>
      <c r="D6408" s="2" t="s">
        <v>13</v>
      </c>
      <c r="E6408" s="2" t="s">
        <v>20</v>
      </c>
      <c r="F6408" s="2">
        <v>0.0</v>
      </c>
      <c r="G6408" s="2">
        <v>500.0</v>
      </c>
      <c r="H6408" s="3" t="str">
        <f>HYPERLINK("http://www.linkedin.com/pub/gabriel-vinante/b/4a3/34a","http://www.linkedin.com/pub/gabriel-vinante/b/4a3/34a")</f>
        <v>http://www.linkedin.com/pub/gabriel-vinante/b/4a3/34a</v>
      </c>
      <c r="I6408" s="2" t="s">
        <v>2000</v>
      </c>
      <c r="J6408" s="2" t="s">
        <v>21</v>
      </c>
      <c r="K6408" s="2" t="s">
        <v>11270</v>
      </c>
    </row>
    <row r="6409" ht="15.75" customHeight="1">
      <c r="A6409" s="2">
        <v>34688.0</v>
      </c>
      <c r="B6409" s="2" t="s">
        <v>11</v>
      </c>
      <c r="C6409" s="2" t="s">
        <v>12426</v>
      </c>
      <c r="D6409" s="2" t="s">
        <v>12427</v>
      </c>
      <c r="E6409" s="2" t="s">
        <v>1407</v>
      </c>
      <c r="F6409" s="2">
        <v>15.0</v>
      </c>
      <c r="G6409" s="2">
        <v>406.0</v>
      </c>
      <c r="H6409" s="3" t="str">
        <f>HYPERLINK("http://www.linkedin.com/in/edlarkintexas","http://www.linkedin.com/in/edlarkintexas")</f>
        <v>http://www.linkedin.com/in/edlarkintexas</v>
      </c>
      <c r="I6409" s="2" t="s">
        <v>1496</v>
      </c>
      <c r="J6409" s="2" t="s">
        <v>102</v>
      </c>
      <c r="K6409" s="2" t="s">
        <v>10362</v>
      </c>
    </row>
    <row r="6410" ht="15.75" customHeight="1">
      <c r="A6410" s="2">
        <v>34690.0</v>
      </c>
      <c r="B6410" s="2" t="s">
        <v>754</v>
      </c>
      <c r="C6410" s="2" t="s">
        <v>12428</v>
      </c>
      <c r="D6410" s="2" t="s">
        <v>12429</v>
      </c>
      <c r="E6410" s="2" t="s">
        <v>5503</v>
      </c>
      <c r="F6410" s="2">
        <v>1.0</v>
      </c>
      <c r="G6410" s="2">
        <v>499.0</v>
      </c>
      <c r="H6410" s="3" t="str">
        <f>HYPERLINK("http://www.linkedin.com/pub/greg-hammond/0/95B/809","http://www.linkedin.com/pub/greg-hammond/0/95B/809")</f>
        <v>http://www.linkedin.com/pub/greg-hammond/0/95B/809</v>
      </c>
      <c r="I6410" s="2" t="s">
        <v>143</v>
      </c>
      <c r="J6410" s="2" t="s">
        <v>102</v>
      </c>
      <c r="K6410" s="2" t="s">
        <v>10184</v>
      </c>
    </row>
    <row r="6411" ht="15.75" customHeight="1">
      <c r="A6411" s="2">
        <v>34698.0</v>
      </c>
      <c r="B6411" s="2" t="s">
        <v>1232</v>
      </c>
      <c r="C6411" s="2" t="s">
        <v>12430</v>
      </c>
      <c r="D6411" s="2" t="s">
        <v>8962</v>
      </c>
      <c r="E6411" s="2" t="s">
        <v>628</v>
      </c>
      <c r="F6411" s="2">
        <v>4.0</v>
      </c>
      <c r="G6411" s="2">
        <v>155.0</v>
      </c>
      <c r="H6411" s="3" t="str">
        <f>HYPERLINK("http://www.linkedin.com/in/rb8888","http://www.linkedin.com/in/rb8888")</f>
        <v>http://www.linkedin.com/in/rb8888</v>
      </c>
      <c r="I6411" s="2" t="s">
        <v>1496</v>
      </c>
      <c r="J6411" s="2" t="s">
        <v>102</v>
      </c>
      <c r="K6411" s="2" t="s">
        <v>10187</v>
      </c>
    </row>
    <row r="6412" ht="15.75" customHeight="1">
      <c r="A6412" s="2">
        <v>34699.0</v>
      </c>
      <c r="B6412" s="2" t="s">
        <v>275</v>
      </c>
      <c r="C6412" s="2" t="s">
        <v>12264</v>
      </c>
      <c r="D6412" s="2" t="s">
        <v>12431</v>
      </c>
      <c r="E6412" s="2" t="s">
        <v>136</v>
      </c>
      <c r="F6412" s="2">
        <v>7.0</v>
      </c>
      <c r="G6412" s="2">
        <v>500.0</v>
      </c>
      <c r="H6412" s="3" t="str">
        <f>HYPERLINK("http://www.linkedin.com/pub/mark-hickey/1/80/745","http://www.linkedin.com/pub/mark-hickey/1/80/745")</f>
        <v>http://www.linkedin.com/pub/mark-hickey/1/80/745</v>
      </c>
      <c r="I6412" s="2" t="s">
        <v>1496</v>
      </c>
      <c r="J6412" s="2" t="s">
        <v>102</v>
      </c>
      <c r="K6412" s="2" t="s">
        <v>12432</v>
      </c>
    </row>
    <row r="6413" ht="15.75" customHeight="1">
      <c r="A6413" s="2">
        <v>34707.0</v>
      </c>
      <c r="B6413" s="2" t="s">
        <v>3015</v>
      </c>
      <c r="C6413" s="2" t="s">
        <v>12433</v>
      </c>
      <c r="D6413" s="2" t="s">
        <v>12434</v>
      </c>
      <c r="E6413" s="2" t="s">
        <v>20</v>
      </c>
      <c r="F6413" s="2">
        <v>8.0</v>
      </c>
      <c r="G6413" s="2">
        <v>500.0</v>
      </c>
      <c r="H6413" s="3" t="str">
        <f>HYPERLINK("http://ar.linkedin.com/in/lucianovairoli","http://ar.linkedin.com/in/lucianovairoli")</f>
        <v>http://ar.linkedin.com/in/lucianovairoli</v>
      </c>
      <c r="I6413" s="2" t="s">
        <v>143</v>
      </c>
      <c r="J6413" s="2" t="s">
        <v>21</v>
      </c>
      <c r="K6413" s="2" t="s">
        <v>10196</v>
      </c>
    </row>
    <row r="6414" ht="15.75" customHeight="1">
      <c r="A6414" s="2">
        <v>34712.0</v>
      </c>
      <c r="B6414" s="2" t="s">
        <v>2534</v>
      </c>
      <c r="C6414" s="2" t="s">
        <v>12435</v>
      </c>
      <c r="D6414" s="2" t="s">
        <v>12436</v>
      </c>
      <c r="E6414" s="2" t="s">
        <v>64</v>
      </c>
      <c r="F6414" s="2">
        <v>0.0</v>
      </c>
      <c r="G6414" s="2">
        <v>500.0</v>
      </c>
      <c r="H6414" s="3" t="str">
        <f>HYPERLINK("http://www.linkedin.com/pub/fran%C3%A7ois-bodson/1/86A/212","http://www.linkedin.com/pub/fran%C3%A7ois-bodson/1/86A/212")</f>
        <v>http://www.linkedin.com/pub/fran%C3%A7ois-bodson/1/86A/212</v>
      </c>
      <c r="I6414" s="2" t="s">
        <v>143</v>
      </c>
      <c r="J6414" s="2" t="s">
        <v>65</v>
      </c>
      <c r="K6414" s="2" t="s">
        <v>10173</v>
      </c>
    </row>
    <row r="6415" ht="15.75" customHeight="1">
      <c r="A6415" s="2">
        <v>34735.0</v>
      </c>
      <c r="B6415" s="2" t="s">
        <v>264</v>
      </c>
      <c r="C6415" s="2" t="s">
        <v>12437</v>
      </c>
      <c r="D6415" s="2" t="s">
        <v>12438</v>
      </c>
      <c r="E6415" s="2" t="s">
        <v>1190</v>
      </c>
      <c r="F6415" s="2">
        <v>6.0</v>
      </c>
      <c r="G6415" s="2">
        <v>315.0</v>
      </c>
      <c r="H6415" s="3" t="str">
        <f>HYPERLINK("http://www.linkedin.com/in/andrescastagna","http://www.linkedin.com/in/andrescastagna")</f>
        <v>http://www.linkedin.com/in/andrescastagna</v>
      </c>
      <c r="I6415" s="2" t="s">
        <v>77</v>
      </c>
      <c r="J6415" s="2" t="s">
        <v>102</v>
      </c>
      <c r="K6415" s="2" t="s">
        <v>10674</v>
      </c>
    </row>
    <row r="6416" ht="15.75" customHeight="1">
      <c r="A6416" s="2">
        <v>34738.0</v>
      </c>
      <c r="B6416" s="2" t="s">
        <v>5723</v>
      </c>
      <c r="C6416" s="2" t="s">
        <v>8856</v>
      </c>
      <c r="D6416" s="2" t="s">
        <v>13</v>
      </c>
      <c r="E6416" s="2" t="s">
        <v>20</v>
      </c>
      <c r="F6416" s="2">
        <v>0.0</v>
      </c>
      <c r="G6416" s="2">
        <v>500.0</v>
      </c>
      <c r="H6416" s="3" t="str">
        <f>HYPERLINK("http://ar.linkedin.com/in/pablogrande","http://ar.linkedin.com/in/pablogrande")</f>
        <v>http://ar.linkedin.com/in/pablogrande</v>
      </c>
      <c r="I6416" s="2" t="s">
        <v>77</v>
      </c>
      <c r="J6416" s="2" t="s">
        <v>21</v>
      </c>
      <c r="K6416" s="2" t="s">
        <v>10196</v>
      </c>
    </row>
    <row r="6417" ht="15.75" customHeight="1">
      <c r="A6417" s="2">
        <v>34746.0</v>
      </c>
      <c r="B6417" s="2" t="s">
        <v>531</v>
      </c>
      <c r="C6417" s="2" t="s">
        <v>12439</v>
      </c>
      <c r="D6417" s="2" t="s">
        <v>13</v>
      </c>
      <c r="E6417" s="2" t="s">
        <v>20</v>
      </c>
      <c r="F6417" s="2">
        <v>0.0</v>
      </c>
      <c r="G6417" s="2">
        <v>437.0</v>
      </c>
      <c r="H6417" s="3" t="str">
        <f>HYPERLINK("http://www.linkedin.com/pub/ruben-sessa/0/319/29a","http://www.linkedin.com/pub/ruben-sessa/0/319/29a")</f>
        <v>http://www.linkedin.com/pub/ruben-sessa/0/319/29a</v>
      </c>
      <c r="I6417" s="2" t="s">
        <v>231</v>
      </c>
      <c r="J6417" s="2" t="s">
        <v>21</v>
      </c>
      <c r="K6417" s="2" t="s">
        <v>10371</v>
      </c>
    </row>
    <row r="6418" ht="15.75" customHeight="1">
      <c r="A6418" s="2">
        <v>34749.0</v>
      </c>
      <c r="B6418" s="2" t="s">
        <v>3072</v>
      </c>
      <c r="C6418" s="2" t="s">
        <v>12440</v>
      </c>
      <c r="D6418" s="2" t="s">
        <v>380</v>
      </c>
      <c r="E6418" s="2" t="s">
        <v>20</v>
      </c>
      <c r="F6418" s="2" t="s">
        <v>13</v>
      </c>
      <c r="G6418" s="2">
        <v>500.0</v>
      </c>
      <c r="H6418" s="3" t="str">
        <f>HYPERLINK("http://ar.linkedin.com/pub/luis-neyra/11/2B3/735","http://ar.linkedin.com/pub/luis-neyra/11/2B3/735")</f>
        <v>http://ar.linkedin.com/pub/luis-neyra/11/2B3/735</v>
      </c>
      <c r="I6418" s="2" t="s">
        <v>119</v>
      </c>
      <c r="J6418" s="2" t="s">
        <v>21</v>
      </c>
      <c r="K6418" s="2" t="s">
        <v>11722</v>
      </c>
    </row>
    <row r="6419" ht="15.75" customHeight="1">
      <c r="A6419" s="2">
        <v>34761.0</v>
      </c>
      <c r="B6419" s="2" t="s">
        <v>12441</v>
      </c>
      <c r="C6419" s="2" t="s">
        <v>13</v>
      </c>
      <c r="D6419" s="2" t="s">
        <v>13</v>
      </c>
      <c r="E6419" s="2" t="s">
        <v>20</v>
      </c>
      <c r="F6419" s="2">
        <v>0.0</v>
      </c>
      <c r="G6419" s="2">
        <v>217.0</v>
      </c>
      <c r="H6419" s="3" t="str">
        <f>HYPERLINK("http://www.linkedin.com/pub/pablo-ainciart/2a/962/469","http://www.linkedin.com/pub/pablo-ainciart/2a/962/469")</f>
        <v>http://www.linkedin.com/pub/pablo-ainciart/2a/962/469</v>
      </c>
      <c r="I6419" s="2" t="s">
        <v>268</v>
      </c>
      <c r="J6419" s="2" t="s">
        <v>21</v>
      </c>
      <c r="K6419" s="2" t="s">
        <v>10176</v>
      </c>
    </row>
    <row r="6420" ht="15.75" customHeight="1">
      <c r="A6420" s="2">
        <v>34776.0</v>
      </c>
      <c r="B6420" s="2" t="s">
        <v>4553</v>
      </c>
      <c r="C6420" s="2" t="s">
        <v>12442</v>
      </c>
      <c r="D6420" s="2" t="s">
        <v>12443</v>
      </c>
      <c r="E6420" s="2" t="s">
        <v>628</v>
      </c>
      <c r="F6420" s="2">
        <v>2.0</v>
      </c>
      <c r="G6420" s="2">
        <v>193.0</v>
      </c>
      <c r="H6420" s="3" t="str">
        <f>HYPERLINK("http://www.linkedin.com/pub/billy-kirsch/0/91B/B39","http://www.linkedin.com/pub/billy-kirsch/0/91B/B39")</f>
        <v>http://www.linkedin.com/pub/billy-kirsch/0/91B/B39</v>
      </c>
      <c r="I6420" s="2" t="s">
        <v>48</v>
      </c>
      <c r="J6420" s="2" t="s">
        <v>102</v>
      </c>
      <c r="K6420" s="2" t="s">
        <v>11270</v>
      </c>
    </row>
    <row r="6421" ht="15.75" customHeight="1">
      <c r="A6421" s="2">
        <v>34778.0</v>
      </c>
      <c r="B6421" s="2" t="s">
        <v>45</v>
      </c>
      <c r="C6421" s="2" t="s">
        <v>6896</v>
      </c>
      <c r="D6421" s="2" t="s">
        <v>10377</v>
      </c>
      <c r="E6421" s="2" t="s">
        <v>12444</v>
      </c>
      <c r="F6421" s="2">
        <v>3.0</v>
      </c>
      <c r="G6421" s="2">
        <v>83.0</v>
      </c>
      <c r="H6421" s="3" t="str">
        <f>HYPERLINK("http://ar.linkedin.com/pub/carlos-castro/23/B93/349","http://ar.linkedin.com/pub/carlos-castro/23/B93/349")</f>
        <v>http://ar.linkedin.com/pub/carlos-castro/23/B93/349</v>
      </c>
      <c r="I6421" s="2" t="s">
        <v>48</v>
      </c>
      <c r="J6421" s="2" t="s">
        <v>102</v>
      </c>
      <c r="K6421" s="2" t="s">
        <v>10245</v>
      </c>
    </row>
    <row r="6422" ht="15.75" customHeight="1">
      <c r="A6422" s="2">
        <v>34794.0</v>
      </c>
      <c r="B6422" s="2" t="s">
        <v>12445</v>
      </c>
      <c r="C6422" s="2" t="s">
        <v>4317</v>
      </c>
      <c r="D6422" s="2" t="s">
        <v>12446</v>
      </c>
      <c r="E6422" s="2" t="s">
        <v>713</v>
      </c>
      <c r="F6422" s="2">
        <v>13.0</v>
      </c>
      <c r="G6422" s="2">
        <v>117.0</v>
      </c>
      <c r="H6422" s="3" t="str">
        <f>HYPERLINK("http://www.linkedin.com/pub/amy-d-wang/3/2BB/692","http://www.linkedin.com/pub/amy-d-wang/3/2BB/692")</f>
        <v>http://www.linkedin.com/pub/amy-d-wang/3/2BB/692</v>
      </c>
      <c r="I6422" s="2" t="s">
        <v>365</v>
      </c>
      <c r="J6422" s="2" t="s">
        <v>102</v>
      </c>
      <c r="K6422" s="2" t="s">
        <v>10209</v>
      </c>
    </row>
    <row r="6423" ht="15.75" customHeight="1">
      <c r="A6423" s="2">
        <v>34802.0</v>
      </c>
      <c r="B6423" s="2" t="s">
        <v>70</v>
      </c>
      <c r="C6423" s="2" t="s">
        <v>12447</v>
      </c>
      <c r="D6423" s="2" t="s">
        <v>13</v>
      </c>
      <c r="E6423" s="2" t="s">
        <v>20</v>
      </c>
      <c r="F6423" s="2">
        <v>0.0</v>
      </c>
      <c r="G6423" s="2">
        <v>191.0</v>
      </c>
      <c r="H6423" s="3" t="str">
        <f>HYPERLINK("http://www.linkedin.com/pub/gustavo-curetti/4/a51/789","http://www.linkedin.com/pub/gustavo-curetti/4/a51/789")</f>
        <v>http://www.linkedin.com/pub/gustavo-curetti/4/a51/789</v>
      </c>
      <c r="I6423" s="2" t="s">
        <v>48</v>
      </c>
      <c r="J6423" s="2" t="s">
        <v>21</v>
      </c>
      <c r="K6423" s="2" t="s">
        <v>10206</v>
      </c>
    </row>
    <row r="6424" ht="15.75" customHeight="1">
      <c r="A6424" s="2">
        <v>34806.0</v>
      </c>
      <c r="B6424" s="2" t="s">
        <v>12448</v>
      </c>
      <c r="C6424" s="2" t="s">
        <v>12449</v>
      </c>
      <c r="D6424" s="2" t="s">
        <v>13</v>
      </c>
      <c r="E6424" s="2" t="s">
        <v>20</v>
      </c>
      <c r="F6424" s="2">
        <v>0.0</v>
      </c>
      <c r="G6424" s="2">
        <v>64.0</v>
      </c>
      <c r="H6424" s="3" t="str">
        <f>HYPERLINK("http://www.linkedin.com/pub/anibal-eloy-parallela/10/345/0","http://www.linkedin.com/pub/anibal-eloy-parallela/10/345/0")</f>
        <v>http://www.linkedin.com/pub/anibal-eloy-parallela/10/345/0</v>
      </c>
      <c r="I6424" s="2" t="s">
        <v>15</v>
      </c>
      <c r="J6424" s="2" t="s">
        <v>21</v>
      </c>
      <c r="K6424" s="2" t="s">
        <v>12450</v>
      </c>
    </row>
    <row r="6425" ht="15.75" customHeight="1">
      <c r="A6425" s="2">
        <v>34843.0</v>
      </c>
      <c r="B6425" s="2" t="s">
        <v>12451</v>
      </c>
      <c r="C6425" s="2" t="s">
        <v>4729</v>
      </c>
      <c r="D6425" s="2" t="s">
        <v>12452</v>
      </c>
      <c r="E6425" s="2" t="s">
        <v>20</v>
      </c>
      <c r="F6425" s="2">
        <v>1.0</v>
      </c>
      <c r="G6425" s="2">
        <v>88.0</v>
      </c>
      <c r="H6425" s="3" t="str">
        <f>HYPERLINK("http://ar.linkedin.com/pub/elina-perez/23/744/B68","http://ar.linkedin.com/pub/elina-perez/23/744/B68")</f>
        <v>http://ar.linkedin.com/pub/elina-perez/23/744/B68</v>
      </c>
      <c r="I6425" s="2" t="s">
        <v>69</v>
      </c>
      <c r="J6425" s="2" t="s">
        <v>21</v>
      </c>
      <c r="K6425" s="2" t="s">
        <v>10173</v>
      </c>
    </row>
    <row r="6426" ht="15.75" customHeight="1">
      <c r="A6426" s="2">
        <v>34897.0</v>
      </c>
      <c r="B6426" s="2" t="s">
        <v>12453</v>
      </c>
      <c r="C6426" s="2" t="s">
        <v>12454</v>
      </c>
      <c r="D6426" s="2" t="s">
        <v>13</v>
      </c>
      <c r="E6426" s="2" t="s">
        <v>20</v>
      </c>
      <c r="F6426" s="2">
        <v>2.0</v>
      </c>
      <c r="G6426" s="2">
        <v>397.0</v>
      </c>
      <c r="H6426" s="3" t="str">
        <f>HYPERLINK("http://www.linkedin.com/pub/rodrigo-ezequiel-abadie/1a/4aa/542","http://www.linkedin.com/pub/rodrigo-ezequiel-abadie/1a/4aa/542")</f>
        <v>http://www.linkedin.com/pub/rodrigo-ezequiel-abadie/1a/4aa/542</v>
      </c>
      <c r="I6426" s="2" t="s">
        <v>48</v>
      </c>
      <c r="J6426" s="2" t="s">
        <v>21</v>
      </c>
      <c r="K6426" s="2" t="s">
        <v>10196</v>
      </c>
    </row>
    <row r="6427" ht="15.75" customHeight="1">
      <c r="A6427" s="2">
        <v>34908.0</v>
      </c>
      <c r="B6427" s="2" t="s">
        <v>5883</v>
      </c>
      <c r="C6427" s="2" t="s">
        <v>12455</v>
      </c>
      <c r="D6427" s="2" t="s">
        <v>6424</v>
      </c>
      <c r="E6427" s="2" t="s">
        <v>20</v>
      </c>
      <c r="F6427" s="2">
        <v>2.0</v>
      </c>
      <c r="G6427" s="2">
        <v>119.0</v>
      </c>
      <c r="H6427" s="3" t="str">
        <f>HYPERLINK("http://ar.linkedin.com/pub/ariel-tarsitano/27/6B0/14A","http://ar.linkedin.com/pub/ariel-tarsitano/27/6B0/14A")</f>
        <v>http://ar.linkedin.com/pub/ariel-tarsitano/27/6B0/14A</v>
      </c>
      <c r="I6427" s="2" t="s">
        <v>15</v>
      </c>
      <c r="J6427" s="2" t="s">
        <v>21</v>
      </c>
      <c r="K6427" s="2" t="s">
        <v>10196</v>
      </c>
    </row>
    <row r="6428" ht="15.75" customHeight="1">
      <c r="A6428" s="2">
        <v>34947.0</v>
      </c>
      <c r="B6428" s="2" t="s">
        <v>3385</v>
      </c>
      <c r="C6428" s="2" t="s">
        <v>12456</v>
      </c>
      <c r="D6428" s="2" t="s">
        <v>12457</v>
      </c>
      <c r="E6428" s="2" t="s">
        <v>2058</v>
      </c>
      <c r="F6428" s="2" t="s">
        <v>13</v>
      </c>
      <c r="G6428" s="2">
        <v>76.0</v>
      </c>
      <c r="H6428" s="3" t="str">
        <f>HYPERLINK("http://www.linkedin.com/pub/carrie-jones/7/781/76B","http://www.linkedin.com/pub/carrie-jones/7/781/76B")</f>
        <v>http://www.linkedin.com/pub/carrie-jones/7/781/76B</v>
      </c>
      <c r="I6428" s="2" t="s">
        <v>195</v>
      </c>
      <c r="J6428" s="2" t="s">
        <v>102</v>
      </c>
      <c r="K6428" s="2" t="s">
        <v>10988</v>
      </c>
    </row>
    <row r="6429" ht="15.75" customHeight="1">
      <c r="A6429" s="2">
        <v>34948.0</v>
      </c>
      <c r="B6429" s="2" t="s">
        <v>12458</v>
      </c>
      <c r="C6429" s="2" t="s">
        <v>12459</v>
      </c>
      <c r="D6429" s="2" t="s">
        <v>1171</v>
      </c>
      <c r="E6429" s="2" t="s">
        <v>20</v>
      </c>
      <c r="F6429" s="2" t="s">
        <v>13</v>
      </c>
      <c r="G6429" s="2">
        <v>356.0</v>
      </c>
      <c r="H6429" s="3" t="str">
        <f>HYPERLINK("http://ar.linkedin.com/in/asciutto","http://ar.linkedin.com/in/asciutto")</f>
        <v>http://ar.linkedin.com/in/asciutto</v>
      </c>
      <c r="I6429" s="2" t="s">
        <v>15</v>
      </c>
      <c r="J6429" s="2" t="s">
        <v>21</v>
      </c>
      <c r="K6429" s="2" t="s">
        <v>10173</v>
      </c>
    </row>
    <row r="6430" ht="15.75" customHeight="1">
      <c r="A6430" s="2">
        <v>34988.0</v>
      </c>
      <c r="B6430" s="2" t="s">
        <v>362</v>
      </c>
      <c r="C6430" s="2" t="s">
        <v>12460</v>
      </c>
      <c r="D6430" s="2" t="s">
        <v>7568</v>
      </c>
      <c r="E6430" s="2" t="s">
        <v>20</v>
      </c>
      <c r="F6430" s="2">
        <v>4.0</v>
      </c>
      <c r="G6430" s="2">
        <v>193.0</v>
      </c>
      <c r="H6430" s="3" t="str">
        <f>HYPERLINK("http://ar.linkedin.com/in/jdemauri","http://ar.linkedin.com/in/jdemauri")</f>
        <v>http://ar.linkedin.com/in/jdemauri</v>
      </c>
      <c r="I6430" s="2" t="s">
        <v>15</v>
      </c>
      <c r="J6430" s="2" t="s">
        <v>21</v>
      </c>
      <c r="K6430" s="2" t="s">
        <v>10196</v>
      </c>
    </row>
    <row r="6431" ht="15.75" customHeight="1">
      <c r="A6431" s="2">
        <v>34997.0</v>
      </c>
      <c r="B6431" s="2" t="s">
        <v>1076</v>
      </c>
      <c r="C6431" s="2" t="s">
        <v>12461</v>
      </c>
      <c r="D6431" s="2" t="s">
        <v>12462</v>
      </c>
      <c r="E6431" s="2" t="s">
        <v>235</v>
      </c>
      <c r="F6431" s="2">
        <v>10.0</v>
      </c>
      <c r="G6431" s="2">
        <v>500.0</v>
      </c>
      <c r="H6431" s="3" t="str">
        <f>HYPERLINK("http://www.linkedin.com/in/jpontello","http://www.linkedin.com/in/jpontello")</f>
        <v>http://www.linkedin.com/in/jpontello</v>
      </c>
      <c r="I6431" s="2" t="s">
        <v>15</v>
      </c>
      <c r="J6431" s="2" t="s">
        <v>102</v>
      </c>
      <c r="K6431" s="2" t="s">
        <v>10176</v>
      </c>
    </row>
    <row r="6432" ht="15.75" customHeight="1">
      <c r="A6432" s="2">
        <v>34998.0</v>
      </c>
      <c r="B6432" s="2" t="s">
        <v>12463</v>
      </c>
      <c r="C6432" s="2" t="s">
        <v>12464</v>
      </c>
      <c r="D6432" s="2" t="s">
        <v>12348</v>
      </c>
      <c r="E6432" s="2" t="s">
        <v>992</v>
      </c>
      <c r="F6432" s="2">
        <v>7.0</v>
      </c>
      <c r="G6432" s="2">
        <v>500.0</v>
      </c>
      <c r="H6432" s="3" t="str">
        <f>HYPERLINK("http://www.linkedin.com/in/plupals","http://www.linkedin.com/in/plupals")</f>
        <v>http://www.linkedin.com/in/plupals</v>
      </c>
      <c r="I6432" s="2" t="s">
        <v>1237</v>
      </c>
      <c r="J6432" s="2" t="s">
        <v>102</v>
      </c>
      <c r="K6432" s="2" t="s">
        <v>10187</v>
      </c>
    </row>
    <row r="6433" ht="15.75" customHeight="1">
      <c r="A6433" s="2">
        <v>35000.0</v>
      </c>
      <c r="B6433" s="2" t="s">
        <v>5728</v>
      </c>
      <c r="C6433" s="2" t="s">
        <v>7188</v>
      </c>
      <c r="D6433" s="2" t="s">
        <v>6213</v>
      </c>
      <c r="E6433" s="2" t="s">
        <v>20</v>
      </c>
      <c r="F6433" s="2">
        <v>2.0</v>
      </c>
      <c r="G6433" s="2">
        <v>263.0</v>
      </c>
      <c r="H6433" s="3" t="str">
        <f>HYPERLINK("http://ar.linkedin.com/in/maximilianovazquez","http://ar.linkedin.com/in/maximilianovazquez")</f>
        <v>http://ar.linkedin.com/in/maximilianovazquez</v>
      </c>
      <c r="I6433" s="2" t="s">
        <v>69</v>
      </c>
      <c r="J6433" s="2" t="s">
        <v>21</v>
      </c>
      <c r="K6433" s="2" t="s">
        <v>10196</v>
      </c>
    </row>
    <row r="6434" ht="15.75" customHeight="1">
      <c r="A6434" s="2">
        <v>35002.0</v>
      </c>
      <c r="B6434" s="2" t="s">
        <v>70</v>
      </c>
      <c r="C6434" s="2" t="s">
        <v>12465</v>
      </c>
      <c r="D6434" s="2" t="s">
        <v>12466</v>
      </c>
      <c r="E6434" s="2" t="s">
        <v>20</v>
      </c>
      <c r="F6434" s="2">
        <v>2.0</v>
      </c>
      <c r="G6434" s="2">
        <v>177.0</v>
      </c>
      <c r="H6434" s="3" t="str">
        <f>HYPERLINK("http://ar.linkedin.com/pub/gustavo-de-francesco/17/6A9/929","http://ar.linkedin.com/pub/gustavo-de-francesco/17/6A9/929")</f>
        <v>http://ar.linkedin.com/pub/gustavo-de-francesco/17/6A9/929</v>
      </c>
      <c r="I6434" s="2" t="s">
        <v>15</v>
      </c>
      <c r="J6434" s="2" t="s">
        <v>21</v>
      </c>
      <c r="K6434" s="2" t="s">
        <v>10196</v>
      </c>
    </row>
    <row r="6435" ht="15.75" customHeight="1">
      <c r="A6435" s="2">
        <v>35005.0</v>
      </c>
      <c r="B6435" s="2" t="s">
        <v>6666</v>
      </c>
      <c r="C6435" s="2" t="s">
        <v>12467</v>
      </c>
      <c r="D6435" s="2" t="s">
        <v>517</v>
      </c>
      <c r="E6435" s="2" t="s">
        <v>20</v>
      </c>
      <c r="F6435" s="2">
        <v>4.0</v>
      </c>
      <c r="G6435" s="2">
        <v>323.0</v>
      </c>
      <c r="H6435" s="3" t="str">
        <f>HYPERLINK("http://ar.linkedin.com/in/floressebastian","http://ar.linkedin.com/in/floressebastian")</f>
        <v>http://ar.linkedin.com/in/floressebastian</v>
      </c>
      <c r="I6435" s="2" t="s">
        <v>15</v>
      </c>
      <c r="J6435" s="2" t="s">
        <v>21</v>
      </c>
      <c r="K6435" s="2" t="s">
        <v>10206</v>
      </c>
    </row>
    <row r="6436" ht="15.75" customHeight="1">
      <c r="A6436" s="2">
        <v>35013.0</v>
      </c>
      <c r="B6436" s="2" t="s">
        <v>5723</v>
      </c>
      <c r="C6436" s="2" t="s">
        <v>3943</v>
      </c>
      <c r="D6436" s="2" t="s">
        <v>10883</v>
      </c>
      <c r="E6436" s="2" t="s">
        <v>20</v>
      </c>
      <c r="F6436" s="2">
        <v>6.0</v>
      </c>
      <c r="G6436" s="2">
        <v>310.0</v>
      </c>
      <c r="H6436" s="3" t="str">
        <f>HYPERLINK("http://ar.linkedin.com/in/psrodriguez","http://ar.linkedin.com/in/psrodriguez")</f>
        <v>http://ar.linkedin.com/in/psrodriguez</v>
      </c>
      <c r="I6436" s="2" t="s">
        <v>15</v>
      </c>
      <c r="J6436" s="2" t="s">
        <v>21</v>
      </c>
      <c r="K6436" s="2" t="s">
        <v>10196</v>
      </c>
    </row>
    <row r="6437" ht="15.75" customHeight="1">
      <c r="A6437" s="2">
        <v>35022.0</v>
      </c>
      <c r="B6437" s="2" t="s">
        <v>5723</v>
      </c>
      <c r="C6437" s="2" t="s">
        <v>12468</v>
      </c>
      <c r="D6437" s="2" t="s">
        <v>12469</v>
      </c>
      <c r="E6437" s="2" t="s">
        <v>20</v>
      </c>
      <c r="F6437" s="2">
        <v>3.0</v>
      </c>
      <c r="G6437" s="2">
        <v>340.0</v>
      </c>
      <c r="H6437" s="3" t="str">
        <f>HYPERLINK("http://ar.linkedin.com/pub/pablo-braconi/B/B87/805","http://ar.linkedin.com/pub/pablo-braconi/B/B87/805")</f>
        <v>http://ar.linkedin.com/pub/pablo-braconi/B/B87/805</v>
      </c>
      <c r="I6437" s="2" t="s">
        <v>15</v>
      </c>
      <c r="J6437" s="2" t="s">
        <v>21</v>
      </c>
      <c r="K6437" s="2" t="s">
        <v>10196</v>
      </c>
    </row>
    <row r="6438" ht="15.75" customHeight="1">
      <c r="A6438" s="2">
        <v>35046.0</v>
      </c>
      <c r="B6438" s="2" t="s">
        <v>6025</v>
      </c>
      <c r="C6438" s="2" t="s">
        <v>6583</v>
      </c>
      <c r="D6438" s="2" t="s">
        <v>12470</v>
      </c>
      <c r="E6438" s="2" t="s">
        <v>20</v>
      </c>
      <c r="F6438" s="2">
        <v>5.0</v>
      </c>
      <c r="G6438" s="2">
        <v>388.0</v>
      </c>
      <c r="H6438" s="3" t="str">
        <f>HYPERLINK("http://www.linkedin.com/in/nunezh","http://www.linkedin.com/in/nunezh")</f>
        <v>http://www.linkedin.com/in/nunezh</v>
      </c>
      <c r="I6438" s="2" t="s">
        <v>15</v>
      </c>
      <c r="J6438" s="2" t="s">
        <v>21</v>
      </c>
      <c r="K6438" s="2" t="s">
        <v>10180</v>
      </c>
    </row>
    <row r="6439" ht="15.75" customHeight="1">
      <c r="A6439" s="2">
        <v>35051.0</v>
      </c>
      <c r="B6439" s="2" t="s">
        <v>431</v>
      </c>
      <c r="C6439" s="2" t="s">
        <v>12471</v>
      </c>
      <c r="D6439" s="2" t="s">
        <v>12472</v>
      </c>
      <c r="E6439" s="2" t="s">
        <v>20</v>
      </c>
      <c r="F6439" s="2">
        <v>1.0</v>
      </c>
      <c r="G6439" s="2">
        <v>500.0</v>
      </c>
      <c r="H6439" s="3" t="str">
        <f>HYPERLINK("http://ar.linkedin.com/pub/rodrigo-donoso/0/A19/B80","http://ar.linkedin.com/pub/rodrigo-donoso/0/A19/B80")</f>
        <v>http://ar.linkedin.com/pub/rodrigo-donoso/0/A19/B80</v>
      </c>
      <c r="I6439" s="2" t="s">
        <v>458</v>
      </c>
      <c r="J6439" s="2" t="s">
        <v>21</v>
      </c>
      <c r="K6439" s="2" t="s">
        <v>10371</v>
      </c>
    </row>
    <row r="6440" ht="15.75" customHeight="1">
      <c r="A6440" s="2">
        <v>35087.0</v>
      </c>
      <c r="B6440" s="2" t="s">
        <v>12473</v>
      </c>
      <c r="C6440" s="2" t="s">
        <v>12474</v>
      </c>
      <c r="D6440" s="2"/>
      <c r="E6440" s="2" t="s">
        <v>12475</v>
      </c>
      <c r="F6440" s="2">
        <v>26.0</v>
      </c>
      <c r="G6440" s="2">
        <v>341.0</v>
      </c>
      <c r="H6440" s="3" t="str">
        <f>HYPERLINK("http://www.linkedin.com/in/braddweidenbenner","http://www.linkedin.com/in/braddweidenbenner")</f>
        <v>http://www.linkedin.com/in/braddweidenbenner</v>
      </c>
      <c r="I6440" s="2" t="s">
        <v>48</v>
      </c>
      <c r="J6440" s="2" t="s">
        <v>102</v>
      </c>
      <c r="K6440" s="2" t="s">
        <v>10184</v>
      </c>
    </row>
    <row r="6441" ht="15.75" customHeight="1">
      <c r="A6441" s="2">
        <v>35089.0</v>
      </c>
      <c r="B6441" s="2" t="s">
        <v>8937</v>
      </c>
      <c r="C6441" s="2" t="s">
        <v>12476</v>
      </c>
      <c r="D6441" s="2" t="s">
        <v>47</v>
      </c>
      <c r="E6441" s="2" t="s">
        <v>20</v>
      </c>
      <c r="F6441" s="2" t="s">
        <v>13</v>
      </c>
      <c r="G6441" s="2">
        <v>500.0</v>
      </c>
      <c r="H6441" s="3" t="str">
        <f>HYPERLINK("http://ar.linkedin.com/pub/jorge-luis-bocco/20/379/365","http://ar.linkedin.com/pub/jorge-luis-bocco/20/379/365")</f>
        <v>http://ar.linkedin.com/pub/jorge-luis-bocco/20/379/365</v>
      </c>
      <c r="I6441" s="2" t="s">
        <v>15</v>
      </c>
      <c r="J6441" s="2" t="s">
        <v>21</v>
      </c>
      <c r="K6441" s="2" t="s">
        <v>10182</v>
      </c>
    </row>
    <row r="6442" ht="15.75" customHeight="1">
      <c r="A6442" s="2">
        <v>35101.0</v>
      </c>
      <c r="B6442" s="2" t="s">
        <v>253</v>
      </c>
      <c r="C6442" s="2" t="s">
        <v>12477</v>
      </c>
      <c r="D6442" s="2" t="s">
        <v>13</v>
      </c>
      <c r="E6442" s="2" t="s">
        <v>20</v>
      </c>
      <c r="F6442" s="2">
        <v>4.0</v>
      </c>
      <c r="G6442" s="2">
        <v>491.0</v>
      </c>
      <c r="H6442" s="3" t="str">
        <f>HYPERLINK("http://www.linkedin.com/pub/fernando-milovich/6/599/95","http://www.linkedin.com/pub/fernando-milovich/6/599/95")</f>
        <v>http://www.linkedin.com/pub/fernando-milovich/6/599/95</v>
      </c>
      <c r="I6442" s="2" t="s">
        <v>77</v>
      </c>
      <c r="J6442" s="2" t="s">
        <v>21</v>
      </c>
      <c r="K6442" s="2" t="s">
        <v>10312</v>
      </c>
    </row>
    <row r="6443" ht="15.75" customHeight="1">
      <c r="A6443" s="2">
        <v>35150.0</v>
      </c>
      <c r="B6443" s="2" t="s">
        <v>12478</v>
      </c>
      <c r="C6443" s="2" t="s">
        <v>8260</v>
      </c>
      <c r="D6443" s="2" t="s">
        <v>8962</v>
      </c>
      <c r="E6443" s="2" t="s">
        <v>20</v>
      </c>
      <c r="F6443" s="2">
        <v>1.0</v>
      </c>
      <c r="G6443" s="2">
        <v>123.0</v>
      </c>
      <c r="H6443" s="3" t="str">
        <f>HYPERLINK("http://ar.linkedin.com/pub/cristian-moure/4/952/197","http://ar.linkedin.com/pub/cristian-moure/4/952/197")</f>
        <v>http://ar.linkedin.com/pub/cristian-moure/4/952/197</v>
      </c>
      <c r="I6443" s="2" t="s">
        <v>48</v>
      </c>
      <c r="J6443" s="2" t="s">
        <v>21</v>
      </c>
      <c r="K6443" s="2" t="s">
        <v>10173</v>
      </c>
    </row>
    <row r="6444" ht="15.75" customHeight="1">
      <c r="A6444" s="2">
        <v>35195.0</v>
      </c>
      <c r="B6444" s="2" t="s">
        <v>5723</v>
      </c>
      <c r="C6444" s="2" t="s">
        <v>12479</v>
      </c>
      <c r="D6444" s="2" t="s">
        <v>13</v>
      </c>
      <c r="E6444" s="2" t="s">
        <v>20</v>
      </c>
      <c r="F6444" s="2">
        <v>0.0</v>
      </c>
      <c r="G6444" s="2">
        <v>500.0</v>
      </c>
      <c r="H6444" s="3" t="str">
        <f>HYPERLINK("http://www.linkedin.com/pub/pablo-mercurio/5/121/394","http://www.linkedin.com/pub/pablo-mercurio/5/121/394")</f>
        <v>http://www.linkedin.com/pub/pablo-mercurio/5/121/394</v>
      </c>
      <c r="I6444" s="2" t="s">
        <v>1679</v>
      </c>
      <c r="J6444" s="2" t="s">
        <v>21</v>
      </c>
      <c r="K6444" s="2" t="s">
        <v>10196</v>
      </c>
    </row>
    <row r="6445" ht="15.75" customHeight="1">
      <c r="A6445" s="2">
        <v>35213.0</v>
      </c>
      <c r="B6445" s="2" t="s">
        <v>353</v>
      </c>
      <c r="C6445" s="2" t="s">
        <v>12480</v>
      </c>
      <c r="D6445" s="2" t="s">
        <v>13</v>
      </c>
      <c r="E6445" s="2" t="s">
        <v>20</v>
      </c>
      <c r="F6445" s="2">
        <v>10.0</v>
      </c>
      <c r="G6445" s="2">
        <v>500.0</v>
      </c>
      <c r="H6445" s="3" t="str">
        <f>HYPERLINK("http://www.linkedin.com/pub/alejandro-pariz/9/1a7/290","http://www.linkedin.com/pub/alejandro-pariz/9/1a7/290")</f>
        <v>http://www.linkedin.com/pub/alejandro-pariz/9/1a7/290</v>
      </c>
      <c r="I6445" s="2" t="s">
        <v>15</v>
      </c>
      <c r="J6445" s="2" t="s">
        <v>21</v>
      </c>
      <c r="K6445" s="2" t="s">
        <v>10196</v>
      </c>
    </row>
    <row r="6446" ht="15.75" customHeight="1">
      <c r="A6446" s="2">
        <v>35231.0</v>
      </c>
      <c r="B6446" s="2" t="s">
        <v>23</v>
      </c>
      <c r="C6446" s="2" t="s">
        <v>12481</v>
      </c>
      <c r="D6446" s="2" t="s">
        <v>2048</v>
      </c>
      <c r="E6446" s="2" t="s">
        <v>914</v>
      </c>
      <c r="F6446" s="2">
        <v>0.0</v>
      </c>
      <c r="G6446" s="2">
        <v>500.0</v>
      </c>
      <c r="H6446" s="3" t="str">
        <f>HYPERLINK("http://www.linkedin.com/pub/julio-de-villasante/4/753/485","http://www.linkedin.com/pub/julio-de-villasante/4/753/485")</f>
        <v>http://www.linkedin.com/pub/julio-de-villasante/4/753/485</v>
      </c>
      <c r="I6446" s="2" t="s">
        <v>15</v>
      </c>
      <c r="J6446" s="2" t="s">
        <v>102</v>
      </c>
      <c r="K6446" s="2" t="s">
        <v>10233</v>
      </c>
    </row>
    <row r="6447" ht="15.75" customHeight="1">
      <c r="A6447" s="2">
        <v>35237.0</v>
      </c>
      <c r="B6447" s="2" t="s">
        <v>5078</v>
      </c>
      <c r="C6447" s="2" t="s">
        <v>12482</v>
      </c>
      <c r="D6447" s="2" t="s">
        <v>13</v>
      </c>
      <c r="E6447" s="2" t="s">
        <v>20</v>
      </c>
      <c r="F6447" s="2">
        <v>0.0</v>
      </c>
      <c r="G6447" s="2">
        <v>500.0</v>
      </c>
      <c r="H6447" s="3" t="str">
        <f>HYPERLINK("http://www.linkedin.com/pub/diego-fernandez-del-casal/8/692/ba5","http://www.linkedin.com/pub/diego-fernandez-del-casal/8/692/ba5")</f>
        <v>http://www.linkedin.com/pub/diego-fernandez-del-casal/8/692/ba5</v>
      </c>
      <c r="I6447" s="2" t="s">
        <v>15</v>
      </c>
      <c r="J6447" s="2" t="s">
        <v>21</v>
      </c>
      <c r="K6447" s="2" t="s">
        <v>10206</v>
      </c>
    </row>
    <row r="6448" ht="15.75" customHeight="1">
      <c r="A6448" s="2">
        <v>35248.0</v>
      </c>
      <c r="B6448" s="2" t="s">
        <v>193</v>
      </c>
      <c r="C6448" s="2" t="s">
        <v>12483</v>
      </c>
      <c r="D6448" s="2" t="s">
        <v>347</v>
      </c>
      <c r="E6448" s="2" t="s">
        <v>20</v>
      </c>
      <c r="F6448" s="2">
        <v>2.0</v>
      </c>
      <c r="G6448" s="2">
        <v>165.0</v>
      </c>
      <c r="H6448" s="3" t="str">
        <f>HYPERLINK("http://ar.linkedin.com/in/gmarazzita","http://ar.linkedin.com/in/gmarazzita")</f>
        <v>http://ar.linkedin.com/in/gmarazzita</v>
      </c>
      <c r="I6448" s="2" t="s">
        <v>15</v>
      </c>
      <c r="J6448" s="2" t="s">
        <v>21</v>
      </c>
      <c r="K6448" s="2" t="s">
        <v>10178</v>
      </c>
    </row>
    <row r="6449" ht="15.75" customHeight="1">
      <c r="A6449" s="2">
        <v>35251.0</v>
      </c>
      <c r="B6449" s="2" t="s">
        <v>862</v>
      </c>
      <c r="C6449" s="2" t="s">
        <v>12484</v>
      </c>
      <c r="D6449" s="2" t="s">
        <v>42</v>
      </c>
      <c r="E6449" s="2" t="s">
        <v>20</v>
      </c>
      <c r="F6449" s="2" t="s">
        <v>13</v>
      </c>
      <c r="G6449" s="2">
        <v>500.0</v>
      </c>
      <c r="H6449" s="3" t="str">
        <f>HYPERLINK("http://ar.linkedin.com/pub/gabriel-bracamonte/1/A73/302","http://ar.linkedin.com/pub/gabriel-bracamonte/1/A73/302")</f>
        <v>http://ar.linkedin.com/pub/gabriel-bracamonte/1/A73/302</v>
      </c>
      <c r="I6449" s="2" t="s">
        <v>57</v>
      </c>
      <c r="J6449" s="2" t="s">
        <v>21</v>
      </c>
      <c r="K6449" s="2" t="s">
        <v>10371</v>
      </c>
    </row>
    <row r="6450" ht="15.75" customHeight="1">
      <c r="A6450" s="2">
        <v>35316.0</v>
      </c>
      <c r="B6450" s="2" t="s">
        <v>2646</v>
      </c>
      <c r="C6450" s="2" t="s">
        <v>12485</v>
      </c>
      <c r="D6450" s="2"/>
      <c r="E6450" s="2" t="s">
        <v>1547</v>
      </c>
      <c r="F6450" s="2">
        <v>0.0</v>
      </c>
      <c r="G6450" s="2">
        <v>500.0</v>
      </c>
      <c r="H6450" s="3" t="str">
        <f>HYPERLINK("http://www.linkedin.com/pub/justin-winder/1/22/690","http://www.linkedin.com/pub/justin-winder/1/22/690")</f>
        <v>http://www.linkedin.com/pub/justin-winder/1/22/690</v>
      </c>
      <c r="I6450" s="2" t="s">
        <v>15</v>
      </c>
      <c r="J6450" s="2" t="s">
        <v>102</v>
      </c>
      <c r="K6450" s="2" t="s">
        <v>10184</v>
      </c>
    </row>
    <row r="6451" ht="15.75" customHeight="1">
      <c r="A6451" s="2">
        <v>35437.0</v>
      </c>
      <c r="B6451" s="2" t="s">
        <v>70</v>
      </c>
      <c r="C6451" s="2" t="s">
        <v>361</v>
      </c>
      <c r="D6451" s="2" t="s">
        <v>12486</v>
      </c>
      <c r="E6451" s="2" t="s">
        <v>20</v>
      </c>
      <c r="F6451" s="2">
        <v>3.0</v>
      </c>
      <c r="G6451" s="2">
        <v>275.0</v>
      </c>
      <c r="H6451" s="3" t="str">
        <f>HYPERLINK("http://ar.linkedin.com/in/machadogj","http://ar.linkedin.com/in/machadogj")</f>
        <v>http://ar.linkedin.com/in/machadogj</v>
      </c>
      <c r="I6451" s="2" t="s">
        <v>15</v>
      </c>
      <c r="J6451" s="2" t="s">
        <v>21</v>
      </c>
      <c r="K6451" s="2" t="s">
        <v>10196</v>
      </c>
    </row>
    <row r="6452" ht="15.75" customHeight="1">
      <c r="A6452" s="2">
        <v>35455.0</v>
      </c>
      <c r="B6452" s="2" t="s">
        <v>116</v>
      </c>
      <c r="C6452" s="2" t="s">
        <v>12487</v>
      </c>
      <c r="D6452" s="2" t="s">
        <v>12488</v>
      </c>
      <c r="E6452" s="2" t="s">
        <v>136</v>
      </c>
      <c r="F6452" s="2">
        <v>7.0</v>
      </c>
      <c r="G6452" s="2">
        <v>271.0</v>
      </c>
      <c r="H6452" s="3" t="str">
        <f>HYPERLINK("http://www.linkedin.com/in/alexpomeranz","http://www.linkedin.com/in/alexpomeranz")</f>
        <v>http://www.linkedin.com/in/alexpomeranz</v>
      </c>
      <c r="I6452" s="2" t="s">
        <v>143</v>
      </c>
      <c r="J6452" s="2" t="s">
        <v>102</v>
      </c>
      <c r="K6452" s="2" t="s">
        <v>10245</v>
      </c>
    </row>
    <row r="6453" ht="15.75" customHeight="1">
      <c r="A6453" s="2">
        <v>35463.0</v>
      </c>
      <c r="B6453" s="2" t="s">
        <v>12489</v>
      </c>
      <c r="C6453" s="2" t="s">
        <v>3692</v>
      </c>
      <c r="D6453" s="2" t="s">
        <v>13</v>
      </c>
      <c r="E6453" s="2" t="s">
        <v>20</v>
      </c>
      <c r="F6453" s="2">
        <v>0.0</v>
      </c>
      <c r="G6453" s="2">
        <v>291.0</v>
      </c>
      <c r="H6453" s="3" t="str">
        <f>HYPERLINK("http://www.linkedin.com/pub/tuckey-federico/15/506/432","http://www.linkedin.com/pub/tuckey-federico/15/506/432")</f>
        <v>http://www.linkedin.com/pub/tuckey-federico/15/506/432</v>
      </c>
      <c r="I6453" s="2" t="s">
        <v>2000</v>
      </c>
      <c r="J6453" s="2" t="s">
        <v>21</v>
      </c>
      <c r="K6453" s="2" t="s">
        <v>10206</v>
      </c>
    </row>
    <row r="6454" ht="15.75" customHeight="1">
      <c r="A6454" s="2">
        <v>35464.0</v>
      </c>
      <c r="B6454" s="2" t="s">
        <v>12490</v>
      </c>
      <c r="C6454" s="2" t="s">
        <v>12491</v>
      </c>
      <c r="D6454" s="2" t="s">
        <v>6929</v>
      </c>
      <c r="E6454" s="2" t="s">
        <v>20</v>
      </c>
      <c r="F6454" s="2">
        <v>7.0</v>
      </c>
      <c r="G6454" s="2">
        <v>288.0</v>
      </c>
      <c r="H6454" s="3" t="str">
        <f>HYPERLINK("http://ar.linkedin.com/in/rodrigomendez","http://ar.linkedin.com/in/rodrigomendez")</f>
        <v>http://ar.linkedin.com/in/rodrigomendez</v>
      </c>
      <c r="I6454" s="2" t="s">
        <v>15</v>
      </c>
      <c r="J6454" s="2" t="s">
        <v>21</v>
      </c>
      <c r="K6454" s="2" t="s">
        <v>10196</v>
      </c>
    </row>
    <row r="6455" ht="15.75" customHeight="1">
      <c r="A6455" s="2">
        <v>35495.0</v>
      </c>
      <c r="B6455" s="2" t="s">
        <v>1499</v>
      </c>
      <c r="C6455" s="2" t="s">
        <v>12492</v>
      </c>
      <c r="D6455" s="2" t="s">
        <v>12493</v>
      </c>
      <c r="E6455" s="2" t="s">
        <v>20</v>
      </c>
      <c r="F6455" s="2">
        <v>3.0</v>
      </c>
      <c r="G6455" s="2">
        <v>258.0</v>
      </c>
      <c r="H6455" s="3" t="str">
        <f>HYPERLINK("http://ar.linkedin.com/in/adriande","http://ar.linkedin.com/in/adriande")</f>
        <v>http://ar.linkedin.com/in/adriande</v>
      </c>
      <c r="I6455" s="2" t="s">
        <v>15</v>
      </c>
      <c r="J6455" s="2" t="s">
        <v>21</v>
      </c>
      <c r="K6455" s="2" t="s">
        <v>10196</v>
      </c>
    </row>
    <row r="6456" ht="15.75" customHeight="1">
      <c r="A6456" s="2">
        <v>35512.0</v>
      </c>
      <c r="B6456" s="2" t="s">
        <v>492</v>
      </c>
      <c r="C6456" s="2" t="s">
        <v>12494</v>
      </c>
      <c r="D6456" s="2" t="s">
        <v>12495</v>
      </c>
      <c r="E6456" s="2" t="s">
        <v>20</v>
      </c>
      <c r="F6456" s="2">
        <v>7.0</v>
      </c>
      <c r="G6456" s="2">
        <v>117.0</v>
      </c>
      <c r="H6456" s="3" t="str">
        <f>HYPERLINK("http://ar.linkedin.com/pub/sergio-goldenstein/7/B85/597","http://ar.linkedin.com/pub/sergio-goldenstein/7/B85/597")</f>
        <v>http://ar.linkedin.com/pub/sergio-goldenstein/7/B85/597</v>
      </c>
      <c r="I6456" s="2" t="s">
        <v>48</v>
      </c>
      <c r="J6456" s="2" t="s">
        <v>21</v>
      </c>
      <c r="K6456" s="2" t="s">
        <v>10196</v>
      </c>
    </row>
    <row r="6457" ht="15.75" customHeight="1">
      <c r="A6457" s="2">
        <v>35517.0</v>
      </c>
      <c r="B6457" s="2" t="s">
        <v>1454</v>
      </c>
      <c r="C6457" s="2" t="s">
        <v>9869</v>
      </c>
      <c r="D6457" s="2" t="s">
        <v>12496</v>
      </c>
      <c r="E6457" s="2" t="s">
        <v>20</v>
      </c>
      <c r="F6457" s="2">
        <v>4.0</v>
      </c>
      <c r="G6457" s="2">
        <v>356.0</v>
      </c>
      <c r="H6457" s="3" t="str">
        <f>HYPERLINK("http://ar.linkedin.com/pub/alan-scheinkman/5/871/563","http://ar.linkedin.com/pub/alan-scheinkman/5/871/563")</f>
        <v>http://ar.linkedin.com/pub/alan-scheinkman/5/871/563</v>
      </c>
      <c r="I6457" s="2" t="s">
        <v>15</v>
      </c>
      <c r="J6457" s="2" t="s">
        <v>21</v>
      </c>
      <c r="K6457" s="2" t="s">
        <v>10196</v>
      </c>
    </row>
    <row r="6458" ht="15.75" customHeight="1">
      <c r="A6458" s="2">
        <v>35542.0</v>
      </c>
      <c r="B6458" s="2" t="s">
        <v>253</v>
      </c>
      <c r="C6458" s="2" t="s">
        <v>12497</v>
      </c>
      <c r="D6458" s="2" t="s">
        <v>13</v>
      </c>
      <c r="E6458" s="2" t="s">
        <v>20</v>
      </c>
      <c r="F6458" s="2">
        <v>3.0</v>
      </c>
      <c r="G6458" s="2">
        <v>500.0</v>
      </c>
      <c r="H6458" s="3" t="str">
        <f>HYPERLINK("http://www.linkedin.com/pub/fernando-acenso/24/a59/894","http://www.linkedin.com/pub/fernando-acenso/24/a59/894")</f>
        <v>http://www.linkedin.com/pub/fernando-acenso/24/a59/894</v>
      </c>
      <c r="I6458" s="2" t="s">
        <v>2081</v>
      </c>
      <c r="J6458" s="2" t="s">
        <v>21</v>
      </c>
      <c r="K6458" s="2" t="s">
        <v>10229</v>
      </c>
    </row>
    <row r="6459" ht="15.75" customHeight="1">
      <c r="A6459" s="2">
        <v>35584.0</v>
      </c>
      <c r="B6459" s="2" t="s">
        <v>12498</v>
      </c>
      <c r="C6459" s="2" t="s">
        <v>12499</v>
      </c>
      <c r="D6459" s="2" t="s">
        <v>12500</v>
      </c>
      <c r="E6459" s="2" t="s">
        <v>1407</v>
      </c>
      <c r="F6459" s="2">
        <v>0.0</v>
      </c>
      <c r="G6459" s="2">
        <v>209.0</v>
      </c>
      <c r="H6459" s="3" t="str">
        <f>HYPERLINK("http://www.linkedin.com/pub/tami-oquinn-mba-pmp/3/A82/B56","http://www.linkedin.com/pub/tami-oquinn-mba-pmp/3/A82/B56")</f>
        <v>http://www.linkedin.com/pub/tami-oquinn-mba-pmp/3/A82/B56</v>
      </c>
      <c r="I6459" s="2" t="s">
        <v>279</v>
      </c>
      <c r="J6459" s="2" t="s">
        <v>102</v>
      </c>
      <c r="K6459" s="2" t="s">
        <v>10184</v>
      </c>
    </row>
    <row r="6460" ht="15.75" customHeight="1">
      <c r="A6460" s="2">
        <v>35588.0</v>
      </c>
      <c r="B6460" s="2" t="s">
        <v>460</v>
      </c>
      <c r="C6460" s="2" t="s">
        <v>12501</v>
      </c>
      <c r="D6460" s="2" t="s">
        <v>8962</v>
      </c>
      <c r="E6460" s="2" t="s">
        <v>914</v>
      </c>
      <c r="F6460" s="2">
        <v>6.0</v>
      </c>
      <c r="G6460" s="2">
        <v>345.0</v>
      </c>
      <c r="H6460" s="3" t="str">
        <f>HYPERLINK("http://www.linkedin.com/pub/john-beezer/0/2BA/232","http://www.linkedin.com/pub/john-beezer/0/2BA/232")</f>
        <v>http://www.linkedin.com/pub/john-beezer/0/2BA/232</v>
      </c>
      <c r="I6460" s="2" t="s">
        <v>69</v>
      </c>
      <c r="J6460" s="2" t="s">
        <v>102</v>
      </c>
      <c r="K6460" s="2" t="s">
        <v>12502</v>
      </c>
    </row>
    <row r="6461" ht="15.75" customHeight="1">
      <c r="A6461" s="2">
        <v>35590.0</v>
      </c>
      <c r="B6461" s="2" t="s">
        <v>12503</v>
      </c>
      <c r="C6461" s="2" t="s">
        <v>12504</v>
      </c>
      <c r="D6461" s="2" t="s">
        <v>5628</v>
      </c>
      <c r="E6461" s="2" t="s">
        <v>397</v>
      </c>
      <c r="F6461" s="2">
        <v>19.0</v>
      </c>
      <c r="G6461" s="2">
        <v>500.0</v>
      </c>
      <c r="H6461" s="3" t="str">
        <f>HYPERLINK("http://www.linkedin.com/in/vicsarjoo","http://www.linkedin.com/in/vicsarjoo")</f>
        <v>http://www.linkedin.com/in/vicsarjoo</v>
      </c>
      <c r="I6461" s="2" t="s">
        <v>318</v>
      </c>
      <c r="J6461" s="2" t="s">
        <v>102</v>
      </c>
      <c r="K6461" s="2" t="s">
        <v>10482</v>
      </c>
    </row>
    <row r="6462" ht="15.75" customHeight="1">
      <c r="A6462" s="2">
        <v>35591.0</v>
      </c>
      <c r="B6462" s="2" t="s">
        <v>845</v>
      </c>
      <c r="C6462" s="2" t="s">
        <v>12505</v>
      </c>
      <c r="D6462" s="2" t="s">
        <v>756</v>
      </c>
      <c r="E6462" s="2" t="s">
        <v>713</v>
      </c>
      <c r="F6462" s="2">
        <v>7.0</v>
      </c>
      <c r="G6462" s="2">
        <v>500.0</v>
      </c>
      <c r="H6462" s="3" t="str">
        <f>HYPERLINK("http://www.linkedin.com/in/davekusek","http://www.linkedin.com/in/davekusek")</f>
        <v>http://www.linkedin.com/in/davekusek</v>
      </c>
      <c r="I6462" s="2" t="s">
        <v>326</v>
      </c>
      <c r="J6462" s="2" t="s">
        <v>102</v>
      </c>
      <c r="K6462" s="2" t="s">
        <v>10187</v>
      </c>
    </row>
    <row r="6463" ht="15.75" customHeight="1">
      <c r="A6463" s="2">
        <v>35606.0</v>
      </c>
      <c r="B6463" s="2" t="s">
        <v>558</v>
      </c>
      <c r="C6463" s="2" t="s">
        <v>1502</v>
      </c>
      <c r="D6463" s="2"/>
      <c r="E6463" s="2" t="s">
        <v>2058</v>
      </c>
      <c r="F6463" s="2">
        <v>25.0</v>
      </c>
      <c r="G6463" s="2">
        <v>500.0</v>
      </c>
      <c r="H6463" s="3" t="str">
        <f>HYPERLINK("http://www.linkedin.com/pub/ted-cohen/0/25/650","http://www.linkedin.com/pub/ted-cohen/0/25/650")</f>
        <v>http://www.linkedin.com/pub/ted-cohen/0/25/650</v>
      </c>
      <c r="I6463" s="2" t="s">
        <v>15</v>
      </c>
      <c r="J6463" s="2" t="s">
        <v>102</v>
      </c>
      <c r="K6463" s="2" t="s">
        <v>10184</v>
      </c>
    </row>
    <row r="6464" ht="15.75" customHeight="1">
      <c r="A6464" s="2">
        <v>35609.0</v>
      </c>
      <c r="B6464" s="2" t="s">
        <v>4677</v>
      </c>
      <c r="C6464" s="2" t="s">
        <v>12506</v>
      </c>
      <c r="D6464" s="2" t="s">
        <v>12507</v>
      </c>
      <c r="E6464" s="2" t="s">
        <v>301</v>
      </c>
      <c r="F6464" s="2">
        <v>4.0</v>
      </c>
      <c r="G6464" s="2">
        <v>500.0</v>
      </c>
      <c r="H6464" s="3" t="str">
        <f>HYPERLINK("http://www.linkedin.com/pub/pete-ganbarg/1/712/51A","http://www.linkedin.com/pub/pete-ganbarg/1/712/51A")</f>
        <v>http://www.linkedin.com/pub/pete-ganbarg/1/712/51A</v>
      </c>
      <c r="I6464" s="2" t="s">
        <v>318</v>
      </c>
      <c r="J6464" s="2" t="s">
        <v>102</v>
      </c>
      <c r="K6464" s="2" t="s">
        <v>10206</v>
      </c>
    </row>
    <row r="6465" ht="15.75" customHeight="1">
      <c r="A6465" s="2">
        <v>35613.0</v>
      </c>
      <c r="B6465" s="2" t="s">
        <v>12508</v>
      </c>
      <c r="C6465" s="2" t="s">
        <v>12509</v>
      </c>
      <c r="D6465" s="2" t="s">
        <v>12510</v>
      </c>
      <c r="E6465" s="2" t="s">
        <v>1190</v>
      </c>
      <c r="F6465" s="2">
        <v>22.0</v>
      </c>
      <c r="G6465" s="2">
        <v>500.0</v>
      </c>
      <c r="H6465" s="3" t="str">
        <f>HYPERLINK("http://www.linkedin.com/in/ornellaindonie","http://www.linkedin.com/in/ornellaindonie")</f>
        <v>http://www.linkedin.com/in/ornellaindonie</v>
      </c>
      <c r="I6465" s="2" t="s">
        <v>1452</v>
      </c>
      <c r="J6465" s="2" t="s">
        <v>102</v>
      </c>
      <c r="K6465" s="2" t="s">
        <v>12511</v>
      </c>
    </row>
    <row r="6466" ht="15.75" customHeight="1">
      <c r="A6466" s="2">
        <v>35798.0</v>
      </c>
      <c r="B6466" s="2" t="s">
        <v>6988</v>
      </c>
      <c r="C6466" s="2" t="s">
        <v>12512</v>
      </c>
      <c r="D6466" s="2" t="s">
        <v>13</v>
      </c>
      <c r="E6466" s="2" t="s">
        <v>2794</v>
      </c>
      <c r="F6466" s="2">
        <v>15.0</v>
      </c>
      <c r="G6466" s="2">
        <v>500.0</v>
      </c>
      <c r="H6466" s="3" t="str">
        <f>HYPERLINK("http://www.linkedin.com/pub/ernesto-galv%C3%A1n-contreras/9/843/905","http://www.linkedin.com/pub/ernesto-galv%C3%A1n-contreras/9/843/905")</f>
        <v>http://www.linkedin.com/pub/ernesto-galv%C3%A1n-contreras/9/843/905</v>
      </c>
      <c r="I6466" s="2" t="s">
        <v>105</v>
      </c>
      <c r="J6466" s="2" t="s">
        <v>28</v>
      </c>
      <c r="K6466" s="2" t="s">
        <v>10206</v>
      </c>
    </row>
    <row r="6467" ht="15.75" customHeight="1">
      <c r="A6467" s="2">
        <v>35902.0</v>
      </c>
      <c r="B6467" s="2" t="s">
        <v>4860</v>
      </c>
      <c r="C6467" s="2" t="s">
        <v>12513</v>
      </c>
      <c r="D6467" s="2" t="s">
        <v>12514</v>
      </c>
      <c r="E6467" s="2" t="s">
        <v>301</v>
      </c>
      <c r="F6467" s="2">
        <v>12.0</v>
      </c>
      <c r="G6467" s="2">
        <v>500.0</v>
      </c>
      <c r="H6467" s="3" t="str">
        <f>HYPERLINK("http://www.linkedin.com/in/stefanosassu","http://www.linkedin.com/in/stefanosassu")</f>
        <v>http://www.linkedin.com/in/stefanosassu</v>
      </c>
      <c r="I6467" s="2" t="s">
        <v>910</v>
      </c>
      <c r="J6467" s="2" t="s">
        <v>102</v>
      </c>
      <c r="K6467" s="2" t="s">
        <v>10286</v>
      </c>
    </row>
    <row r="6468" ht="15.75" customHeight="1">
      <c r="A6468" s="2">
        <v>35949.0</v>
      </c>
      <c r="B6468" s="2" t="s">
        <v>1071</v>
      </c>
      <c r="C6468" s="2" t="s">
        <v>12515</v>
      </c>
      <c r="D6468" s="2"/>
      <c r="E6468" s="2" t="s">
        <v>136</v>
      </c>
      <c r="F6468" s="2">
        <v>0.0</v>
      </c>
      <c r="G6468" s="2">
        <v>500.0</v>
      </c>
      <c r="H6468" s="3" t="str">
        <f>HYPERLINK("http://www.linkedin.com/in/ericsettton","http://www.linkedin.com/in/ericsettton")</f>
        <v>http://www.linkedin.com/in/ericsettton</v>
      </c>
      <c r="I6468" s="2" t="s">
        <v>77</v>
      </c>
      <c r="J6468" s="2" t="s">
        <v>102</v>
      </c>
      <c r="K6468" s="2" t="s">
        <v>10187</v>
      </c>
    </row>
    <row r="6469" ht="15.75" customHeight="1">
      <c r="A6469" s="2">
        <v>35971.0</v>
      </c>
      <c r="B6469" s="2" t="s">
        <v>12516</v>
      </c>
      <c r="C6469" s="2" t="s">
        <v>12517</v>
      </c>
      <c r="D6469" s="2" t="s">
        <v>13</v>
      </c>
      <c r="E6469" s="2" t="s">
        <v>11392</v>
      </c>
      <c r="F6469" s="2">
        <v>5.0</v>
      </c>
      <c r="G6469" s="2">
        <v>500.0</v>
      </c>
      <c r="H6469" s="3" t="str">
        <f>HYPERLINK("http://www.linkedin.com/pub/william-w-johnson-itil-v3-mba/0/12b/22b","http://www.linkedin.com/pub/william-w-johnson-itil-v3-mba/0/12b/22b")</f>
        <v>http://www.linkedin.com/pub/william-w-johnson-itil-v3-mba/0/12b/22b</v>
      </c>
      <c r="I6469" s="2" t="s">
        <v>77</v>
      </c>
      <c r="J6469" s="2" t="s">
        <v>102</v>
      </c>
      <c r="K6469" s="2" t="s">
        <v>10209</v>
      </c>
    </row>
    <row r="6470" ht="15.75" customHeight="1">
      <c r="A6470" s="2">
        <v>35995.0</v>
      </c>
      <c r="B6470" s="2" t="s">
        <v>7834</v>
      </c>
      <c r="C6470" s="2" t="s">
        <v>12518</v>
      </c>
      <c r="D6470" s="2" t="s">
        <v>12519</v>
      </c>
      <c r="E6470" s="2" t="s">
        <v>20</v>
      </c>
      <c r="F6470" s="2">
        <v>1.0</v>
      </c>
      <c r="G6470" s="2">
        <v>97.0</v>
      </c>
      <c r="H6470" s="3" t="str">
        <f>HYPERLINK("http://ar.linkedin.com/in/carlosbastiani","http://ar.linkedin.com/in/carlosbastiani")</f>
        <v>http://ar.linkedin.com/in/carlosbastiani</v>
      </c>
      <c r="I6470" s="2" t="s">
        <v>15</v>
      </c>
      <c r="J6470" s="2" t="s">
        <v>21</v>
      </c>
      <c r="K6470" s="2" t="s">
        <v>10173</v>
      </c>
    </row>
    <row r="6471" ht="15.75" customHeight="1">
      <c r="A6471" s="2">
        <v>36014.0</v>
      </c>
      <c r="B6471" s="2" t="s">
        <v>1868</v>
      </c>
      <c r="C6471" s="2" t="s">
        <v>12520</v>
      </c>
      <c r="D6471" s="2"/>
      <c r="E6471" s="2" t="s">
        <v>1407</v>
      </c>
      <c r="F6471" s="2">
        <v>13.0</v>
      </c>
      <c r="G6471" s="2">
        <v>500.0</v>
      </c>
      <c r="H6471" s="3" t="str">
        <f>HYPERLINK("http://www.linkedin.com/pub/jack-beech/0/8A1/A0","http://www.linkedin.com/pub/jack-beech/0/8A1/A0")</f>
        <v>http://www.linkedin.com/pub/jack-beech/0/8A1/A0</v>
      </c>
      <c r="I6471" s="2" t="s">
        <v>69</v>
      </c>
      <c r="J6471" s="2" t="s">
        <v>102</v>
      </c>
      <c r="K6471" s="2" t="s">
        <v>10176</v>
      </c>
    </row>
    <row r="6472" ht="15.75" customHeight="1">
      <c r="A6472" s="2">
        <v>36016.0</v>
      </c>
      <c r="B6472" s="2" t="s">
        <v>631</v>
      </c>
      <c r="C6472" s="2" t="s">
        <v>12521</v>
      </c>
      <c r="D6472" s="2"/>
      <c r="E6472" s="2" t="s">
        <v>12522</v>
      </c>
      <c r="F6472" s="2">
        <v>8.0</v>
      </c>
      <c r="G6472" s="2">
        <v>500.0</v>
      </c>
      <c r="H6472" s="3" t="str">
        <f>HYPERLINK("http://www.linkedin.com/in/chrisgunn","http://www.linkedin.com/in/chrisgunn")</f>
        <v>http://www.linkedin.com/in/chrisgunn</v>
      </c>
      <c r="I6472" s="2" t="s">
        <v>69</v>
      </c>
      <c r="J6472" s="2" t="s">
        <v>102</v>
      </c>
      <c r="K6472" s="2" t="s">
        <v>10176</v>
      </c>
    </row>
    <row r="6473" ht="15.75" customHeight="1">
      <c r="A6473" s="2">
        <v>36358.0</v>
      </c>
      <c r="B6473" s="2" t="s">
        <v>2530</v>
      </c>
      <c r="C6473" s="2" t="s">
        <v>12523</v>
      </c>
      <c r="D6473" s="2" t="s">
        <v>12524</v>
      </c>
      <c r="E6473" s="2" t="s">
        <v>1190</v>
      </c>
      <c r="F6473" s="2">
        <v>6.0</v>
      </c>
      <c r="G6473" s="2">
        <v>388.0</v>
      </c>
      <c r="H6473" s="3" t="str">
        <f>HYPERLINK("http://www.linkedin.com/pub/omar-salvador/2/921/471","http://www.linkedin.com/pub/omar-salvador/2/921/471")</f>
        <v>http://www.linkedin.com/pub/omar-salvador/2/921/471</v>
      </c>
      <c r="I6473" s="2" t="s">
        <v>1452</v>
      </c>
      <c r="J6473" s="2" t="s">
        <v>102</v>
      </c>
      <c r="K6473" s="2" t="s">
        <v>10380</v>
      </c>
    </row>
    <row r="6474" ht="15.75" customHeight="1">
      <c r="A6474" s="2">
        <v>36363.0</v>
      </c>
      <c r="B6474" s="2" t="s">
        <v>358</v>
      </c>
      <c r="C6474" s="2" t="s">
        <v>12525</v>
      </c>
      <c r="D6474" s="2" t="s">
        <v>12526</v>
      </c>
      <c r="E6474" s="2" t="s">
        <v>1190</v>
      </c>
      <c r="F6474" s="2">
        <v>3.0</v>
      </c>
      <c r="G6474" s="2">
        <v>391.0</v>
      </c>
      <c r="H6474" s="3" t="str">
        <f>HYPERLINK("http://www.linkedin.com/pub/marcelo-cursino/0/29A/749","http://www.linkedin.com/pub/marcelo-cursino/0/29A/749")</f>
        <v>http://www.linkedin.com/pub/marcelo-cursino/0/29A/749</v>
      </c>
      <c r="I6474" s="2" t="s">
        <v>77</v>
      </c>
      <c r="J6474" s="2" t="s">
        <v>102</v>
      </c>
      <c r="K6474" s="2" t="s">
        <v>10229</v>
      </c>
    </row>
    <row r="6475" ht="15.75" customHeight="1">
      <c r="A6475" s="2">
        <v>36531.0</v>
      </c>
      <c r="B6475" s="2" t="s">
        <v>433</v>
      </c>
      <c r="C6475" s="2" t="s">
        <v>10729</v>
      </c>
      <c r="D6475" s="2" t="s">
        <v>42</v>
      </c>
      <c r="E6475" s="2" t="s">
        <v>12165</v>
      </c>
      <c r="F6475" s="2">
        <v>7.0</v>
      </c>
      <c r="G6475" s="2">
        <v>366.0</v>
      </c>
      <c r="H6475" s="3" t="str">
        <f>HYPERLINK("http://www.linkedin.com/in/andrewjohnford","http://www.linkedin.com/in/andrewjohnford")</f>
        <v>http://www.linkedin.com/in/andrewjohnford</v>
      </c>
      <c r="I6475" s="2" t="s">
        <v>195</v>
      </c>
      <c r="J6475" s="2" t="s">
        <v>102</v>
      </c>
      <c r="K6475" s="2" t="s">
        <v>10380</v>
      </c>
    </row>
    <row r="6476" ht="15.75" customHeight="1">
      <c r="A6476" s="2">
        <v>36573.0</v>
      </c>
      <c r="B6476" s="2" t="s">
        <v>6238</v>
      </c>
      <c r="C6476" s="2" t="s">
        <v>12527</v>
      </c>
      <c r="D6476" s="2"/>
      <c r="E6476" s="2" t="s">
        <v>12475</v>
      </c>
      <c r="F6476" s="2">
        <v>1.0</v>
      </c>
      <c r="G6476" s="2">
        <v>288.0</v>
      </c>
      <c r="H6476" s="3" t="str">
        <f>HYPERLINK("http://www.linkedin.com/pub/soledad-holcberg/2/637/495","http://www.linkedin.com/pub/soledad-holcberg/2/637/495")</f>
        <v>http://www.linkedin.com/pub/soledad-holcberg/2/637/495</v>
      </c>
      <c r="I6476" s="2" t="s">
        <v>15</v>
      </c>
      <c r="J6476" s="2" t="s">
        <v>102</v>
      </c>
      <c r="K6476" s="2" t="s">
        <v>10184</v>
      </c>
    </row>
    <row r="6477" ht="15.75" customHeight="1">
      <c r="A6477" s="2">
        <v>36580.0</v>
      </c>
      <c r="B6477" s="2" t="s">
        <v>3201</v>
      </c>
      <c r="C6477" s="2" t="s">
        <v>12528</v>
      </c>
      <c r="D6477" s="2" t="s">
        <v>950</v>
      </c>
      <c r="E6477" s="2" t="s">
        <v>20</v>
      </c>
      <c r="F6477" s="2">
        <v>11.0</v>
      </c>
      <c r="G6477" s="2">
        <v>433.0</v>
      </c>
      <c r="H6477" s="3" t="str">
        <f>HYPERLINK("http://ar.linkedin.com/in/sosterc","http://ar.linkedin.com/in/sosterc")</f>
        <v>http://ar.linkedin.com/in/sosterc</v>
      </c>
      <c r="I6477" s="2" t="s">
        <v>15</v>
      </c>
      <c r="J6477" s="2" t="s">
        <v>21</v>
      </c>
      <c r="K6477" s="2" t="s">
        <v>10180</v>
      </c>
    </row>
    <row r="6478" ht="15.75" customHeight="1">
      <c r="A6478" s="2">
        <v>36589.0</v>
      </c>
      <c r="B6478" s="2" t="s">
        <v>3178</v>
      </c>
      <c r="C6478" s="2" t="s">
        <v>12529</v>
      </c>
      <c r="D6478" s="2" t="s">
        <v>13</v>
      </c>
      <c r="E6478" s="2" t="s">
        <v>20</v>
      </c>
      <c r="F6478" s="2">
        <v>0.0</v>
      </c>
      <c r="G6478" s="2">
        <v>96.0</v>
      </c>
      <c r="H6478" s="3" t="str">
        <f>HYPERLINK("http://www.linkedin.com/pub/lucas-morilla/27/338/6a5","http://www.linkedin.com/pub/lucas-morilla/27/338/6a5")</f>
        <v>http://www.linkedin.com/pub/lucas-morilla/27/338/6a5</v>
      </c>
      <c r="I6478" s="2" t="s">
        <v>48</v>
      </c>
      <c r="J6478" s="2" t="s">
        <v>21</v>
      </c>
      <c r="K6478" s="2" t="s">
        <v>10173</v>
      </c>
    </row>
    <row r="6479" ht="15.75" customHeight="1">
      <c r="A6479" s="2">
        <v>36593.0</v>
      </c>
      <c r="B6479" s="2" t="s">
        <v>59</v>
      </c>
      <c r="C6479" s="2" t="s">
        <v>12530</v>
      </c>
      <c r="D6479" s="2" t="s">
        <v>13</v>
      </c>
      <c r="E6479" s="2" t="s">
        <v>20</v>
      </c>
      <c r="F6479" s="2">
        <v>3.0</v>
      </c>
      <c r="G6479" s="2">
        <v>335.0</v>
      </c>
      <c r="H6479" s="3" t="str">
        <f>HYPERLINK("http://www.linkedin.com/pub/martin-locurcio/27/a65/b97","http://www.linkedin.com/pub/martin-locurcio/27/a65/b97")</f>
        <v>http://www.linkedin.com/pub/martin-locurcio/27/a65/b97</v>
      </c>
      <c r="I6479" s="2" t="s">
        <v>15</v>
      </c>
      <c r="J6479" s="2" t="s">
        <v>21</v>
      </c>
      <c r="K6479" s="2" t="s">
        <v>10196</v>
      </c>
    </row>
    <row r="6480" ht="15.75" customHeight="1">
      <c r="A6480" s="2">
        <v>36609.0</v>
      </c>
      <c r="B6480" s="2" t="s">
        <v>6765</v>
      </c>
      <c r="C6480" s="2" t="s">
        <v>12531</v>
      </c>
      <c r="D6480" s="2" t="s">
        <v>6010</v>
      </c>
      <c r="E6480" s="2" t="s">
        <v>20</v>
      </c>
      <c r="F6480" s="2">
        <v>9.0</v>
      </c>
      <c r="G6480" s="2">
        <v>197.0</v>
      </c>
      <c r="H6480" s="3" t="str">
        <f>HYPERLINK("http://ar.linkedin.com/in/gastonlasorsa","http://ar.linkedin.com/in/gastonlasorsa")</f>
        <v>http://ar.linkedin.com/in/gastonlasorsa</v>
      </c>
      <c r="I6480" s="2" t="s">
        <v>15</v>
      </c>
      <c r="J6480" s="2" t="s">
        <v>21</v>
      </c>
      <c r="K6480" s="2" t="s">
        <v>10196</v>
      </c>
    </row>
    <row r="6481" ht="15.75" customHeight="1">
      <c r="A6481" s="2">
        <v>36619.0</v>
      </c>
      <c r="B6481" s="2" t="s">
        <v>6417</v>
      </c>
      <c r="C6481" s="2" t="s">
        <v>6919</v>
      </c>
      <c r="D6481" s="2" t="s">
        <v>12532</v>
      </c>
      <c r="E6481" s="2" t="s">
        <v>20</v>
      </c>
      <c r="F6481" s="2">
        <v>3.0</v>
      </c>
      <c r="G6481" s="2">
        <v>139.0</v>
      </c>
      <c r="H6481" s="3" t="str">
        <f>HYPERLINK("http://ar.linkedin.com/pub/gonzalo-vilanova/9/942/208","http://ar.linkedin.com/pub/gonzalo-vilanova/9/942/208")</f>
        <v>http://ar.linkedin.com/pub/gonzalo-vilanova/9/942/208</v>
      </c>
      <c r="I6481" s="2" t="s">
        <v>15</v>
      </c>
      <c r="J6481" s="2" t="s">
        <v>21</v>
      </c>
      <c r="K6481" s="2" t="s">
        <v>10196</v>
      </c>
    </row>
    <row r="6482" ht="15.75" customHeight="1">
      <c r="A6482" s="2">
        <v>36624.0</v>
      </c>
      <c r="B6482" s="2" t="s">
        <v>12533</v>
      </c>
      <c r="C6482" s="2" t="s">
        <v>12534</v>
      </c>
      <c r="D6482" s="2" t="s">
        <v>6069</v>
      </c>
      <c r="E6482" s="2" t="s">
        <v>20</v>
      </c>
      <c r="F6482" s="2">
        <v>11.0</v>
      </c>
      <c r="G6482" s="2">
        <v>164.0</v>
      </c>
      <c r="H6482" s="3" t="str">
        <f>HYPERLINK("http://ar.linkedin.com/in/mdghersini","http://ar.linkedin.com/in/mdghersini")</f>
        <v>http://ar.linkedin.com/in/mdghersini</v>
      </c>
      <c r="I6482" s="2" t="s">
        <v>48</v>
      </c>
      <c r="J6482" s="2" t="s">
        <v>21</v>
      </c>
      <c r="K6482" s="2" t="s">
        <v>10196</v>
      </c>
    </row>
    <row r="6483" ht="15.75" customHeight="1">
      <c r="A6483" s="2">
        <v>36628.0</v>
      </c>
      <c r="B6483" s="2" t="s">
        <v>12535</v>
      </c>
      <c r="C6483" s="2" t="s">
        <v>12536</v>
      </c>
      <c r="D6483" s="2" t="s">
        <v>12537</v>
      </c>
      <c r="E6483" s="2" t="s">
        <v>20</v>
      </c>
      <c r="F6483" s="2">
        <v>3.0</v>
      </c>
      <c r="G6483" s="2">
        <v>249.0</v>
      </c>
      <c r="H6483" s="3" t="str">
        <f>HYPERLINK("http://ar.linkedin.com/in/schneebergerqa","http://ar.linkedin.com/in/schneebergerqa")</f>
        <v>http://ar.linkedin.com/in/schneebergerqa</v>
      </c>
      <c r="I6483" s="2" t="s">
        <v>15</v>
      </c>
      <c r="J6483" s="2" t="s">
        <v>21</v>
      </c>
      <c r="K6483" s="2" t="s">
        <v>10196</v>
      </c>
    </row>
    <row r="6484" ht="15.75" customHeight="1">
      <c r="A6484" s="2">
        <v>36649.0</v>
      </c>
      <c r="B6484" s="2" t="s">
        <v>3178</v>
      </c>
      <c r="C6484" s="2" t="s">
        <v>12538</v>
      </c>
      <c r="D6484" s="2" t="s">
        <v>13</v>
      </c>
      <c r="E6484" s="2" t="s">
        <v>20</v>
      </c>
      <c r="F6484" s="2">
        <v>0.0</v>
      </c>
      <c r="G6484" s="2">
        <v>254.0</v>
      </c>
      <c r="H6484" s="3" t="str">
        <f>HYPERLINK("http://www.linkedin.com/pub/lucas-pedemonte/9/0/413","http://www.linkedin.com/pub/lucas-pedemonte/9/0/413")</f>
        <v>http://www.linkedin.com/pub/lucas-pedemonte/9/0/413</v>
      </c>
      <c r="I6484" s="2" t="s">
        <v>15</v>
      </c>
      <c r="J6484" s="2" t="s">
        <v>21</v>
      </c>
      <c r="K6484" s="2" t="s">
        <v>10173</v>
      </c>
    </row>
    <row r="6485" ht="15.75" customHeight="1">
      <c r="A6485" s="2">
        <v>36711.0</v>
      </c>
      <c r="B6485" s="2" t="s">
        <v>492</v>
      </c>
      <c r="C6485" s="2" t="s">
        <v>12539</v>
      </c>
      <c r="D6485" s="2" t="s">
        <v>6098</v>
      </c>
      <c r="E6485" s="2" t="s">
        <v>20</v>
      </c>
      <c r="F6485" s="2">
        <v>4.0</v>
      </c>
      <c r="G6485" s="2">
        <v>235.0</v>
      </c>
      <c r="H6485" s="3" t="str">
        <f>HYPERLINK("http://ar.linkedin.com/in/sergiou","http://ar.linkedin.com/in/sergiou")</f>
        <v>http://ar.linkedin.com/in/sergiou</v>
      </c>
      <c r="I6485" s="2" t="s">
        <v>48</v>
      </c>
      <c r="J6485" s="2" t="s">
        <v>21</v>
      </c>
      <c r="K6485" s="2" t="s">
        <v>10196</v>
      </c>
    </row>
    <row r="6486" ht="15.75" customHeight="1">
      <c r="A6486" s="2">
        <v>36816.0</v>
      </c>
      <c r="B6486" s="2" t="s">
        <v>12540</v>
      </c>
      <c r="C6486" s="2" t="s">
        <v>12541</v>
      </c>
      <c r="D6486" s="2" t="s">
        <v>12542</v>
      </c>
      <c r="E6486" s="2" t="s">
        <v>1190</v>
      </c>
      <c r="F6486" s="2">
        <v>1.0</v>
      </c>
      <c r="G6486" s="2">
        <v>341.0</v>
      </c>
      <c r="H6486" s="3" t="str">
        <f>HYPERLINK("http://www.linkedin.com/pub/nathaly-schwed/1/B06/685","http://www.linkedin.com/pub/nathaly-schwed/1/B06/685")</f>
        <v>http://www.linkedin.com/pub/nathaly-schwed/1/B06/685</v>
      </c>
      <c r="I6486" s="2" t="s">
        <v>910</v>
      </c>
      <c r="J6486" s="2" t="s">
        <v>102</v>
      </c>
      <c r="K6486" s="2" t="s">
        <v>10187</v>
      </c>
    </row>
    <row r="6487" ht="15.75" customHeight="1">
      <c r="A6487" s="2">
        <v>36850.0</v>
      </c>
      <c r="B6487" s="2" t="s">
        <v>3378</v>
      </c>
      <c r="C6487" s="2" t="s">
        <v>12543</v>
      </c>
      <c r="D6487" s="2" t="s">
        <v>12544</v>
      </c>
      <c r="E6487" s="2" t="s">
        <v>20</v>
      </c>
      <c r="F6487" s="2">
        <v>4.0</v>
      </c>
      <c r="G6487" s="2">
        <v>500.0</v>
      </c>
      <c r="H6487" s="3" t="str">
        <f>HYPERLINK("http://ar.linkedin.com/in/juliabidegain","http://ar.linkedin.com/in/juliabidegain")</f>
        <v>http://ar.linkedin.com/in/juliabidegain</v>
      </c>
      <c r="I6487" s="2" t="s">
        <v>48</v>
      </c>
      <c r="J6487" s="2" t="s">
        <v>21</v>
      </c>
      <c r="K6487" s="2" t="s">
        <v>10196</v>
      </c>
    </row>
    <row r="6488" ht="15.75" customHeight="1">
      <c r="A6488" s="2">
        <v>36892.0</v>
      </c>
      <c r="B6488" s="2" t="s">
        <v>845</v>
      </c>
      <c r="C6488" s="2" t="s">
        <v>12545</v>
      </c>
      <c r="D6488" s="2" t="s">
        <v>347</v>
      </c>
      <c r="E6488" s="2" t="s">
        <v>101</v>
      </c>
      <c r="F6488" s="2">
        <v>2.0</v>
      </c>
      <c r="G6488" s="2">
        <v>80.0</v>
      </c>
      <c r="H6488" s="3" t="str">
        <f>HYPERLINK("http://www.linkedin.com/pub/david-brantley/11/643/52","http://www.linkedin.com/pub/david-brantley/11/643/52")</f>
        <v>http://www.linkedin.com/pub/david-brantley/11/643/52</v>
      </c>
      <c r="I6488" s="2" t="s">
        <v>15</v>
      </c>
      <c r="J6488" s="2" t="s">
        <v>102</v>
      </c>
      <c r="K6488" s="2" t="s">
        <v>10263</v>
      </c>
    </row>
    <row r="6489" ht="15.75" customHeight="1">
      <c r="A6489" s="2">
        <v>36896.0</v>
      </c>
      <c r="B6489" s="2" t="s">
        <v>358</v>
      </c>
      <c r="C6489" s="2" t="s">
        <v>12239</v>
      </c>
      <c r="D6489" s="2" t="s">
        <v>347</v>
      </c>
      <c r="E6489" s="2" t="s">
        <v>1190</v>
      </c>
      <c r="F6489" s="2">
        <v>2.0</v>
      </c>
      <c r="G6489" s="2">
        <v>217.0</v>
      </c>
      <c r="H6489" s="3" t="str">
        <f>HYPERLINK("http://ar.linkedin.com/in/mnarvaja","http://ar.linkedin.com/in/mnarvaja")</f>
        <v>http://ar.linkedin.com/in/mnarvaja</v>
      </c>
      <c r="I6489" s="2" t="s">
        <v>15</v>
      </c>
      <c r="J6489" s="2" t="s">
        <v>102</v>
      </c>
      <c r="K6489" s="2" t="s">
        <v>10268</v>
      </c>
    </row>
    <row r="6490" ht="15.75" customHeight="1">
      <c r="A6490" s="2">
        <v>36990.0</v>
      </c>
      <c r="B6490" s="2" t="s">
        <v>1767</v>
      </c>
      <c r="C6490" s="2" t="s">
        <v>12546</v>
      </c>
      <c r="D6490" s="2"/>
      <c r="E6490" s="2" t="s">
        <v>2454</v>
      </c>
      <c r="F6490" s="2">
        <v>2.0</v>
      </c>
      <c r="G6490" s="2">
        <v>257.0</v>
      </c>
      <c r="H6490" s="3" t="str">
        <f>HYPERLINK("http://www.linkedin.com/pub/erik-holling/0/27A/8A2","http://www.linkedin.com/pub/erik-holling/0/27A/8A2")</f>
        <v>http://www.linkedin.com/pub/erik-holling/0/27A/8A2</v>
      </c>
      <c r="I6490" s="2" t="s">
        <v>77</v>
      </c>
      <c r="J6490" s="2" t="s">
        <v>102</v>
      </c>
      <c r="K6490" s="2" t="s">
        <v>10209</v>
      </c>
    </row>
    <row r="6491" ht="15.75" customHeight="1">
      <c r="A6491" s="2">
        <v>37052.0</v>
      </c>
      <c r="B6491" s="2" t="s">
        <v>609</v>
      </c>
      <c r="C6491" s="2" t="s">
        <v>12547</v>
      </c>
      <c r="D6491" s="2" t="s">
        <v>289</v>
      </c>
      <c r="E6491" s="2" t="s">
        <v>20</v>
      </c>
      <c r="F6491" s="2" t="s">
        <v>13</v>
      </c>
      <c r="G6491" s="2">
        <v>67.0</v>
      </c>
      <c r="H6491" s="3" t="str">
        <f>HYPERLINK("http://ar.linkedin.com/pub/ricardo-ehrenb%C3%B6ck/1B/689/107","http://ar.linkedin.com/pub/ricardo-ehrenb%C3%B6ck/1B/689/107")</f>
        <v>http://ar.linkedin.com/pub/ricardo-ehrenb%C3%B6ck/1B/689/107</v>
      </c>
      <c r="I6491" s="2" t="s">
        <v>57</v>
      </c>
      <c r="J6491" s="2" t="s">
        <v>21</v>
      </c>
      <c r="K6491" s="2" t="s">
        <v>10184</v>
      </c>
    </row>
    <row r="6492" ht="15.75" customHeight="1">
      <c r="A6492" s="2">
        <v>37123.0</v>
      </c>
      <c r="B6492" s="2" t="s">
        <v>4713</v>
      </c>
      <c r="C6492" s="2" t="s">
        <v>12548</v>
      </c>
      <c r="D6492" s="2" t="s">
        <v>12549</v>
      </c>
      <c r="E6492" s="2" t="s">
        <v>20</v>
      </c>
      <c r="F6492" s="2">
        <v>6.0</v>
      </c>
      <c r="G6492" s="2">
        <v>252.0</v>
      </c>
      <c r="H6492" s="3" t="str">
        <f>HYPERLINK("http://ar.linkedin.com/pub/tomas-ota%C3%B1o/8/857/7B8","http://ar.linkedin.com/pub/tomas-ota%C3%B1o/8/857/7B8")</f>
        <v>http://ar.linkedin.com/pub/tomas-ota%C3%B1o/8/857/7B8</v>
      </c>
      <c r="I6492" s="2" t="s">
        <v>15</v>
      </c>
      <c r="J6492" s="2" t="s">
        <v>21</v>
      </c>
      <c r="K6492" s="2" t="s">
        <v>10196</v>
      </c>
    </row>
    <row r="6493" ht="15.75" customHeight="1">
      <c r="A6493" s="2">
        <v>37190.0</v>
      </c>
      <c r="B6493" s="2" t="s">
        <v>460</v>
      </c>
      <c r="C6493" s="2" t="s">
        <v>12550</v>
      </c>
      <c r="D6493" s="2" t="s">
        <v>12551</v>
      </c>
      <c r="E6493" s="2" t="s">
        <v>713</v>
      </c>
      <c r="F6493" s="2">
        <v>0.0</v>
      </c>
      <c r="G6493" s="2">
        <v>174.0</v>
      </c>
      <c r="H6493" s="3" t="str">
        <f>HYPERLINK("http://www.linkedin.com/in/johnduval","http://www.linkedin.com/in/johnduval")</f>
        <v>http://www.linkedin.com/in/johnduval</v>
      </c>
      <c r="I6493" s="2" t="s">
        <v>48</v>
      </c>
      <c r="J6493" s="2" t="s">
        <v>102</v>
      </c>
      <c r="K6493" s="2" t="s">
        <v>10184</v>
      </c>
    </row>
    <row r="6494" ht="15.75" customHeight="1">
      <c r="A6494" s="2">
        <v>37192.0</v>
      </c>
      <c r="B6494" s="2" t="s">
        <v>353</v>
      </c>
      <c r="C6494" s="2" t="s">
        <v>12552</v>
      </c>
      <c r="D6494" s="2" t="s">
        <v>12553</v>
      </c>
      <c r="E6494" s="2" t="s">
        <v>20</v>
      </c>
      <c r="F6494" s="2">
        <v>3.0</v>
      </c>
      <c r="G6494" s="2">
        <v>373.0</v>
      </c>
      <c r="H6494" s="3" t="str">
        <f>HYPERLINK("http://ar.linkedin.com/in/alecesetti","http://ar.linkedin.com/in/alecesetti")</f>
        <v>http://ar.linkedin.com/in/alecesetti</v>
      </c>
      <c r="I6494" s="2" t="s">
        <v>15</v>
      </c>
      <c r="J6494" s="2" t="s">
        <v>21</v>
      </c>
      <c r="K6494" s="2" t="s">
        <v>10180</v>
      </c>
    </row>
    <row r="6495" ht="15.75" customHeight="1">
      <c r="A6495" s="2">
        <v>37228.0</v>
      </c>
      <c r="B6495" s="2" t="s">
        <v>253</v>
      </c>
      <c r="C6495" s="2" t="s">
        <v>12554</v>
      </c>
      <c r="D6495" s="2" t="s">
        <v>12555</v>
      </c>
      <c r="E6495" s="2" t="s">
        <v>20</v>
      </c>
      <c r="F6495" s="2">
        <v>7.0</v>
      </c>
      <c r="G6495" s="2">
        <v>500.0</v>
      </c>
      <c r="H6495" s="3" t="str">
        <f>HYPERLINK("http://ar.linkedin.com/in/frodino","http://ar.linkedin.com/in/frodino")</f>
        <v>http://ar.linkedin.com/in/frodino</v>
      </c>
      <c r="I6495" s="2" t="s">
        <v>2268</v>
      </c>
      <c r="J6495" s="2" t="s">
        <v>21</v>
      </c>
      <c r="K6495" s="2" t="s">
        <v>10184</v>
      </c>
    </row>
    <row r="6496" ht="15.75" customHeight="1">
      <c r="A6496" s="2">
        <v>37255.0</v>
      </c>
      <c r="B6496" s="2" t="s">
        <v>549</v>
      </c>
      <c r="C6496" s="2" t="s">
        <v>12556</v>
      </c>
      <c r="D6496" s="2" t="s">
        <v>12557</v>
      </c>
      <c r="E6496" s="2" t="s">
        <v>20</v>
      </c>
      <c r="F6496" s="2">
        <v>15.0</v>
      </c>
      <c r="G6496" s="2">
        <v>186.0</v>
      </c>
      <c r="H6496" s="3" t="str">
        <f>HYPERLINK("http://ar.linkedin.com/pub/mario-rebuffi/25/4A4/958","http://ar.linkedin.com/pub/mario-rebuffi/25/4A4/958")</f>
        <v>http://ar.linkedin.com/pub/mario-rebuffi/25/4A4/958</v>
      </c>
      <c r="I6496" s="2" t="s">
        <v>15</v>
      </c>
      <c r="J6496" s="2" t="s">
        <v>21</v>
      </c>
      <c r="K6496" s="2" t="s">
        <v>10196</v>
      </c>
    </row>
    <row r="6497" ht="15.75" customHeight="1">
      <c r="A6497" s="2">
        <v>37265.0</v>
      </c>
      <c r="B6497" s="2" t="s">
        <v>358</v>
      </c>
      <c r="C6497" s="2" t="s">
        <v>12558</v>
      </c>
      <c r="D6497" s="2" t="s">
        <v>12559</v>
      </c>
      <c r="E6497" s="2" t="s">
        <v>20</v>
      </c>
      <c r="F6497" s="2">
        <v>2.0</v>
      </c>
      <c r="G6497" s="2">
        <v>75.0</v>
      </c>
      <c r="H6497" s="3" t="str">
        <f>HYPERLINK("http://ar.linkedin.com/in/mbedrinan","http://ar.linkedin.com/in/mbedrinan")</f>
        <v>http://ar.linkedin.com/in/mbedrinan</v>
      </c>
      <c r="I6497" s="2" t="s">
        <v>119</v>
      </c>
      <c r="J6497" s="2" t="s">
        <v>21</v>
      </c>
      <c r="K6497" s="2" t="s">
        <v>10940</v>
      </c>
    </row>
    <row r="6498" ht="15.75" customHeight="1">
      <c r="A6498" s="2">
        <v>37267.0</v>
      </c>
      <c r="B6498" s="2" t="s">
        <v>12560</v>
      </c>
      <c r="C6498" s="2" t="s">
        <v>12561</v>
      </c>
      <c r="D6498" s="2" t="s">
        <v>12562</v>
      </c>
      <c r="E6498" s="2" t="s">
        <v>1041</v>
      </c>
      <c r="F6498" s="2" t="s">
        <v>13</v>
      </c>
      <c r="G6498" s="2">
        <v>281.0</v>
      </c>
      <c r="H6498" s="3" t="str">
        <f>HYPERLINK("http://www.linkedin.com/pub/tiahna-mcdowell/13/B25/7B8","http://www.linkedin.com/pub/tiahna-mcdowell/13/B25/7B8")</f>
        <v>http://www.linkedin.com/pub/tiahna-mcdowell/13/B25/7B8</v>
      </c>
      <c r="I6498" s="2" t="s">
        <v>119</v>
      </c>
      <c r="J6498" s="2" t="s">
        <v>102</v>
      </c>
      <c r="K6498" s="2" t="s">
        <v>10988</v>
      </c>
    </row>
    <row r="6499" ht="15.75" customHeight="1">
      <c r="A6499" s="2">
        <v>37269.0</v>
      </c>
      <c r="B6499" s="2" t="s">
        <v>2567</v>
      </c>
      <c r="C6499" s="2" t="s">
        <v>12563</v>
      </c>
      <c r="D6499" s="2"/>
      <c r="E6499" s="2" t="s">
        <v>1041</v>
      </c>
      <c r="F6499" s="2">
        <v>1.0</v>
      </c>
      <c r="G6499" s="2">
        <v>500.0</v>
      </c>
      <c r="H6499" s="3" t="str">
        <f>HYPERLINK("http://www.linkedin.com/in/christophermantin","http://www.linkedin.com/in/christophermantin")</f>
        <v>http://www.linkedin.com/in/christophermantin</v>
      </c>
      <c r="I6499" s="2" t="s">
        <v>119</v>
      </c>
      <c r="J6499" s="2" t="s">
        <v>102</v>
      </c>
      <c r="K6499" s="2" t="s">
        <v>10187</v>
      </c>
    </row>
    <row r="6500" ht="15.75" customHeight="1">
      <c r="A6500" s="2">
        <v>37296.0</v>
      </c>
      <c r="B6500" s="2" t="s">
        <v>12564</v>
      </c>
      <c r="C6500" s="2" t="s">
        <v>3566</v>
      </c>
      <c r="D6500" s="2" t="s">
        <v>12565</v>
      </c>
      <c r="E6500" s="2" t="s">
        <v>20</v>
      </c>
      <c r="F6500" s="2">
        <v>1.0</v>
      </c>
      <c r="G6500" s="2">
        <v>407.0</v>
      </c>
      <c r="H6500" s="3" t="str">
        <f>HYPERLINK("http://ar.linkedin.com/pub/matias-sanchez/27/350/402","http://ar.linkedin.com/pub/matias-sanchez/27/350/402")</f>
        <v>http://ar.linkedin.com/pub/matias-sanchez/27/350/402</v>
      </c>
      <c r="I6500" s="2" t="s">
        <v>15</v>
      </c>
      <c r="J6500" s="2" t="s">
        <v>21</v>
      </c>
      <c r="K6500" s="2" t="s">
        <v>10173</v>
      </c>
    </row>
    <row r="6501" ht="15.75" customHeight="1">
      <c r="A6501" s="2">
        <v>37357.0</v>
      </c>
      <c r="B6501" s="2" t="s">
        <v>677</v>
      </c>
      <c r="C6501" s="2" t="s">
        <v>12566</v>
      </c>
      <c r="D6501" s="2" t="s">
        <v>12567</v>
      </c>
      <c r="E6501" s="2" t="s">
        <v>20</v>
      </c>
      <c r="F6501" s="2">
        <v>4.0</v>
      </c>
      <c r="G6501" s="2">
        <v>135.0</v>
      </c>
      <c r="H6501" s="3" t="str">
        <f>HYPERLINK("http://ar.linkedin.com/pub/daniel-spinatto/9/48B/641","http://ar.linkedin.com/pub/daniel-spinatto/9/48B/641")</f>
        <v>http://ar.linkedin.com/pub/daniel-spinatto/9/48B/641</v>
      </c>
      <c r="I6501" s="2" t="s">
        <v>15</v>
      </c>
      <c r="J6501" s="2" t="s">
        <v>21</v>
      </c>
      <c r="K6501" s="2" t="s">
        <v>10196</v>
      </c>
    </row>
    <row r="6502" ht="15.75" customHeight="1">
      <c r="A6502" s="2">
        <v>37416.0</v>
      </c>
      <c r="B6502" s="2" t="s">
        <v>12292</v>
      </c>
      <c r="C6502" s="2" t="s">
        <v>12568</v>
      </c>
      <c r="D6502" s="2" t="s">
        <v>517</v>
      </c>
      <c r="E6502" s="2" t="s">
        <v>136</v>
      </c>
      <c r="F6502" s="2">
        <v>11.0</v>
      </c>
      <c r="G6502" s="2">
        <v>500.0</v>
      </c>
      <c r="H6502" s="3" t="str">
        <f>HYPERLINK("http://www.linkedin.com/in/irabinovitch","http://www.linkedin.com/in/irabinovitch")</f>
        <v>http://www.linkedin.com/in/irabinovitch</v>
      </c>
      <c r="I6502" s="2" t="s">
        <v>48</v>
      </c>
      <c r="J6502" s="2" t="s">
        <v>102</v>
      </c>
      <c r="K6502" s="2" t="s">
        <v>10233</v>
      </c>
    </row>
    <row r="6503" ht="15.75" customHeight="1">
      <c r="A6503" s="2">
        <v>37459.0</v>
      </c>
      <c r="B6503" s="2" t="s">
        <v>70</v>
      </c>
      <c r="C6503" s="2" t="s">
        <v>12569</v>
      </c>
      <c r="D6503" s="2" t="s">
        <v>42</v>
      </c>
      <c r="E6503" s="2" t="s">
        <v>20</v>
      </c>
      <c r="F6503" s="2">
        <v>14.0</v>
      </c>
      <c r="G6503" s="2">
        <v>500.0</v>
      </c>
      <c r="H6503" s="3" t="str">
        <f>HYPERLINK("http://ar.linkedin.com/in/gustavoprillo","http://ar.linkedin.com/in/gustavoprillo")</f>
        <v>http://ar.linkedin.com/in/gustavoprillo</v>
      </c>
      <c r="I6503" s="2" t="s">
        <v>15</v>
      </c>
      <c r="J6503" s="2" t="s">
        <v>21</v>
      </c>
      <c r="K6503" s="2" t="s">
        <v>10196</v>
      </c>
    </row>
    <row r="6504" ht="15.75" customHeight="1">
      <c r="A6504" s="2">
        <v>37493.0</v>
      </c>
      <c r="B6504" s="2" t="s">
        <v>5476</v>
      </c>
      <c r="C6504" s="2" t="s">
        <v>12570</v>
      </c>
      <c r="D6504" s="2"/>
      <c r="E6504" s="2" t="s">
        <v>11476</v>
      </c>
      <c r="F6504" s="2">
        <v>3.0</v>
      </c>
      <c r="G6504" s="2">
        <v>358.0</v>
      </c>
      <c r="H6504" s="3" t="str">
        <f>HYPERLINK("http://www.linkedin.com/in/carolschulien","http://www.linkedin.com/in/carolschulien")</f>
        <v>http://www.linkedin.com/in/carolschulien</v>
      </c>
      <c r="I6504" s="2" t="s">
        <v>69</v>
      </c>
      <c r="J6504" s="2" t="s">
        <v>102</v>
      </c>
      <c r="K6504" s="2" t="s">
        <v>10176</v>
      </c>
    </row>
    <row r="6505" ht="15.75" customHeight="1">
      <c r="A6505" s="2">
        <v>37495.0</v>
      </c>
      <c r="B6505" s="2" t="s">
        <v>12571</v>
      </c>
      <c r="C6505" s="2" t="s">
        <v>12572</v>
      </c>
      <c r="D6505" s="2" t="s">
        <v>12573</v>
      </c>
      <c r="E6505" s="2" t="s">
        <v>505</v>
      </c>
      <c r="F6505" s="2">
        <v>3.0</v>
      </c>
      <c r="G6505" s="2">
        <v>500.0</v>
      </c>
      <c r="H6505" s="3" t="str">
        <f>HYPERLINK("http://www.linkedin.com/in/staceyzur","http://www.linkedin.com/in/staceyzur")</f>
        <v>http://www.linkedin.com/in/staceyzur</v>
      </c>
      <c r="I6505" s="2" t="s">
        <v>105</v>
      </c>
      <c r="J6505" s="2" t="s">
        <v>102</v>
      </c>
      <c r="K6505" s="2" t="s">
        <v>10206</v>
      </c>
    </row>
    <row r="6506" ht="15.75" customHeight="1">
      <c r="A6506" s="2">
        <v>37505.0</v>
      </c>
      <c r="B6506" s="2" t="s">
        <v>5723</v>
      </c>
      <c r="C6506" s="2" t="s">
        <v>12574</v>
      </c>
      <c r="D6506" s="2" t="s">
        <v>12575</v>
      </c>
      <c r="E6506" s="2" t="s">
        <v>20</v>
      </c>
      <c r="F6506" s="2">
        <v>2.0</v>
      </c>
      <c r="G6506" s="2">
        <v>189.0</v>
      </c>
      <c r="H6506" s="3" t="str">
        <f>HYPERLINK("http://ar.linkedin.com/in/jvagliat","http://ar.linkedin.com/in/jvagliat")</f>
        <v>http://ar.linkedin.com/in/jvagliat</v>
      </c>
      <c r="I6506" s="2" t="s">
        <v>15</v>
      </c>
      <c r="J6506" s="2" t="s">
        <v>21</v>
      </c>
      <c r="K6506" s="2" t="s">
        <v>10340</v>
      </c>
    </row>
    <row r="6507" ht="15.75" customHeight="1">
      <c r="A6507" s="2">
        <v>37508.0</v>
      </c>
      <c r="B6507" s="2" t="s">
        <v>12576</v>
      </c>
      <c r="C6507" s="2" t="s">
        <v>12577</v>
      </c>
      <c r="D6507" s="2" t="s">
        <v>13</v>
      </c>
      <c r="E6507" s="2" t="s">
        <v>20</v>
      </c>
      <c r="F6507" s="2">
        <v>1.0</v>
      </c>
      <c r="G6507" s="2">
        <v>500.0</v>
      </c>
      <c r="H6507" s="3" t="str">
        <f>HYPERLINK("http://www.linkedin.com/in/guidocrego","http://www.linkedin.com/in/guidocrego")</f>
        <v>http://www.linkedin.com/in/guidocrego</v>
      </c>
      <c r="I6507" s="2" t="s">
        <v>105</v>
      </c>
      <c r="J6507" s="2" t="s">
        <v>21</v>
      </c>
      <c r="K6507" s="2" t="s">
        <v>10312</v>
      </c>
    </row>
    <row r="6508" ht="15.75" customHeight="1">
      <c r="A6508" s="2">
        <v>37551.0</v>
      </c>
      <c r="B6508" s="2" t="s">
        <v>12578</v>
      </c>
      <c r="C6508" s="2" t="s">
        <v>12579</v>
      </c>
      <c r="D6508" s="2" t="s">
        <v>12580</v>
      </c>
      <c r="E6508" s="2" t="s">
        <v>20</v>
      </c>
      <c r="F6508" s="2">
        <v>1.0</v>
      </c>
      <c r="G6508" s="2">
        <v>500.0</v>
      </c>
      <c r="H6508" s="3" t="str">
        <f>HYPERLINK("http://www.linkedin.com/pub/facundo-colella/26/502/74b","http://www.linkedin.com/pub/facundo-colella/26/502/74b")</f>
        <v>http://www.linkedin.com/pub/facundo-colella/26/502/74b</v>
      </c>
      <c r="I6508" s="2" t="s">
        <v>2000</v>
      </c>
      <c r="J6508" s="2" t="s">
        <v>21</v>
      </c>
      <c r="K6508" s="2" t="s">
        <v>10206</v>
      </c>
    </row>
    <row r="6509" ht="15.75" customHeight="1">
      <c r="A6509" s="2">
        <v>37567.0</v>
      </c>
      <c r="B6509" s="2" t="s">
        <v>12581</v>
      </c>
      <c r="C6509" s="2" t="s">
        <v>12582</v>
      </c>
      <c r="D6509" s="2" t="s">
        <v>12583</v>
      </c>
      <c r="E6509" s="2" t="s">
        <v>20</v>
      </c>
      <c r="F6509" s="2">
        <v>4.0</v>
      </c>
      <c r="G6509" s="2">
        <v>229.0</v>
      </c>
      <c r="H6509" s="3" t="str">
        <f>HYPERLINK("http://ar.linkedin.com/pub/emanuel-jos-granados/26/A87/A25","http://ar.linkedin.com/pub/emanuel-jos-granados/26/A87/A25")</f>
        <v>http://ar.linkedin.com/pub/emanuel-jos-granados/26/A87/A25</v>
      </c>
      <c r="I6509" s="2" t="s">
        <v>15</v>
      </c>
      <c r="J6509" s="2" t="s">
        <v>21</v>
      </c>
      <c r="K6509" s="2" t="s">
        <v>10196</v>
      </c>
    </row>
    <row r="6510" ht="15.75" customHeight="1">
      <c r="A6510" s="2">
        <v>37569.0</v>
      </c>
      <c r="B6510" s="2" t="s">
        <v>12584</v>
      </c>
      <c r="C6510" s="2" t="s">
        <v>12585</v>
      </c>
      <c r="D6510" s="2" t="s">
        <v>13</v>
      </c>
      <c r="E6510" s="2" t="s">
        <v>20</v>
      </c>
      <c r="F6510" s="2">
        <v>0.0</v>
      </c>
      <c r="G6510" s="2">
        <v>223.0</v>
      </c>
      <c r="H6510" s="3" t="str">
        <f>HYPERLINK("http://www.linkedin.com/pub/pomin-chuang/15/720/981","http://www.linkedin.com/pub/pomin-chuang/15/720/981")</f>
        <v>http://www.linkedin.com/pub/pomin-chuang/15/720/981</v>
      </c>
      <c r="I6510" s="2" t="s">
        <v>2000</v>
      </c>
      <c r="J6510" s="2" t="s">
        <v>21</v>
      </c>
      <c r="K6510" s="2" t="s">
        <v>10196</v>
      </c>
    </row>
    <row r="6511" ht="15.75" customHeight="1">
      <c r="A6511" s="2">
        <v>37593.0</v>
      </c>
      <c r="B6511" s="2" t="s">
        <v>3201</v>
      </c>
      <c r="C6511" s="2" t="s">
        <v>12586</v>
      </c>
      <c r="D6511" s="2" t="s">
        <v>12346</v>
      </c>
      <c r="E6511" s="2" t="s">
        <v>20</v>
      </c>
      <c r="F6511" s="2">
        <v>6.0</v>
      </c>
      <c r="G6511" s="2">
        <v>238.0</v>
      </c>
      <c r="H6511" s="3" t="str">
        <f>HYPERLINK("http://ar.linkedin.com/in/sebastianscotti","http://ar.linkedin.com/in/sebastianscotti")</f>
        <v>http://ar.linkedin.com/in/sebastianscotti</v>
      </c>
      <c r="I6511" s="2" t="s">
        <v>15</v>
      </c>
      <c r="J6511" s="2" t="s">
        <v>21</v>
      </c>
      <c r="K6511" s="2" t="s">
        <v>10196</v>
      </c>
    </row>
    <row r="6512" ht="15.75" customHeight="1">
      <c r="A6512" s="2">
        <v>37607.0</v>
      </c>
      <c r="B6512" s="2" t="s">
        <v>3389</v>
      </c>
      <c r="C6512" s="2" t="s">
        <v>12587</v>
      </c>
      <c r="D6512" s="2" t="s">
        <v>12588</v>
      </c>
      <c r="E6512" s="2" t="s">
        <v>1041</v>
      </c>
      <c r="F6512" s="2">
        <v>6.0</v>
      </c>
      <c r="G6512" s="2">
        <v>246.0</v>
      </c>
      <c r="H6512" s="3" t="str">
        <f>HYPERLINK("http://www.linkedin.com/in/manojsnair","http://www.linkedin.com/in/manojsnair")</f>
        <v>http://www.linkedin.com/in/manojsnair</v>
      </c>
      <c r="I6512" s="2" t="s">
        <v>1679</v>
      </c>
      <c r="J6512" s="2" t="s">
        <v>102</v>
      </c>
      <c r="K6512" s="2" t="s">
        <v>10182</v>
      </c>
    </row>
    <row r="6513" ht="15.75" customHeight="1">
      <c r="A6513" s="2">
        <v>37625.0</v>
      </c>
      <c r="B6513" s="2" t="s">
        <v>329</v>
      </c>
      <c r="C6513" s="2" t="s">
        <v>12589</v>
      </c>
      <c r="D6513" s="2" t="s">
        <v>12590</v>
      </c>
      <c r="E6513" s="2" t="s">
        <v>20</v>
      </c>
      <c r="F6513" s="2">
        <v>3.0</v>
      </c>
      <c r="G6513" s="2">
        <v>223.0</v>
      </c>
      <c r="H6513" s="3" t="str">
        <f>HYPERLINK("http://ar.linkedin.com/in/juanpablorealini","http://ar.linkedin.com/in/juanpablorealini")</f>
        <v>http://ar.linkedin.com/in/juanpablorealini</v>
      </c>
      <c r="I6513" s="2" t="s">
        <v>15</v>
      </c>
      <c r="J6513" s="2" t="s">
        <v>21</v>
      </c>
      <c r="K6513" s="2" t="s">
        <v>10196</v>
      </c>
    </row>
    <row r="6514" ht="15.75" customHeight="1">
      <c r="A6514" s="2">
        <v>37629.0</v>
      </c>
      <c r="B6514" s="2" t="s">
        <v>6252</v>
      </c>
      <c r="C6514" s="2" t="s">
        <v>12591</v>
      </c>
      <c r="D6514" s="2" t="s">
        <v>12592</v>
      </c>
      <c r="E6514" s="2" t="s">
        <v>155</v>
      </c>
      <c r="F6514" s="2">
        <v>4.0</v>
      </c>
      <c r="G6514" s="2">
        <v>380.0</v>
      </c>
      <c r="H6514" s="3" t="str">
        <f>HYPERLINK("http://ar.linkedin.com/in/santiycr","http://ar.linkedin.com/in/santiycr")</f>
        <v>http://ar.linkedin.com/in/santiycr</v>
      </c>
      <c r="I6514" s="2" t="s">
        <v>48</v>
      </c>
      <c r="J6514" s="2" t="s">
        <v>102</v>
      </c>
      <c r="K6514" s="2" t="s">
        <v>10245</v>
      </c>
    </row>
    <row r="6515" ht="15.75" customHeight="1">
      <c r="A6515" s="2">
        <v>37637.0</v>
      </c>
      <c r="B6515" s="2" t="s">
        <v>492</v>
      </c>
      <c r="C6515" s="2" t="s">
        <v>12593</v>
      </c>
      <c r="D6515" s="2" t="s">
        <v>13</v>
      </c>
      <c r="E6515" s="2" t="s">
        <v>20</v>
      </c>
      <c r="F6515" s="2">
        <v>33.0</v>
      </c>
      <c r="G6515" s="2">
        <v>500.0</v>
      </c>
      <c r="H6515" s="3" t="str">
        <f>HYPERLINK("https://www.linkedin.com/in/sergioweinmann","https://www.linkedin.com/in/sergioweinmann")</f>
        <v>https://www.linkedin.com/in/sergioweinmann</v>
      </c>
      <c r="I6515" s="2" t="s">
        <v>15</v>
      </c>
      <c r="J6515" s="2" t="s">
        <v>21</v>
      </c>
      <c r="K6515" s="2" t="s">
        <v>10263</v>
      </c>
    </row>
    <row r="6516" ht="15.75" customHeight="1">
      <c r="A6516" s="2">
        <v>37672.0</v>
      </c>
      <c r="B6516" s="2" t="s">
        <v>7739</v>
      </c>
      <c r="C6516" s="2" t="s">
        <v>12594</v>
      </c>
      <c r="D6516" s="2" t="s">
        <v>289</v>
      </c>
      <c r="E6516" s="2" t="s">
        <v>20</v>
      </c>
      <c r="F6516" s="2" t="s">
        <v>13</v>
      </c>
      <c r="G6516" s="2">
        <v>274.0</v>
      </c>
      <c r="H6516" s="3" t="str">
        <f>HYPERLINK("http://ar.linkedin.com/pub/ramiro-schillagi/2B/77/1BA","http://ar.linkedin.com/pub/ramiro-schillagi/2B/77/1BA")</f>
        <v>http://ar.linkedin.com/pub/ramiro-schillagi/2B/77/1BA</v>
      </c>
      <c r="I6516" s="2" t="s">
        <v>2000</v>
      </c>
      <c r="J6516" s="2" t="s">
        <v>21</v>
      </c>
      <c r="K6516" s="2" t="s">
        <v>10371</v>
      </c>
    </row>
    <row r="6517" ht="15.75" customHeight="1">
      <c r="A6517" s="2">
        <v>37690.0</v>
      </c>
      <c r="B6517" s="2" t="s">
        <v>12595</v>
      </c>
      <c r="C6517" s="2" t="s">
        <v>12596</v>
      </c>
      <c r="D6517" s="2" t="s">
        <v>108</v>
      </c>
      <c r="E6517" s="2" t="s">
        <v>2058</v>
      </c>
      <c r="F6517" s="2">
        <v>3.0</v>
      </c>
      <c r="G6517" s="2">
        <v>500.0</v>
      </c>
      <c r="H6517" s="3" t="str">
        <f>HYPERLINK("http://www.linkedin.com/pub/mario-e-munich/1/909/548","http://www.linkedin.com/pub/mario-e-munich/1/909/548")</f>
        <v>http://www.linkedin.com/pub/mario-e-munich/1/909/548</v>
      </c>
      <c r="I6517" s="2" t="s">
        <v>48</v>
      </c>
      <c r="J6517" s="2" t="s">
        <v>102</v>
      </c>
      <c r="K6517" s="2" t="s">
        <v>10233</v>
      </c>
    </row>
    <row r="6518" ht="15.75" customHeight="1">
      <c r="A6518" s="2">
        <v>37692.0</v>
      </c>
      <c r="B6518" s="2" t="s">
        <v>7106</v>
      </c>
      <c r="C6518" s="2" t="s">
        <v>12597</v>
      </c>
      <c r="D6518" s="2" t="s">
        <v>12598</v>
      </c>
      <c r="E6518" s="2" t="s">
        <v>2058</v>
      </c>
      <c r="F6518" s="2">
        <v>14.0</v>
      </c>
      <c r="G6518" s="2">
        <v>186.0</v>
      </c>
      <c r="H6518" s="3" t="str">
        <f>HYPERLINK("http://www.linkedin.com/in/appinsight","http://www.linkedin.com/in/appinsight")</f>
        <v>http://www.linkedin.com/in/appinsight</v>
      </c>
      <c r="I6518" s="2" t="s">
        <v>195</v>
      </c>
      <c r="J6518" s="2" t="s">
        <v>102</v>
      </c>
      <c r="K6518" s="2" t="s">
        <v>10384</v>
      </c>
    </row>
    <row r="6519" ht="15.75" customHeight="1">
      <c r="A6519" s="2">
        <v>37693.0</v>
      </c>
      <c r="B6519" s="2" t="s">
        <v>1617</v>
      </c>
      <c r="C6519" s="2" t="s">
        <v>12599</v>
      </c>
      <c r="D6519" s="2" t="s">
        <v>10271</v>
      </c>
      <c r="E6519" s="2" t="s">
        <v>2058</v>
      </c>
      <c r="F6519" s="2">
        <v>1.0</v>
      </c>
      <c r="G6519" s="2">
        <v>355.0</v>
      </c>
      <c r="H6519" s="3" t="str">
        <f>HYPERLINK("http://www.linkedin.com/in/ryanligon","http://www.linkedin.com/in/ryanligon")</f>
        <v>http://www.linkedin.com/in/ryanligon</v>
      </c>
      <c r="I6519" s="2" t="s">
        <v>48</v>
      </c>
      <c r="J6519" s="2" t="s">
        <v>102</v>
      </c>
      <c r="K6519" s="2" t="s">
        <v>10233</v>
      </c>
    </row>
    <row r="6520" ht="15.75" customHeight="1">
      <c r="A6520" s="2">
        <v>37697.0</v>
      </c>
      <c r="B6520" s="2" t="s">
        <v>12600</v>
      </c>
      <c r="C6520" s="2" t="s">
        <v>12601</v>
      </c>
      <c r="D6520" s="2" t="s">
        <v>10271</v>
      </c>
      <c r="E6520" s="2" t="s">
        <v>1037</v>
      </c>
      <c r="F6520" s="2">
        <v>2.0</v>
      </c>
      <c r="G6520" s="2">
        <v>98.0</v>
      </c>
      <c r="H6520" s="3" t="str">
        <f>HYPERLINK("http://www.linkedin.com/pub/yingjie-he/10/334/398","http://www.linkedin.com/pub/yingjie-he/10/334/398")</f>
        <v>http://www.linkedin.com/pub/yingjie-he/10/334/398</v>
      </c>
      <c r="I6520" s="2" t="s">
        <v>48</v>
      </c>
      <c r="J6520" s="2" t="s">
        <v>144</v>
      </c>
      <c r="K6520" s="2" t="s">
        <v>10245</v>
      </c>
    </row>
    <row r="6521" ht="15.75" customHeight="1">
      <c r="A6521" s="2">
        <v>37704.0</v>
      </c>
      <c r="B6521" s="2" t="s">
        <v>3175</v>
      </c>
      <c r="C6521" s="2" t="s">
        <v>3566</v>
      </c>
      <c r="D6521" s="2" t="s">
        <v>6169</v>
      </c>
      <c r="E6521" s="2" t="s">
        <v>20</v>
      </c>
      <c r="F6521" s="2">
        <v>6.0</v>
      </c>
      <c r="G6521" s="2">
        <v>258.0</v>
      </c>
      <c r="H6521" s="3" t="str">
        <f>HYPERLINK("http://ar.linkedin.com/pub/daniela-s%C3%A1nchez/B/779/27","http://ar.linkedin.com/pub/daniela-s%C3%A1nchez/B/779/27")</f>
        <v>http://ar.linkedin.com/pub/daniela-s%C3%A1nchez/B/779/27</v>
      </c>
      <c r="I6521" s="2" t="s">
        <v>15</v>
      </c>
      <c r="J6521" s="2" t="s">
        <v>21</v>
      </c>
      <c r="K6521" s="2" t="s">
        <v>10340</v>
      </c>
    </row>
    <row r="6522" ht="15.75" customHeight="1">
      <c r="A6522" s="2">
        <v>37714.0</v>
      </c>
      <c r="B6522" s="2" t="s">
        <v>2353</v>
      </c>
      <c r="C6522" s="2" t="s">
        <v>12602</v>
      </c>
      <c r="D6522" s="2" t="s">
        <v>10172</v>
      </c>
      <c r="E6522" s="2" t="s">
        <v>720</v>
      </c>
      <c r="F6522" s="2">
        <v>7.0</v>
      </c>
      <c r="G6522" s="2">
        <v>247.0</v>
      </c>
      <c r="H6522" s="3" t="str">
        <f>HYPERLINK("http://www.linkedin.com/in/sarahwimer","http://www.linkedin.com/in/sarahwimer")</f>
        <v>http://www.linkedin.com/in/sarahwimer</v>
      </c>
      <c r="I6522" s="2" t="s">
        <v>69</v>
      </c>
      <c r="J6522" s="2" t="s">
        <v>102</v>
      </c>
      <c r="K6522" s="2" t="s">
        <v>10286</v>
      </c>
    </row>
    <row r="6523" ht="15.75" customHeight="1">
      <c r="A6523" s="2">
        <v>37720.0</v>
      </c>
      <c r="B6523" s="2" t="s">
        <v>1475</v>
      </c>
      <c r="C6523" s="2" t="s">
        <v>3004</v>
      </c>
      <c r="D6523" s="2" t="s">
        <v>12603</v>
      </c>
      <c r="E6523" s="2" t="s">
        <v>720</v>
      </c>
      <c r="F6523" s="2">
        <v>2.0</v>
      </c>
      <c r="G6523" s="2">
        <v>111.0</v>
      </c>
      <c r="H6523" s="3" t="str">
        <f>HYPERLINK("http://www.linkedin.com/in/lisamhurley","http://www.linkedin.com/in/lisamhurley")</f>
        <v>http://www.linkedin.com/in/lisamhurley</v>
      </c>
      <c r="I6523" s="2" t="s">
        <v>458</v>
      </c>
      <c r="J6523" s="2" t="s">
        <v>102</v>
      </c>
      <c r="K6523" s="2" t="s">
        <v>10206</v>
      </c>
    </row>
    <row r="6524" ht="15.75" customHeight="1">
      <c r="A6524" s="2">
        <v>37730.0</v>
      </c>
      <c r="B6524" s="2" t="s">
        <v>1653</v>
      </c>
      <c r="C6524" s="2" t="s">
        <v>12604</v>
      </c>
      <c r="D6524" s="2" t="s">
        <v>12605</v>
      </c>
      <c r="E6524" s="2" t="s">
        <v>2730</v>
      </c>
      <c r="F6524" s="2">
        <v>17.0</v>
      </c>
      <c r="G6524" s="2">
        <v>500.0</v>
      </c>
      <c r="H6524" s="3" t="str">
        <f>HYPERLINK("http://www.linkedin.com/in/dougweinbrenner","http://www.linkedin.com/in/dougweinbrenner")</f>
        <v>http://www.linkedin.com/in/dougweinbrenner</v>
      </c>
      <c r="I6524" s="2" t="s">
        <v>105</v>
      </c>
      <c r="J6524" s="2" t="s">
        <v>102</v>
      </c>
      <c r="K6524" s="2" t="s">
        <v>10206</v>
      </c>
    </row>
    <row r="6525" ht="15.75" customHeight="1">
      <c r="A6525" s="2">
        <v>37736.0</v>
      </c>
      <c r="B6525" s="2" t="s">
        <v>1653</v>
      </c>
      <c r="C6525" s="2" t="s">
        <v>3869</v>
      </c>
      <c r="D6525" s="2" t="s">
        <v>12606</v>
      </c>
      <c r="E6525" s="2" t="s">
        <v>4951</v>
      </c>
      <c r="F6525" s="2">
        <v>13.0</v>
      </c>
      <c r="G6525" s="2">
        <v>500.0</v>
      </c>
      <c r="H6525" s="3" t="str">
        <f>HYPERLINK("http://www.linkedin.com/in/douglascwilliams","http://www.linkedin.com/in/douglascwilliams")</f>
        <v>http://www.linkedin.com/in/douglascwilliams</v>
      </c>
      <c r="I6525" s="2" t="s">
        <v>105</v>
      </c>
      <c r="J6525" s="2" t="s">
        <v>102</v>
      </c>
      <c r="K6525" s="2" t="s">
        <v>10209</v>
      </c>
    </row>
    <row r="6526" ht="15.75" customHeight="1">
      <c r="A6526" s="2">
        <v>37738.0</v>
      </c>
      <c r="B6526" s="2" t="s">
        <v>4157</v>
      </c>
      <c r="C6526" s="2" t="s">
        <v>12607</v>
      </c>
      <c r="D6526" s="2" t="s">
        <v>12608</v>
      </c>
      <c r="E6526" s="2" t="s">
        <v>5503</v>
      </c>
      <c r="F6526" s="2">
        <v>2.0</v>
      </c>
      <c r="G6526" s="2">
        <v>123.0</v>
      </c>
      <c r="H6526" s="3" t="str">
        <f>HYPERLINK("http://www.linkedin.com/pub/mary-dehahn/6/237/AA1","http://www.linkedin.com/pub/mary-dehahn/6/237/AA1")</f>
        <v>http://www.linkedin.com/pub/mary-dehahn/6/237/AA1</v>
      </c>
      <c r="I6526" s="2" t="s">
        <v>105</v>
      </c>
      <c r="J6526" s="2" t="s">
        <v>102</v>
      </c>
      <c r="K6526" s="2" t="s">
        <v>10209</v>
      </c>
    </row>
    <row r="6527" ht="15.75" customHeight="1">
      <c r="A6527" s="2">
        <v>37742.0</v>
      </c>
      <c r="B6527" s="2" t="s">
        <v>12609</v>
      </c>
      <c r="C6527" s="2" t="s">
        <v>12610</v>
      </c>
      <c r="D6527" s="2" t="s">
        <v>3587</v>
      </c>
      <c r="E6527" s="2" t="s">
        <v>720</v>
      </c>
      <c r="F6527" s="2">
        <v>7.0</v>
      </c>
      <c r="G6527" s="2">
        <v>473.0</v>
      </c>
      <c r="H6527" s="3" t="str">
        <f>HYPERLINK("http://www.linkedin.com/in/rosannesimiele","http://www.linkedin.com/in/rosannesimiele")</f>
        <v>http://www.linkedin.com/in/rosannesimiele</v>
      </c>
      <c r="I6527" s="2" t="s">
        <v>15</v>
      </c>
      <c r="J6527" s="2" t="s">
        <v>102</v>
      </c>
      <c r="K6527" s="2" t="s">
        <v>10245</v>
      </c>
    </row>
    <row r="6528" ht="15.75" customHeight="1">
      <c r="A6528" s="2">
        <v>37744.0</v>
      </c>
      <c r="B6528" s="2" t="s">
        <v>752</v>
      </c>
      <c r="C6528" s="2" t="s">
        <v>6794</v>
      </c>
      <c r="D6528" s="2" t="s">
        <v>12611</v>
      </c>
      <c r="E6528" s="2" t="s">
        <v>720</v>
      </c>
      <c r="F6528" s="2">
        <v>5.0</v>
      </c>
      <c r="G6528" s="2">
        <v>499.0</v>
      </c>
      <c r="H6528" s="3" t="str">
        <f>HYPERLINK("http://www.linkedin.com/in/jimferrari","http://www.linkedin.com/in/jimferrari")</f>
        <v>http://www.linkedin.com/in/jimferrari</v>
      </c>
      <c r="I6528" s="2" t="s">
        <v>279</v>
      </c>
      <c r="J6528" s="2" t="s">
        <v>102</v>
      </c>
      <c r="K6528" s="2" t="s">
        <v>10206</v>
      </c>
    </row>
    <row r="6529" ht="15.75" customHeight="1">
      <c r="A6529" s="2">
        <v>37778.0</v>
      </c>
      <c r="B6529" s="2" t="s">
        <v>5078</v>
      </c>
      <c r="C6529" s="2" t="s">
        <v>12612</v>
      </c>
      <c r="D6529" s="2" t="s">
        <v>12613</v>
      </c>
      <c r="E6529" s="2" t="s">
        <v>136</v>
      </c>
      <c r="F6529" s="2">
        <v>4.0</v>
      </c>
      <c r="G6529" s="2">
        <v>500.0</v>
      </c>
      <c r="H6529" s="3" t="str">
        <f>HYPERLINK("http://www.linkedin.com/in/diegosabaris","http://www.linkedin.com/in/diegosabaris")</f>
        <v>http://www.linkedin.com/in/diegosabaris</v>
      </c>
      <c r="I6529" s="2" t="s">
        <v>15</v>
      </c>
      <c r="J6529" s="2" t="s">
        <v>102</v>
      </c>
      <c r="K6529" s="2" t="s">
        <v>10286</v>
      </c>
    </row>
    <row r="6530" ht="15.75" customHeight="1">
      <c r="A6530" s="2">
        <v>37785.0</v>
      </c>
      <c r="B6530" s="2" t="s">
        <v>12614</v>
      </c>
      <c r="C6530" s="2" t="s">
        <v>12615</v>
      </c>
      <c r="D6530" s="2" t="s">
        <v>13</v>
      </c>
      <c r="E6530" s="2" t="s">
        <v>20</v>
      </c>
      <c r="F6530" s="2">
        <v>0.0</v>
      </c>
      <c r="G6530" s="2">
        <v>304.0</v>
      </c>
      <c r="H6530" s="3" t="str">
        <f>HYPERLINK("http://www.linkedin.com/pub/daniel-nicolas-cajelli/21/8a0/501","http://www.linkedin.com/pub/daniel-nicolas-cajelli/21/8a0/501")</f>
        <v>http://www.linkedin.com/pub/daniel-nicolas-cajelli/21/8a0/501</v>
      </c>
      <c r="I6530" s="2" t="s">
        <v>69</v>
      </c>
      <c r="J6530" s="2" t="s">
        <v>21</v>
      </c>
      <c r="K6530" s="2" t="s">
        <v>10196</v>
      </c>
    </row>
    <row r="6531" ht="15.75" customHeight="1">
      <c r="A6531" s="2">
        <v>37794.0</v>
      </c>
      <c r="B6531" s="2" t="s">
        <v>677</v>
      </c>
      <c r="C6531" s="2" t="s">
        <v>6543</v>
      </c>
      <c r="D6531" s="2" t="s">
        <v>289</v>
      </c>
      <c r="E6531" s="2" t="s">
        <v>20</v>
      </c>
      <c r="F6531" s="2">
        <v>7.0</v>
      </c>
      <c r="G6531" s="2">
        <v>370.0</v>
      </c>
      <c r="H6531" s="3" t="str">
        <f>HYPERLINK("http://ar.linkedin.com/in/ingdanielblanco","http://ar.linkedin.com/in/ingdanielblanco")</f>
        <v>http://ar.linkedin.com/in/ingdanielblanco</v>
      </c>
      <c r="I6531" s="2" t="s">
        <v>48</v>
      </c>
      <c r="J6531" s="2" t="s">
        <v>21</v>
      </c>
      <c r="K6531" s="2" t="s">
        <v>10196</v>
      </c>
    </row>
    <row r="6532" ht="15.75" customHeight="1">
      <c r="A6532" s="2">
        <v>37810.0</v>
      </c>
      <c r="B6532" s="2" t="s">
        <v>5763</v>
      </c>
      <c r="C6532" s="2" t="s">
        <v>12616</v>
      </c>
      <c r="D6532" s="2" t="s">
        <v>8416</v>
      </c>
      <c r="E6532" s="2" t="s">
        <v>20</v>
      </c>
      <c r="F6532" s="2">
        <v>1.0</v>
      </c>
      <c r="G6532" s="2">
        <v>236.0</v>
      </c>
      <c r="H6532" s="3" t="str">
        <f>HYPERLINK("http://ar.linkedin.com/in/ezequielberterretche","http://ar.linkedin.com/in/ezequielberterretche")</f>
        <v>http://ar.linkedin.com/in/ezequielberterretche</v>
      </c>
      <c r="I6532" s="2" t="s">
        <v>2000</v>
      </c>
      <c r="J6532" s="2" t="s">
        <v>21</v>
      </c>
      <c r="K6532" s="2" t="s">
        <v>10206</v>
      </c>
    </row>
    <row r="6533" ht="15.75" customHeight="1">
      <c r="A6533" s="2">
        <v>37829.0</v>
      </c>
      <c r="B6533" s="2" t="s">
        <v>12617</v>
      </c>
      <c r="C6533" s="2" t="s">
        <v>1868</v>
      </c>
      <c r="D6533" s="2" t="s">
        <v>13</v>
      </c>
      <c r="E6533" s="2" t="s">
        <v>12618</v>
      </c>
      <c r="F6533" s="2">
        <v>0.0</v>
      </c>
      <c r="G6533" s="2">
        <v>500.0</v>
      </c>
      <c r="H6533" s="3" t="str">
        <f>HYPERLINK("http://www.linkedin.com/pub/alejandro-g-jack/6/35b/bb6","http://www.linkedin.com/pub/alejandro-g-jack/6/35b/bb6")</f>
        <v>http://www.linkedin.com/pub/alejandro-g-jack/6/35b/bb6</v>
      </c>
      <c r="I6533" s="2" t="s">
        <v>48</v>
      </c>
      <c r="J6533" s="2" t="s">
        <v>102</v>
      </c>
      <c r="K6533" s="2" t="s">
        <v>10233</v>
      </c>
    </row>
    <row r="6534" ht="15.75" customHeight="1">
      <c r="A6534" s="2">
        <v>37891.0</v>
      </c>
      <c r="B6534" s="2" t="s">
        <v>5415</v>
      </c>
      <c r="C6534" s="2" t="s">
        <v>12619</v>
      </c>
      <c r="D6534" s="2" t="s">
        <v>8416</v>
      </c>
      <c r="E6534" s="2" t="s">
        <v>20</v>
      </c>
      <c r="F6534" s="2" t="s">
        <v>13</v>
      </c>
      <c r="G6534" s="2">
        <v>44.0</v>
      </c>
      <c r="H6534" s="3" t="str">
        <f>HYPERLINK("http://ar.linkedin.com/pub/cristian-cejas/25/864/405","http://ar.linkedin.com/pub/cristian-cejas/25/864/405")</f>
        <v>http://ar.linkedin.com/pub/cristian-cejas/25/864/405</v>
      </c>
      <c r="I6534" s="2" t="s">
        <v>2000</v>
      </c>
      <c r="J6534" s="2" t="s">
        <v>21</v>
      </c>
      <c r="K6534" s="2" t="s">
        <v>10206</v>
      </c>
    </row>
    <row r="6535" ht="15.75" customHeight="1">
      <c r="A6535" s="2">
        <v>38099.0</v>
      </c>
      <c r="B6535" s="2" t="s">
        <v>1497</v>
      </c>
      <c r="C6535" s="2" t="s">
        <v>12620</v>
      </c>
      <c r="D6535" s="2" t="s">
        <v>13</v>
      </c>
      <c r="E6535" s="2" t="s">
        <v>122</v>
      </c>
      <c r="F6535" s="2">
        <v>0.0</v>
      </c>
      <c r="G6535" s="2">
        <v>500.0</v>
      </c>
      <c r="H6535" s="3" t="str">
        <f>HYPERLINK("http://www.linkedin.com/pub/roy-masamba/0/807/429","http://www.linkedin.com/pub/roy-masamba/0/807/429")</f>
        <v>http://www.linkedin.com/pub/roy-masamba/0/807/429</v>
      </c>
      <c r="I6535" s="2" t="s">
        <v>77</v>
      </c>
      <c r="J6535" s="2" t="s">
        <v>53</v>
      </c>
      <c r="K6535" s="2" t="s">
        <v>11219</v>
      </c>
    </row>
    <row r="6536" ht="15.75" customHeight="1">
      <c r="A6536" s="2">
        <v>38134.0</v>
      </c>
      <c r="B6536" s="2" t="s">
        <v>12621</v>
      </c>
      <c r="C6536" s="2" t="s">
        <v>4372</v>
      </c>
      <c r="D6536" s="2" t="s">
        <v>42</v>
      </c>
      <c r="E6536" s="2" t="s">
        <v>122</v>
      </c>
      <c r="F6536" s="2">
        <v>26.0</v>
      </c>
      <c r="G6536" s="2">
        <v>500.0</v>
      </c>
      <c r="H6536" s="3" t="str">
        <f>HYPERLINK("http://uk.linkedin.com/in/sukybansal6","http://uk.linkedin.com/in/sukybansal6")</f>
        <v>http://uk.linkedin.com/in/sukybansal6</v>
      </c>
      <c r="I6536" s="2" t="s">
        <v>69</v>
      </c>
      <c r="J6536" s="2" t="s">
        <v>53</v>
      </c>
      <c r="K6536" s="2" t="s">
        <v>10187</v>
      </c>
    </row>
    <row r="6537" ht="15.75" customHeight="1">
      <c r="A6537" s="2">
        <v>38144.0</v>
      </c>
      <c r="B6537" s="2" t="s">
        <v>12622</v>
      </c>
      <c r="C6537" s="2" t="s">
        <v>12623</v>
      </c>
      <c r="D6537" s="2" t="s">
        <v>2714</v>
      </c>
      <c r="E6537" s="2" t="s">
        <v>1288</v>
      </c>
      <c r="F6537" s="2">
        <v>1.0</v>
      </c>
      <c r="G6537" s="2">
        <v>500.0</v>
      </c>
      <c r="H6537" s="3" t="str">
        <f>HYPERLINK("http://uk.linkedin.com/pub/dragana-ljubisavljevic/0/304/231","http://uk.linkedin.com/pub/dragana-ljubisavljevic/0/304/231")</f>
        <v>http://uk.linkedin.com/pub/dragana-ljubisavljevic/0/304/231</v>
      </c>
      <c r="I6537" s="2" t="s">
        <v>69</v>
      </c>
      <c r="J6537" s="2" t="s">
        <v>53</v>
      </c>
      <c r="K6537" s="2" t="s">
        <v>10173</v>
      </c>
    </row>
    <row r="6538" ht="15.75" customHeight="1">
      <c r="A6538" s="2">
        <v>38182.0</v>
      </c>
      <c r="B6538" s="2" t="s">
        <v>3366</v>
      </c>
      <c r="C6538" s="2" t="s">
        <v>9263</v>
      </c>
      <c r="D6538" s="2"/>
      <c r="E6538" s="2" t="s">
        <v>136</v>
      </c>
      <c r="F6538" s="2">
        <v>3.0</v>
      </c>
      <c r="G6538" s="2">
        <v>186.0</v>
      </c>
      <c r="H6538" s="3" t="str">
        <f>HYPERLINK("http://www.linkedin.com/pub/kimi-canedo/1/531/5A5","http://www.linkedin.com/pub/kimi-canedo/1/531/5A5")</f>
        <v>http://www.linkedin.com/pub/kimi-canedo/1/531/5A5</v>
      </c>
      <c r="I6538" s="2" t="s">
        <v>105</v>
      </c>
      <c r="J6538" s="2" t="s">
        <v>102</v>
      </c>
      <c r="K6538" s="2" t="s">
        <v>10206</v>
      </c>
    </row>
    <row r="6539" ht="15.75" customHeight="1">
      <c r="A6539" s="2">
        <v>38183.0</v>
      </c>
      <c r="B6539" s="2" t="s">
        <v>1454</v>
      </c>
      <c r="C6539" s="2" t="s">
        <v>12624</v>
      </c>
      <c r="D6539" s="2" t="s">
        <v>12625</v>
      </c>
      <c r="E6539" s="2" t="s">
        <v>155</v>
      </c>
      <c r="F6539" s="2">
        <v>12.0</v>
      </c>
      <c r="G6539" s="2">
        <v>500.0</v>
      </c>
      <c r="H6539" s="3" t="str">
        <f>HYPERLINK("http://www.linkedin.com/in/ace33","http://www.linkedin.com/in/ace33")</f>
        <v>http://www.linkedin.com/in/ace33</v>
      </c>
      <c r="I6539" s="2" t="s">
        <v>105</v>
      </c>
      <c r="J6539" s="2" t="s">
        <v>102</v>
      </c>
      <c r="K6539" s="2" t="s">
        <v>12626</v>
      </c>
    </row>
    <row r="6540" ht="15.75" customHeight="1">
      <c r="A6540" s="2">
        <v>38186.0</v>
      </c>
      <c r="B6540" s="2" t="s">
        <v>1071</v>
      </c>
      <c r="C6540" s="2" t="s">
        <v>12627</v>
      </c>
      <c r="D6540" s="2"/>
      <c r="E6540" s="2" t="s">
        <v>136</v>
      </c>
      <c r="F6540" s="2">
        <v>4.0</v>
      </c>
      <c r="G6540" s="2">
        <v>500.0</v>
      </c>
      <c r="H6540" s="3" t="str">
        <f>HYPERLINK("http://www.linkedin.com/in/vanmiltenburg","http://www.linkedin.com/in/vanmiltenburg")</f>
        <v>http://www.linkedin.com/in/vanmiltenburg</v>
      </c>
      <c r="I6540" s="2" t="s">
        <v>69</v>
      </c>
      <c r="J6540" s="2" t="s">
        <v>102</v>
      </c>
      <c r="K6540" s="2" t="s">
        <v>10176</v>
      </c>
    </row>
    <row r="6541" ht="15.75" customHeight="1">
      <c r="A6541" s="2">
        <v>38188.0</v>
      </c>
      <c r="B6541" s="2" t="s">
        <v>511</v>
      </c>
      <c r="C6541" s="2" t="s">
        <v>12628</v>
      </c>
      <c r="D6541" s="2"/>
      <c r="E6541" s="2" t="s">
        <v>542</v>
      </c>
      <c r="F6541" s="2">
        <v>4.0</v>
      </c>
      <c r="G6541" s="2">
        <v>500.0</v>
      </c>
      <c r="H6541" s="3" t="str">
        <f>HYPERLINK("http://www.linkedin.com/in/mikemaser","http://www.linkedin.com/in/mikemaser")</f>
        <v>http://www.linkedin.com/in/mikemaser</v>
      </c>
      <c r="I6541" s="2" t="s">
        <v>69</v>
      </c>
      <c r="J6541" s="2" t="s">
        <v>102</v>
      </c>
      <c r="K6541" s="2" t="s">
        <v>10176</v>
      </c>
    </row>
    <row r="6542" ht="15.75" customHeight="1">
      <c r="A6542" s="2">
        <v>38196.0</v>
      </c>
      <c r="B6542" s="2" t="s">
        <v>710</v>
      </c>
      <c r="C6542" s="2" t="s">
        <v>10729</v>
      </c>
      <c r="D6542" s="2" t="s">
        <v>12629</v>
      </c>
      <c r="E6542" s="2" t="s">
        <v>2730</v>
      </c>
      <c r="F6542" s="2">
        <v>28.0</v>
      </c>
      <c r="G6542" s="2">
        <v>500.0</v>
      </c>
      <c r="H6542" s="3" t="str">
        <f>HYPERLINK("http://www.linkedin.com/in/mrjasonford","http://www.linkedin.com/in/mrjasonford")</f>
        <v>http://www.linkedin.com/in/mrjasonford</v>
      </c>
      <c r="I6542" s="2" t="s">
        <v>48</v>
      </c>
      <c r="J6542" s="2" t="s">
        <v>102</v>
      </c>
      <c r="K6542" s="2" t="s">
        <v>10245</v>
      </c>
    </row>
    <row r="6543" ht="15.75" customHeight="1">
      <c r="A6543" s="2">
        <v>38201.0</v>
      </c>
      <c r="B6543" s="2" t="s">
        <v>12630</v>
      </c>
      <c r="C6543" s="2" t="s">
        <v>369</v>
      </c>
      <c r="D6543" s="2" t="s">
        <v>12631</v>
      </c>
      <c r="E6543" s="2" t="s">
        <v>136</v>
      </c>
      <c r="F6543" s="2">
        <v>7.0</v>
      </c>
      <c r="G6543" s="2">
        <v>500.0</v>
      </c>
      <c r="H6543" s="3" t="str">
        <f>HYPERLINK("http://www.linkedin.com/in/vipulsharma3","http://www.linkedin.com/in/vipulsharma3")</f>
        <v>http://www.linkedin.com/in/vipulsharma3</v>
      </c>
      <c r="I6543" s="2" t="s">
        <v>69</v>
      </c>
      <c r="J6543" s="2" t="s">
        <v>102</v>
      </c>
      <c r="K6543" s="2" t="s">
        <v>10245</v>
      </c>
    </row>
    <row r="6544" ht="15.75" customHeight="1">
      <c r="A6544" s="2">
        <v>38202.0</v>
      </c>
      <c r="B6544" s="2" t="s">
        <v>2741</v>
      </c>
      <c r="C6544" s="2" t="s">
        <v>12632</v>
      </c>
      <c r="D6544" s="2" t="s">
        <v>12633</v>
      </c>
      <c r="E6544" s="2" t="s">
        <v>136</v>
      </c>
      <c r="F6544" s="2">
        <v>5.0</v>
      </c>
      <c r="G6544" s="2">
        <v>500.0</v>
      </c>
      <c r="H6544" s="3" t="str">
        <f>HYPERLINK("http://www.linkedin.com/in/vijay2win","http://www.linkedin.com/in/vijay2win")</f>
        <v>http://www.linkedin.com/in/vijay2win</v>
      </c>
      <c r="I6544" s="2" t="s">
        <v>1452</v>
      </c>
      <c r="J6544" s="2" t="s">
        <v>102</v>
      </c>
      <c r="K6544" s="2" t="s">
        <v>10180</v>
      </c>
    </row>
    <row r="6545" ht="15.75" customHeight="1">
      <c r="A6545" s="2">
        <v>38204.0</v>
      </c>
      <c r="B6545" s="2" t="s">
        <v>302</v>
      </c>
      <c r="C6545" s="2" t="s">
        <v>3322</v>
      </c>
      <c r="D6545" s="2"/>
      <c r="E6545" s="2" t="s">
        <v>136</v>
      </c>
      <c r="F6545" s="2">
        <v>10.0</v>
      </c>
      <c r="G6545" s="2">
        <v>480.0</v>
      </c>
      <c r="H6545" s="3" t="str">
        <f>HYPERLINK("http://www.linkedin.com/pub/bill-wu/2/1A9/588","http://www.linkedin.com/pub/bill-wu/2/1A9/588")</f>
        <v>http://www.linkedin.com/pub/bill-wu/2/1A9/588</v>
      </c>
      <c r="I6545" s="2" t="s">
        <v>48</v>
      </c>
      <c r="J6545" s="2" t="s">
        <v>102</v>
      </c>
      <c r="K6545" s="2" t="s">
        <v>10184</v>
      </c>
    </row>
    <row r="6546" ht="15.75" customHeight="1">
      <c r="A6546" s="2">
        <v>38205.0</v>
      </c>
      <c r="B6546" s="2" t="s">
        <v>1827</v>
      </c>
      <c r="C6546" s="2" t="s">
        <v>12634</v>
      </c>
      <c r="D6546" s="2" t="s">
        <v>12635</v>
      </c>
      <c r="E6546" s="2" t="s">
        <v>136</v>
      </c>
      <c r="F6546" s="2">
        <v>15.0</v>
      </c>
      <c r="G6546" s="2">
        <v>500.0</v>
      </c>
      <c r="H6546" s="3" t="str">
        <f>HYPERLINK("http://www.linkedin.com/in/seemavora","http://www.linkedin.com/in/seemavora")</f>
        <v>http://www.linkedin.com/in/seemavora</v>
      </c>
      <c r="I6546" s="2" t="s">
        <v>143</v>
      </c>
      <c r="J6546" s="2" t="s">
        <v>102</v>
      </c>
      <c r="K6546" s="2" t="s">
        <v>10245</v>
      </c>
    </row>
    <row r="6547" ht="15.75" customHeight="1">
      <c r="A6547" s="2">
        <v>38206.0</v>
      </c>
      <c r="B6547" s="2" t="s">
        <v>1104</v>
      </c>
      <c r="C6547" s="2" t="s">
        <v>820</v>
      </c>
      <c r="D6547" s="2"/>
      <c r="E6547" s="2" t="s">
        <v>136</v>
      </c>
      <c r="F6547" s="2">
        <v>8.0</v>
      </c>
      <c r="G6547" s="2">
        <v>500.0</v>
      </c>
      <c r="H6547" s="3" t="str">
        <f>HYPERLINK("http://www.linkedin.com/pub/jay-moore/0/1B0/733","http://www.linkedin.com/pub/jay-moore/0/1B0/733")</f>
        <v>http://www.linkedin.com/pub/jay-moore/0/1B0/733</v>
      </c>
      <c r="I6547" s="2" t="s">
        <v>69</v>
      </c>
      <c r="J6547" s="2" t="s">
        <v>102</v>
      </c>
      <c r="K6547" s="2" t="s">
        <v>10176</v>
      </c>
    </row>
    <row r="6548" ht="15.75" customHeight="1">
      <c r="A6548" s="2">
        <v>38210.0</v>
      </c>
      <c r="B6548" s="2" t="s">
        <v>1344</v>
      </c>
      <c r="C6548" s="2" t="s">
        <v>12636</v>
      </c>
      <c r="D6548" s="2"/>
      <c r="E6548" s="2" t="s">
        <v>136</v>
      </c>
      <c r="F6548" s="2">
        <v>1.0</v>
      </c>
      <c r="G6548" s="2">
        <v>500.0</v>
      </c>
      <c r="H6548" s="3" t="str">
        <f>HYPERLINK("http://www.linkedin.com/pub/renato-iwersen/1/369/530","http://www.linkedin.com/pub/renato-iwersen/1/369/530")</f>
        <v>http://www.linkedin.com/pub/renato-iwersen/1/369/530</v>
      </c>
      <c r="I6548" s="2" t="s">
        <v>77</v>
      </c>
      <c r="J6548" s="2" t="s">
        <v>102</v>
      </c>
      <c r="K6548" s="2" t="s">
        <v>10187</v>
      </c>
    </row>
    <row r="6549" ht="15.75" customHeight="1">
      <c r="A6549" s="2">
        <v>38213.0</v>
      </c>
      <c r="B6549" s="2" t="s">
        <v>4799</v>
      </c>
      <c r="C6549" s="2" t="s">
        <v>3869</v>
      </c>
      <c r="D6549" s="2" t="s">
        <v>12637</v>
      </c>
      <c r="E6549" s="2" t="s">
        <v>1179</v>
      </c>
      <c r="F6549" s="2">
        <v>2.0</v>
      </c>
      <c r="G6549" s="2">
        <v>232.0</v>
      </c>
      <c r="H6549" s="3" t="str">
        <f>HYPERLINK("http://www.linkedin.com/in/mrdwilliams","http://www.linkedin.com/in/mrdwilliams")</f>
        <v>http://www.linkedin.com/in/mrdwilliams</v>
      </c>
      <c r="I6549" s="2" t="s">
        <v>1496</v>
      </c>
      <c r="J6549" s="2" t="s">
        <v>102</v>
      </c>
      <c r="K6549" s="2" t="s">
        <v>10209</v>
      </c>
    </row>
    <row r="6550" ht="15.75" customHeight="1">
      <c r="A6550" s="2">
        <v>38220.0</v>
      </c>
      <c r="B6550" s="2" t="s">
        <v>471</v>
      </c>
      <c r="C6550" s="2" t="s">
        <v>12638</v>
      </c>
      <c r="D6550" s="2"/>
      <c r="E6550" s="2" t="s">
        <v>136</v>
      </c>
      <c r="F6550" s="2">
        <v>6.0</v>
      </c>
      <c r="G6550" s="2">
        <v>332.0</v>
      </c>
      <c r="H6550" s="3" t="str">
        <f>HYPERLINK("http://www.linkedin.com/pub/dan-friske/3/179/5AA","http://www.linkedin.com/pub/dan-friske/3/179/5AA")</f>
        <v>http://www.linkedin.com/pub/dan-friske/3/179/5AA</v>
      </c>
      <c r="I6550" s="2" t="s">
        <v>48</v>
      </c>
      <c r="J6550" s="2" t="s">
        <v>102</v>
      </c>
      <c r="K6550" s="2" t="s">
        <v>10184</v>
      </c>
    </row>
    <row r="6551" ht="15.75" customHeight="1">
      <c r="A6551" s="2">
        <v>38222.0</v>
      </c>
      <c r="B6551" s="2" t="s">
        <v>11636</v>
      </c>
      <c r="C6551" s="2" t="s">
        <v>12639</v>
      </c>
      <c r="D6551" s="2"/>
      <c r="E6551" s="2" t="s">
        <v>12640</v>
      </c>
      <c r="F6551" s="2">
        <v>44.0</v>
      </c>
      <c r="G6551" s="2">
        <v>500.0</v>
      </c>
      <c r="H6551" s="3" t="str">
        <f>HYPERLINK("http://www.linkedin.com/in/evanlovett","http://www.linkedin.com/in/evanlovett")</f>
        <v>http://www.linkedin.com/in/evanlovett</v>
      </c>
      <c r="I6551" s="2" t="s">
        <v>105</v>
      </c>
      <c r="J6551" s="2" t="s">
        <v>102</v>
      </c>
      <c r="K6551" s="2" t="s">
        <v>10206</v>
      </c>
    </row>
    <row r="6552" ht="15.75" customHeight="1">
      <c r="A6552" s="2">
        <v>38228.0</v>
      </c>
      <c r="B6552" s="2" t="s">
        <v>5597</v>
      </c>
      <c r="C6552" s="2" t="s">
        <v>2631</v>
      </c>
      <c r="D6552" s="2" t="s">
        <v>12641</v>
      </c>
      <c r="E6552" s="2" t="s">
        <v>1147</v>
      </c>
      <c r="F6552" s="2">
        <v>29.0</v>
      </c>
      <c r="G6552" s="2">
        <v>500.0</v>
      </c>
      <c r="H6552" s="3" t="str">
        <f>HYPERLINK("http://www.linkedin.com/in/carolinemason","http://www.linkedin.com/in/carolinemason")</f>
        <v>http://www.linkedin.com/in/carolinemason</v>
      </c>
      <c r="I6552" s="2" t="s">
        <v>105</v>
      </c>
      <c r="J6552" s="2" t="s">
        <v>102</v>
      </c>
      <c r="K6552" s="2" t="s">
        <v>10206</v>
      </c>
    </row>
    <row r="6553" ht="15.75" customHeight="1">
      <c r="A6553" s="2">
        <v>38237.0</v>
      </c>
      <c r="B6553" s="2" t="s">
        <v>534</v>
      </c>
      <c r="C6553" s="2" t="s">
        <v>12642</v>
      </c>
      <c r="D6553" s="2" t="s">
        <v>12643</v>
      </c>
      <c r="E6553" s="2" t="s">
        <v>1147</v>
      </c>
      <c r="F6553" s="2">
        <v>7.0</v>
      </c>
      <c r="G6553" s="2">
        <v>500.0</v>
      </c>
      <c r="H6553" s="3" t="str">
        <f>HYPERLINK("http://www.linkedin.com/in/chipmunk","http://www.linkedin.com/in/chipmunk")</f>
        <v>http://www.linkedin.com/in/chipmunk</v>
      </c>
      <c r="I6553" s="2" t="s">
        <v>105</v>
      </c>
      <c r="J6553" s="2" t="s">
        <v>102</v>
      </c>
      <c r="K6553" s="2" t="s">
        <v>10209</v>
      </c>
    </row>
    <row r="6554" ht="15.75" customHeight="1">
      <c r="A6554" s="2">
        <v>38239.0</v>
      </c>
      <c r="B6554" s="2" t="s">
        <v>1617</v>
      </c>
      <c r="C6554" s="2" t="s">
        <v>12644</v>
      </c>
      <c r="D6554" s="2" t="s">
        <v>517</v>
      </c>
      <c r="E6554" s="2" t="s">
        <v>2058</v>
      </c>
      <c r="F6554" s="2">
        <v>9.0</v>
      </c>
      <c r="G6554" s="2">
        <v>500.0</v>
      </c>
      <c r="H6554" s="3" t="str">
        <f>HYPERLINK("http://www.linkedin.com/in/ryangolembiewski","http://www.linkedin.com/in/ryangolembiewski")</f>
        <v>http://www.linkedin.com/in/ryangolembiewski</v>
      </c>
      <c r="I6554" s="2" t="s">
        <v>69</v>
      </c>
      <c r="J6554" s="2" t="s">
        <v>102</v>
      </c>
      <c r="K6554" s="2" t="s">
        <v>10176</v>
      </c>
    </row>
    <row r="6555" ht="15.75" customHeight="1">
      <c r="A6555" s="2">
        <v>38245.0</v>
      </c>
      <c r="B6555" s="2" t="s">
        <v>12645</v>
      </c>
      <c r="C6555" s="2" t="s">
        <v>12646</v>
      </c>
      <c r="D6555" s="2"/>
      <c r="E6555" s="2" t="s">
        <v>136</v>
      </c>
      <c r="F6555" s="2">
        <v>4.0</v>
      </c>
      <c r="G6555" s="2">
        <v>489.0</v>
      </c>
      <c r="H6555" s="3" t="str">
        <f>HYPERLINK("http://www.linkedin.com/in/rondeangelo","http://www.linkedin.com/in/rondeangelo")</f>
        <v>http://www.linkedin.com/in/rondeangelo</v>
      </c>
      <c r="I6555" s="2" t="s">
        <v>2443</v>
      </c>
      <c r="J6555" s="2" t="s">
        <v>102</v>
      </c>
      <c r="K6555" s="2" t="s">
        <v>10206</v>
      </c>
    </row>
    <row r="6556" ht="15.75" customHeight="1">
      <c r="A6556" s="2">
        <v>38246.0</v>
      </c>
      <c r="B6556" s="2" t="s">
        <v>845</v>
      </c>
      <c r="C6556" s="2" t="s">
        <v>12647</v>
      </c>
      <c r="D6556" s="2" t="s">
        <v>13</v>
      </c>
      <c r="E6556" s="2" t="s">
        <v>1190</v>
      </c>
      <c r="F6556" s="2">
        <v>0.0</v>
      </c>
      <c r="G6556" s="2">
        <v>500.0</v>
      </c>
      <c r="H6556" s="3" t="str">
        <f>HYPERLINK("http://www.linkedin.com/in/davidshteif","http://www.linkedin.com/in/davidshteif")</f>
        <v>http://www.linkedin.com/in/davidshteif</v>
      </c>
      <c r="I6556" s="2" t="s">
        <v>69</v>
      </c>
      <c r="J6556" s="2" t="s">
        <v>102</v>
      </c>
      <c r="K6556" s="2" t="s">
        <v>10176</v>
      </c>
    </row>
    <row r="6557" ht="15.75" customHeight="1">
      <c r="A6557" s="2">
        <v>38252.0</v>
      </c>
      <c r="B6557" s="2" t="s">
        <v>460</v>
      </c>
      <c r="C6557" s="2" t="s">
        <v>12648</v>
      </c>
      <c r="D6557" s="2" t="s">
        <v>304</v>
      </c>
      <c r="E6557" s="2" t="s">
        <v>12649</v>
      </c>
      <c r="F6557" s="2">
        <v>7.0</v>
      </c>
      <c r="G6557" s="2">
        <v>500.0</v>
      </c>
      <c r="H6557" s="3" t="str">
        <f>HYPERLINK("http://www.linkedin.com/pub/john-eisenberg/9/127/8BB","http://www.linkedin.com/pub/john-eisenberg/9/127/8BB")</f>
        <v>http://www.linkedin.com/pub/john-eisenberg/9/127/8BB</v>
      </c>
      <c r="I6557" s="2" t="s">
        <v>69</v>
      </c>
      <c r="J6557" s="2" t="s">
        <v>102</v>
      </c>
      <c r="K6557" s="2" t="s">
        <v>10245</v>
      </c>
    </row>
    <row r="6558" ht="15.75" customHeight="1">
      <c r="A6558" s="2">
        <v>38254.0</v>
      </c>
      <c r="B6558" s="2" t="s">
        <v>4665</v>
      </c>
      <c r="C6558" s="2" t="s">
        <v>12650</v>
      </c>
      <c r="D6558" s="2" t="s">
        <v>1098</v>
      </c>
      <c r="E6558" s="2" t="s">
        <v>407</v>
      </c>
      <c r="F6558" s="2">
        <v>1.0</v>
      </c>
      <c r="G6558" s="2">
        <v>500.0</v>
      </c>
      <c r="H6558" s="3" t="str">
        <f>HYPERLINK("http://www.linkedin.com/pub/gregg-sobel/7/357/5B3","http://www.linkedin.com/pub/gregg-sobel/7/357/5B3")</f>
        <v>http://www.linkedin.com/pub/gregg-sobel/7/357/5B3</v>
      </c>
      <c r="I6558" s="2" t="s">
        <v>69</v>
      </c>
      <c r="J6558" s="2" t="s">
        <v>102</v>
      </c>
      <c r="K6558" s="2" t="s">
        <v>10233</v>
      </c>
    </row>
    <row r="6559" ht="15.75" customHeight="1">
      <c r="A6559" s="2">
        <v>38256.0</v>
      </c>
      <c r="B6559" s="2" t="s">
        <v>12651</v>
      </c>
      <c r="C6559" s="2" t="s">
        <v>2531</v>
      </c>
      <c r="D6559" s="2" t="s">
        <v>12652</v>
      </c>
      <c r="E6559" s="2" t="s">
        <v>166</v>
      </c>
      <c r="F6559" s="2">
        <v>8.0</v>
      </c>
      <c r="G6559" s="2">
        <v>500.0</v>
      </c>
      <c r="H6559" s="3" t="str">
        <f>HYPERLINK("http://www.linkedin.com/pub/crystal-chavez/23/758/205","http://www.linkedin.com/pub/crystal-chavez/23/758/205")</f>
        <v>http://www.linkedin.com/pub/crystal-chavez/23/758/205</v>
      </c>
      <c r="I6559" s="2" t="s">
        <v>105</v>
      </c>
      <c r="J6559" s="2" t="s">
        <v>102</v>
      </c>
      <c r="K6559" s="2" t="s">
        <v>10206</v>
      </c>
    </row>
    <row r="6560" ht="15.75" customHeight="1">
      <c r="A6560" s="2">
        <v>38257.0</v>
      </c>
      <c r="B6560" s="2" t="s">
        <v>264</v>
      </c>
      <c r="C6560" s="2" t="s">
        <v>12653</v>
      </c>
      <c r="D6560" s="2" t="s">
        <v>7051</v>
      </c>
      <c r="E6560" s="2" t="s">
        <v>2246</v>
      </c>
      <c r="F6560" s="2">
        <v>9.0</v>
      </c>
      <c r="G6560" s="2">
        <v>500.0</v>
      </c>
      <c r="H6560" s="3" t="str">
        <f>HYPERLINK("http://www.linkedin.com/in/andresf","http://www.linkedin.com/in/andresf")</f>
        <v>http://www.linkedin.com/in/andresf</v>
      </c>
      <c r="I6560" s="2" t="s">
        <v>105</v>
      </c>
      <c r="J6560" s="2" t="s">
        <v>102</v>
      </c>
      <c r="K6560" s="2" t="s">
        <v>10286</v>
      </c>
    </row>
    <row r="6561" ht="15.75" customHeight="1">
      <c r="A6561" s="2">
        <v>38270.0</v>
      </c>
      <c r="B6561" s="2" t="s">
        <v>7902</v>
      </c>
      <c r="C6561" s="2" t="s">
        <v>12654</v>
      </c>
      <c r="D6561" s="2" t="s">
        <v>13</v>
      </c>
      <c r="E6561" s="2" t="s">
        <v>20</v>
      </c>
      <c r="F6561" s="2">
        <v>6.0</v>
      </c>
      <c r="G6561" s="2">
        <v>500.0</v>
      </c>
      <c r="H6561" s="3" t="str">
        <f>HYPERLINK("http://www.linkedin.com/pub/diego-fernando-de-figueiredo-rodr%C3%ADguez/14/6b9/b11","http://www.linkedin.com/pub/diego-fernando-de-figueiredo-rodr%C3%ADguez/14/6b9/b11")</f>
        <v>http://www.linkedin.com/pub/diego-fernando-de-figueiredo-rodr%C3%ADguez/14/6b9/b11</v>
      </c>
      <c r="I6561" s="2" t="s">
        <v>15</v>
      </c>
      <c r="J6561" s="2" t="s">
        <v>21</v>
      </c>
      <c r="K6561" s="2" t="s">
        <v>10196</v>
      </c>
    </row>
    <row r="6562" ht="15.75" customHeight="1">
      <c r="A6562" s="2">
        <v>38299.0</v>
      </c>
      <c r="B6562" s="2" t="s">
        <v>2530</v>
      </c>
      <c r="C6562" s="2" t="s">
        <v>9140</v>
      </c>
      <c r="D6562" s="2" t="s">
        <v>6202</v>
      </c>
      <c r="E6562" s="2" t="s">
        <v>20</v>
      </c>
      <c r="F6562" s="2">
        <v>2.0</v>
      </c>
      <c r="G6562" s="2">
        <v>271.0</v>
      </c>
      <c r="H6562" s="3" t="str">
        <f>HYPERLINK("http://ar.linkedin.com/pub/omar-moreno/10/696/71B","http://ar.linkedin.com/pub/omar-moreno/10/696/71B")</f>
        <v>http://ar.linkedin.com/pub/omar-moreno/10/696/71B</v>
      </c>
      <c r="I6562" s="2" t="s">
        <v>48</v>
      </c>
      <c r="J6562" s="2" t="s">
        <v>21</v>
      </c>
      <c r="K6562" s="2" t="s">
        <v>10196</v>
      </c>
    </row>
    <row r="6563" ht="15.75" customHeight="1">
      <c r="A6563" s="2">
        <v>38324.0</v>
      </c>
      <c r="B6563" s="2" t="s">
        <v>862</v>
      </c>
      <c r="C6563" s="2" t="s">
        <v>12655</v>
      </c>
      <c r="D6563" s="2" t="s">
        <v>12656</v>
      </c>
      <c r="E6563" s="2" t="s">
        <v>20</v>
      </c>
      <c r="F6563" s="2">
        <v>6.0</v>
      </c>
      <c r="G6563" s="2">
        <v>238.0</v>
      </c>
      <c r="H6563" s="3" t="str">
        <f>HYPERLINK("http://ar.linkedin.com/in/galessan","http://ar.linkedin.com/in/galessan")</f>
        <v>http://ar.linkedin.com/in/galessan</v>
      </c>
      <c r="I6563" s="2" t="s">
        <v>15</v>
      </c>
      <c r="J6563" s="2" t="s">
        <v>21</v>
      </c>
      <c r="K6563" s="2" t="s">
        <v>10196</v>
      </c>
    </row>
    <row r="6564" ht="15.75" customHeight="1">
      <c r="A6564" s="2">
        <v>38349.0</v>
      </c>
      <c r="B6564" s="2" t="s">
        <v>5763</v>
      </c>
      <c r="C6564" s="2" t="s">
        <v>12657</v>
      </c>
      <c r="D6564" s="2" t="s">
        <v>12658</v>
      </c>
      <c r="E6564" s="2" t="s">
        <v>20</v>
      </c>
      <c r="F6564" s="2">
        <v>2.0</v>
      </c>
      <c r="G6564" s="2">
        <v>280.0</v>
      </c>
      <c r="H6564" s="3" t="str">
        <f>HYPERLINK("http://ar.linkedin.com/pub/ezequiel-corigliano/28/900/1A8","http://ar.linkedin.com/pub/ezequiel-corigliano/28/900/1A8")</f>
        <v>http://ar.linkedin.com/pub/ezequiel-corigliano/28/900/1A8</v>
      </c>
      <c r="I6564" s="2" t="s">
        <v>48</v>
      </c>
      <c r="J6564" s="2" t="s">
        <v>21</v>
      </c>
      <c r="K6564" s="2" t="s">
        <v>10196</v>
      </c>
    </row>
    <row r="6565" ht="15.75" customHeight="1">
      <c r="A6565" s="2">
        <v>38366.0</v>
      </c>
      <c r="B6565" s="2" t="s">
        <v>5078</v>
      </c>
      <c r="C6565" s="2" t="s">
        <v>12659</v>
      </c>
      <c r="D6565" s="2" t="s">
        <v>347</v>
      </c>
      <c r="E6565" s="2" t="s">
        <v>20</v>
      </c>
      <c r="F6565" s="2" t="s">
        <v>13</v>
      </c>
      <c r="G6565" s="2">
        <v>132.0</v>
      </c>
      <c r="H6565" s="3" t="str">
        <f>HYPERLINK("http://ar.linkedin.com/pub/diego-castanares/8/390/800","http://ar.linkedin.com/pub/diego-castanares/8/390/800")</f>
        <v>http://ar.linkedin.com/pub/diego-castanares/8/390/800</v>
      </c>
      <c r="I6565" s="2" t="s">
        <v>48</v>
      </c>
      <c r="J6565" s="2" t="s">
        <v>21</v>
      </c>
      <c r="K6565" s="2" t="s">
        <v>10180</v>
      </c>
    </row>
    <row r="6566" ht="15.75" customHeight="1">
      <c r="A6566" s="2">
        <v>38399.0</v>
      </c>
      <c r="B6566" s="2" t="s">
        <v>6004</v>
      </c>
      <c r="C6566" s="2" t="s">
        <v>12660</v>
      </c>
      <c r="D6566" s="2" t="s">
        <v>12661</v>
      </c>
      <c r="E6566" s="2" t="s">
        <v>20</v>
      </c>
      <c r="F6566" s="2">
        <v>9.0</v>
      </c>
      <c r="G6566" s="2">
        <v>183.0</v>
      </c>
      <c r="H6566" s="3" t="str">
        <f>HYPERLINK("http://ar.linkedin.com/pub/juan-manuel-g-mez-varela/10/405/352","http://ar.linkedin.com/pub/juan-manuel-g-mez-varela/10/405/352")</f>
        <v>http://ar.linkedin.com/pub/juan-manuel-g-mez-varela/10/405/352</v>
      </c>
      <c r="I6566" s="2" t="s">
        <v>69</v>
      </c>
      <c r="J6566" s="2" t="s">
        <v>21</v>
      </c>
      <c r="K6566" s="2" t="s">
        <v>10196</v>
      </c>
    </row>
    <row r="6567" ht="15.75" customHeight="1">
      <c r="A6567" s="2">
        <v>38420.0</v>
      </c>
      <c r="B6567" s="2" t="s">
        <v>3227</v>
      </c>
      <c r="C6567" s="2" t="s">
        <v>12662</v>
      </c>
      <c r="D6567" s="2" t="s">
        <v>835</v>
      </c>
      <c r="E6567" s="2" t="s">
        <v>12663</v>
      </c>
      <c r="F6567" s="2">
        <v>0.0</v>
      </c>
      <c r="G6567" s="2">
        <v>500.0</v>
      </c>
      <c r="H6567" s="3" t="str">
        <f>HYPERLINK("http://www.linkedin.com/pub/chad-womack/0/6A9/137","http://www.linkedin.com/pub/chad-womack/0/6A9/137")</f>
        <v>http://www.linkedin.com/pub/chad-womack/0/6A9/137</v>
      </c>
      <c r="I6567" s="2" t="s">
        <v>15</v>
      </c>
      <c r="J6567" s="2" t="s">
        <v>102</v>
      </c>
      <c r="K6567" s="2" t="s">
        <v>10184</v>
      </c>
    </row>
    <row r="6568" ht="15.75" customHeight="1">
      <c r="A6568" s="2">
        <v>38457.0</v>
      </c>
      <c r="B6568" s="2" t="s">
        <v>6061</v>
      </c>
      <c r="C6568" s="2" t="s">
        <v>12664</v>
      </c>
      <c r="D6568" s="2" t="s">
        <v>12665</v>
      </c>
      <c r="E6568" s="2" t="s">
        <v>417</v>
      </c>
      <c r="F6568" s="2">
        <v>1.0</v>
      </c>
      <c r="G6568" s="2">
        <v>500.0</v>
      </c>
      <c r="H6568" s="3" t="str">
        <f>HYPERLINK("http://ar.linkedin.com/in/agustinvijoditz","http://ar.linkedin.com/in/agustinvijoditz")</f>
        <v>http://ar.linkedin.com/in/agustinvijoditz</v>
      </c>
      <c r="I6568" s="2" t="s">
        <v>48</v>
      </c>
      <c r="J6568" s="2" t="s">
        <v>102</v>
      </c>
      <c r="K6568" s="2" t="s">
        <v>10184</v>
      </c>
    </row>
    <row r="6569" ht="15.75" customHeight="1">
      <c r="A6569" s="2">
        <v>38459.0</v>
      </c>
      <c r="B6569" s="2" t="s">
        <v>2530</v>
      </c>
      <c r="C6569" s="2" t="s">
        <v>12666</v>
      </c>
      <c r="D6569" s="2" t="s">
        <v>13</v>
      </c>
      <c r="E6569" s="2" t="s">
        <v>20</v>
      </c>
      <c r="F6569" s="2">
        <v>0.0</v>
      </c>
      <c r="G6569" s="2">
        <v>377.0</v>
      </c>
      <c r="H6569" s="3" t="str">
        <f>HYPERLINK("http://www.linkedin.com/pub/omar-pirrello/8/32/b46","http://www.linkedin.com/pub/omar-pirrello/8/32/b46")</f>
        <v>http://www.linkedin.com/pub/omar-pirrello/8/32/b46</v>
      </c>
      <c r="I6569" s="2" t="s">
        <v>69</v>
      </c>
      <c r="J6569" s="2" t="s">
        <v>21</v>
      </c>
      <c r="K6569" s="2" t="s">
        <v>10173</v>
      </c>
    </row>
    <row r="6570" ht="15.75" customHeight="1">
      <c r="A6570" s="2">
        <v>38491.0</v>
      </c>
      <c r="B6570" s="2" t="s">
        <v>59</v>
      </c>
      <c r="C6570" s="2" t="s">
        <v>12667</v>
      </c>
      <c r="D6570" s="2" t="s">
        <v>12668</v>
      </c>
      <c r="E6570" s="2" t="s">
        <v>20</v>
      </c>
      <c r="F6570" s="2">
        <v>17.0</v>
      </c>
      <c r="G6570" s="2">
        <v>500.0</v>
      </c>
      <c r="H6570" s="3" t="str">
        <f>HYPERLINK("http://ar.linkedin.com/in/martinvivas","http://ar.linkedin.com/in/martinvivas")</f>
        <v>http://ar.linkedin.com/in/martinvivas</v>
      </c>
      <c r="I6570" s="2" t="s">
        <v>69</v>
      </c>
      <c r="J6570" s="2" t="s">
        <v>21</v>
      </c>
      <c r="K6570" s="2" t="s">
        <v>10187</v>
      </c>
    </row>
    <row r="6571" ht="15.75" customHeight="1">
      <c r="A6571" s="2">
        <v>38494.0</v>
      </c>
      <c r="B6571" s="2" t="s">
        <v>12669</v>
      </c>
      <c r="C6571" s="2" t="s">
        <v>12670</v>
      </c>
      <c r="D6571" s="2" t="s">
        <v>2661</v>
      </c>
      <c r="E6571" s="2" t="s">
        <v>20</v>
      </c>
      <c r="F6571" s="2">
        <v>8.0</v>
      </c>
      <c r="G6571" s="2">
        <v>500.0</v>
      </c>
      <c r="H6571" s="3" t="str">
        <f>HYPERLINK("http://ar.linkedin.com/pub/ron-walter-engelberg/5/89B/43A","http://ar.linkedin.com/pub/ron-walter-engelberg/5/89B/43A")</f>
        <v>http://ar.linkedin.com/pub/ron-walter-engelberg/5/89B/43A</v>
      </c>
      <c r="I6571" s="2" t="s">
        <v>57</v>
      </c>
      <c r="J6571" s="2" t="s">
        <v>21</v>
      </c>
      <c r="K6571" s="2" t="s">
        <v>10184</v>
      </c>
    </row>
    <row r="6572" ht="15.75" customHeight="1">
      <c r="A6572" s="2">
        <v>38557.0</v>
      </c>
      <c r="B6572" s="2" t="s">
        <v>6232</v>
      </c>
      <c r="C6572" s="2" t="s">
        <v>12671</v>
      </c>
      <c r="D6572" s="2" t="s">
        <v>8968</v>
      </c>
      <c r="E6572" s="2" t="s">
        <v>20</v>
      </c>
      <c r="F6572" s="2" t="s">
        <v>13</v>
      </c>
      <c r="G6572" s="2">
        <v>405.0</v>
      </c>
      <c r="H6572" s="3" t="str">
        <f>HYPERLINK("http://ar.linkedin.com/pub/emiliano-ezcurra/20/6B7/3A2","http://ar.linkedin.com/pub/emiliano-ezcurra/20/6B7/3A2")</f>
        <v>http://ar.linkedin.com/pub/emiliano-ezcurra/20/6B7/3A2</v>
      </c>
      <c r="I6572" s="2" t="s">
        <v>663</v>
      </c>
      <c r="J6572" s="2" t="s">
        <v>21</v>
      </c>
      <c r="K6572" s="2" t="s">
        <v>10206</v>
      </c>
    </row>
    <row r="6573" ht="15.75" customHeight="1">
      <c r="A6573" s="2">
        <v>38561.0</v>
      </c>
      <c r="B6573" s="2" t="s">
        <v>7739</v>
      </c>
      <c r="C6573" s="2" t="s">
        <v>3120</v>
      </c>
      <c r="D6573" s="2" t="s">
        <v>12672</v>
      </c>
      <c r="E6573" s="2" t="s">
        <v>882</v>
      </c>
      <c r="F6573" s="2">
        <v>2.0</v>
      </c>
      <c r="G6573" s="2">
        <v>500.0</v>
      </c>
      <c r="H6573" s="3" t="str">
        <f>HYPERLINK("http://www.linkedin.com/in/ramiroyoung","http://www.linkedin.com/in/ramiroyoung")</f>
        <v>http://www.linkedin.com/in/ramiroyoung</v>
      </c>
      <c r="I6573" s="2" t="s">
        <v>279</v>
      </c>
      <c r="J6573" s="2" t="s">
        <v>102</v>
      </c>
      <c r="K6573" s="2" t="s">
        <v>10206</v>
      </c>
    </row>
    <row r="6574" ht="15.75" customHeight="1">
      <c r="A6574" s="2">
        <v>38583.0</v>
      </c>
      <c r="B6574" s="2" t="s">
        <v>5723</v>
      </c>
      <c r="C6574" s="2" t="s">
        <v>12673</v>
      </c>
      <c r="D6574" s="2" t="s">
        <v>13</v>
      </c>
      <c r="E6574" s="2" t="s">
        <v>20</v>
      </c>
      <c r="F6574" s="2">
        <v>2.0</v>
      </c>
      <c r="G6574" s="2">
        <v>500.0</v>
      </c>
      <c r="H6574" s="3" t="str">
        <f>HYPERLINK("http://www.linkedin.com/pub/pablo-mayer/1/1aa/565","http://www.linkedin.com/pub/pablo-mayer/1/1aa/565")</f>
        <v>http://www.linkedin.com/pub/pablo-mayer/1/1aa/565</v>
      </c>
      <c r="I6574" s="2" t="s">
        <v>143</v>
      </c>
      <c r="J6574" s="2" t="s">
        <v>21</v>
      </c>
      <c r="K6574" s="2" t="s">
        <v>10182</v>
      </c>
    </row>
    <row r="6575" ht="15.75" customHeight="1">
      <c r="A6575" s="2">
        <v>38589.0</v>
      </c>
      <c r="B6575" s="2" t="s">
        <v>189</v>
      </c>
      <c r="C6575" s="2" t="s">
        <v>12674</v>
      </c>
      <c r="D6575" s="2" t="s">
        <v>12675</v>
      </c>
      <c r="E6575" s="2" t="s">
        <v>407</v>
      </c>
      <c r="F6575" s="2">
        <v>7.0</v>
      </c>
      <c r="G6575" s="2">
        <v>202.0</v>
      </c>
      <c r="H6575" s="3" t="str">
        <f>HYPERLINK("http://www.linkedin.com/in/deanpasko","http://www.linkedin.com/in/deanpasko")</f>
        <v>http://www.linkedin.com/in/deanpasko</v>
      </c>
      <c r="I6575" s="2" t="s">
        <v>172</v>
      </c>
      <c r="J6575" s="2" t="s">
        <v>102</v>
      </c>
      <c r="K6575" s="2" t="s">
        <v>10206</v>
      </c>
    </row>
    <row r="6576" ht="15.75" customHeight="1">
      <c r="A6576" s="2">
        <v>38593.0</v>
      </c>
      <c r="B6576" s="2" t="s">
        <v>1284</v>
      </c>
      <c r="C6576" s="2" t="s">
        <v>492</v>
      </c>
      <c r="D6576" s="2" t="s">
        <v>289</v>
      </c>
      <c r="E6576" s="2" t="s">
        <v>1407</v>
      </c>
      <c r="F6576" s="2">
        <v>11.0</v>
      </c>
      <c r="G6576" s="2">
        <v>500.0</v>
      </c>
      <c r="H6576" s="3" t="str">
        <f>HYPERLINK("http://www.linkedin.com/in/anthonysergio","http://www.linkedin.com/in/anthonysergio")</f>
        <v>http://www.linkedin.com/in/anthonysergio</v>
      </c>
      <c r="I6576" s="2" t="s">
        <v>48</v>
      </c>
      <c r="J6576" s="2" t="s">
        <v>102</v>
      </c>
      <c r="K6576" s="2" t="s">
        <v>10184</v>
      </c>
    </row>
    <row r="6577" ht="15.75" customHeight="1">
      <c r="A6577" s="2">
        <v>38595.0</v>
      </c>
      <c r="B6577" s="2" t="s">
        <v>12676</v>
      </c>
      <c r="C6577" s="2" t="s">
        <v>12677</v>
      </c>
      <c r="D6577" s="2" t="s">
        <v>12678</v>
      </c>
      <c r="E6577" s="2" t="s">
        <v>992</v>
      </c>
      <c r="F6577" s="2">
        <v>8.0</v>
      </c>
      <c r="G6577" s="2">
        <v>500.0</v>
      </c>
      <c r="H6577" s="3" t="str">
        <f>HYPERLINK("http://www.linkedin.com/pub/sudha-bhat/4/14/8B3","http://www.linkedin.com/pub/sudha-bhat/4/14/8B3")</f>
        <v>http://www.linkedin.com/pub/sudha-bhat/4/14/8B3</v>
      </c>
      <c r="I6577" s="2" t="s">
        <v>15</v>
      </c>
      <c r="J6577" s="2" t="s">
        <v>102</v>
      </c>
      <c r="K6577" s="2" t="s">
        <v>10187</v>
      </c>
    </row>
    <row r="6578" ht="15.75" customHeight="1">
      <c r="A6578" s="2">
        <v>38597.0</v>
      </c>
      <c r="B6578" s="2" t="s">
        <v>809</v>
      </c>
      <c r="C6578" s="2" t="s">
        <v>12679</v>
      </c>
      <c r="D6578" s="2" t="s">
        <v>12680</v>
      </c>
      <c r="E6578" s="2" t="s">
        <v>1407</v>
      </c>
      <c r="F6578" s="2">
        <v>11.0</v>
      </c>
      <c r="G6578" s="2">
        <v>220.0</v>
      </c>
      <c r="H6578" s="3" t="str">
        <f>HYPERLINK("http://www.linkedin.com/in/rajjayanthi","http://www.linkedin.com/in/rajjayanthi")</f>
        <v>http://www.linkedin.com/in/rajjayanthi</v>
      </c>
      <c r="I6578" s="2" t="s">
        <v>48</v>
      </c>
      <c r="J6578" s="2" t="s">
        <v>102</v>
      </c>
      <c r="K6578" s="2" t="s">
        <v>10727</v>
      </c>
    </row>
    <row r="6579" ht="15.75" customHeight="1">
      <c r="A6579" s="2">
        <v>38599.0</v>
      </c>
      <c r="B6579" s="2" t="s">
        <v>295</v>
      </c>
      <c r="C6579" s="2" t="s">
        <v>12681</v>
      </c>
      <c r="D6579" s="2" t="s">
        <v>12682</v>
      </c>
      <c r="E6579" s="2" t="s">
        <v>1407</v>
      </c>
      <c r="F6579" s="2">
        <v>6.0</v>
      </c>
      <c r="G6579" s="2">
        <v>500.0</v>
      </c>
      <c r="H6579" s="3" t="str">
        <f>HYPERLINK("http://www.linkedin.com/in/arena","http://www.linkedin.com/in/arena")</f>
        <v>http://www.linkedin.com/in/arena</v>
      </c>
      <c r="I6579" s="2" t="s">
        <v>48</v>
      </c>
      <c r="J6579" s="2" t="s">
        <v>102</v>
      </c>
      <c r="K6579" s="2" t="s">
        <v>10799</v>
      </c>
    </row>
    <row r="6580" ht="15.75" customHeight="1">
      <c r="A6580" s="2">
        <v>38601.0</v>
      </c>
      <c r="B6580" s="2" t="s">
        <v>3550</v>
      </c>
      <c r="C6580" s="2" t="s">
        <v>4486</v>
      </c>
      <c r="D6580" s="2" t="s">
        <v>8416</v>
      </c>
      <c r="E6580" s="2" t="s">
        <v>20</v>
      </c>
      <c r="F6580" s="2" t="s">
        <v>13</v>
      </c>
      <c r="G6580" s="2">
        <v>108.0</v>
      </c>
      <c r="H6580" s="3" t="str">
        <f>HYPERLINK("http://ar.linkedin.com/pub/nicolas-fernandez/2A/949/B62","http://ar.linkedin.com/pub/nicolas-fernandez/2A/949/B62")</f>
        <v>http://ar.linkedin.com/pub/nicolas-fernandez/2A/949/B62</v>
      </c>
      <c r="I6580" s="2" t="s">
        <v>2000</v>
      </c>
      <c r="J6580" s="2" t="s">
        <v>21</v>
      </c>
      <c r="K6580" s="2" t="s">
        <v>10206</v>
      </c>
    </row>
    <row r="6581" ht="15.75" customHeight="1">
      <c r="A6581" s="2">
        <v>38606.0</v>
      </c>
      <c r="B6581" s="2" t="s">
        <v>12683</v>
      </c>
      <c r="C6581" s="2" t="s">
        <v>11000</v>
      </c>
      <c r="D6581" s="2" t="s">
        <v>12684</v>
      </c>
      <c r="E6581" s="2" t="s">
        <v>1407</v>
      </c>
      <c r="F6581" s="2">
        <v>4.0</v>
      </c>
      <c r="G6581" s="2">
        <v>416.0</v>
      </c>
      <c r="H6581" s="3" t="str">
        <f>HYPERLINK("http://www.linkedin.com/pub/libby-norris/0/5A1/B02","http://www.linkedin.com/pub/libby-norris/0/5A1/B02")</f>
        <v>http://www.linkedin.com/pub/libby-norris/0/5A1/B02</v>
      </c>
      <c r="I6581" s="2" t="s">
        <v>15</v>
      </c>
      <c r="J6581" s="2" t="s">
        <v>102</v>
      </c>
      <c r="K6581" s="2" t="s">
        <v>10184</v>
      </c>
    </row>
    <row r="6582" ht="15.75" customHeight="1">
      <c r="A6582" s="2">
        <v>38607.0</v>
      </c>
      <c r="B6582" s="2" t="s">
        <v>10728</v>
      </c>
      <c r="C6582" s="2" t="s">
        <v>12685</v>
      </c>
      <c r="D6582" s="2" t="s">
        <v>4224</v>
      </c>
      <c r="E6582" s="2" t="s">
        <v>1407</v>
      </c>
      <c r="F6582" s="2">
        <v>2.0</v>
      </c>
      <c r="G6582" s="2">
        <v>258.0</v>
      </c>
      <c r="H6582" s="3" t="str">
        <f>HYPERLINK("http://www.linkedin.com/pub/jenny-massey/3/260/52B","http://www.linkedin.com/pub/jenny-massey/3/260/52B")</f>
        <v>http://www.linkedin.com/pub/jenny-massey/3/260/52B</v>
      </c>
      <c r="I6582" s="2" t="s">
        <v>15</v>
      </c>
      <c r="J6582" s="2" t="s">
        <v>102</v>
      </c>
      <c r="K6582" s="2" t="s">
        <v>10184</v>
      </c>
    </row>
    <row r="6583" ht="15.75" customHeight="1">
      <c r="A6583" s="2">
        <v>38609.0</v>
      </c>
      <c r="B6583" s="2" t="s">
        <v>12686</v>
      </c>
      <c r="C6583" s="2" t="s">
        <v>292</v>
      </c>
      <c r="D6583" s="2" t="s">
        <v>12687</v>
      </c>
      <c r="E6583" s="2" t="s">
        <v>1407</v>
      </c>
      <c r="F6583" s="2">
        <v>5.0</v>
      </c>
      <c r="G6583" s="2">
        <v>500.0</v>
      </c>
      <c r="H6583" s="3" t="str">
        <f>HYPERLINK("http://www.linkedin.com/in/torys","http://www.linkedin.com/in/torys")</f>
        <v>http://www.linkedin.com/in/torys</v>
      </c>
      <c r="I6583" s="2" t="s">
        <v>105</v>
      </c>
      <c r="J6583" s="2" t="s">
        <v>102</v>
      </c>
      <c r="K6583" s="2" t="s">
        <v>10184</v>
      </c>
    </row>
    <row r="6584" ht="15.75" customHeight="1">
      <c r="A6584" s="2">
        <v>38610.0</v>
      </c>
      <c r="B6584" s="2" t="s">
        <v>631</v>
      </c>
      <c r="C6584" s="2" t="s">
        <v>12688</v>
      </c>
      <c r="D6584" s="2" t="s">
        <v>6369</v>
      </c>
      <c r="E6584" s="2" t="s">
        <v>1234</v>
      </c>
      <c r="F6584" s="2">
        <v>13.0</v>
      </c>
      <c r="G6584" s="2">
        <v>416.0</v>
      </c>
      <c r="H6584" s="3" t="str">
        <f>HYPERLINK("http://www.linkedin.com/in/tchrisdyer","http://www.linkedin.com/in/tchrisdyer")</f>
        <v>http://www.linkedin.com/in/tchrisdyer</v>
      </c>
      <c r="I6584" s="2" t="s">
        <v>69</v>
      </c>
      <c r="J6584" s="2" t="s">
        <v>102</v>
      </c>
      <c r="K6584" s="2" t="s">
        <v>10286</v>
      </c>
    </row>
    <row r="6585" ht="15.75" customHeight="1">
      <c r="A6585" s="2">
        <v>38612.0</v>
      </c>
      <c r="B6585" s="2" t="s">
        <v>116</v>
      </c>
      <c r="C6585" s="2" t="s">
        <v>12689</v>
      </c>
      <c r="D6585" s="2" t="s">
        <v>12690</v>
      </c>
      <c r="E6585" s="2" t="s">
        <v>713</v>
      </c>
      <c r="F6585" s="2" t="s">
        <v>13</v>
      </c>
      <c r="G6585" s="2">
        <v>500.0</v>
      </c>
      <c r="H6585" s="3" t="str">
        <f>HYPERLINK("http://www.linkedin.com/in/goldmanalex","http://www.linkedin.com/in/goldmanalex")</f>
        <v>http://www.linkedin.com/in/goldmanalex</v>
      </c>
      <c r="I6585" s="2" t="s">
        <v>69</v>
      </c>
      <c r="J6585" s="2" t="s">
        <v>102</v>
      </c>
      <c r="K6585" s="2" t="s">
        <v>10176</v>
      </c>
    </row>
    <row r="6586" ht="15.75" customHeight="1">
      <c r="A6586" s="2">
        <v>38644.0</v>
      </c>
      <c r="B6586" s="2" t="s">
        <v>8519</v>
      </c>
      <c r="C6586" s="2" t="s">
        <v>12691</v>
      </c>
      <c r="D6586" s="2" t="s">
        <v>13</v>
      </c>
      <c r="E6586" s="2" t="s">
        <v>20</v>
      </c>
      <c r="F6586" s="2">
        <v>18.0</v>
      </c>
      <c r="G6586" s="2">
        <v>500.0</v>
      </c>
      <c r="H6586" s="3" t="str">
        <f>HYPERLINK("http://www.linkedin.com/pub/jose-luis-scioscia/4/58a/a68","http://www.linkedin.com/pub/jose-luis-scioscia/4/58a/a68")</f>
        <v>http://www.linkedin.com/pub/jose-luis-scioscia/4/58a/a68</v>
      </c>
      <c r="I6586" s="2" t="s">
        <v>15</v>
      </c>
      <c r="J6586" s="2" t="s">
        <v>21</v>
      </c>
      <c r="K6586" s="2" t="s">
        <v>10371</v>
      </c>
    </row>
    <row r="6587" ht="15.75" customHeight="1">
      <c r="A6587" s="2">
        <v>38671.0</v>
      </c>
      <c r="B6587" s="2" t="s">
        <v>3268</v>
      </c>
      <c r="C6587" s="2" t="s">
        <v>12692</v>
      </c>
      <c r="D6587" s="2" t="s">
        <v>12693</v>
      </c>
      <c r="E6587" s="2" t="s">
        <v>1407</v>
      </c>
      <c r="F6587" s="2">
        <v>19.0</v>
      </c>
      <c r="G6587" s="2">
        <v>175.0</v>
      </c>
      <c r="H6587" s="3" t="str">
        <f>HYPERLINK("http://www.linkedin.com/pub/patricia-moreland/8/411/684","http://www.linkedin.com/pub/patricia-moreland/8/411/684")</f>
        <v>http://www.linkedin.com/pub/patricia-moreland/8/411/684</v>
      </c>
      <c r="I6587" s="2" t="s">
        <v>1421</v>
      </c>
      <c r="J6587" s="2" t="s">
        <v>102</v>
      </c>
      <c r="K6587" s="2" t="s">
        <v>10206</v>
      </c>
    </row>
    <row r="6588" ht="15.75" customHeight="1">
      <c r="A6588" s="2">
        <v>38673.0</v>
      </c>
      <c r="B6588" s="2" t="s">
        <v>12412</v>
      </c>
      <c r="C6588" s="2" t="s">
        <v>12694</v>
      </c>
      <c r="D6588" s="2" t="s">
        <v>12695</v>
      </c>
      <c r="E6588" s="2" t="s">
        <v>1407</v>
      </c>
      <c r="F6588" s="2">
        <v>32.0</v>
      </c>
      <c r="G6588" s="2">
        <v>347.0</v>
      </c>
      <c r="H6588" s="3" t="str">
        <f>HYPERLINK("http://www.linkedin.com/in/marianorchard","http://www.linkedin.com/in/marianorchard")</f>
        <v>http://www.linkedin.com/in/marianorchard</v>
      </c>
      <c r="I6588" s="2" t="s">
        <v>69</v>
      </c>
      <c r="J6588" s="2" t="s">
        <v>102</v>
      </c>
      <c r="K6588" s="2" t="s">
        <v>10176</v>
      </c>
    </row>
    <row r="6589" ht="15.75" customHeight="1">
      <c r="A6589" s="2">
        <v>38680.0</v>
      </c>
      <c r="B6589" s="2" t="s">
        <v>12696</v>
      </c>
      <c r="C6589" s="2" t="s">
        <v>12697</v>
      </c>
      <c r="D6589" s="2" t="s">
        <v>12698</v>
      </c>
      <c r="E6589" s="2" t="s">
        <v>20</v>
      </c>
      <c r="F6589" s="2">
        <v>28.0</v>
      </c>
      <c r="G6589" s="2">
        <v>500.0</v>
      </c>
      <c r="H6589" s="3" t="str">
        <f>HYPERLINK("http://www.linkedin.com/in/juanisola","http://www.linkedin.com/in/juanisola")</f>
        <v>http://www.linkedin.com/in/juanisola</v>
      </c>
      <c r="I6589" s="2" t="s">
        <v>279</v>
      </c>
      <c r="J6589" s="2" t="s">
        <v>21</v>
      </c>
      <c r="K6589" s="2" t="s">
        <v>12699</v>
      </c>
    </row>
    <row r="6590" ht="15.75" customHeight="1">
      <c r="A6590" s="2">
        <v>38683.0</v>
      </c>
      <c r="B6590" s="2" t="s">
        <v>4797</v>
      </c>
      <c r="C6590" s="2" t="s">
        <v>1734</v>
      </c>
      <c r="D6590" s="2" t="s">
        <v>42</v>
      </c>
      <c r="E6590" s="2" t="s">
        <v>1407</v>
      </c>
      <c r="F6590" s="2">
        <v>1.0</v>
      </c>
      <c r="G6590" s="2">
        <v>147.0</v>
      </c>
      <c r="H6590" s="3" t="str">
        <f>HYPERLINK("http://www.linkedin.com/pub/shane-ward/4/202/B5","http://www.linkedin.com/pub/shane-ward/4/202/B5")</f>
        <v>http://www.linkedin.com/pub/shane-ward/4/202/B5</v>
      </c>
      <c r="I6590" s="2" t="s">
        <v>2268</v>
      </c>
      <c r="J6590" s="2" t="s">
        <v>102</v>
      </c>
      <c r="K6590" s="2" t="s">
        <v>10482</v>
      </c>
    </row>
    <row r="6591" ht="15.75" customHeight="1">
      <c r="A6591" s="2">
        <v>38684.0</v>
      </c>
      <c r="B6591" s="2" t="s">
        <v>7663</v>
      </c>
      <c r="C6591" s="2" t="s">
        <v>12700</v>
      </c>
      <c r="D6591" s="2"/>
      <c r="E6591" s="2" t="s">
        <v>808</v>
      </c>
      <c r="F6591" s="2">
        <v>29.0</v>
      </c>
      <c r="G6591" s="2">
        <v>500.0</v>
      </c>
      <c r="H6591" s="3" t="str">
        <f>HYPERLINK("http://www.linkedin.com/in/leonkotovich","http://www.linkedin.com/in/leonkotovich")</f>
        <v>http://www.linkedin.com/in/leonkotovich</v>
      </c>
      <c r="I6591" s="2" t="s">
        <v>48</v>
      </c>
      <c r="J6591" s="2" t="s">
        <v>102</v>
      </c>
      <c r="K6591" s="2" t="s">
        <v>10176</v>
      </c>
    </row>
    <row r="6592" ht="15.75" customHeight="1">
      <c r="A6592" s="2">
        <v>38685.0</v>
      </c>
      <c r="B6592" s="2" t="s">
        <v>12701</v>
      </c>
      <c r="C6592" s="2" t="s">
        <v>12702</v>
      </c>
      <c r="D6592" s="2" t="s">
        <v>12703</v>
      </c>
      <c r="E6592" s="2" t="s">
        <v>1918</v>
      </c>
      <c r="F6592" s="2">
        <v>19.0</v>
      </c>
      <c r="G6592" s="2">
        <v>500.0</v>
      </c>
      <c r="H6592" s="3" t="str">
        <f>HYPERLINK("http://www.linkedin.com/in/stacyzapar","http://www.linkedin.com/in/stacyzapar")</f>
        <v>http://www.linkedin.com/in/stacyzapar</v>
      </c>
      <c r="I6592" s="2" t="s">
        <v>248</v>
      </c>
      <c r="J6592" s="2" t="s">
        <v>102</v>
      </c>
      <c r="K6592" s="2" t="s">
        <v>10482</v>
      </c>
    </row>
    <row r="6593" ht="15.75" customHeight="1">
      <c r="A6593" s="2">
        <v>38686.0</v>
      </c>
      <c r="B6593" s="2" t="s">
        <v>1405</v>
      </c>
      <c r="C6593" s="2" t="s">
        <v>2304</v>
      </c>
      <c r="D6593" s="2" t="s">
        <v>7915</v>
      </c>
      <c r="E6593" s="2" t="s">
        <v>136</v>
      </c>
      <c r="F6593" s="2">
        <v>31.0</v>
      </c>
      <c r="G6593" s="2">
        <v>500.0</v>
      </c>
      <c r="H6593" s="3" t="str">
        <f>HYPERLINK("http://www.linkedin.com/in/ronbatesprofile","http://www.linkedin.com/in/ronbatesprofile")</f>
        <v>http://www.linkedin.com/in/ronbatesprofile</v>
      </c>
      <c r="I6593" s="2" t="s">
        <v>248</v>
      </c>
      <c r="J6593" s="2" t="s">
        <v>102</v>
      </c>
      <c r="K6593" s="2" t="s">
        <v>10187</v>
      </c>
    </row>
    <row r="6594" ht="15.75" customHeight="1">
      <c r="A6594" s="2">
        <v>38704.0</v>
      </c>
      <c r="B6594" s="2" t="s">
        <v>1087</v>
      </c>
      <c r="C6594" s="2" t="s">
        <v>12704</v>
      </c>
      <c r="D6594" s="2" t="s">
        <v>12705</v>
      </c>
      <c r="E6594" s="2" t="s">
        <v>136</v>
      </c>
      <c r="F6594" s="2">
        <v>3.0</v>
      </c>
      <c r="G6594" s="2">
        <v>500.0</v>
      </c>
      <c r="H6594" s="3" t="str">
        <f>HYPERLINK("http://www.linkedin.com/in/jamesgosling","http://www.linkedin.com/in/jamesgosling")</f>
        <v>http://www.linkedin.com/in/jamesgosling</v>
      </c>
      <c r="I6594" s="2" t="s">
        <v>48</v>
      </c>
      <c r="J6594" s="2" t="s">
        <v>102</v>
      </c>
      <c r="K6594" s="2" t="s">
        <v>12706</v>
      </c>
    </row>
    <row r="6595" ht="15.75" customHeight="1">
      <c r="A6595" s="2">
        <v>38707.0</v>
      </c>
      <c r="B6595" s="2" t="s">
        <v>640</v>
      </c>
      <c r="C6595" s="2" t="s">
        <v>12707</v>
      </c>
      <c r="D6595" s="2"/>
      <c r="E6595" s="2" t="s">
        <v>136</v>
      </c>
      <c r="F6595" s="2">
        <v>5.0</v>
      </c>
      <c r="G6595" s="2">
        <v>316.0</v>
      </c>
      <c r="H6595" s="3" t="str">
        <f>HYPERLINK("http://www.linkedin.com/pub/joshua-bloch/0/38/370","http://www.linkedin.com/pub/joshua-bloch/0/38/370")</f>
        <v>http://www.linkedin.com/pub/joshua-bloch/0/38/370</v>
      </c>
      <c r="I6595" s="2" t="s">
        <v>48</v>
      </c>
      <c r="J6595" s="2" t="s">
        <v>102</v>
      </c>
      <c r="K6595" s="2" t="s">
        <v>10184</v>
      </c>
    </row>
    <row r="6596" ht="15.75" customHeight="1">
      <c r="A6596" s="2">
        <v>38748.0</v>
      </c>
      <c r="B6596" s="2" t="s">
        <v>12708</v>
      </c>
      <c r="C6596" s="2" t="s">
        <v>12709</v>
      </c>
      <c r="D6596" s="2"/>
      <c r="E6596" s="2" t="s">
        <v>1407</v>
      </c>
      <c r="F6596" s="2">
        <v>0.0</v>
      </c>
      <c r="G6596" s="2">
        <v>315.0</v>
      </c>
      <c r="H6596" s="3" t="str">
        <f>HYPERLINK("http://www.linkedin.com/pub/jade-chuenkamon/2/535/253","http://www.linkedin.com/pub/jade-chuenkamon/2/535/253")</f>
        <v>http://www.linkedin.com/pub/jade-chuenkamon/2/535/253</v>
      </c>
      <c r="I6596" s="2" t="s">
        <v>48</v>
      </c>
      <c r="J6596" s="2" t="s">
        <v>102</v>
      </c>
      <c r="K6596" s="2" t="s">
        <v>10184</v>
      </c>
    </row>
    <row r="6597" ht="15.75" customHeight="1">
      <c r="A6597" s="2">
        <v>38751.0</v>
      </c>
      <c r="B6597" s="2" t="s">
        <v>1260</v>
      </c>
      <c r="C6597" s="2" t="s">
        <v>12710</v>
      </c>
      <c r="D6597" s="2" t="s">
        <v>12711</v>
      </c>
      <c r="E6597" s="2" t="s">
        <v>1407</v>
      </c>
      <c r="F6597" s="2">
        <v>4.0</v>
      </c>
      <c r="G6597" s="2">
        <v>437.0</v>
      </c>
      <c r="H6597" s="3" t="str">
        <f>HYPERLINK("http://www.linkedin.com/in/ddayley","http://www.linkedin.com/in/ddayley")</f>
        <v>http://www.linkedin.com/in/ddayley</v>
      </c>
      <c r="I6597" s="2" t="s">
        <v>96</v>
      </c>
      <c r="J6597" s="2" t="s">
        <v>102</v>
      </c>
      <c r="K6597" s="2" t="s">
        <v>12712</v>
      </c>
    </row>
    <row r="6598" ht="15.75" customHeight="1">
      <c r="A6598" s="2">
        <v>38753.0</v>
      </c>
      <c r="B6598" s="2" t="s">
        <v>1843</v>
      </c>
      <c r="C6598" s="2" t="s">
        <v>12713</v>
      </c>
      <c r="D6598" s="2"/>
      <c r="E6598" s="2" t="s">
        <v>1407</v>
      </c>
      <c r="F6598" s="2">
        <v>6.0</v>
      </c>
      <c r="G6598" s="2">
        <v>500.0</v>
      </c>
      <c r="H6598" s="3" t="str">
        <f>HYPERLINK("http://www.linkedin.com/pub/shah-sidi/1/451/B45","http://www.linkedin.com/pub/shah-sidi/1/451/B45")</f>
        <v>http://www.linkedin.com/pub/shah-sidi/1/451/B45</v>
      </c>
      <c r="I6598" s="2" t="s">
        <v>15</v>
      </c>
      <c r="J6598" s="2" t="s">
        <v>102</v>
      </c>
      <c r="K6598" s="2" t="s">
        <v>10184</v>
      </c>
    </row>
    <row r="6599" ht="15.75" customHeight="1">
      <c r="A6599" s="2">
        <v>38768.0</v>
      </c>
      <c r="B6599" s="2" t="s">
        <v>5408</v>
      </c>
      <c r="C6599" s="2" t="s">
        <v>12714</v>
      </c>
      <c r="D6599" s="2" t="s">
        <v>12715</v>
      </c>
      <c r="E6599" s="2" t="s">
        <v>301</v>
      </c>
      <c r="F6599" s="2">
        <v>5.0</v>
      </c>
      <c r="G6599" s="2">
        <v>295.0</v>
      </c>
      <c r="H6599" s="3" t="str">
        <f>HYPERLINK("http://www.linkedin.com/in/aarondolan","http://www.linkedin.com/in/aarondolan")</f>
        <v>http://www.linkedin.com/in/aarondolan</v>
      </c>
      <c r="I6599" s="2" t="s">
        <v>1237</v>
      </c>
      <c r="J6599" s="2" t="s">
        <v>102</v>
      </c>
      <c r="K6599" s="2" t="s">
        <v>11669</v>
      </c>
    </row>
    <row r="6600" ht="15.75" customHeight="1">
      <c r="A6600" s="2">
        <v>38769.0</v>
      </c>
      <c r="B6600" s="2" t="s">
        <v>471</v>
      </c>
      <c r="C6600" s="2" t="s">
        <v>12716</v>
      </c>
      <c r="D6600" s="2" t="s">
        <v>12717</v>
      </c>
      <c r="E6600" s="2" t="s">
        <v>1407</v>
      </c>
      <c r="F6600" s="2">
        <v>17.0</v>
      </c>
      <c r="G6600" s="2">
        <v>500.0</v>
      </c>
      <c r="H6600" s="3" t="str">
        <f>HYPERLINK("http://www.linkedin.com/pub/dan-atwood/0/75/68","http://www.linkedin.com/pub/dan-atwood/0/75/68")</f>
        <v>http://www.linkedin.com/pub/dan-atwood/0/75/68</v>
      </c>
      <c r="I6600" s="2" t="s">
        <v>1237</v>
      </c>
      <c r="J6600" s="2" t="s">
        <v>102</v>
      </c>
      <c r="K6600" s="2" t="s">
        <v>10362</v>
      </c>
    </row>
    <row r="6601" ht="15.75" customHeight="1">
      <c r="A6601" s="2">
        <v>38773.0</v>
      </c>
      <c r="B6601" s="2" t="s">
        <v>2109</v>
      </c>
      <c r="C6601" s="2" t="s">
        <v>12718</v>
      </c>
      <c r="D6601" s="2"/>
      <c r="E6601" s="2" t="s">
        <v>1547</v>
      </c>
      <c r="F6601" s="2">
        <v>9.0</v>
      </c>
      <c r="G6601" s="2">
        <v>500.0</v>
      </c>
      <c r="H6601" s="3" t="str">
        <f>HYPERLINK("http://www.linkedin.com/pub/rob-lau/0/810/116","http://www.linkedin.com/pub/rob-lau/0/810/116")</f>
        <v>http://www.linkedin.com/pub/rob-lau/0/810/116</v>
      </c>
      <c r="I6601" s="2" t="s">
        <v>48</v>
      </c>
      <c r="J6601" s="2" t="s">
        <v>102</v>
      </c>
      <c r="K6601" s="2" t="s">
        <v>10343</v>
      </c>
    </row>
    <row r="6602" ht="15.75" customHeight="1">
      <c r="A6602" s="2">
        <v>38778.0</v>
      </c>
      <c r="B6602" s="2" t="s">
        <v>1173</v>
      </c>
      <c r="C6602" s="2" t="s">
        <v>12719</v>
      </c>
      <c r="D6602" s="2"/>
      <c r="E6602" s="2" t="s">
        <v>1806</v>
      </c>
      <c r="F6602" s="2">
        <v>5.0</v>
      </c>
      <c r="G6602" s="2">
        <v>500.0</v>
      </c>
      <c r="H6602" s="3" t="str">
        <f>HYPERLINK("http://www.linkedin.com/pub/steve-carlson/0/243/90A","http://www.linkedin.com/pub/steve-carlson/0/243/90A")</f>
        <v>http://www.linkedin.com/pub/steve-carlson/0/243/90A</v>
      </c>
      <c r="I6602" s="2" t="s">
        <v>873</v>
      </c>
      <c r="J6602" s="2" t="s">
        <v>102</v>
      </c>
      <c r="K6602" s="2" t="s">
        <v>12720</v>
      </c>
    </row>
    <row r="6603" ht="15.75" customHeight="1">
      <c r="A6603" s="2">
        <v>38786.0</v>
      </c>
      <c r="B6603" s="2" t="s">
        <v>862</v>
      </c>
      <c r="C6603" s="2" t="s">
        <v>7914</v>
      </c>
      <c r="D6603" s="2"/>
      <c r="E6603" s="2" t="s">
        <v>1407</v>
      </c>
      <c r="F6603" s="2">
        <v>3.0</v>
      </c>
      <c r="G6603" s="2">
        <v>327.0</v>
      </c>
      <c r="H6603" s="3" t="str">
        <f>HYPERLINK("http://www.linkedin.com/pub/gabriel-sala/2/126/91B","http://www.linkedin.com/pub/gabriel-sala/2/126/91B")</f>
        <v>http://www.linkedin.com/pub/gabriel-sala/2/126/91B</v>
      </c>
      <c r="I6603" s="2" t="s">
        <v>48</v>
      </c>
      <c r="J6603" s="2" t="s">
        <v>102</v>
      </c>
      <c r="K6603" s="2" t="s">
        <v>10184</v>
      </c>
    </row>
    <row r="6604" ht="15.75" customHeight="1">
      <c r="A6604" s="2">
        <v>38791.0</v>
      </c>
      <c r="B6604" s="2" t="s">
        <v>784</v>
      </c>
      <c r="C6604" s="2" t="s">
        <v>12721</v>
      </c>
      <c r="D6604" s="2" t="s">
        <v>2262</v>
      </c>
      <c r="E6604" s="2" t="s">
        <v>457</v>
      </c>
      <c r="F6604" s="2">
        <v>7.0</v>
      </c>
      <c r="G6604" s="2">
        <v>500.0</v>
      </c>
      <c r="H6604" s="3" t="str">
        <f>HYPERLINK("http://www.linkedin.com/in/jsposetti","http://www.linkedin.com/in/jsposetti")</f>
        <v>http://www.linkedin.com/in/jsposetti</v>
      </c>
      <c r="I6604" s="2" t="s">
        <v>48</v>
      </c>
      <c r="J6604" s="2" t="s">
        <v>102</v>
      </c>
      <c r="K6604" s="2" t="s">
        <v>10233</v>
      </c>
    </row>
    <row r="6605" ht="15.75" customHeight="1">
      <c r="A6605" s="2">
        <v>38797.0</v>
      </c>
      <c r="B6605" s="2" t="s">
        <v>558</v>
      </c>
      <c r="C6605" s="2" t="s">
        <v>12722</v>
      </c>
      <c r="D6605" s="2" t="s">
        <v>12723</v>
      </c>
      <c r="E6605" s="2" t="s">
        <v>728</v>
      </c>
      <c r="F6605" s="2">
        <v>2.0</v>
      </c>
      <c r="G6605" s="2">
        <v>500.0</v>
      </c>
      <c r="H6605" s="3" t="str">
        <f>HYPERLINK("http://www.linkedin.com/pub/ted-ohr/0/493/446","http://www.linkedin.com/pub/ted-ohr/0/493/446")</f>
        <v>http://www.linkedin.com/pub/ted-ohr/0/493/446</v>
      </c>
      <c r="I6605" s="2" t="s">
        <v>48</v>
      </c>
      <c r="J6605" s="2" t="s">
        <v>102</v>
      </c>
      <c r="K6605" s="2" t="s">
        <v>12724</v>
      </c>
    </row>
    <row r="6606" ht="15.75" customHeight="1">
      <c r="A6606" s="2">
        <v>38800.0</v>
      </c>
      <c r="B6606" s="2" t="s">
        <v>11060</v>
      </c>
      <c r="C6606" s="2" t="s">
        <v>1619</v>
      </c>
      <c r="D6606" s="2" t="s">
        <v>12725</v>
      </c>
      <c r="E6606" s="2" t="s">
        <v>136</v>
      </c>
      <c r="F6606" s="2">
        <v>16.0</v>
      </c>
      <c r="G6606" s="2">
        <v>500.0</v>
      </c>
      <c r="H6606" s="3" t="str">
        <f>HYPERLINK("http://www.linkedin.com/in/ajaygandhi","http://www.linkedin.com/in/ajaygandhi")</f>
        <v>http://www.linkedin.com/in/ajaygandhi</v>
      </c>
      <c r="I6606" s="2" t="s">
        <v>69</v>
      </c>
      <c r="J6606" s="2" t="s">
        <v>102</v>
      </c>
      <c r="K6606" s="2" t="s">
        <v>10245</v>
      </c>
    </row>
    <row r="6607" ht="15.75" customHeight="1">
      <c r="A6607" s="2">
        <v>38804.0</v>
      </c>
      <c r="B6607" s="2" t="s">
        <v>796</v>
      </c>
      <c r="C6607" s="2" t="s">
        <v>12726</v>
      </c>
      <c r="D6607" s="2" t="s">
        <v>12727</v>
      </c>
      <c r="E6607" s="2" t="s">
        <v>136</v>
      </c>
      <c r="F6607" s="2">
        <v>63.0</v>
      </c>
      <c r="G6607" s="2">
        <v>500.0</v>
      </c>
      <c r="H6607" s="3" t="str">
        <f>HYPERLINK("http://www.linkedin.com/in/simonshelston","http://www.linkedin.com/in/simonshelston")</f>
        <v>http://www.linkedin.com/in/simonshelston</v>
      </c>
      <c r="I6607" s="2" t="s">
        <v>48</v>
      </c>
      <c r="J6607" s="2" t="s">
        <v>102</v>
      </c>
      <c r="K6607" s="2" t="s">
        <v>10245</v>
      </c>
    </row>
    <row r="6608" ht="15.75" customHeight="1">
      <c r="A6608" s="2">
        <v>38808.0</v>
      </c>
      <c r="B6608" s="2" t="s">
        <v>788</v>
      </c>
      <c r="C6608" s="2" t="s">
        <v>12728</v>
      </c>
      <c r="D6608" s="2" t="s">
        <v>12729</v>
      </c>
      <c r="E6608" s="2" t="s">
        <v>713</v>
      </c>
      <c r="F6608" s="2">
        <v>12.0</v>
      </c>
      <c r="G6608" s="2">
        <v>500.0</v>
      </c>
      <c r="H6608" s="3" t="str">
        <f>HYPERLINK("http://www.linkedin.com/pub/sam-lakkundi/0/706/30","http://www.linkedin.com/pub/sam-lakkundi/0/706/30")</f>
        <v>http://www.linkedin.com/pub/sam-lakkundi/0/706/30</v>
      </c>
      <c r="I6608" s="2" t="s">
        <v>48</v>
      </c>
      <c r="J6608" s="2" t="s">
        <v>102</v>
      </c>
      <c r="K6608" s="2" t="s">
        <v>10184</v>
      </c>
    </row>
    <row r="6609" ht="15.75" customHeight="1">
      <c r="A6609" s="2">
        <v>38811.0</v>
      </c>
      <c r="B6609" s="2" t="s">
        <v>12730</v>
      </c>
      <c r="C6609" s="2" t="s">
        <v>12731</v>
      </c>
      <c r="D6609" s="2"/>
      <c r="E6609" s="2" t="s">
        <v>136</v>
      </c>
      <c r="F6609" s="2">
        <v>1.0</v>
      </c>
      <c r="G6609" s="2">
        <v>500.0</v>
      </c>
      <c r="H6609" s="3" t="str">
        <f>HYPERLINK("http://www.linkedin.com/pub/sushil-shukla/0/124/A87","http://www.linkedin.com/pub/sushil-shukla/0/124/A87")</f>
        <v>http://www.linkedin.com/pub/sushil-shukla/0/124/A87</v>
      </c>
      <c r="I6609" s="2" t="s">
        <v>48</v>
      </c>
      <c r="J6609" s="2" t="s">
        <v>102</v>
      </c>
      <c r="K6609" s="2" t="s">
        <v>10184</v>
      </c>
    </row>
    <row r="6610" ht="15.75" customHeight="1">
      <c r="A6610" s="2">
        <v>38813.0</v>
      </c>
      <c r="B6610" s="2" t="s">
        <v>3157</v>
      </c>
      <c r="C6610" s="2" t="s">
        <v>12732</v>
      </c>
      <c r="D6610" s="2" t="s">
        <v>12733</v>
      </c>
      <c r="E6610" s="2" t="s">
        <v>1407</v>
      </c>
      <c r="F6610" s="2">
        <v>44.0</v>
      </c>
      <c r="G6610" s="2">
        <v>500.0</v>
      </c>
      <c r="H6610" s="3" t="str">
        <f>HYPERLINK("http://www.linkedin.com/in/rajam","http://www.linkedin.com/in/rajam")</f>
        <v>http://www.linkedin.com/in/rajam</v>
      </c>
      <c r="I6610" s="2" t="s">
        <v>15</v>
      </c>
      <c r="J6610" s="2" t="s">
        <v>102</v>
      </c>
      <c r="K6610" s="2" t="s">
        <v>11270</v>
      </c>
    </row>
    <row r="6611" ht="15.75" customHeight="1">
      <c r="A6611" s="2">
        <v>38814.0</v>
      </c>
      <c r="B6611" s="2" t="s">
        <v>3305</v>
      </c>
      <c r="C6611" s="2" t="s">
        <v>12734</v>
      </c>
      <c r="D6611" s="2"/>
      <c r="E6611" s="2" t="s">
        <v>10885</v>
      </c>
      <c r="F6611" s="2">
        <v>8.0</v>
      </c>
      <c r="G6611" s="2">
        <v>500.0</v>
      </c>
      <c r="H6611" s="3" t="str">
        <f>HYPERLINK("http://www.linkedin.com/pub/ana-ammann/1/502/7B8","http://www.linkedin.com/pub/ana-ammann/1/502/7B8")</f>
        <v>http://www.linkedin.com/pub/ana-ammann/1/502/7B8</v>
      </c>
      <c r="I6611" s="2" t="s">
        <v>15</v>
      </c>
      <c r="J6611" s="2" t="s">
        <v>102</v>
      </c>
      <c r="K6611" s="2" t="s">
        <v>10233</v>
      </c>
    </row>
    <row r="6612" ht="15.75" customHeight="1">
      <c r="A6612" s="2">
        <v>38825.0</v>
      </c>
      <c r="B6612" s="2" t="s">
        <v>12735</v>
      </c>
      <c r="C6612" s="2" t="s">
        <v>3899</v>
      </c>
      <c r="D6612" s="2" t="s">
        <v>12736</v>
      </c>
      <c r="E6612" s="2" t="s">
        <v>12737</v>
      </c>
      <c r="F6612" s="2">
        <v>15.0</v>
      </c>
      <c r="G6612" s="2">
        <v>500.0</v>
      </c>
      <c r="H6612" s="3" t="str">
        <f>HYPERLINK("http://www.linkedin.com/in/sreebodapati","http://www.linkedin.com/in/sreebodapati")</f>
        <v>http://www.linkedin.com/in/sreebodapati</v>
      </c>
      <c r="I6612" s="2" t="s">
        <v>15</v>
      </c>
      <c r="J6612" s="2" t="s">
        <v>273</v>
      </c>
      <c r="K6612" s="2" t="s">
        <v>10799</v>
      </c>
    </row>
    <row r="6613" ht="15.75" customHeight="1">
      <c r="A6613" s="2">
        <v>38839.0</v>
      </c>
      <c r="B6613" s="2" t="s">
        <v>11406</v>
      </c>
      <c r="C6613" s="2" t="s">
        <v>4616</v>
      </c>
      <c r="D6613" s="2" t="s">
        <v>12738</v>
      </c>
      <c r="E6613" s="2" t="s">
        <v>301</v>
      </c>
      <c r="F6613" s="2">
        <v>8.0</v>
      </c>
      <c r="G6613" s="2">
        <v>500.0</v>
      </c>
      <c r="H6613" s="3" t="str">
        <f>HYPERLINK("http://www.linkedin.com/in/shankarmishra","http://www.linkedin.com/in/shankarmishra")</f>
        <v>http://www.linkedin.com/in/shankarmishra</v>
      </c>
      <c r="I6613" s="2" t="s">
        <v>326</v>
      </c>
      <c r="J6613" s="2" t="s">
        <v>102</v>
      </c>
      <c r="K6613" s="2" t="s">
        <v>10206</v>
      </c>
    </row>
    <row r="6614" ht="15.75" customHeight="1">
      <c r="A6614" s="2">
        <v>38840.0</v>
      </c>
      <c r="B6614" s="2" t="s">
        <v>2134</v>
      </c>
      <c r="C6614" s="2" t="s">
        <v>12739</v>
      </c>
      <c r="D6614" s="2" t="s">
        <v>12740</v>
      </c>
      <c r="E6614" s="2" t="s">
        <v>1407</v>
      </c>
      <c r="F6614" s="2" t="s">
        <v>13</v>
      </c>
      <c r="G6614" s="2">
        <v>423.0</v>
      </c>
      <c r="H6614" s="3" t="str">
        <f>HYPERLINK("http://www.linkedin.com/pub/ginny-mahl/0/244/B77","http://www.linkedin.com/pub/ginny-mahl/0/244/B77")</f>
        <v>http://www.linkedin.com/pub/ginny-mahl/0/244/B77</v>
      </c>
      <c r="I6614" s="2" t="s">
        <v>1421</v>
      </c>
      <c r="J6614" s="2" t="s">
        <v>102</v>
      </c>
      <c r="K6614" s="2" t="s">
        <v>10182</v>
      </c>
    </row>
    <row r="6615" ht="15.75" customHeight="1">
      <c r="A6615" s="2">
        <v>38841.0</v>
      </c>
      <c r="B6615" s="2" t="s">
        <v>1582</v>
      </c>
      <c r="C6615" s="2" t="s">
        <v>11154</v>
      </c>
      <c r="D6615" s="2" t="s">
        <v>12741</v>
      </c>
      <c r="E6615" s="2" t="s">
        <v>142</v>
      </c>
      <c r="F6615" s="2">
        <v>1.0</v>
      </c>
      <c r="G6615" s="2">
        <v>274.0</v>
      </c>
      <c r="H6615" s="3" t="str">
        <f>HYPERLINK("http://www.linkedin.com/pub/erin-riley/9/B54/822","http://www.linkedin.com/pub/erin-riley/9/B54/822")</f>
        <v>http://www.linkedin.com/pub/erin-riley/9/B54/822</v>
      </c>
      <c r="I6615" s="2" t="s">
        <v>1931</v>
      </c>
      <c r="J6615" s="2" t="s">
        <v>144</v>
      </c>
      <c r="K6615" s="2" t="s">
        <v>10187</v>
      </c>
    </row>
    <row r="6616" ht="15.75" customHeight="1">
      <c r="A6616" s="2">
        <v>38845.0</v>
      </c>
      <c r="B6616" s="2" t="s">
        <v>1505</v>
      </c>
      <c r="C6616" s="2" t="s">
        <v>12742</v>
      </c>
      <c r="D6616" s="2" t="s">
        <v>12743</v>
      </c>
      <c r="E6616" s="2" t="s">
        <v>1213</v>
      </c>
      <c r="F6616" s="2">
        <v>0.0</v>
      </c>
      <c r="G6616" s="2">
        <v>118.0</v>
      </c>
      <c r="H6616" s="3" t="str">
        <f>HYPERLINK("http://www.linkedin.com/pub/linda-stupakiewicz/5/272/B22","http://www.linkedin.com/pub/linda-stupakiewicz/5/272/B22")</f>
        <v>http://www.linkedin.com/pub/linda-stupakiewicz/5/272/B22</v>
      </c>
      <c r="I6616" s="2" t="s">
        <v>48</v>
      </c>
      <c r="J6616" s="2" t="s">
        <v>102</v>
      </c>
      <c r="K6616" s="2" t="s">
        <v>10727</v>
      </c>
    </row>
    <row r="6617" ht="15.75" customHeight="1">
      <c r="A6617" s="2">
        <v>38848.0</v>
      </c>
      <c r="B6617" s="2" t="s">
        <v>784</v>
      </c>
      <c r="C6617" s="2" t="s">
        <v>12744</v>
      </c>
      <c r="D6617" s="2"/>
      <c r="E6617" s="2" t="s">
        <v>136</v>
      </c>
      <c r="F6617" s="2">
        <v>2.0</v>
      </c>
      <c r="G6617" s="2">
        <v>500.0</v>
      </c>
      <c r="H6617" s="3" t="str">
        <f>HYPERLINK("http://www.linkedin.com/pub/jeff-glueck/1/521/63A","http://www.linkedin.com/pub/jeff-glueck/1/521/63A")</f>
        <v>http://www.linkedin.com/pub/jeff-glueck/1/521/63A</v>
      </c>
      <c r="I6617" s="2" t="s">
        <v>326</v>
      </c>
      <c r="J6617" s="2" t="s">
        <v>102</v>
      </c>
      <c r="K6617" s="2" t="s">
        <v>10206</v>
      </c>
    </row>
    <row r="6618" ht="15.75" customHeight="1">
      <c r="A6618" s="2">
        <v>38855.0</v>
      </c>
      <c r="B6618" s="2" t="s">
        <v>12745</v>
      </c>
      <c r="C6618" s="2" t="s">
        <v>1843</v>
      </c>
      <c r="D6618" s="2" t="s">
        <v>12746</v>
      </c>
      <c r="E6618" s="2" t="s">
        <v>1317</v>
      </c>
      <c r="F6618" s="2">
        <v>18.0</v>
      </c>
      <c r="G6618" s="2">
        <v>500.0</v>
      </c>
      <c r="H6618" s="3" t="str">
        <f>HYPERLINK("http://www.linkedin.com/in/fayyazshah","http://www.linkedin.com/in/fayyazshah")</f>
        <v>http://www.linkedin.com/in/fayyazshah</v>
      </c>
      <c r="I6618" s="2" t="s">
        <v>69</v>
      </c>
      <c r="J6618" s="2" t="s">
        <v>102</v>
      </c>
      <c r="K6618" s="2" t="s">
        <v>10674</v>
      </c>
    </row>
    <row r="6619" ht="15.75" customHeight="1">
      <c r="A6619" s="2">
        <v>38857.0</v>
      </c>
      <c r="B6619" s="2" t="s">
        <v>5171</v>
      </c>
      <c r="C6619" s="2" t="s">
        <v>12747</v>
      </c>
      <c r="D6619" s="2" t="s">
        <v>114</v>
      </c>
      <c r="E6619" s="2" t="s">
        <v>1407</v>
      </c>
      <c r="F6619" s="2">
        <v>1.0</v>
      </c>
      <c r="G6619" s="2">
        <v>500.0</v>
      </c>
      <c r="H6619" s="3" t="str">
        <f>HYPERLINK("http://www.linkedin.com/in/neufangsuz","http://www.linkedin.com/in/neufangsuz")</f>
        <v>http://www.linkedin.com/in/neufangsuz</v>
      </c>
      <c r="I6619" s="2" t="s">
        <v>69</v>
      </c>
      <c r="J6619" s="2" t="s">
        <v>102</v>
      </c>
      <c r="K6619" s="2" t="s">
        <v>10209</v>
      </c>
    </row>
    <row r="6620" ht="15.75" customHeight="1">
      <c r="A6620" s="2">
        <v>38861.0</v>
      </c>
      <c r="B6620" s="2" t="s">
        <v>1004</v>
      </c>
      <c r="C6620" s="2" t="s">
        <v>12748</v>
      </c>
      <c r="D6620" s="2"/>
      <c r="E6620" s="2" t="s">
        <v>1407</v>
      </c>
      <c r="F6620" s="2">
        <v>0.0</v>
      </c>
      <c r="G6620" s="2">
        <v>337.0</v>
      </c>
      <c r="H6620" s="3" t="str">
        <f>HYPERLINK("http://www.linkedin.com/pub/scott-quigley/1/398/8B1","http://www.linkedin.com/pub/scott-quigley/1/398/8B1")</f>
        <v>http://www.linkedin.com/pub/scott-quigley/1/398/8B1</v>
      </c>
      <c r="I6620" s="2" t="s">
        <v>1421</v>
      </c>
      <c r="J6620" s="2" t="s">
        <v>102</v>
      </c>
      <c r="K6620" s="2" t="s">
        <v>10206</v>
      </c>
    </row>
    <row r="6621" ht="15.75" customHeight="1">
      <c r="A6621" s="2">
        <v>38870.0</v>
      </c>
      <c r="B6621" s="2" t="s">
        <v>1173</v>
      </c>
      <c r="C6621" s="2" t="s">
        <v>12749</v>
      </c>
      <c r="D6621" s="2" t="s">
        <v>1145</v>
      </c>
      <c r="E6621" s="2" t="s">
        <v>1407</v>
      </c>
      <c r="F6621" s="2">
        <v>0.0</v>
      </c>
      <c r="G6621" s="2">
        <v>500.0</v>
      </c>
      <c r="H6621" s="3" t="str">
        <f>HYPERLINK("http://www.linkedin.com/pub/steve-clampett/7/902/889","http://www.linkedin.com/pub/steve-clampett/7/902/889")</f>
        <v>http://www.linkedin.com/pub/steve-clampett/7/902/889</v>
      </c>
      <c r="I6621" s="2" t="s">
        <v>1728</v>
      </c>
      <c r="J6621" s="2" t="s">
        <v>102</v>
      </c>
      <c r="K6621" s="2" t="s">
        <v>10312</v>
      </c>
    </row>
    <row r="6622" ht="15.75" customHeight="1">
      <c r="A6622" s="2">
        <v>38871.0</v>
      </c>
      <c r="B6622" s="2" t="s">
        <v>2563</v>
      </c>
      <c r="C6622" s="2" t="s">
        <v>12750</v>
      </c>
      <c r="D6622" s="2" t="s">
        <v>12751</v>
      </c>
      <c r="E6622" s="2" t="s">
        <v>457</v>
      </c>
      <c r="F6622" s="2">
        <v>7.0</v>
      </c>
      <c r="G6622" s="2">
        <v>375.0</v>
      </c>
      <c r="H6622" s="3" t="str">
        <f>HYPERLINK("http://www.linkedin.com/pub/rakesh-pandey/12/7/505","http://www.linkedin.com/pub/rakesh-pandey/12/7/505")</f>
        <v>http://www.linkedin.com/pub/rakesh-pandey/12/7/505</v>
      </c>
      <c r="I6622" s="2" t="s">
        <v>15</v>
      </c>
      <c r="J6622" s="2" t="s">
        <v>102</v>
      </c>
      <c r="K6622" s="2" t="s">
        <v>10727</v>
      </c>
    </row>
    <row r="6623" ht="15.75" customHeight="1">
      <c r="A6623" s="2">
        <v>38886.0</v>
      </c>
      <c r="B6623" s="2" t="s">
        <v>5078</v>
      </c>
      <c r="C6623" s="2" t="s">
        <v>11014</v>
      </c>
      <c r="D6623" s="2"/>
      <c r="E6623" s="2" t="s">
        <v>1190</v>
      </c>
      <c r="F6623" s="2">
        <v>0.0</v>
      </c>
      <c r="G6623" s="2">
        <v>80.0</v>
      </c>
      <c r="H6623" s="3" t="str">
        <f>HYPERLINK("http://www.linkedin.com/pub/diego-cora/0/401/A69","http://www.linkedin.com/pub/diego-cora/0/401/A69")</f>
        <v>http://www.linkedin.com/pub/diego-cora/0/401/A69</v>
      </c>
      <c r="I6623" s="2" t="s">
        <v>1740</v>
      </c>
      <c r="J6623" s="2" t="s">
        <v>102</v>
      </c>
      <c r="K6623" s="2" t="s">
        <v>10206</v>
      </c>
    </row>
    <row r="6624" ht="15.75" customHeight="1">
      <c r="A6624" s="2">
        <v>38894.0</v>
      </c>
      <c r="B6624" s="2" t="s">
        <v>12752</v>
      </c>
      <c r="C6624" s="2" t="s">
        <v>6013</v>
      </c>
      <c r="D6624" s="2" t="s">
        <v>8416</v>
      </c>
      <c r="E6624" s="2" t="s">
        <v>20</v>
      </c>
      <c r="F6624" s="2">
        <v>3.0</v>
      </c>
      <c r="G6624" s="2">
        <v>102.0</v>
      </c>
      <c r="H6624" s="3" t="str">
        <f>HYPERLINK("http://ar.linkedin.com/pub/ignacio-juan-mart%C3%ADn-benedetti/14/B4/8A8","http://ar.linkedin.com/pub/ignacio-juan-mart%C3%ADn-benedetti/14/B4/8A8")</f>
        <v>http://ar.linkedin.com/pub/ignacio-juan-mart%C3%ADn-benedetti/14/B4/8A8</v>
      </c>
      <c r="I6624" s="2" t="s">
        <v>48</v>
      </c>
      <c r="J6624" s="2" t="s">
        <v>21</v>
      </c>
      <c r="K6624" s="2" t="s">
        <v>10340</v>
      </c>
    </row>
    <row r="6625" ht="15.75" customHeight="1">
      <c r="A6625" s="2">
        <v>38896.0</v>
      </c>
      <c r="B6625" s="2" t="s">
        <v>460</v>
      </c>
      <c r="C6625" s="2" t="s">
        <v>12753</v>
      </c>
      <c r="D6625" s="2" t="s">
        <v>12754</v>
      </c>
      <c r="E6625" s="2" t="s">
        <v>1407</v>
      </c>
      <c r="F6625" s="2">
        <v>16.0</v>
      </c>
      <c r="G6625" s="2">
        <v>500.0</v>
      </c>
      <c r="H6625" s="3" t="str">
        <f>HYPERLINK("http://www.linkedin.com/in/zancaman","http://www.linkedin.com/in/zancaman")</f>
        <v>http://www.linkedin.com/in/zancaman</v>
      </c>
      <c r="I6625" s="2" t="s">
        <v>48</v>
      </c>
      <c r="J6625" s="2" t="s">
        <v>102</v>
      </c>
      <c r="K6625" s="2" t="s">
        <v>10184</v>
      </c>
    </row>
    <row r="6626" ht="15.75" customHeight="1">
      <c r="A6626" s="2">
        <v>38901.0</v>
      </c>
      <c r="B6626" s="2" t="s">
        <v>1475</v>
      </c>
      <c r="C6626" s="2" t="s">
        <v>7106</v>
      </c>
      <c r="D6626" s="2" t="s">
        <v>12755</v>
      </c>
      <c r="E6626" s="2" t="s">
        <v>101</v>
      </c>
      <c r="F6626" s="2">
        <v>9.0</v>
      </c>
      <c r="G6626" s="2">
        <v>500.0</v>
      </c>
      <c r="H6626" s="3" t="str">
        <f>HYPERLINK("http://www.linkedin.com/in/lisamkenny","http://www.linkedin.com/in/lisamkenny")</f>
        <v>http://www.linkedin.com/in/lisamkenny</v>
      </c>
      <c r="I6626" s="2" t="s">
        <v>77</v>
      </c>
      <c r="J6626" s="2" t="s">
        <v>102</v>
      </c>
      <c r="K6626" s="2" t="s">
        <v>10184</v>
      </c>
    </row>
    <row r="6627" ht="15.75" customHeight="1">
      <c r="A6627" s="2">
        <v>38908.0</v>
      </c>
      <c r="B6627" s="2" t="s">
        <v>12756</v>
      </c>
      <c r="C6627" s="2" t="s">
        <v>12757</v>
      </c>
      <c r="D6627" s="2" t="s">
        <v>1667</v>
      </c>
      <c r="E6627" s="2" t="s">
        <v>407</v>
      </c>
      <c r="F6627" s="2">
        <v>7.0</v>
      </c>
      <c r="G6627" s="2">
        <v>348.0</v>
      </c>
      <c r="H6627" s="3" t="str">
        <f>HYPERLINK("http://www.linkedin.com/in/jeanwroblewski","http://www.linkedin.com/in/jeanwroblewski")</f>
        <v>http://www.linkedin.com/in/jeanwroblewski</v>
      </c>
      <c r="I6627" s="2" t="s">
        <v>69</v>
      </c>
      <c r="J6627" s="2" t="s">
        <v>102</v>
      </c>
      <c r="K6627" s="2" t="s">
        <v>10900</v>
      </c>
    </row>
    <row r="6628" ht="15.75" customHeight="1">
      <c r="A6628" s="2">
        <v>38910.0</v>
      </c>
      <c r="B6628" s="2" t="s">
        <v>5171</v>
      </c>
      <c r="C6628" s="2" t="s">
        <v>5335</v>
      </c>
      <c r="D6628" s="2"/>
      <c r="E6628" s="2" t="s">
        <v>407</v>
      </c>
      <c r="F6628" s="2">
        <v>12.0</v>
      </c>
      <c r="G6628" s="2">
        <v>456.0</v>
      </c>
      <c r="H6628" s="3" t="str">
        <f>HYPERLINK("http://www.linkedin.com/in/harrissuzanne","http://www.linkedin.com/in/harrissuzanne")</f>
        <v>http://www.linkedin.com/in/harrissuzanne</v>
      </c>
      <c r="I6628" s="2" t="s">
        <v>105</v>
      </c>
      <c r="J6628" s="2" t="s">
        <v>102</v>
      </c>
      <c r="K6628" s="2" t="s">
        <v>10206</v>
      </c>
    </row>
    <row r="6629" ht="15.75" customHeight="1">
      <c r="A6629" s="2">
        <v>38913.0</v>
      </c>
      <c r="B6629" s="2" t="s">
        <v>2567</v>
      </c>
      <c r="C6629" s="2" t="s">
        <v>12758</v>
      </c>
      <c r="D6629" s="2" t="s">
        <v>12759</v>
      </c>
      <c r="E6629" s="2" t="s">
        <v>4121</v>
      </c>
      <c r="F6629" s="2">
        <v>24.0</v>
      </c>
      <c r="G6629" s="2">
        <v>500.0</v>
      </c>
      <c r="H6629" s="3" t="str">
        <f>HYPERLINK("http://www.linkedin.com/pub/christopher-symons/0/680/644","http://www.linkedin.com/pub/christopher-symons/0/680/644")</f>
        <v>http://www.linkedin.com/pub/christopher-symons/0/680/644</v>
      </c>
      <c r="I6629" s="2" t="s">
        <v>1421</v>
      </c>
      <c r="J6629" s="2" t="s">
        <v>102</v>
      </c>
      <c r="K6629" s="2" t="s">
        <v>10206</v>
      </c>
    </row>
    <row r="6630" ht="15.75" customHeight="1">
      <c r="A6630" s="2">
        <v>38917.0</v>
      </c>
      <c r="B6630" s="2" t="s">
        <v>1585</v>
      </c>
      <c r="C6630" s="2" t="s">
        <v>12760</v>
      </c>
      <c r="D6630" s="2" t="s">
        <v>12761</v>
      </c>
      <c r="E6630" s="2" t="s">
        <v>407</v>
      </c>
      <c r="F6630" s="2">
        <v>4.0</v>
      </c>
      <c r="G6630" s="2">
        <v>232.0</v>
      </c>
      <c r="H6630" s="3" t="str">
        <f>HYPERLINK("http://www.linkedin.com/in/thomasdwalls","http://www.linkedin.com/in/thomasdwalls")</f>
        <v>http://www.linkedin.com/in/thomasdwalls</v>
      </c>
      <c r="I6630" s="2" t="s">
        <v>1421</v>
      </c>
      <c r="J6630" s="2" t="s">
        <v>102</v>
      </c>
      <c r="K6630" s="2" t="s">
        <v>10206</v>
      </c>
    </row>
    <row r="6631" ht="15.75" customHeight="1">
      <c r="A6631" s="2">
        <v>38921.0</v>
      </c>
      <c r="B6631" s="2" t="s">
        <v>169</v>
      </c>
      <c r="C6631" s="2" t="s">
        <v>12762</v>
      </c>
      <c r="D6631" s="2"/>
      <c r="E6631" s="2" t="s">
        <v>1407</v>
      </c>
      <c r="F6631" s="2">
        <v>0.0</v>
      </c>
      <c r="G6631" s="2">
        <v>476.0</v>
      </c>
      <c r="H6631" s="3" t="str">
        <f>HYPERLINK("http://www.linkedin.com/pub/teresa-alderink/0/1B8/571","http://www.linkedin.com/pub/teresa-alderink/0/1B8/571")</f>
        <v>http://www.linkedin.com/pub/teresa-alderink/0/1B8/571</v>
      </c>
      <c r="I6631" s="2" t="s">
        <v>1421</v>
      </c>
      <c r="J6631" s="2" t="s">
        <v>102</v>
      </c>
      <c r="K6631" s="2" t="s">
        <v>10206</v>
      </c>
    </row>
    <row r="6632" ht="15.75" customHeight="1">
      <c r="A6632" s="2">
        <v>38926.0</v>
      </c>
      <c r="B6632" s="2" t="s">
        <v>12763</v>
      </c>
      <c r="C6632" s="2" t="s">
        <v>12764</v>
      </c>
      <c r="D6632" s="2" t="s">
        <v>12765</v>
      </c>
      <c r="E6632" s="2" t="s">
        <v>992</v>
      </c>
      <c r="F6632" s="2">
        <v>0.0</v>
      </c>
      <c r="G6632" s="2">
        <v>442.0</v>
      </c>
      <c r="H6632" s="3" t="str">
        <f>HYPERLINK("http://www.linkedin.com/pub/monisha-vasanthkumar/2/25/83B","http://www.linkedin.com/pub/monisha-vasanthkumar/2/25/83B")</f>
        <v>http://www.linkedin.com/pub/monisha-vasanthkumar/2/25/83B</v>
      </c>
      <c r="I6632" s="2" t="s">
        <v>15</v>
      </c>
      <c r="J6632" s="2" t="s">
        <v>102</v>
      </c>
      <c r="K6632" s="2" t="s">
        <v>10184</v>
      </c>
    </row>
    <row r="6633" ht="15.75" customHeight="1">
      <c r="A6633" s="2">
        <v>38927.0</v>
      </c>
      <c r="B6633" s="2" t="s">
        <v>12766</v>
      </c>
      <c r="C6633" s="2" t="s">
        <v>12767</v>
      </c>
      <c r="D6633" s="2" t="s">
        <v>12768</v>
      </c>
      <c r="E6633" s="2" t="s">
        <v>1190</v>
      </c>
      <c r="F6633" s="2">
        <v>6.0</v>
      </c>
      <c r="G6633" s="2">
        <v>500.0</v>
      </c>
      <c r="H6633" s="3" t="str">
        <f>HYPERLINK("http://www.linkedin.com/in/eschaffler","http://www.linkedin.com/in/eschaffler")</f>
        <v>http://www.linkedin.com/in/eschaffler</v>
      </c>
      <c r="I6633" s="2" t="s">
        <v>231</v>
      </c>
      <c r="J6633" s="2" t="s">
        <v>102</v>
      </c>
      <c r="K6633" s="2" t="s">
        <v>12769</v>
      </c>
    </row>
    <row r="6634" ht="15.75" customHeight="1">
      <c r="A6634" s="2">
        <v>38931.0</v>
      </c>
      <c r="B6634" s="2" t="s">
        <v>710</v>
      </c>
      <c r="C6634" s="2" t="s">
        <v>12770</v>
      </c>
      <c r="D6634" s="2" t="s">
        <v>12771</v>
      </c>
      <c r="E6634" s="2" t="s">
        <v>762</v>
      </c>
      <c r="F6634" s="2">
        <v>5.0</v>
      </c>
      <c r="G6634" s="2">
        <v>184.0</v>
      </c>
      <c r="H6634" s="3" t="str">
        <f>HYPERLINK("http://www.linkedin.com/pub/jason-chloupek/3/A90/84","http://www.linkedin.com/pub/jason-chloupek/3/A90/84")</f>
        <v>http://www.linkedin.com/pub/jason-chloupek/3/A90/84</v>
      </c>
      <c r="I6634" s="2" t="s">
        <v>15</v>
      </c>
      <c r="J6634" s="2" t="s">
        <v>102</v>
      </c>
      <c r="K6634" s="2" t="s">
        <v>10245</v>
      </c>
    </row>
    <row r="6635" ht="15.75" customHeight="1">
      <c r="A6635" s="2">
        <v>38932.0</v>
      </c>
      <c r="B6635" s="2" t="s">
        <v>12772</v>
      </c>
      <c r="C6635" s="2" t="s">
        <v>12773</v>
      </c>
      <c r="D6635" s="2" t="s">
        <v>8489</v>
      </c>
      <c r="E6635" s="2" t="s">
        <v>255</v>
      </c>
      <c r="F6635" s="2">
        <v>3.0</v>
      </c>
      <c r="G6635" s="2">
        <v>500.0</v>
      </c>
      <c r="H6635" s="3" t="str">
        <f>HYPERLINK("http://www.linkedin.com/in/haroldsinnott","http://www.linkedin.com/in/haroldsinnott")</f>
        <v>http://www.linkedin.com/in/haroldsinnott</v>
      </c>
      <c r="I6635" s="2" t="s">
        <v>458</v>
      </c>
      <c r="J6635" s="2" t="s">
        <v>102</v>
      </c>
      <c r="K6635" s="2" t="s">
        <v>10206</v>
      </c>
    </row>
    <row r="6636" ht="15.75" customHeight="1">
      <c r="A6636" s="2">
        <v>38933.0</v>
      </c>
      <c r="B6636" s="2" t="s">
        <v>894</v>
      </c>
      <c r="C6636" s="2" t="s">
        <v>12774</v>
      </c>
      <c r="D6636" s="2" t="s">
        <v>12775</v>
      </c>
      <c r="E6636" s="2" t="s">
        <v>1190</v>
      </c>
      <c r="F6636" s="2" t="s">
        <v>13</v>
      </c>
      <c r="G6636" s="2">
        <v>500.0</v>
      </c>
      <c r="H6636" s="3" t="str">
        <f>HYPERLINK("http://www.linkedin.com/pub/lisette-lama/11/158/4B7","http://www.linkedin.com/pub/lisette-lama/11/158/4B7")</f>
        <v>http://www.linkedin.com/pub/lisette-lama/11/158/4B7</v>
      </c>
      <c r="I6636" s="2" t="s">
        <v>1931</v>
      </c>
      <c r="J6636" s="2" t="s">
        <v>102</v>
      </c>
      <c r="K6636" s="2" t="s">
        <v>10209</v>
      </c>
    </row>
    <row r="6637" ht="15.75" customHeight="1">
      <c r="A6637" s="2">
        <v>38938.0</v>
      </c>
      <c r="B6637" s="2" t="s">
        <v>8705</v>
      </c>
      <c r="C6637" s="2" t="s">
        <v>12776</v>
      </c>
      <c r="D6637" s="2" t="s">
        <v>12777</v>
      </c>
      <c r="E6637" s="2" t="s">
        <v>1407</v>
      </c>
      <c r="F6637" s="2">
        <v>1.0</v>
      </c>
      <c r="G6637" s="2">
        <v>238.0</v>
      </c>
      <c r="H6637" s="3" t="str">
        <f>HYPERLINK("http://www.linkedin.com/in/inko9nito","http://www.linkedin.com/in/inko9nito")</f>
        <v>http://www.linkedin.com/in/inko9nito</v>
      </c>
      <c r="I6637" s="2" t="s">
        <v>48</v>
      </c>
      <c r="J6637" s="2" t="s">
        <v>102</v>
      </c>
      <c r="K6637" s="2" t="s">
        <v>10184</v>
      </c>
    </row>
    <row r="6638" ht="15.75" customHeight="1">
      <c r="A6638" s="2">
        <v>38939.0</v>
      </c>
      <c r="B6638" s="2" t="s">
        <v>12778</v>
      </c>
      <c r="C6638" s="2" t="s">
        <v>12779</v>
      </c>
      <c r="D6638" s="2" t="s">
        <v>13</v>
      </c>
      <c r="E6638" s="2" t="s">
        <v>1190</v>
      </c>
      <c r="F6638" s="2">
        <v>0.0</v>
      </c>
      <c r="G6638" s="2">
        <v>500.0</v>
      </c>
      <c r="H6638" s="3" t="str">
        <f>HYPERLINK("http://www.linkedin.com/pub/tatiana-m-sphr-shrm-scp/a/410/113","http://www.linkedin.com/pub/tatiana-m-sphr-shrm-scp/a/410/113")</f>
        <v>http://www.linkedin.com/pub/tatiana-m-sphr-shrm-scp/a/410/113</v>
      </c>
      <c r="I6638" s="2" t="s">
        <v>458</v>
      </c>
      <c r="J6638" s="2" t="s">
        <v>102</v>
      </c>
      <c r="K6638" s="2" t="s">
        <v>10187</v>
      </c>
    </row>
    <row r="6639" ht="15.75" customHeight="1">
      <c r="A6639" s="2">
        <v>38940.0</v>
      </c>
      <c r="B6639" s="2" t="s">
        <v>1167</v>
      </c>
      <c r="C6639" s="2" t="s">
        <v>3409</v>
      </c>
      <c r="D6639" s="2" t="s">
        <v>12780</v>
      </c>
      <c r="E6639" s="2" t="s">
        <v>1407</v>
      </c>
      <c r="F6639" s="2">
        <v>3.0</v>
      </c>
      <c r="G6639" s="2">
        <v>276.0</v>
      </c>
      <c r="H6639" s="3" t="str">
        <f>HYPERLINK("http://www.linkedin.com/in/benjudy","http://www.linkedin.com/in/benjudy")</f>
        <v>http://www.linkedin.com/in/benjudy</v>
      </c>
      <c r="I6639" s="2" t="s">
        <v>48</v>
      </c>
      <c r="J6639" s="2" t="s">
        <v>102</v>
      </c>
      <c r="K6639" s="2" t="s">
        <v>12781</v>
      </c>
    </row>
    <row r="6640" ht="15.75" customHeight="1">
      <c r="A6640" s="2">
        <v>38942.0</v>
      </c>
      <c r="B6640" s="2" t="s">
        <v>3143</v>
      </c>
      <c r="C6640" s="2" t="s">
        <v>12782</v>
      </c>
      <c r="D6640" s="2" t="s">
        <v>12783</v>
      </c>
      <c r="E6640" s="2" t="s">
        <v>1615</v>
      </c>
      <c r="F6640" s="2">
        <v>16.0</v>
      </c>
      <c r="G6640" s="2">
        <v>500.0</v>
      </c>
      <c r="H6640" s="3" t="str">
        <f>HYPERLINK("http://www.linkedin.com/in/miriamcy","http://www.linkedin.com/in/miriamcy")</f>
        <v>http://www.linkedin.com/in/miriamcy</v>
      </c>
      <c r="I6640" s="2" t="s">
        <v>15</v>
      </c>
      <c r="J6640" s="2" t="s">
        <v>102</v>
      </c>
      <c r="K6640" s="2" t="s">
        <v>10245</v>
      </c>
    </row>
    <row r="6641" ht="15.75" customHeight="1">
      <c r="A6641" s="2">
        <v>38946.0</v>
      </c>
      <c r="B6641" s="2" t="s">
        <v>784</v>
      </c>
      <c r="C6641" s="2" t="s">
        <v>10742</v>
      </c>
      <c r="D6641" s="2" t="s">
        <v>10611</v>
      </c>
      <c r="E6641" s="2" t="s">
        <v>1407</v>
      </c>
      <c r="F6641" s="2">
        <v>3.0</v>
      </c>
      <c r="G6641" s="2">
        <v>312.0</v>
      </c>
      <c r="H6641" s="3" t="str">
        <f>HYPERLINK("http://www.linkedin.com/pub/jeff-barrett/3/A26/652","http://www.linkedin.com/pub/jeff-barrett/3/A26/652")</f>
        <v>http://www.linkedin.com/pub/jeff-barrett/3/A26/652</v>
      </c>
      <c r="I6641" s="2" t="s">
        <v>1421</v>
      </c>
      <c r="J6641" s="2" t="s">
        <v>102</v>
      </c>
      <c r="K6641" s="2" t="s">
        <v>10209</v>
      </c>
    </row>
    <row r="6642" ht="15.75" customHeight="1">
      <c r="A6642" s="2">
        <v>38947.0</v>
      </c>
      <c r="B6642" s="2" t="s">
        <v>1593</v>
      </c>
      <c r="C6642" s="2" t="s">
        <v>12784</v>
      </c>
      <c r="D6642" s="2"/>
      <c r="E6642" s="2" t="s">
        <v>1407</v>
      </c>
      <c r="F6642" s="2">
        <v>23.0</v>
      </c>
      <c r="G6642" s="2">
        <v>500.0</v>
      </c>
      <c r="H6642" s="3" t="str">
        <f>HYPERLINK("http://www.linkedin.com/pub/adam-polansky/0/9B9/130","http://www.linkedin.com/pub/adam-polansky/0/9B9/130")</f>
        <v>http://www.linkedin.com/pub/adam-polansky/0/9B9/130</v>
      </c>
      <c r="I6642" s="2" t="s">
        <v>69</v>
      </c>
      <c r="J6642" s="2" t="s">
        <v>102</v>
      </c>
      <c r="K6642" s="2" t="s">
        <v>10176</v>
      </c>
    </row>
    <row r="6643" ht="15.75" customHeight="1">
      <c r="A6643" s="2">
        <v>38950.0</v>
      </c>
      <c r="B6643" s="2" t="s">
        <v>12785</v>
      </c>
      <c r="C6643" s="2" t="s">
        <v>10248</v>
      </c>
      <c r="D6643" s="2" t="s">
        <v>12786</v>
      </c>
      <c r="E6643" s="2" t="s">
        <v>1407</v>
      </c>
      <c r="F6643" s="2">
        <v>0.0</v>
      </c>
      <c r="G6643" s="2">
        <v>243.0</v>
      </c>
      <c r="H6643" s="3" t="str">
        <f>HYPERLINK("http://www.linkedin.com/pub/nastasha-wells/4/426/713","http://www.linkedin.com/pub/nastasha-wells/4/426/713")</f>
        <v>http://www.linkedin.com/pub/nastasha-wells/4/426/713</v>
      </c>
      <c r="I6643" s="2" t="s">
        <v>1421</v>
      </c>
      <c r="J6643" s="2" t="s">
        <v>102</v>
      </c>
      <c r="K6643" s="2" t="s">
        <v>10206</v>
      </c>
    </row>
    <row r="6644" ht="15.75" customHeight="1">
      <c r="A6644" s="2">
        <v>38956.0</v>
      </c>
      <c r="B6644" s="2" t="s">
        <v>4488</v>
      </c>
      <c r="C6644" s="2" t="s">
        <v>10729</v>
      </c>
      <c r="D6644" s="2" t="s">
        <v>8962</v>
      </c>
      <c r="E6644" s="2" t="s">
        <v>1407</v>
      </c>
      <c r="F6644" s="2">
        <v>5.0</v>
      </c>
      <c r="G6644" s="2">
        <v>365.0</v>
      </c>
      <c r="H6644" s="3" t="str">
        <f>HYPERLINK("http://www.linkedin.com/in/heatherford","http://www.linkedin.com/in/heatherford")</f>
        <v>http://www.linkedin.com/in/heatherford</v>
      </c>
      <c r="I6644" s="2" t="s">
        <v>279</v>
      </c>
      <c r="J6644" s="2" t="s">
        <v>102</v>
      </c>
      <c r="K6644" s="2" t="s">
        <v>10229</v>
      </c>
    </row>
    <row r="6645" ht="15.75" customHeight="1">
      <c r="A6645" s="2">
        <v>38960.0</v>
      </c>
      <c r="B6645" s="2" t="s">
        <v>511</v>
      </c>
      <c r="C6645" s="2" t="s">
        <v>12787</v>
      </c>
      <c r="D6645" s="2"/>
      <c r="E6645" s="2" t="s">
        <v>1407</v>
      </c>
      <c r="F6645" s="2">
        <v>2.0</v>
      </c>
      <c r="G6645" s="2">
        <v>284.0</v>
      </c>
      <c r="H6645" s="3" t="str">
        <f>HYPERLINK("http://www.linkedin.com/pub/mike-gould/2/107/169","http://www.linkedin.com/pub/mike-gould/2/107/169")</f>
        <v>http://www.linkedin.com/pub/mike-gould/2/107/169</v>
      </c>
      <c r="I6645" s="2" t="s">
        <v>105</v>
      </c>
      <c r="J6645" s="2" t="s">
        <v>102</v>
      </c>
      <c r="K6645" s="2" t="s">
        <v>10209</v>
      </c>
    </row>
    <row r="6646" ht="15.75" customHeight="1">
      <c r="A6646" s="2">
        <v>38963.0</v>
      </c>
      <c r="B6646" s="2" t="s">
        <v>710</v>
      </c>
      <c r="C6646" s="2" t="s">
        <v>12788</v>
      </c>
      <c r="D6646" s="2" t="s">
        <v>12789</v>
      </c>
      <c r="E6646" s="2" t="s">
        <v>1407</v>
      </c>
      <c r="F6646" s="2">
        <v>3.0</v>
      </c>
      <c r="G6646" s="2">
        <v>500.0</v>
      </c>
      <c r="H6646" s="3" t="str">
        <f>HYPERLINK("https://www.linkedin.com/in/jasoncypret","https://www.linkedin.com/in/jasoncypret")</f>
        <v>https://www.linkedin.com/in/jasoncypret</v>
      </c>
      <c r="I6646" s="2" t="s">
        <v>69</v>
      </c>
      <c r="J6646" s="2" t="s">
        <v>102</v>
      </c>
      <c r="K6646" s="2" t="s">
        <v>10674</v>
      </c>
    </row>
    <row r="6647" ht="15.75" customHeight="1">
      <c r="A6647" s="2">
        <v>38964.0</v>
      </c>
      <c r="B6647" s="2" t="s">
        <v>1279</v>
      </c>
      <c r="C6647" s="2" t="s">
        <v>12790</v>
      </c>
      <c r="D6647" s="2" t="s">
        <v>10283</v>
      </c>
      <c r="E6647" s="2" t="s">
        <v>1407</v>
      </c>
      <c r="F6647" s="2">
        <v>3.0</v>
      </c>
      <c r="G6647" s="2">
        <v>164.0</v>
      </c>
      <c r="H6647" s="3" t="str">
        <f>HYPERLINK("http://www.linkedin.com/in/ashleyschroeder","http://www.linkedin.com/in/ashleyschroeder")</f>
        <v>http://www.linkedin.com/in/ashleyschroeder</v>
      </c>
      <c r="I6647" s="2" t="s">
        <v>1421</v>
      </c>
      <c r="J6647" s="2" t="s">
        <v>102</v>
      </c>
      <c r="K6647" s="2" t="s">
        <v>10173</v>
      </c>
    </row>
    <row r="6648" ht="15.75" customHeight="1">
      <c r="A6648" s="2">
        <v>38969.0</v>
      </c>
      <c r="B6648" s="2" t="s">
        <v>4635</v>
      </c>
      <c r="C6648" s="2" t="s">
        <v>12791</v>
      </c>
      <c r="D6648" s="2" t="s">
        <v>12792</v>
      </c>
      <c r="E6648" s="2" t="s">
        <v>1407</v>
      </c>
      <c r="F6648" s="2">
        <v>8.0</v>
      </c>
      <c r="G6648" s="2">
        <v>442.0</v>
      </c>
      <c r="H6648" s="3" t="str">
        <f>HYPERLINK("http://www.linkedin.com/in/martigold","http://www.linkedin.com/in/martigold")</f>
        <v>http://www.linkedin.com/in/martigold</v>
      </c>
      <c r="I6648" s="2" t="s">
        <v>2268</v>
      </c>
      <c r="J6648" s="2" t="s">
        <v>102</v>
      </c>
      <c r="K6648" s="2" t="s">
        <v>12793</v>
      </c>
    </row>
    <row r="6649" ht="15.75" customHeight="1">
      <c r="A6649" s="2">
        <v>38974.0</v>
      </c>
      <c r="B6649" s="2" t="s">
        <v>754</v>
      </c>
      <c r="C6649" s="2" t="s">
        <v>12794</v>
      </c>
      <c r="D6649" s="2" t="s">
        <v>12795</v>
      </c>
      <c r="E6649" s="2" t="s">
        <v>1407</v>
      </c>
      <c r="F6649" s="2">
        <v>9.0</v>
      </c>
      <c r="G6649" s="2">
        <v>223.0</v>
      </c>
      <c r="H6649" s="3" t="str">
        <f>HYPERLINK("http://www.linkedin.com/pub/greg-zoller/0/993/325","http://www.linkedin.com/pub/greg-zoller/0/993/325")</f>
        <v>http://www.linkedin.com/pub/greg-zoller/0/993/325</v>
      </c>
      <c r="I6649" s="2" t="s">
        <v>48</v>
      </c>
      <c r="J6649" s="2" t="s">
        <v>102</v>
      </c>
      <c r="K6649" s="2" t="s">
        <v>10184</v>
      </c>
    </row>
    <row r="6650" ht="15.75" customHeight="1">
      <c r="A6650" s="2">
        <v>38986.0</v>
      </c>
      <c r="B6650" s="2" t="s">
        <v>36</v>
      </c>
      <c r="C6650" s="2" t="s">
        <v>12796</v>
      </c>
      <c r="D6650" s="2" t="s">
        <v>1780</v>
      </c>
      <c r="E6650" s="2" t="s">
        <v>20</v>
      </c>
      <c r="F6650" s="2">
        <v>12.0</v>
      </c>
      <c r="G6650" s="2">
        <v>328.0</v>
      </c>
      <c r="H6650" s="3" t="str">
        <f>HYPERLINK("http://ar.linkedin.com/in/adrianabiancheri","http://ar.linkedin.com/in/adrianabiancheri")</f>
        <v>http://ar.linkedin.com/in/adrianabiancheri</v>
      </c>
      <c r="I6650" s="2" t="s">
        <v>69</v>
      </c>
      <c r="J6650" s="2" t="s">
        <v>21</v>
      </c>
      <c r="K6650" s="2" t="s">
        <v>10196</v>
      </c>
    </row>
    <row r="6651" ht="15.75" customHeight="1">
      <c r="A6651" s="2">
        <v>39010.0</v>
      </c>
      <c r="B6651" s="2" t="s">
        <v>845</v>
      </c>
      <c r="C6651" s="2" t="s">
        <v>12797</v>
      </c>
      <c r="D6651" s="2"/>
      <c r="E6651" s="2" t="s">
        <v>1317</v>
      </c>
      <c r="F6651" s="2">
        <v>0.0</v>
      </c>
      <c r="G6651" s="2">
        <v>500.0</v>
      </c>
      <c r="H6651" s="3" t="str">
        <f>HYPERLINK("http://www.linkedin.com/in/davidrespass","http://www.linkedin.com/in/davidrespass")</f>
        <v>http://www.linkedin.com/in/davidrespass</v>
      </c>
      <c r="I6651" s="2" t="s">
        <v>48</v>
      </c>
      <c r="J6651" s="2" t="s">
        <v>102</v>
      </c>
      <c r="K6651" s="2" t="s">
        <v>10184</v>
      </c>
    </row>
    <row r="6652" ht="15.75" customHeight="1">
      <c r="A6652" s="2">
        <v>39014.0</v>
      </c>
      <c r="B6652" s="2" t="s">
        <v>1032</v>
      </c>
      <c r="C6652" s="2" t="s">
        <v>12798</v>
      </c>
      <c r="D6652" s="2" t="s">
        <v>12799</v>
      </c>
      <c r="E6652" s="2" t="s">
        <v>1407</v>
      </c>
      <c r="F6652" s="2">
        <v>17.0</v>
      </c>
      <c r="G6652" s="2">
        <v>500.0</v>
      </c>
      <c r="H6652" s="3" t="str">
        <f>HYPERLINK("http://www.linkedin.com/in/ravimetta","http://www.linkedin.com/in/ravimetta")</f>
        <v>http://www.linkedin.com/in/ravimetta</v>
      </c>
      <c r="I6652" s="2" t="s">
        <v>48</v>
      </c>
      <c r="J6652" s="2" t="s">
        <v>102</v>
      </c>
      <c r="K6652" s="2" t="s">
        <v>10286</v>
      </c>
    </row>
    <row r="6653" ht="15.75" customHeight="1">
      <c r="A6653" s="2">
        <v>39020.0</v>
      </c>
      <c r="B6653" s="2" t="s">
        <v>12800</v>
      </c>
      <c r="C6653" s="2" t="s">
        <v>12801</v>
      </c>
      <c r="D6653" s="2" t="s">
        <v>12802</v>
      </c>
      <c r="E6653" s="2" t="s">
        <v>762</v>
      </c>
      <c r="F6653" s="2">
        <v>4.0</v>
      </c>
      <c r="G6653" s="2">
        <v>264.0</v>
      </c>
      <c r="H6653" s="3" t="str">
        <f>HYPERLINK("http://www.linkedin.com/pub/kristi-jurecka/2/597/139","http://www.linkedin.com/pub/kristi-jurecka/2/597/139")</f>
        <v>http://www.linkedin.com/pub/kristi-jurecka/2/597/139</v>
      </c>
      <c r="I6653" s="2" t="s">
        <v>69</v>
      </c>
      <c r="J6653" s="2" t="s">
        <v>102</v>
      </c>
      <c r="K6653" s="2" t="s">
        <v>10176</v>
      </c>
    </row>
    <row r="6654" ht="15.75" customHeight="1">
      <c r="A6654" s="2">
        <v>39022.0</v>
      </c>
      <c r="B6654" s="2" t="s">
        <v>1380</v>
      </c>
      <c r="C6654" s="2" t="s">
        <v>1474</v>
      </c>
      <c r="D6654" s="2" t="s">
        <v>7152</v>
      </c>
      <c r="E6654" s="2" t="s">
        <v>1317</v>
      </c>
      <c r="F6654" s="2">
        <v>1.0</v>
      </c>
      <c r="G6654" s="2">
        <v>430.0</v>
      </c>
      <c r="H6654" s="3" t="str">
        <f>HYPERLINK("http://www.linkedin.com/pub/randy-phelan/1/740/32","http://www.linkedin.com/pub/randy-phelan/1/740/32")</f>
        <v>http://www.linkedin.com/pub/randy-phelan/1/740/32</v>
      </c>
      <c r="I6654" s="2" t="s">
        <v>15</v>
      </c>
      <c r="J6654" s="2" t="s">
        <v>102</v>
      </c>
      <c r="K6654" s="2" t="s">
        <v>10184</v>
      </c>
    </row>
    <row r="6655" ht="15.75" customHeight="1">
      <c r="A6655" s="2">
        <v>39024.0</v>
      </c>
      <c r="B6655" s="2" t="s">
        <v>784</v>
      </c>
      <c r="C6655" s="2" t="s">
        <v>4830</v>
      </c>
      <c r="D6655" s="2" t="s">
        <v>12803</v>
      </c>
      <c r="E6655" s="2" t="s">
        <v>762</v>
      </c>
      <c r="F6655" s="2">
        <v>5.0</v>
      </c>
      <c r="G6655" s="2">
        <v>319.0</v>
      </c>
      <c r="H6655" s="3" t="str">
        <f>HYPERLINK("http://www.linkedin.com/pub/jeff-stone/18/575/AB5","http://www.linkedin.com/pub/jeff-stone/18/575/AB5")</f>
        <v>http://www.linkedin.com/pub/jeff-stone/18/575/AB5</v>
      </c>
      <c r="I6655" s="2" t="s">
        <v>279</v>
      </c>
      <c r="J6655" s="2" t="s">
        <v>102</v>
      </c>
      <c r="K6655" s="2" t="s">
        <v>10209</v>
      </c>
    </row>
    <row r="6656" ht="15.75" customHeight="1">
      <c r="A6656" s="2">
        <v>39028.0</v>
      </c>
      <c r="B6656" s="2" t="s">
        <v>11681</v>
      </c>
      <c r="C6656" s="2" t="s">
        <v>2166</v>
      </c>
      <c r="D6656" s="2" t="s">
        <v>12804</v>
      </c>
      <c r="E6656" s="2" t="s">
        <v>12805</v>
      </c>
      <c r="F6656" s="2">
        <v>28.0</v>
      </c>
      <c r="G6656" s="2">
        <v>500.0</v>
      </c>
      <c r="H6656" s="3" t="str">
        <f>HYPERLINK("http://www.linkedin.com/in/bolora","http://www.linkedin.com/in/bolora")</f>
        <v>http://www.linkedin.com/in/bolora</v>
      </c>
      <c r="I6656" s="2" t="s">
        <v>15</v>
      </c>
      <c r="J6656" s="2" t="s">
        <v>102</v>
      </c>
      <c r="K6656" s="2" t="s">
        <v>10245</v>
      </c>
    </row>
    <row r="6657" ht="15.75" customHeight="1">
      <c r="A6657" s="2">
        <v>39039.0</v>
      </c>
      <c r="B6657" s="2" t="s">
        <v>5735</v>
      </c>
      <c r="C6657" s="2" t="s">
        <v>2135</v>
      </c>
      <c r="D6657" s="2" t="s">
        <v>12806</v>
      </c>
      <c r="E6657" s="2" t="s">
        <v>20</v>
      </c>
      <c r="F6657" s="2">
        <v>4.0</v>
      </c>
      <c r="G6657" s="2">
        <v>186.0</v>
      </c>
      <c r="H6657" s="3" t="str">
        <f>HYPERLINK("http://ar.linkedin.com/in/gutierrezgerman","http://ar.linkedin.com/in/gutierrezgerman")</f>
        <v>http://ar.linkedin.com/in/gutierrezgerman</v>
      </c>
      <c r="I6657" s="2" t="s">
        <v>15</v>
      </c>
      <c r="J6657" s="2" t="s">
        <v>21</v>
      </c>
      <c r="K6657" s="2" t="s">
        <v>10196</v>
      </c>
    </row>
    <row r="6658" ht="15.75" customHeight="1">
      <c r="A6658" s="2">
        <v>39043.0</v>
      </c>
      <c r="B6658" s="2" t="s">
        <v>12807</v>
      </c>
      <c r="C6658" s="2" t="s">
        <v>12808</v>
      </c>
      <c r="D6658" s="2" t="s">
        <v>13</v>
      </c>
      <c r="E6658" s="2" t="s">
        <v>1407</v>
      </c>
      <c r="F6658" s="2">
        <v>0.0</v>
      </c>
      <c r="G6658" s="2">
        <v>500.0</v>
      </c>
      <c r="H6658" s="3" t="str">
        <f>HYPERLINK("http://www.linkedin.com/pub/terrance-blackwell-mba/9/76/790","http://www.linkedin.com/pub/terrance-blackwell-mba/9/76/790")</f>
        <v>http://www.linkedin.com/pub/terrance-blackwell-mba/9/76/790</v>
      </c>
      <c r="I6658" s="2" t="s">
        <v>15</v>
      </c>
      <c r="J6658" s="2" t="s">
        <v>102</v>
      </c>
      <c r="K6658" s="2" t="s">
        <v>10184</v>
      </c>
    </row>
    <row r="6659" ht="15.75" customHeight="1">
      <c r="A6659" s="2">
        <v>39053.0</v>
      </c>
      <c r="B6659" s="2" t="s">
        <v>1167</v>
      </c>
      <c r="C6659" s="2" t="s">
        <v>12809</v>
      </c>
      <c r="D6659" s="2" t="s">
        <v>6929</v>
      </c>
      <c r="E6659" s="2" t="s">
        <v>1407</v>
      </c>
      <c r="F6659" s="2">
        <v>0.0</v>
      </c>
      <c r="G6659" s="2">
        <v>65.0</v>
      </c>
      <c r="H6659" s="3" t="str">
        <f>HYPERLINK("http://www.linkedin.com/pub/ben-pullen/3/BA9/716","http://www.linkedin.com/pub/ben-pullen/3/BA9/716")</f>
        <v>http://www.linkedin.com/pub/ben-pullen/3/BA9/716</v>
      </c>
      <c r="I6659" s="2" t="s">
        <v>1421</v>
      </c>
      <c r="J6659" s="2" t="s">
        <v>102</v>
      </c>
      <c r="K6659" s="2" t="s">
        <v>10206</v>
      </c>
    </row>
    <row r="6660" ht="15.75" customHeight="1">
      <c r="A6660" s="2">
        <v>39076.0</v>
      </c>
      <c r="B6660" s="2" t="s">
        <v>7607</v>
      </c>
      <c r="C6660" s="2" t="s">
        <v>12810</v>
      </c>
      <c r="D6660" s="2" t="s">
        <v>13</v>
      </c>
      <c r="E6660" s="2" t="s">
        <v>20</v>
      </c>
      <c r="F6660" s="2">
        <v>4.0</v>
      </c>
      <c r="G6660" s="2">
        <v>500.0</v>
      </c>
      <c r="H6660" s="3" t="str">
        <f>HYPERLINK("http://www.linkedin.com/in/psabbatella","http://www.linkedin.com/in/psabbatella")</f>
        <v>http://www.linkedin.com/in/psabbatella</v>
      </c>
      <c r="I6660" s="2" t="s">
        <v>15</v>
      </c>
      <c r="J6660" s="2" t="s">
        <v>21</v>
      </c>
      <c r="K6660" s="2" t="s">
        <v>10182</v>
      </c>
    </row>
    <row r="6661" ht="15.75" customHeight="1">
      <c r="A6661" s="2">
        <v>39099.0</v>
      </c>
      <c r="B6661" s="2" t="s">
        <v>12811</v>
      </c>
      <c r="C6661" s="2" t="s">
        <v>12812</v>
      </c>
      <c r="D6661" s="2" t="s">
        <v>13</v>
      </c>
      <c r="E6661" s="2" t="s">
        <v>20</v>
      </c>
      <c r="F6661" s="2">
        <v>4.0</v>
      </c>
      <c r="G6661" s="2">
        <v>180.0</v>
      </c>
      <c r="H6661" s="3" t="str">
        <f>HYPERLINK("http://www.linkedin.com/pub/analia-veronica-fatta/27/41a/7a8","http://www.linkedin.com/pub/analia-veronica-fatta/27/41a/7a8")</f>
        <v>http://www.linkedin.com/pub/analia-veronica-fatta/27/41a/7a8</v>
      </c>
      <c r="I6661" s="2" t="s">
        <v>69</v>
      </c>
      <c r="J6661" s="2" t="s">
        <v>21</v>
      </c>
      <c r="K6661" s="2" t="s">
        <v>10196</v>
      </c>
    </row>
    <row r="6662" ht="15.75" customHeight="1">
      <c r="A6662" s="2">
        <v>39105.0</v>
      </c>
      <c r="B6662" s="2" t="s">
        <v>5828</v>
      </c>
      <c r="C6662" s="2" t="s">
        <v>3566</v>
      </c>
      <c r="D6662" s="2" t="s">
        <v>12813</v>
      </c>
      <c r="E6662" s="2" t="s">
        <v>407</v>
      </c>
      <c r="F6662" s="2">
        <v>6.0</v>
      </c>
      <c r="G6662" s="2">
        <v>235.0</v>
      </c>
      <c r="H6662" s="3" t="str">
        <f>HYPERLINK("http://www.linkedin.com/pub/silvia-s%C3%A1nchez/7/310/508","http://www.linkedin.com/pub/silvia-s%C3%A1nchez/7/310/508")</f>
        <v>http://www.linkedin.com/pub/silvia-s%C3%A1nchez/7/310/508</v>
      </c>
      <c r="I6662" s="2" t="s">
        <v>77</v>
      </c>
      <c r="J6662" s="2" t="s">
        <v>102</v>
      </c>
      <c r="K6662" s="2" t="s">
        <v>10988</v>
      </c>
    </row>
    <row r="6663" ht="15.75" customHeight="1">
      <c r="A6663" s="2">
        <v>39125.0</v>
      </c>
      <c r="B6663" s="2" t="s">
        <v>12125</v>
      </c>
      <c r="C6663" s="2" t="s">
        <v>675</v>
      </c>
      <c r="D6663" s="2" t="s">
        <v>12814</v>
      </c>
      <c r="E6663" s="2" t="s">
        <v>762</v>
      </c>
      <c r="F6663" s="2" t="s">
        <v>13</v>
      </c>
      <c r="G6663" s="2">
        <v>351.0</v>
      </c>
      <c r="H6663" s="3" t="str">
        <f>HYPERLINK("http://www.linkedin.com/in/linotorres","http://www.linkedin.com/in/linotorres")</f>
        <v>http://www.linkedin.com/in/linotorres</v>
      </c>
      <c r="I6663" s="2" t="s">
        <v>57</v>
      </c>
      <c r="J6663" s="2" t="s">
        <v>102</v>
      </c>
      <c r="K6663" s="2" t="s">
        <v>10482</v>
      </c>
    </row>
    <row r="6664" ht="15.75" customHeight="1">
      <c r="A6664" s="2">
        <v>39149.0</v>
      </c>
      <c r="B6664" s="2" t="s">
        <v>1528</v>
      </c>
      <c r="C6664" s="2" t="s">
        <v>12815</v>
      </c>
      <c r="D6664" s="2" t="s">
        <v>12816</v>
      </c>
      <c r="E6664" s="2" t="s">
        <v>20</v>
      </c>
      <c r="F6664" s="2">
        <v>3.0</v>
      </c>
      <c r="G6664" s="2">
        <v>236.0</v>
      </c>
      <c r="H6664" s="3" t="str">
        <f>HYPERLINK("http://ar.linkedin.com/pub/guido-guasqui/20/194/4A7","http://ar.linkedin.com/pub/guido-guasqui/20/194/4A7")</f>
        <v>http://ar.linkedin.com/pub/guido-guasqui/20/194/4A7</v>
      </c>
      <c r="I6664" s="2" t="s">
        <v>143</v>
      </c>
      <c r="J6664" s="2" t="s">
        <v>21</v>
      </c>
      <c r="K6664" s="2" t="s">
        <v>10196</v>
      </c>
    </row>
    <row r="6665" ht="15.75" customHeight="1">
      <c r="A6665" s="2">
        <v>39188.0</v>
      </c>
      <c r="B6665" s="2" t="s">
        <v>70</v>
      </c>
      <c r="C6665" s="2" t="s">
        <v>7545</v>
      </c>
      <c r="D6665" s="2" t="s">
        <v>380</v>
      </c>
      <c r="E6665" s="2" t="s">
        <v>20</v>
      </c>
      <c r="F6665" s="2">
        <v>2.0</v>
      </c>
      <c r="G6665" s="2">
        <v>500.0</v>
      </c>
      <c r="H6665" s="3" t="str">
        <f>HYPERLINK("http://ar.linkedin.com/in/gustavopowersa","http://ar.linkedin.com/in/gustavopowersa")</f>
        <v>http://ar.linkedin.com/in/gustavopowersa</v>
      </c>
      <c r="I6665" s="2" t="s">
        <v>160</v>
      </c>
      <c r="J6665" s="2" t="s">
        <v>21</v>
      </c>
      <c r="K6665" s="2" t="s">
        <v>10184</v>
      </c>
    </row>
    <row r="6666" ht="15.75" customHeight="1">
      <c r="A6666" s="2">
        <v>39200.0</v>
      </c>
      <c r="B6666" s="2" t="s">
        <v>1505</v>
      </c>
      <c r="C6666" s="2" t="s">
        <v>12817</v>
      </c>
      <c r="D6666" s="2" t="s">
        <v>1073</v>
      </c>
      <c r="E6666" s="2" t="s">
        <v>12818</v>
      </c>
      <c r="F6666" s="2" t="s">
        <v>13</v>
      </c>
      <c r="G6666" s="2">
        <v>85.0</v>
      </c>
      <c r="H6666" s="3" t="str">
        <f>HYPERLINK("http://www.linkedin.com/pub/linlin-zhang/17/908/149","http://www.linkedin.com/pub/linlin-zhang/17/908/149")</f>
        <v>http://www.linkedin.com/pub/linlin-zhang/17/908/149</v>
      </c>
      <c r="I6666" s="2" t="s">
        <v>77</v>
      </c>
      <c r="J6666" s="2" t="s">
        <v>102</v>
      </c>
      <c r="K6666" s="2" t="s">
        <v>10187</v>
      </c>
    </row>
    <row r="6667" ht="15.75" customHeight="1">
      <c r="A6667" s="2">
        <v>39219.0</v>
      </c>
      <c r="B6667" s="2" t="s">
        <v>193</v>
      </c>
      <c r="C6667" s="2" t="s">
        <v>12819</v>
      </c>
      <c r="D6667" s="2" t="s">
        <v>12820</v>
      </c>
      <c r="E6667" s="2" t="s">
        <v>20</v>
      </c>
      <c r="F6667" s="2">
        <v>8.0</v>
      </c>
      <c r="G6667" s="2">
        <v>484.0</v>
      </c>
      <c r="H6667" s="3" t="str">
        <f>HYPERLINK("http://ar.linkedin.com/in/willyfink","http://ar.linkedin.com/in/willyfink")</f>
        <v>http://ar.linkedin.com/in/willyfink</v>
      </c>
      <c r="I6667" s="2" t="s">
        <v>15</v>
      </c>
      <c r="J6667" s="2" t="s">
        <v>21</v>
      </c>
      <c r="K6667" s="2" t="s">
        <v>10180</v>
      </c>
    </row>
    <row r="6668" ht="15.75" customHeight="1">
      <c r="A6668" s="2">
        <v>39237.0</v>
      </c>
      <c r="B6668" s="2" t="s">
        <v>3037</v>
      </c>
      <c r="C6668" s="2" t="s">
        <v>1088</v>
      </c>
      <c r="D6668" s="2" t="s">
        <v>12821</v>
      </c>
      <c r="E6668" s="2" t="s">
        <v>971</v>
      </c>
      <c r="F6668" s="2">
        <v>3.0</v>
      </c>
      <c r="G6668" s="2">
        <v>500.0</v>
      </c>
      <c r="H6668" s="3" t="str">
        <f>HYPERLINK("http://www.linkedin.com/pub/douglas-roberts/0/429/481","http://www.linkedin.com/pub/douglas-roberts/0/429/481")</f>
        <v>http://www.linkedin.com/pub/douglas-roberts/0/429/481</v>
      </c>
      <c r="I6668" s="2" t="s">
        <v>579</v>
      </c>
      <c r="J6668" s="2" t="s">
        <v>102</v>
      </c>
      <c r="K6668" s="2" t="s">
        <v>10988</v>
      </c>
    </row>
    <row r="6669" ht="15.75" customHeight="1">
      <c r="A6669" s="2">
        <v>39271.0</v>
      </c>
      <c r="B6669" s="2" t="s">
        <v>506</v>
      </c>
      <c r="C6669" s="2" t="s">
        <v>12822</v>
      </c>
      <c r="D6669" s="2" t="s">
        <v>12823</v>
      </c>
      <c r="E6669" s="2" t="s">
        <v>713</v>
      </c>
      <c r="F6669" s="2">
        <v>14.0</v>
      </c>
      <c r="G6669" s="2">
        <v>500.0</v>
      </c>
      <c r="H6669" s="3" t="str">
        <f>HYPERLINK("http://www.linkedin.com/in/joseburgos","http://www.linkedin.com/in/joseburgos")</f>
        <v>http://www.linkedin.com/in/joseburgos</v>
      </c>
      <c r="I6669" s="2" t="s">
        <v>1496</v>
      </c>
      <c r="J6669" s="2" t="s">
        <v>102</v>
      </c>
      <c r="K6669" s="2" t="s">
        <v>10187</v>
      </c>
    </row>
    <row r="6670" ht="15.75" customHeight="1">
      <c r="A6670" s="2">
        <v>39295.0</v>
      </c>
      <c r="B6670" s="2" t="s">
        <v>5808</v>
      </c>
      <c r="C6670" s="2" t="s">
        <v>2104</v>
      </c>
      <c r="D6670" s="2" t="s">
        <v>7152</v>
      </c>
      <c r="E6670" s="2" t="s">
        <v>20</v>
      </c>
      <c r="F6670" s="2">
        <v>3.0</v>
      </c>
      <c r="G6670" s="2">
        <v>393.0</v>
      </c>
      <c r="H6670" s="3" t="str">
        <f>HYPERLINK("http://ar.linkedin.com/pub/matias-burak/8/243/475","http://ar.linkedin.com/pub/matias-burak/8/243/475")</f>
        <v>http://ar.linkedin.com/pub/matias-burak/8/243/475</v>
      </c>
      <c r="I6670" s="2" t="s">
        <v>15</v>
      </c>
      <c r="J6670" s="2" t="s">
        <v>21</v>
      </c>
      <c r="K6670" s="2" t="s">
        <v>10180</v>
      </c>
    </row>
    <row r="6671" ht="15.75" customHeight="1">
      <c r="A6671" s="2">
        <v>39307.0</v>
      </c>
      <c r="B6671" s="2" t="s">
        <v>12824</v>
      </c>
      <c r="C6671" s="2" t="s">
        <v>12825</v>
      </c>
      <c r="D6671" s="2" t="s">
        <v>13</v>
      </c>
      <c r="E6671" s="2" t="s">
        <v>20</v>
      </c>
      <c r="F6671" s="2">
        <v>0.0</v>
      </c>
      <c r="G6671" s="2">
        <v>394.0</v>
      </c>
      <c r="H6671" s="3" t="str">
        <f>HYPERLINK("http://www.linkedin.com/pub/fernando-daniel-rodriguez-amor/b/233/915","http://www.linkedin.com/pub/fernando-daniel-rodriguez-amor/b/233/915")</f>
        <v>http://www.linkedin.com/pub/fernando-daniel-rodriguez-amor/b/233/915</v>
      </c>
      <c r="I6671" s="2" t="s">
        <v>1237</v>
      </c>
      <c r="J6671" s="2" t="s">
        <v>21</v>
      </c>
      <c r="K6671" s="2" t="s">
        <v>10340</v>
      </c>
    </row>
    <row r="6672" ht="15.75" customHeight="1">
      <c r="A6672" s="2">
        <v>39329.0</v>
      </c>
      <c r="B6672" s="2" t="s">
        <v>12826</v>
      </c>
      <c r="C6672" s="2" t="s">
        <v>12827</v>
      </c>
      <c r="D6672" s="2" t="s">
        <v>12828</v>
      </c>
      <c r="E6672" s="2" t="s">
        <v>20</v>
      </c>
      <c r="F6672" s="2">
        <v>5.0</v>
      </c>
      <c r="G6672" s="2">
        <v>303.0</v>
      </c>
      <c r="H6672" s="3" t="str">
        <f>HYPERLINK("http://ar.linkedin.com/in/funeselida","http://ar.linkedin.com/in/funeselida")</f>
        <v>http://ar.linkedin.com/in/funeselida</v>
      </c>
      <c r="I6672" s="2" t="s">
        <v>15</v>
      </c>
      <c r="J6672" s="2" t="s">
        <v>21</v>
      </c>
      <c r="K6672" s="2" t="s">
        <v>11032</v>
      </c>
    </row>
    <row r="6673" ht="15.75" customHeight="1">
      <c r="A6673" s="2">
        <v>39334.0</v>
      </c>
      <c r="B6673" s="2" t="s">
        <v>8966</v>
      </c>
      <c r="C6673" s="2" t="s">
        <v>12829</v>
      </c>
      <c r="D6673" s="2" t="s">
        <v>100</v>
      </c>
      <c r="E6673" s="2" t="s">
        <v>20</v>
      </c>
      <c r="F6673" s="2" t="s">
        <v>13</v>
      </c>
      <c r="G6673" s="2">
        <v>140.0</v>
      </c>
      <c r="H6673" s="3" t="str">
        <f>HYPERLINK("http://ar.linkedin.com/pub/carina-fernandez-grenno/7/497/B33","http://ar.linkedin.com/pub/carina-fernandez-grenno/7/497/B33")</f>
        <v>http://ar.linkedin.com/pub/carina-fernandez-grenno/7/497/B33</v>
      </c>
      <c r="I6673" s="2" t="s">
        <v>1931</v>
      </c>
      <c r="J6673" s="2" t="s">
        <v>21</v>
      </c>
      <c r="K6673" s="2" t="s">
        <v>10187</v>
      </c>
    </row>
    <row r="6674" ht="15.75" customHeight="1">
      <c r="A6674" s="2">
        <v>39339.0</v>
      </c>
      <c r="B6674" s="2" t="s">
        <v>5874</v>
      </c>
      <c r="C6674" s="2" t="s">
        <v>3178</v>
      </c>
      <c r="D6674" s="2" t="s">
        <v>12830</v>
      </c>
      <c r="E6674" s="2" t="s">
        <v>20</v>
      </c>
      <c r="F6674" s="2">
        <v>69.0</v>
      </c>
      <c r="G6674" s="2">
        <v>500.0</v>
      </c>
      <c r="H6674" s="3" t="str">
        <f>HYPERLINK("http://ar.linkedin.com/in/juancarloslucas","http://ar.linkedin.com/in/juancarloslucas")</f>
        <v>http://ar.linkedin.com/in/juancarloslucas</v>
      </c>
      <c r="I6674" s="2" t="s">
        <v>458</v>
      </c>
      <c r="J6674" s="2" t="s">
        <v>21</v>
      </c>
      <c r="K6674" s="2" t="s">
        <v>10482</v>
      </c>
    </row>
    <row r="6675" ht="15.75" customHeight="1">
      <c r="A6675" s="2">
        <v>39342.0</v>
      </c>
      <c r="B6675" s="2" t="s">
        <v>478</v>
      </c>
      <c r="C6675" s="2" t="s">
        <v>12831</v>
      </c>
      <c r="D6675" s="2" t="s">
        <v>12832</v>
      </c>
      <c r="E6675" s="2" t="s">
        <v>1407</v>
      </c>
      <c r="F6675" s="2">
        <v>3.0</v>
      </c>
      <c r="G6675" s="2">
        <v>490.0</v>
      </c>
      <c r="H6675" s="3" t="str">
        <f>HYPERLINK("http://www.linkedin.com/pub/karen-russo-pmp/0/647/127","http://www.linkedin.com/pub/karen-russo-pmp/0/647/127")</f>
        <v>http://www.linkedin.com/pub/karen-russo-pmp/0/647/127</v>
      </c>
      <c r="I6675" s="2" t="s">
        <v>15</v>
      </c>
      <c r="J6675" s="2" t="s">
        <v>102</v>
      </c>
      <c r="K6675" s="2" t="s">
        <v>10184</v>
      </c>
    </row>
    <row r="6676" ht="15.75" customHeight="1">
      <c r="A6676" s="2">
        <v>39346.0</v>
      </c>
      <c r="B6676" s="2" t="s">
        <v>6252</v>
      </c>
      <c r="C6676" s="2" t="s">
        <v>12833</v>
      </c>
      <c r="D6676" s="2" t="s">
        <v>13</v>
      </c>
      <c r="E6676" s="2" t="s">
        <v>20</v>
      </c>
      <c r="F6676" s="2">
        <v>0.0</v>
      </c>
      <c r="G6676" s="2">
        <v>500.0</v>
      </c>
      <c r="H6676" s="3" t="str">
        <f>HYPERLINK("http://www.linkedin.com/pub/santiago-pinto-escalier/0/154/512?trk=pub-pbmap","http://www.linkedin.com/pub/santiago-pinto-escalier/0/154/512?trk=pub-pbmap")</f>
        <v>http://www.linkedin.com/pub/santiago-pinto-escalier/0/154/512?trk=pub-pbmap</v>
      </c>
      <c r="I6676" s="2" t="s">
        <v>69</v>
      </c>
      <c r="J6676" s="2" t="s">
        <v>21</v>
      </c>
      <c r="K6676" s="2" t="s">
        <v>10268</v>
      </c>
    </row>
    <row r="6677" ht="15.75" customHeight="1">
      <c r="A6677" s="2">
        <v>39347.0</v>
      </c>
      <c r="B6677" s="2" t="s">
        <v>11586</v>
      </c>
      <c r="C6677" s="2" t="s">
        <v>12834</v>
      </c>
      <c r="D6677" s="2" t="s">
        <v>12835</v>
      </c>
      <c r="E6677" s="2" t="s">
        <v>1407</v>
      </c>
      <c r="F6677" s="2">
        <v>0.0</v>
      </c>
      <c r="G6677" s="2">
        <v>452.0</v>
      </c>
      <c r="H6677" s="3" t="str">
        <f>HYPERLINK("http://www.linkedin.com/pub/blake-goodwin/4/6AB/7B0","http://www.linkedin.com/pub/blake-goodwin/4/6AB/7B0")</f>
        <v>http://www.linkedin.com/pub/blake-goodwin/4/6AB/7B0</v>
      </c>
      <c r="I6677" s="2" t="s">
        <v>1421</v>
      </c>
      <c r="J6677" s="2" t="s">
        <v>102</v>
      </c>
      <c r="K6677" s="2" t="s">
        <v>10206</v>
      </c>
    </row>
    <row r="6678" ht="15.75" customHeight="1">
      <c r="A6678" s="2">
        <v>39354.0</v>
      </c>
      <c r="B6678" s="2" t="s">
        <v>3654</v>
      </c>
      <c r="C6678" s="2" t="s">
        <v>1347</v>
      </c>
      <c r="D6678" s="2"/>
      <c r="E6678" s="2" t="s">
        <v>2968</v>
      </c>
      <c r="F6678" s="2">
        <v>2.0</v>
      </c>
      <c r="G6678" s="2">
        <v>104.0</v>
      </c>
      <c r="H6678" s="3" t="str">
        <f>HYPERLINK("http://www.linkedin.com/pub/peggy-gardner/0/797/10","http://www.linkedin.com/pub/peggy-gardner/0/797/10")</f>
        <v>http://www.linkedin.com/pub/peggy-gardner/0/797/10</v>
      </c>
      <c r="I6678" s="2" t="s">
        <v>77</v>
      </c>
      <c r="J6678" s="2" t="s">
        <v>102</v>
      </c>
      <c r="K6678" s="2" t="s">
        <v>10209</v>
      </c>
    </row>
    <row r="6679" ht="15.75" customHeight="1">
      <c r="A6679" s="2">
        <v>39357.0</v>
      </c>
      <c r="B6679" s="2" t="s">
        <v>845</v>
      </c>
      <c r="C6679" s="2" t="s">
        <v>12836</v>
      </c>
      <c r="D6679" s="2" t="s">
        <v>47</v>
      </c>
      <c r="E6679" s="2" t="s">
        <v>1407</v>
      </c>
      <c r="F6679" s="2" t="s">
        <v>13</v>
      </c>
      <c r="G6679" s="2">
        <v>500.0</v>
      </c>
      <c r="H6679" s="3" t="str">
        <f>HYPERLINK("http://www.linkedin.com/pub/david-ostermann/0/93/609","http://www.linkedin.com/pub/david-ostermann/0/93/609")</f>
        <v>http://www.linkedin.com/pub/david-ostermann/0/93/609</v>
      </c>
      <c r="I6679" s="2" t="s">
        <v>2936</v>
      </c>
      <c r="J6679" s="2" t="s">
        <v>102</v>
      </c>
      <c r="K6679" s="2" t="s">
        <v>10799</v>
      </c>
    </row>
    <row r="6680" ht="15.75" customHeight="1">
      <c r="A6680" s="2">
        <v>39359.0</v>
      </c>
      <c r="B6680" s="2" t="s">
        <v>12837</v>
      </c>
      <c r="C6680" s="2" t="s">
        <v>12838</v>
      </c>
      <c r="D6680" s="2"/>
      <c r="E6680" s="2" t="s">
        <v>1317</v>
      </c>
      <c r="F6680" s="2">
        <v>16.0</v>
      </c>
      <c r="G6680" s="2">
        <v>500.0</v>
      </c>
      <c r="H6680" s="3" t="str">
        <f>HYPERLINK("http://www.linkedin.com/in/kairocerere","http://www.linkedin.com/in/kairocerere")</f>
        <v>http://www.linkedin.com/in/kairocerere</v>
      </c>
      <c r="I6680" s="2" t="s">
        <v>15</v>
      </c>
      <c r="J6680" s="2" t="s">
        <v>102</v>
      </c>
      <c r="K6680" s="2" t="s">
        <v>10184</v>
      </c>
    </row>
    <row r="6681" ht="15.75" customHeight="1">
      <c r="A6681" s="2">
        <v>39360.0</v>
      </c>
      <c r="B6681" s="2" t="s">
        <v>5078</v>
      </c>
      <c r="C6681" s="2" t="s">
        <v>12839</v>
      </c>
      <c r="D6681" s="2" t="s">
        <v>12840</v>
      </c>
      <c r="E6681" s="2" t="s">
        <v>20</v>
      </c>
      <c r="F6681" s="2">
        <v>12.0</v>
      </c>
      <c r="G6681" s="2">
        <v>500.0</v>
      </c>
      <c r="H6681" s="3" t="str">
        <f>HYPERLINK("http://www.linkedin.com/in/diegomontesano","http://www.linkedin.com/in/diegomontesano")</f>
        <v>http://www.linkedin.com/in/diegomontesano</v>
      </c>
      <c r="I6681" s="2" t="s">
        <v>326</v>
      </c>
      <c r="J6681" s="2" t="s">
        <v>21</v>
      </c>
      <c r="K6681" s="2" t="s">
        <v>10196</v>
      </c>
    </row>
    <row r="6682" ht="15.75" customHeight="1">
      <c r="A6682" s="2">
        <v>39364.0</v>
      </c>
      <c r="B6682" s="2" t="s">
        <v>12841</v>
      </c>
      <c r="C6682" s="2" t="s">
        <v>12842</v>
      </c>
      <c r="D6682" s="2" t="s">
        <v>12843</v>
      </c>
      <c r="E6682" s="2" t="s">
        <v>1407</v>
      </c>
      <c r="F6682" s="2">
        <v>0.0</v>
      </c>
      <c r="G6682" s="2">
        <v>331.0</v>
      </c>
      <c r="H6682" s="3" t="str">
        <f>HYPERLINK("http://www.linkedin.com/pub/mohi-murugesu/2/3A1/181","http://www.linkedin.com/pub/mohi-murugesu/2/3A1/181")</f>
        <v>http://www.linkedin.com/pub/mohi-murugesu/2/3A1/181</v>
      </c>
      <c r="I6682" s="2" t="s">
        <v>15</v>
      </c>
      <c r="J6682" s="2" t="s">
        <v>102</v>
      </c>
      <c r="K6682" s="2" t="s">
        <v>10371</v>
      </c>
    </row>
    <row r="6683" ht="15.75" customHeight="1">
      <c r="A6683" s="2">
        <v>39369.0</v>
      </c>
      <c r="B6683" s="2" t="s">
        <v>637</v>
      </c>
      <c r="C6683" s="2" t="s">
        <v>12844</v>
      </c>
      <c r="D6683" s="2" t="s">
        <v>12845</v>
      </c>
      <c r="E6683" s="2" t="s">
        <v>20</v>
      </c>
      <c r="F6683" s="2">
        <v>1.0</v>
      </c>
      <c r="G6683" s="2">
        <v>452.0</v>
      </c>
      <c r="H6683" s="3" t="str">
        <f>HYPERLINK("http://ar.linkedin.com/in/leonardoayala","http://ar.linkedin.com/in/leonardoayala")</f>
        <v>http://ar.linkedin.com/in/leonardoayala</v>
      </c>
      <c r="I6683" s="2" t="s">
        <v>105</v>
      </c>
      <c r="J6683" s="2" t="s">
        <v>21</v>
      </c>
      <c r="K6683" s="2" t="s">
        <v>10184</v>
      </c>
    </row>
    <row r="6684" ht="15.75" customHeight="1">
      <c r="A6684" s="2">
        <v>39370.0</v>
      </c>
      <c r="B6684" s="2" t="s">
        <v>845</v>
      </c>
      <c r="C6684" s="2" t="s">
        <v>12846</v>
      </c>
      <c r="D6684" s="2"/>
      <c r="E6684" s="2" t="s">
        <v>1407</v>
      </c>
      <c r="F6684" s="2">
        <v>0.0</v>
      </c>
      <c r="G6684" s="2">
        <v>500.0</v>
      </c>
      <c r="H6684" s="3" t="str">
        <f>HYPERLINK("http://www.linkedin.com/pub/david-lachance/1/137/A98","http://www.linkedin.com/pub/david-lachance/1/137/A98")</f>
        <v>http://www.linkedin.com/pub/david-lachance/1/137/A98</v>
      </c>
      <c r="I6684" s="2" t="s">
        <v>15</v>
      </c>
      <c r="J6684" s="2" t="s">
        <v>102</v>
      </c>
      <c r="K6684" s="2" t="s">
        <v>10184</v>
      </c>
    </row>
    <row r="6685" ht="15.75" customHeight="1">
      <c r="A6685" s="2">
        <v>39373.0</v>
      </c>
      <c r="B6685" s="2" t="s">
        <v>4304</v>
      </c>
      <c r="C6685" s="2" t="s">
        <v>9627</v>
      </c>
      <c r="D6685" s="2" t="s">
        <v>12847</v>
      </c>
      <c r="E6685" s="2" t="s">
        <v>20</v>
      </c>
      <c r="F6685" s="2">
        <v>8.0</v>
      </c>
      <c r="G6685" s="2">
        <v>253.0</v>
      </c>
      <c r="H6685" s="3" t="str">
        <f>HYPERLINK("http://ar.linkedin.com/in/leandroamato","http://ar.linkedin.com/in/leandroamato")</f>
        <v>http://ar.linkedin.com/in/leandroamato</v>
      </c>
      <c r="I6685" s="2" t="s">
        <v>69</v>
      </c>
      <c r="J6685" s="2" t="s">
        <v>21</v>
      </c>
      <c r="K6685" s="2" t="s">
        <v>10196</v>
      </c>
    </row>
    <row r="6686" ht="15.75" customHeight="1">
      <c r="A6686" s="2">
        <v>39376.0</v>
      </c>
      <c r="B6686" s="2" t="s">
        <v>12848</v>
      </c>
      <c r="C6686" s="2" t="s">
        <v>12849</v>
      </c>
      <c r="D6686" s="2" t="s">
        <v>12850</v>
      </c>
      <c r="E6686" s="2" t="s">
        <v>1407</v>
      </c>
      <c r="F6686" s="2">
        <v>10.0</v>
      </c>
      <c r="G6686" s="2">
        <v>406.0</v>
      </c>
      <c r="H6686" s="3" t="str">
        <f>HYPERLINK("http://www.linkedin.com/in/azamone","http://www.linkedin.com/in/azamone")</f>
        <v>http://www.linkedin.com/in/azamone</v>
      </c>
      <c r="I6686" s="2" t="s">
        <v>15</v>
      </c>
      <c r="J6686" s="2" t="s">
        <v>102</v>
      </c>
      <c r="K6686" s="2" t="s">
        <v>10233</v>
      </c>
    </row>
    <row r="6687" ht="15.75" customHeight="1">
      <c r="A6687" s="2">
        <v>39416.0</v>
      </c>
      <c r="B6687" s="2" t="s">
        <v>3223</v>
      </c>
      <c r="C6687" s="2" t="s">
        <v>12851</v>
      </c>
      <c r="D6687" s="2" t="s">
        <v>13</v>
      </c>
      <c r="E6687" s="2" t="s">
        <v>20</v>
      </c>
      <c r="F6687" s="2">
        <v>1.0</v>
      </c>
      <c r="G6687" s="2">
        <v>500.0</v>
      </c>
      <c r="H6687" s="3" t="str">
        <f>HYPERLINK("http://www.linkedin.com/pub/laura-viscardis/5/931/284","http://www.linkedin.com/pub/laura-viscardis/5/931/284")</f>
        <v>http://www.linkedin.com/pub/laura-viscardis/5/931/284</v>
      </c>
      <c r="I6687" s="2" t="s">
        <v>458</v>
      </c>
      <c r="J6687" s="2" t="s">
        <v>21</v>
      </c>
      <c r="K6687" s="2" t="s">
        <v>10229</v>
      </c>
    </row>
    <row r="6688" ht="15.75" customHeight="1">
      <c r="A6688" s="2">
        <v>39417.0</v>
      </c>
      <c r="B6688" s="2" t="s">
        <v>12852</v>
      </c>
      <c r="C6688" s="2" t="s">
        <v>12853</v>
      </c>
      <c r="D6688" s="2" t="s">
        <v>118</v>
      </c>
      <c r="E6688" s="2" t="s">
        <v>20</v>
      </c>
      <c r="F6688" s="2">
        <v>3.0</v>
      </c>
      <c r="G6688" s="2">
        <v>500.0</v>
      </c>
      <c r="H6688" s="3" t="str">
        <f>HYPERLINK("http://www.linkedin.com/in/joaquintrelleira","http://www.linkedin.com/in/joaquintrelleira")</f>
        <v>http://www.linkedin.com/in/joaquintrelleira</v>
      </c>
      <c r="I6688" s="2" t="s">
        <v>69</v>
      </c>
      <c r="J6688" s="2" t="s">
        <v>21</v>
      </c>
      <c r="K6688" s="2" t="s">
        <v>10209</v>
      </c>
    </row>
    <row r="6689" ht="15.75" customHeight="1">
      <c r="A6689" s="2">
        <v>39420.0</v>
      </c>
      <c r="B6689" s="2" t="s">
        <v>6093</v>
      </c>
      <c r="C6689" s="2" t="s">
        <v>12854</v>
      </c>
      <c r="D6689" s="2" t="s">
        <v>12855</v>
      </c>
      <c r="E6689" s="2" t="s">
        <v>20</v>
      </c>
      <c r="F6689" s="2" t="s">
        <v>13</v>
      </c>
      <c r="G6689" s="2">
        <v>384.0</v>
      </c>
      <c r="H6689" s="3" t="str">
        <f>HYPERLINK("http://ar.linkedin.com/in/nicolasmarjovsky","http://ar.linkedin.com/in/nicolasmarjovsky")</f>
        <v>http://ar.linkedin.com/in/nicolasmarjovsky</v>
      </c>
      <c r="I6689" s="2" t="s">
        <v>105</v>
      </c>
      <c r="J6689" s="2" t="s">
        <v>21</v>
      </c>
      <c r="K6689" s="2" t="s">
        <v>10229</v>
      </c>
    </row>
    <row r="6690" ht="15.75" customHeight="1">
      <c r="A6690" s="2">
        <v>39428.0</v>
      </c>
      <c r="B6690" s="2" t="s">
        <v>12856</v>
      </c>
      <c r="C6690" s="2" t="s">
        <v>10493</v>
      </c>
      <c r="D6690" s="2" t="s">
        <v>12857</v>
      </c>
      <c r="E6690" s="2" t="s">
        <v>136</v>
      </c>
      <c r="F6690" s="2">
        <v>4.0</v>
      </c>
      <c r="G6690" s="2">
        <v>500.0</v>
      </c>
      <c r="H6690" s="3" t="str">
        <f>HYPERLINK("http://www.linkedin.com/pub/mona-lee-tseng/5/707/124","http://www.linkedin.com/pub/mona-lee-tseng/5/707/124")</f>
        <v>http://www.linkedin.com/pub/mona-lee-tseng/5/707/124</v>
      </c>
      <c r="I6690" s="2" t="s">
        <v>69</v>
      </c>
      <c r="J6690" s="2" t="s">
        <v>102</v>
      </c>
      <c r="K6690" s="2" t="s">
        <v>10245</v>
      </c>
    </row>
    <row r="6691" ht="15.75" customHeight="1">
      <c r="A6691" s="2">
        <v>39439.0</v>
      </c>
      <c r="B6691" s="2" t="s">
        <v>721</v>
      </c>
      <c r="C6691" s="2" t="s">
        <v>12858</v>
      </c>
      <c r="D6691" s="2" t="s">
        <v>12859</v>
      </c>
      <c r="E6691" s="2" t="s">
        <v>882</v>
      </c>
      <c r="F6691" s="2">
        <v>1.0</v>
      </c>
      <c r="G6691" s="2">
        <v>500.0</v>
      </c>
      <c r="H6691" s="3" t="str">
        <f>HYPERLINK("http://www.linkedin.com/in/andrewmclaughlin","http://www.linkedin.com/in/andrewmclaughlin")</f>
        <v>http://www.linkedin.com/in/andrewmclaughlin</v>
      </c>
      <c r="I6691" s="2" t="s">
        <v>69</v>
      </c>
      <c r="J6691" s="2" t="s">
        <v>102</v>
      </c>
      <c r="K6691" s="2" t="s">
        <v>10343</v>
      </c>
    </row>
    <row r="6692" ht="15.75" customHeight="1">
      <c r="A6692" s="2">
        <v>39442.0</v>
      </c>
      <c r="B6692" s="2" t="s">
        <v>7365</v>
      </c>
      <c r="C6692" s="2" t="s">
        <v>2715</v>
      </c>
      <c r="D6692" s="2" t="s">
        <v>12860</v>
      </c>
      <c r="E6692" s="2" t="s">
        <v>136</v>
      </c>
      <c r="F6692" s="2">
        <v>5.0</v>
      </c>
      <c r="G6692" s="2">
        <v>500.0</v>
      </c>
      <c r="H6692" s="3" t="str">
        <f>HYPERLINK("http://www.linkedin.com/in/gemmaq","http://www.linkedin.com/in/gemmaq")</f>
        <v>http://www.linkedin.com/in/gemmaq</v>
      </c>
      <c r="I6692" s="2" t="s">
        <v>69</v>
      </c>
      <c r="J6692" s="2" t="s">
        <v>102</v>
      </c>
      <c r="K6692" s="2" t="s">
        <v>10286</v>
      </c>
    </row>
    <row r="6693" ht="15.75" customHeight="1">
      <c r="A6693" s="2">
        <v>39444.0</v>
      </c>
      <c r="B6693" s="2" t="s">
        <v>3695</v>
      </c>
      <c r="C6693" s="2" t="s">
        <v>12861</v>
      </c>
      <c r="D6693" s="2"/>
      <c r="E6693" s="2" t="s">
        <v>235</v>
      </c>
      <c r="F6693" s="2">
        <v>0.0</v>
      </c>
      <c r="G6693" s="2">
        <v>464.0</v>
      </c>
      <c r="H6693" s="3" t="str">
        <f>HYPERLINK("http://www.linkedin.com/pub/andre-adriaan-oberholzer/1/ABB/B31","http://www.linkedin.com/pub/andre-adriaan-oberholzer/1/ABB/B31")</f>
        <v>http://www.linkedin.com/pub/andre-adriaan-oberholzer/1/ABB/B31</v>
      </c>
      <c r="I6693" s="2" t="s">
        <v>15</v>
      </c>
      <c r="J6693" s="2" t="s">
        <v>102</v>
      </c>
      <c r="K6693" s="2" t="s">
        <v>10184</v>
      </c>
    </row>
    <row r="6694" ht="15.75" customHeight="1">
      <c r="A6694" s="2">
        <v>39458.0</v>
      </c>
      <c r="B6694" s="2" t="s">
        <v>10719</v>
      </c>
      <c r="C6694" s="2" t="s">
        <v>12862</v>
      </c>
      <c r="D6694" s="2" t="s">
        <v>13</v>
      </c>
      <c r="E6694" s="2" t="s">
        <v>136</v>
      </c>
      <c r="F6694" s="2">
        <v>0.0</v>
      </c>
      <c r="G6694" s="2">
        <v>187.0</v>
      </c>
      <c r="H6694" s="3" t="str">
        <f>HYPERLINK("http://www.linkedin.com/pub/stacy-savides-sullivan/0/528/408","http://www.linkedin.com/pub/stacy-savides-sullivan/0/528/408")</f>
        <v>http://www.linkedin.com/pub/stacy-savides-sullivan/0/528/408</v>
      </c>
      <c r="I6694" s="2" t="s">
        <v>48</v>
      </c>
      <c r="J6694" s="2" t="s">
        <v>102</v>
      </c>
      <c r="K6694" s="2" t="s">
        <v>10184</v>
      </c>
    </row>
    <row r="6695" ht="15.75" customHeight="1">
      <c r="A6695" s="2">
        <v>39460.0</v>
      </c>
      <c r="B6695" s="2" t="s">
        <v>12863</v>
      </c>
      <c r="C6695" s="2" t="s">
        <v>12864</v>
      </c>
      <c r="D6695" s="2" t="s">
        <v>12865</v>
      </c>
      <c r="E6695" s="2" t="s">
        <v>136</v>
      </c>
      <c r="F6695" s="2">
        <v>0.0</v>
      </c>
      <c r="G6695" s="2">
        <v>500.0</v>
      </c>
      <c r="H6695" s="3" t="str">
        <f>HYPERLINK("http://www.linkedin.com/pub/prasad-setty/0/4B5/67A","http://www.linkedin.com/pub/prasad-setty/0/4B5/67A")</f>
        <v>http://www.linkedin.com/pub/prasad-setty/0/4B5/67A</v>
      </c>
      <c r="I6695" s="2" t="s">
        <v>15</v>
      </c>
      <c r="J6695" s="2" t="s">
        <v>102</v>
      </c>
      <c r="K6695" s="2" t="s">
        <v>10184</v>
      </c>
    </row>
    <row r="6696" ht="15.75" customHeight="1">
      <c r="A6696" s="2">
        <v>39461.0</v>
      </c>
      <c r="B6696" s="2" t="s">
        <v>3409</v>
      </c>
      <c r="C6696" s="2" t="s">
        <v>2006</v>
      </c>
      <c r="D6696" s="2"/>
      <c r="E6696" s="2" t="s">
        <v>136</v>
      </c>
      <c r="F6696" s="2">
        <v>0.0</v>
      </c>
      <c r="G6696" s="2">
        <v>500.0</v>
      </c>
      <c r="H6696" s="3" t="str">
        <f>HYPERLINK("http://www.linkedin.com/pub/judy-gilbert/0/282/60B","http://www.linkedin.com/pub/judy-gilbert/0/282/60B")</f>
        <v>http://www.linkedin.com/pub/judy-gilbert/0/282/60B</v>
      </c>
      <c r="I6696" s="2" t="s">
        <v>15</v>
      </c>
      <c r="J6696" s="2" t="s">
        <v>102</v>
      </c>
      <c r="K6696" s="2" t="s">
        <v>10184</v>
      </c>
    </row>
    <row r="6697" ht="15.75" customHeight="1">
      <c r="A6697" s="2">
        <v>39462.0</v>
      </c>
      <c r="B6697" s="2" t="s">
        <v>1007</v>
      </c>
      <c r="C6697" s="2" t="s">
        <v>12866</v>
      </c>
      <c r="D6697" s="2" t="s">
        <v>12867</v>
      </c>
      <c r="E6697" s="2" t="s">
        <v>181</v>
      </c>
      <c r="F6697" s="2">
        <v>0.0</v>
      </c>
      <c r="G6697" s="2">
        <v>500.0</v>
      </c>
      <c r="H6697" s="3" t="str">
        <f>HYPERLINK("http://www.linkedin.com/pub/karin-magnuson/0/1B/9AA","http://www.linkedin.com/pub/karin-magnuson/0/1B/9AA")</f>
        <v>http://www.linkedin.com/pub/karin-magnuson/0/1B/9AA</v>
      </c>
      <c r="I6697" s="2" t="s">
        <v>69</v>
      </c>
      <c r="J6697" s="2" t="s">
        <v>102</v>
      </c>
      <c r="K6697" s="2" t="s">
        <v>10184</v>
      </c>
    </row>
    <row r="6698" ht="15.75" customHeight="1">
      <c r="A6698" s="2">
        <v>39465.0</v>
      </c>
      <c r="B6698" s="2" t="s">
        <v>1027</v>
      </c>
      <c r="C6698" s="2" t="s">
        <v>12868</v>
      </c>
      <c r="D6698" s="2" t="s">
        <v>12869</v>
      </c>
      <c r="E6698" s="2" t="s">
        <v>1190</v>
      </c>
      <c r="F6698" s="2">
        <v>1.0</v>
      </c>
      <c r="G6698" s="2">
        <v>131.0</v>
      </c>
      <c r="H6698" s="3" t="str">
        <f>HYPERLINK("http://www.linkedin.com/pub/george-perera/7/429/40B","http://www.linkedin.com/pub/george-perera/7/429/40B")</f>
        <v>http://www.linkedin.com/pub/george-perera/7/429/40B</v>
      </c>
      <c r="I6698" s="2" t="s">
        <v>910</v>
      </c>
      <c r="J6698" s="2" t="s">
        <v>102</v>
      </c>
      <c r="K6698" s="2" t="s">
        <v>10187</v>
      </c>
    </row>
    <row r="6699" ht="15.75" customHeight="1">
      <c r="A6699" s="2">
        <v>39472.0</v>
      </c>
      <c r="B6699" s="2" t="s">
        <v>12870</v>
      </c>
      <c r="C6699" s="2" t="s">
        <v>11837</v>
      </c>
      <c r="D6699" s="2" t="s">
        <v>13</v>
      </c>
      <c r="E6699" s="2" t="s">
        <v>20</v>
      </c>
      <c r="F6699" s="2">
        <v>3.0</v>
      </c>
      <c r="G6699" s="2">
        <v>418.0</v>
      </c>
      <c r="H6699" s="3" t="str">
        <f>HYPERLINK("http://www.linkedin.com/pub/carlos-jos%C3%A9-f-padilla/1a/455/268","http://www.linkedin.com/pub/carlos-jos%C3%A9-f-padilla/1a/455/268")</f>
        <v>http://www.linkedin.com/pub/carlos-jos%C3%A9-f-padilla/1a/455/268</v>
      </c>
      <c r="I6699" s="2" t="s">
        <v>15</v>
      </c>
      <c r="J6699" s="2" t="s">
        <v>21</v>
      </c>
      <c r="K6699" s="2" t="s">
        <v>10187</v>
      </c>
    </row>
    <row r="6700" ht="15.75" customHeight="1">
      <c r="A6700" s="2">
        <v>39500.0</v>
      </c>
      <c r="B6700" s="2" t="s">
        <v>3244</v>
      </c>
      <c r="C6700" s="2" t="s">
        <v>12871</v>
      </c>
      <c r="D6700" s="2"/>
      <c r="E6700" s="2" t="s">
        <v>235</v>
      </c>
      <c r="F6700" s="2">
        <v>3.0</v>
      </c>
      <c r="G6700" s="2">
        <v>81.0</v>
      </c>
      <c r="H6700" s="3" t="str">
        <f>HYPERLINK("http://www.linkedin.com/pub/wendy-kaczmar/1/52B/1A4","http://www.linkedin.com/pub/wendy-kaczmar/1/52B/1A4")</f>
        <v>http://www.linkedin.com/pub/wendy-kaczmar/1/52B/1A4</v>
      </c>
      <c r="I6700" s="2" t="s">
        <v>77</v>
      </c>
      <c r="J6700" s="2" t="s">
        <v>102</v>
      </c>
      <c r="K6700" s="2" t="s">
        <v>10209</v>
      </c>
    </row>
    <row r="6701" ht="15.75" customHeight="1">
      <c r="A6701" s="2">
        <v>39519.0</v>
      </c>
      <c r="B6701" s="2" t="s">
        <v>152</v>
      </c>
      <c r="C6701" s="2" t="s">
        <v>12872</v>
      </c>
      <c r="D6701" s="2" t="s">
        <v>347</v>
      </c>
      <c r="E6701" s="2" t="s">
        <v>20</v>
      </c>
      <c r="F6701" s="2">
        <v>2.0</v>
      </c>
      <c r="G6701" s="2">
        <v>177.0</v>
      </c>
      <c r="H6701" s="3" t="str">
        <f>HYPERLINK("http://ar.linkedin.com/pub/eduardo-cormons/2/293/94A","http://ar.linkedin.com/pub/eduardo-cormons/2/293/94A")</f>
        <v>http://ar.linkedin.com/pub/eduardo-cormons/2/293/94A</v>
      </c>
      <c r="I6701" s="2" t="s">
        <v>15</v>
      </c>
      <c r="J6701" s="2" t="s">
        <v>21</v>
      </c>
      <c r="K6701" s="2" t="s">
        <v>10178</v>
      </c>
    </row>
    <row r="6702" ht="15.75" customHeight="1">
      <c r="A6702" s="2">
        <v>39545.0</v>
      </c>
      <c r="B6702" s="2" t="s">
        <v>5791</v>
      </c>
      <c r="C6702" s="2" t="s">
        <v>3869</v>
      </c>
      <c r="D6702" s="2" t="s">
        <v>13</v>
      </c>
      <c r="E6702" s="2" t="s">
        <v>20</v>
      </c>
      <c r="F6702" s="2">
        <v>0.0</v>
      </c>
      <c r="G6702" s="2">
        <v>500.0</v>
      </c>
      <c r="H6702" s="3" t="str">
        <f>HYPERLINK("https://www.linkedin.com/in/matiaswilliams","https://www.linkedin.com/in/matiaswilliams")</f>
        <v>https://www.linkedin.com/in/matiaswilliams</v>
      </c>
      <c r="I6702" s="2" t="s">
        <v>48</v>
      </c>
      <c r="J6702" s="2" t="s">
        <v>21</v>
      </c>
      <c r="K6702" s="2" t="s">
        <v>10224</v>
      </c>
    </row>
    <row r="6703" ht="15.75" customHeight="1">
      <c r="A6703" s="2">
        <v>39582.0</v>
      </c>
      <c r="B6703" s="2" t="s">
        <v>3305</v>
      </c>
      <c r="C6703" s="2" t="s">
        <v>9953</v>
      </c>
      <c r="D6703" s="2" t="s">
        <v>347</v>
      </c>
      <c r="E6703" s="2" t="s">
        <v>20</v>
      </c>
      <c r="F6703" s="2">
        <v>3.0</v>
      </c>
      <c r="G6703" s="2">
        <v>298.0</v>
      </c>
      <c r="H6703" s="3" t="str">
        <f>HYPERLINK("http://ar.linkedin.com/pub/ana-hidalgo/5/205/167","http://ar.linkedin.com/pub/ana-hidalgo/5/205/167")</f>
        <v>http://ar.linkedin.com/pub/ana-hidalgo/5/205/167</v>
      </c>
      <c r="I6703" s="2" t="s">
        <v>48</v>
      </c>
      <c r="J6703" s="2" t="s">
        <v>21</v>
      </c>
      <c r="K6703" s="2" t="s">
        <v>10178</v>
      </c>
    </row>
    <row r="6704" ht="15.75" customHeight="1">
      <c r="A6704" s="2">
        <v>39588.0</v>
      </c>
      <c r="B6704" s="2" t="s">
        <v>45</v>
      </c>
      <c r="C6704" s="2" t="s">
        <v>12873</v>
      </c>
      <c r="D6704" s="2" t="s">
        <v>12874</v>
      </c>
      <c r="E6704" s="2" t="s">
        <v>20</v>
      </c>
      <c r="F6704" s="2">
        <v>18.0</v>
      </c>
      <c r="G6704" s="2">
        <v>500.0</v>
      </c>
      <c r="H6704" s="3" t="str">
        <f>HYPERLINK("http://www.linkedin.com/in/carlosfsalguero","http://www.linkedin.com/in/carlosfsalguero")</f>
        <v>http://www.linkedin.com/in/carlosfsalguero</v>
      </c>
      <c r="I6704" s="2" t="s">
        <v>15</v>
      </c>
      <c r="J6704" s="2" t="s">
        <v>21</v>
      </c>
      <c r="K6704" s="2" t="s">
        <v>10196</v>
      </c>
    </row>
    <row r="6705" ht="15.75" customHeight="1">
      <c r="A6705" s="2">
        <v>39595.0</v>
      </c>
      <c r="B6705" s="2" t="s">
        <v>6323</v>
      </c>
      <c r="C6705" s="2" t="s">
        <v>12875</v>
      </c>
      <c r="D6705" s="2" t="s">
        <v>12876</v>
      </c>
      <c r="E6705" s="2" t="s">
        <v>136</v>
      </c>
      <c r="F6705" s="2">
        <v>20.0</v>
      </c>
      <c r="G6705" s="2">
        <v>285.0</v>
      </c>
      <c r="H6705" s="3" t="str">
        <f>HYPERLINK("http://www.linkedin.com/pub/joan-rieke/1A/946/3B1","http://www.linkedin.com/pub/joan-rieke/1A/946/3B1")</f>
        <v>http://www.linkedin.com/pub/joan-rieke/1A/946/3B1</v>
      </c>
      <c r="I6705" s="2" t="s">
        <v>910</v>
      </c>
      <c r="J6705" s="2" t="s">
        <v>102</v>
      </c>
      <c r="K6705" s="2" t="s">
        <v>10209</v>
      </c>
    </row>
    <row r="6706" ht="15.75" customHeight="1">
      <c r="A6706" s="2">
        <v>39597.0</v>
      </c>
      <c r="B6706" s="2" t="s">
        <v>70</v>
      </c>
      <c r="C6706" s="2" t="s">
        <v>12877</v>
      </c>
      <c r="D6706" s="2" t="s">
        <v>12878</v>
      </c>
      <c r="E6706" s="2" t="s">
        <v>20</v>
      </c>
      <c r="F6706" s="2" t="s">
        <v>13</v>
      </c>
      <c r="G6706" s="2">
        <v>500.0</v>
      </c>
      <c r="H6706" s="3" t="str">
        <f>HYPERLINK("http://ar.linkedin.com/in/gustavosmidt","http://ar.linkedin.com/in/gustavosmidt")</f>
        <v>http://ar.linkedin.com/in/gustavosmidt</v>
      </c>
      <c r="I6706" s="2" t="s">
        <v>69</v>
      </c>
      <c r="J6706" s="2" t="s">
        <v>21</v>
      </c>
      <c r="K6706" s="2" t="s">
        <v>10173</v>
      </c>
    </row>
    <row r="6707" ht="15.75" customHeight="1">
      <c r="A6707" s="2">
        <v>39632.0</v>
      </c>
      <c r="B6707" s="2" t="s">
        <v>1167</v>
      </c>
      <c r="C6707" s="2" t="s">
        <v>12879</v>
      </c>
      <c r="D6707" s="2" t="s">
        <v>13</v>
      </c>
      <c r="E6707" s="2" t="s">
        <v>136</v>
      </c>
      <c r="F6707" s="2">
        <v>0.0</v>
      </c>
      <c r="G6707" s="2">
        <v>500.0</v>
      </c>
      <c r="H6707" s="3" t="str">
        <f>HYPERLINK("http://www.linkedin.com/pub/ben-nagrani-saama-is-hiring/0/a/628","http://www.linkedin.com/pub/ben-nagrani-saama-is-hiring/0/a/628")</f>
        <v>http://www.linkedin.com/pub/ben-nagrani-saama-is-hiring/0/a/628</v>
      </c>
      <c r="I6707" s="2" t="s">
        <v>160</v>
      </c>
      <c r="J6707" s="2" t="s">
        <v>102</v>
      </c>
      <c r="K6707" s="2" t="s">
        <v>10206</v>
      </c>
    </row>
    <row r="6708" ht="15.75" customHeight="1">
      <c r="A6708" s="2">
        <v>39639.0</v>
      </c>
      <c r="B6708" s="2" t="s">
        <v>12880</v>
      </c>
      <c r="C6708" s="2" t="s">
        <v>6534</v>
      </c>
      <c r="D6708" s="2" t="s">
        <v>12881</v>
      </c>
      <c r="E6708" s="2" t="s">
        <v>136</v>
      </c>
      <c r="F6708" s="2">
        <v>6.0</v>
      </c>
      <c r="G6708" s="2">
        <v>500.0</v>
      </c>
      <c r="H6708" s="3" t="str">
        <f>HYPERLINK("http://www.linkedin.com/pub/britta-richards/3/B63/913","http://www.linkedin.com/pub/britta-richards/3/B63/913")</f>
        <v>http://www.linkedin.com/pub/britta-richards/3/B63/913</v>
      </c>
      <c r="I6708" s="2" t="s">
        <v>15</v>
      </c>
      <c r="J6708" s="2" t="s">
        <v>102</v>
      </c>
      <c r="K6708" s="2" t="s">
        <v>10233</v>
      </c>
    </row>
    <row r="6709" ht="15.75" customHeight="1">
      <c r="A6709" s="2">
        <v>39657.0</v>
      </c>
      <c r="B6709" s="2" t="s">
        <v>1076</v>
      </c>
      <c r="C6709" s="2" t="s">
        <v>12597</v>
      </c>
      <c r="D6709" s="2" t="s">
        <v>12882</v>
      </c>
      <c r="E6709" s="2" t="s">
        <v>136</v>
      </c>
      <c r="F6709" s="2">
        <v>0.0</v>
      </c>
      <c r="G6709" s="2">
        <v>352.0</v>
      </c>
      <c r="H6709" s="3" t="str">
        <f>HYPERLINK("http://www.linkedin.com/pub/jennifer-yu/1/A6/831","http://www.linkedin.com/pub/jennifer-yu/1/A6/831")</f>
        <v>http://www.linkedin.com/pub/jennifer-yu/1/A6/831</v>
      </c>
      <c r="I6709" s="2" t="s">
        <v>48</v>
      </c>
      <c r="J6709" s="2" t="s">
        <v>102</v>
      </c>
      <c r="K6709" s="2" t="s">
        <v>10184</v>
      </c>
    </row>
    <row r="6710" ht="15.75" customHeight="1">
      <c r="A6710" s="2">
        <v>39663.0</v>
      </c>
      <c r="B6710" s="2" t="s">
        <v>1653</v>
      </c>
      <c r="C6710" s="2" t="s">
        <v>12883</v>
      </c>
      <c r="D6710" s="2" t="s">
        <v>12884</v>
      </c>
      <c r="E6710" s="2" t="s">
        <v>136</v>
      </c>
      <c r="F6710" s="2">
        <v>5.0</v>
      </c>
      <c r="G6710" s="2">
        <v>106.0</v>
      </c>
      <c r="H6710" s="3" t="str">
        <f>HYPERLINK("http://www.linkedin.com/pub/doug-mccasland/2/8B7/A99","http://www.linkedin.com/pub/doug-mccasland/2/8B7/A99")</f>
        <v>http://www.linkedin.com/pub/doug-mccasland/2/8B7/A99</v>
      </c>
      <c r="I6710" s="2" t="s">
        <v>15</v>
      </c>
      <c r="J6710" s="2" t="s">
        <v>102</v>
      </c>
      <c r="K6710" s="2" t="s">
        <v>10233</v>
      </c>
    </row>
    <row r="6711" ht="15.75" customHeight="1">
      <c r="A6711" s="2">
        <v>39674.0</v>
      </c>
      <c r="B6711" s="2" t="s">
        <v>1475</v>
      </c>
      <c r="C6711" s="2" t="s">
        <v>12885</v>
      </c>
      <c r="D6711" s="2" t="s">
        <v>12886</v>
      </c>
      <c r="E6711" s="2" t="s">
        <v>136</v>
      </c>
      <c r="F6711" s="2">
        <v>6.0</v>
      </c>
      <c r="G6711" s="2">
        <v>500.0</v>
      </c>
      <c r="H6711" s="3" t="str">
        <f>HYPERLINK("http://www.linkedin.com/in/lisagreenawalt","http://www.linkedin.com/in/lisagreenawalt")</f>
        <v>http://www.linkedin.com/in/lisagreenawalt</v>
      </c>
      <c r="I6711" s="2" t="s">
        <v>48</v>
      </c>
      <c r="J6711" s="2" t="s">
        <v>102</v>
      </c>
      <c r="K6711" s="2" t="s">
        <v>10286</v>
      </c>
    </row>
    <row r="6712" ht="15.75" customHeight="1">
      <c r="A6712" s="2">
        <v>39679.0</v>
      </c>
      <c r="B6712" s="2" t="s">
        <v>9302</v>
      </c>
      <c r="C6712" s="2" t="s">
        <v>12887</v>
      </c>
      <c r="D6712" s="2" t="s">
        <v>6098</v>
      </c>
      <c r="E6712" s="2" t="s">
        <v>20</v>
      </c>
      <c r="F6712" s="2">
        <v>3.0</v>
      </c>
      <c r="G6712" s="2">
        <v>471.0</v>
      </c>
      <c r="H6712" s="3" t="str">
        <f>HYPERLINK("http://ar.linkedin.com/in/asoliverez","http://ar.linkedin.com/in/asoliverez")</f>
        <v>http://ar.linkedin.com/in/asoliverez</v>
      </c>
      <c r="I6712" s="2" t="s">
        <v>48</v>
      </c>
      <c r="J6712" s="2" t="s">
        <v>21</v>
      </c>
      <c r="K6712" s="2" t="s">
        <v>10196</v>
      </c>
    </row>
    <row r="6713" ht="15.75" customHeight="1">
      <c r="A6713" s="2">
        <v>39686.0</v>
      </c>
      <c r="B6713" s="2" t="s">
        <v>471</v>
      </c>
      <c r="C6713" s="2" t="s">
        <v>12888</v>
      </c>
      <c r="D6713" s="2" t="s">
        <v>498</v>
      </c>
      <c r="E6713" s="2" t="s">
        <v>136</v>
      </c>
      <c r="F6713" s="2">
        <v>6.0</v>
      </c>
      <c r="G6713" s="2">
        <v>493.0</v>
      </c>
      <c r="H6713" s="3" t="str">
        <f>HYPERLINK("http://www.linkedin.com/pub/dan-miller-dan-mindsource-com-/0/659/2B1","http://www.linkedin.com/pub/dan-miller-dan-mindsource-com-/0/659/2B1")</f>
        <v>http://www.linkedin.com/pub/dan-miller-dan-mindsource-com-/0/659/2B1</v>
      </c>
      <c r="I6713" s="2" t="s">
        <v>15</v>
      </c>
      <c r="J6713" s="2" t="s">
        <v>102</v>
      </c>
      <c r="K6713" s="2" t="s">
        <v>10286</v>
      </c>
    </row>
    <row r="6714" ht="15.75" customHeight="1">
      <c r="A6714" s="2">
        <v>39691.0</v>
      </c>
      <c r="B6714" s="2" t="s">
        <v>511</v>
      </c>
      <c r="C6714" s="2" t="s">
        <v>12889</v>
      </c>
      <c r="D6714" s="2" t="s">
        <v>12890</v>
      </c>
      <c r="E6714" s="2" t="s">
        <v>136</v>
      </c>
      <c r="F6714" s="2">
        <v>22.0</v>
      </c>
      <c r="G6714" s="2">
        <v>500.0</v>
      </c>
      <c r="H6714" s="3" t="str">
        <f>HYPERLINK("http://www.linkedin.com/in/mmanoske","http://www.linkedin.com/in/mmanoske")</f>
        <v>http://www.linkedin.com/in/mmanoske</v>
      </c>
      <c r="I6714" s="2" t="s">
        <v>69</v>
      </c>
      <c r="J6714" s="2" t="s">
        <v>102</v>
      </c>
      <c r="K6714" s="2" t="s">
        <v>10286</v>
      </c>
    </row>
    <row r="6715" ht="15.75" customHeight="1">
      <c r="A6715" s="2">
        <v>39693.0</v>
      </c>
      <c r="B6715" s="2" t="s">
        <v>862</v>
      </c>
      <c r="C6715" s="2" t="s">
        <v>8218</v>
      </c>
      <c r="D6715" s="2" t="s">
        <v>42</v>
      </c>
      <c r="E6715" s="2" t="s">
        <v>136</v>
      </c>
      <c r="F6715" s="2">
        <v>2.0</v>
      </c>
      <c r="G6715" s="2">
        <v>500.0</v>
      </c>
      <c r="H6715" s="3" t="str">
        <f>HYPERLINK("http://www.linkedin.com/in/gabrielmeza","http://www.linkedin.com/in/gabrielmeza")</f>
        <v>http://www.linkedin.com/in/gabrielmeza</v>
      </c>
      <c r="I6715" s="2" t="s">
        <v>15</v>
      </c>
      <c r="J6715" s="2" t="s">
        <v>102</v>
      </c>
      <c r="K6715" s="2" t="s">
        <v>10233</v>
      </c>
    </row>
    <row r="6716" ht="15.75" customHeight="1">
      <c r="A6716" s="2">
        <v>39708.0</v>
      </c>
      <c r="B6716" s="2" t="s">
        <v>12891</v>
      </c>
      <c r="C6716" s="2" t="s">
        <v>2741</v>
      </c>
      <c r="D6716" s="2"/>
      <c r="E6716" s="2" t="s">
        <v>136</v>
      </c>
      <c r="F6716" s="2">
        <v>0.0</v>
      </c>
      <c r="G6716" s="2">
        <v>2.0</v>
      </c>
      <c r="H6716" s="3" t="str">
        <f>HYPERLINK("http://www.linkedin.com/pub/nirada-vijay/1/357/411","http://www.linkedin.com/pub/nirada-vijay/1/357/411")</f>
        <v>http://www.linkedin.com/pub/nirada-vijay/1/357/411</v>
      </c>
      <c r="I6716" s="2" t="s">
        <v>15</v>
      </c>
      <c r="J6716" s="2" t="s">
        <v>102</v>
      </c>
      <c r="K6716" s="2" t="s">
        <v>10187</v>
      </c>
    </row>
    <row r="6717" ht="15.75" customHeight="1">
      <c r="A6717" s="2">
        <v>39711.0</v>
      </c>
      <c r="B6717" s="2" t="s">
        <v>1032</v>
      </c>
      <c r="C6717" s="2" t="s">
        <v>12892</v>
      </c>
      <c r="D6717" s="2" t="s">
        <v>12893</v>
      </c>
      <c r="E6717" s="2" t="s">
        <v>136</v>
      </c>
      <c r="F6717" s="2">
        <v>20.0</v>
      </c>
      <c r="G6717" s="2">
        <v>500.0</v>
      </c>
      <c r="H6717" s="3" t="str">
        <f>HYPERLINK("http://www.linkedin.com/in/ravipindiproli","http://www.linkedin.com/in/ravipindiproli")</f>
        <v>http://www.linkedin.com/in/ravipindiproli</v>
      </c>
      <c r="I6717" s="2" t="s">
        <v>709</v>
      </c>
      <c r="J6717" s="2" t="s">
        <v>102</v>
      </c>
      <c r="K6717" s="2" t="s">
        <v>10206</v>
      </c>
    </row>
    <row r="6718" ht="15.75" customHeight="1">
      <c r="A6718" s="2">
        <v>39727.0</v>
      </c>
      <c r="B6718" s="2" t="s">
        <v>2856</v>
      </c>
      <c r="C6718" s="2" t="s">
        <v>12894</v>
      </c>
      <c r="D6718" s="2"/>
      <c r="E6718" s="2" t="s">
        <v>136</v>
      </c>
      <c r="F6718" s="2">
        <v>3.0</v>
      </c>
      <c r="G6718" s="2">
        <v>500.0</v>
      </c>
      <c r="H6718" s="3" t="str">
        <f>HYPERLINK("http://www.linkedin.com/pub/derek-st-onge/2/954/770","http://www.linkedin.com/pub/derek-st-onge/2/954/770")</f>
        <v>http://www.linkedin.com/pub/derek-st-onge/2/954/770</v>
      </c>
      <c r="I6718" s="2" t="s">
        <v>15</v>
      </c>
      <c r="J6718" s="2" t="s">
        <v>102</v>
      </c>
      <c r="K6718" s="2" t="s">
        <v>10176</v>
      </c>
    </row>
    <row r="6719" ht="15.75" customHeight="1">
      <c r="A6719" s="2">
        <v>39729.0</v>
      </c>
      <c r="B6719" s="2" t="s">
        <v>12895</v>
      </c>
      <c r="C6719" s="2" t="s">
        <v>12896</v>
      </c>
      <c r="D6719" s="2" t="s">
        <v>12897</v>
      </c>
      <c r="E6719" s="2" t="s">
        <v>136</v>
      </c>
      <c r="F6719" s="2">
        <v>23.0</v>
      </c>
      <c r="G6719" s="2">
        <v>500.0</v>
      </c>
      <c r="H6719" s="3" t="str">
        <f>HYPERLINK("http://www.linkedin.com/in/sunitasarin","http://www.linkedin.com/in/sunitasarin")</f>
        <v>http://www.linkedin.com/in/sunitasarin</v>
      </c>
      <c r="I6719" s="2" t="s">
        <v>248</v>
      </c>
      <c r="J6719" s="2" t="s">
        <v>102</v>
      </c>
      <c r="K6719" s="2" t="s">
        <v>10187</v>
      </c>
    </row>
    <row r="6720" ht="15.75" customHeight="1">
      <c r="A6720" s="2">
        <v>39739.0</v>
      </c>
      <c r="B6720" s="2" t="s">
        <v>12898</v>
      </c>
      <c r="C6720" s="2" t="s">
        <v>12899</v>
      </c>
      <c r="D6720" s="2" t="s">
        <v>12900</v>
      </c>
      <c r="E6720" s="2" t="s">
        <v>914</v>
      </c>
      <c r="F6720" s="2">
        <v>2.0</v>
      </c>
      <c r="G6720" s="2">
        <v>500.0</v>
      </c>
      <c r="H6720" s="3" t="str">
        <f>HYPERLINK("http://www.linkedin.com/pub/jean-philippe-bagel/0/848/6B6","http://www.linkedin.com/pub/jean-philippe-bagel/0/848/6B6")</f>
        <v>http://www.linkedin.com/pub/jean-philippe-bagel/0/848/6B6</v>
      </c>
      <c r="I6720" s="2" t="s">
        <v>48</v>
      </c>
      <c r="J6720" s="2" t="s">
        <v>102</v>
      </c>
      <c r="K6720" s="2" t="s">
        <v>10184</v>
      </c>
    </row>
    <row r="6721" ht="15.75" customHeight="1">
      <c r="A6721" s="2">
        <v>39746.0</v>
      </c>
      <c r="B6721" s="2" t="s">
        <v>721</v>
      </c>
      <c r="C6721" s="2" t="s">
        <v>820</v>
      </c>
      <c r="D6721" s="2"/>
      <c r="E6721" s="2" t="s">
        <v>3148</v>
      </c>
      <c r="F6721" s="2">
        <v>0.0</v>
      </c>
      <c r="G6721" s="2">
        <v>250.0</v>
      </c>
      <c r="H6721" s="3" t="str">
        <f>HYPERLINK("http://www.linkedin.com/pub/andrew-moore/1/B75/16","http://www.linkedin.com/pub/andrew-moore/1/B75/16")</f>
        <v>http://www.linkedin.com/pub/andrew-moore/1/B75/16</v>
      </c>
      <c r="I6721" s="2" t="s">
        <v>69</v>
      </c>
      <c r="J6721" s="2" t="s">
        <v>102</v>
      </c>
      <c r="K6721" s="2" t="s">
        <v>10176</v>
      </c>
    </row>
    <row r="6722" ht="15.75" customHeight="1">
      <c r="A6722" s="2">
        <v>39753.0</v>
      </c>
      <c r="B6722" s="2" t="s">
        <v>12901</v>
      </c>
      <c r="C6722" s="2" t="s">
        <v>12902</v>
      </c>
      <c r="D6722" s="2" t="s">
        <v>12903</v>
      </c>
      <c r="E6722" s="2" t="s">
        <v>3130</v>
      </c>
      <c r="F6722" s="2">
        <v>6.0</v>
      </c>
      <c r="G6722" s="2">
        <v>500.0</v>
      </c>
      <c r="H6722" s="3" t="str">
        <f>HYPERLINK("http://www.linkedin.com/in/caitlinkdonovan","http://www.linkedin.com/in/caitlinkdonovan")</f>
        <v>http://www.linkedin.com/in/caitlinkdonovan</v>
      </c>
      <c r="I6722" s="2" t="s">
        <v>15</v>
      </c>
      <c r="J6722" s="2" t="s">
        <v>102</v>
      </c>
      <c r="K6722" s="2" t="s">
        <v>10245</v>
      </c>
    </row>
    <row r="6723" ht="15.75" customHeight="1">
      <c r="A6723" s="2">
        <v>39754.0</v>
      </c>
      <c r="B6723" s="2" t="s">
        <v>5959</v>
      </c>
      <c r="C6723" s="2" t="s">
        <v>12904</v>
      </c>
      <c r="D6723" s="2" t="s">
        <v>42</v>
      </c>
      <c r="E6723" s="2" t="s">
        <v>20</v>
      </c>
      <c r="F6723" s="2">
        <v>1.0</v>
      </c>
      <c r="G6723" s="2">
        <v>500.0</v>
      </c>
      <c r="H6723" s="3" t="str">
        <f>HYPERLINK("http://ar.linkedin.com/pub/clara-dietrich/6/16/760","http://ar.linkedin.com/pub/clara-dietrich/6/16/760")</f>
        <v>http://ar.linkedin.com/pub/clara-dietrich/6/16/760</v>
      </c>
      <c r="I6723" s="2" t="s">
        <v>458</v>
      </c>
      <c r="J6723" s="2" t="s">
        <v>21</v>
      </c>
      <c r="K6723" s="2" t="s">
        <v>10176</v>
      </c>
    </row>
    <row r="6724" ht="15.75" customHeight="1">
      <c r="A6724" s="2">
        <v>39863.0</v>
      </c>
      <c r="B6724" s="2" t="s">
        <v>4905</v>
      </c>
      <c r="C6724" s="2" t="s">
        <v>12905</v>
      </c>
      <c r="D6724" s="2"/>
      <c r="E6724" s="2" t="s">
        <v>136</v>
      </c>
      <c r="F6724" s="2">
        <v>11.0</v>
      </c>
      <c r="G6724" s="2">
        <v>500.0</v>
      </c>
      <c r="H6724" s="3" t="str">
        <f>HYPERLINK("http://www.linkedin.com/pub/colleen-avey/0/302/450","http://www.linkedin.com/pub/colleen-avey/0/302/450")</f>
        <v>http://www.linkedin.com/pub/colleen-avey/0/302/450</v>
      </c>
      <c r="I6724" s="2" t="s">
        <v>48</v>
      </c>
      <c r="J6724" s="2" t="s">
        <v>102</v>
      </c>
      <c r="K6724" s="2" t="s">
        <v>10176</v>
      </c>
    </row>
    <row r="6725" ht="15.75" customHeight="1">
      <c r="A6725" s="2">
        <v>39866.0</v>
      </c>
      <c r="B6725" s="2" t="s">
        <v>341</v>
      </c>
      <c r="C6725" s="2" t="s">
        <v>12906</v>
      </c>
      <c r="D6725" s="2" t="s">
        <v>12907</v>
      </c>
      <c r="E6725" s="2" t="s">
        <v>136</v>
      </c>
      <c r="F6725" s="2">
        <v>41.0</v>
      </c>
      <c r="G6725" s="2">
        <v>500.0</v>
      </c>
      <c r="H6725" s="3" t="str">
        <f>HYPERLINK("http://www.linkedin.com/in/kconstantino","http://www.linkedin.com/in/kconstantino")</f>
        <v>http://www.linkedin.com/in/kconstantino</v>
      </c>
      <c r="I6725" s="2" t="s">
        <v>77</v>
      </c>
      <c r="J6725" s="2" t="s">
        <v>102</v>
      </c>
      <c r="K6725" s="2" t="s">
        <v>10384</v>
      </c>
    </row>
    <row r="6726" ht="15.75" customHeight="1">
      <c r="A6726" s="2">
        <v>39872.0</v>
      </c>
      <c r="B6726" s="2" t="s">
        <v>348</v>
      </c>
      <c r="C6726" s="2" t="s">
        <v>12908</v>
      </c>
      <c r="D6726" s="2" t="s">
        <v>13</v>
      </c>
      <c r="E6726" s="2" t="s">
        <v>136</v>
      </c>
      <c r="F6726" s="2">
        <v>11.0</v>
      </c>
      <c r="G6726" s="2">
        <v>500.0</v>
      </c>
      <c r="H6726" s="3" t="str">
        <f>HYPERLINK("http://www.linkedin.com/pub/kim-grounds-%22-i-m-hiring-%22/0/535/b6","http://www.linkedin.com/pub/kim-grounds-%22-i-m-hiring-%22/0/535/b6")</f>
        <v>http://www.linkedin.com/pub/kim-grounds-%22-i-m-hiring-%22/0/535/b6</v>
      </c>
      <c r="I6726" s="2" t="s">
        <v>15</v>
      </c>
      <c r="J6726" s="2" t="s">
        <v>102</v>
      </c>
      <c r="K6726" s="2" t="s">
        <v>10286</v>
      </c>
    </row>
    <row r="6727" ht="15.75" customHeight="1">
      <c r="A6727" s="2">
        <v>39876.0</v>
      </c>
      <c r="B6727" s="2" t="s">
        <v>677</v>
      </c>
      <c r="C6727" s="2" t="s">
        <v>12909</v>
      </c>
      <c r="D6727" s="2" t="s">
        <v>12910</v>
      </c>
      <c r="E6727" s="2" t="s">
        <v>20</v>
      </c>
      <c r="F6727" s="2">
        <v>0.0</v>
      </c>
      <c r="G6727" s="2">
        <v>76.0</v>
      </c>
      <c r="H6727" s="3" t="str">
        <f>HYPERLINK("http://ar.linkedin.com/in/bejaranocasarino","http://ar.linkedin.com/in/bejaranocasarino")</f>
        <v>http://ar.linkedin.com/in/bejaranocasarino</v>
      </c>
      <c r="I6727" s="2" t="s">
        <v>15</v>
      </c>
      <c r="J6727" s="2" t="s">
        <v>21</v>
      </c>
      <c r="K6727" s="2" t="s">
        <v>12724</v>
      </c>
    </row>
    <row r="6728" ht="15.75" customHeight="1">
      <c r="A6728" s="2">
        <v>39880.0</v>
      </c>
      <c r="B6728" s="2" t="s">
        <v>12911</v>
      </c>
      <c r="C6728" s="2" t="s">
        <v>11061</v>
      </c>
      <c r="D6728" s="2" t="s">
        <v>12912</v>
      </c>
      <c r="E6728" s="2" t="s">
        <v>136</v>
      </c>
      <c r="F6728" s="2">
        <v>8.0</v>
      </c>
      <c r="G6728" s="2">
        <v>500.0</v>
      </c>
      <c r="H6728" s="3" t="str">
        <f>HYPERLINK("http://www.linkedin.com/pub/sheetal-doshi/0/5A9/61A","http://www.linkedin.com/pub/sheetal-doshi/0/5A9/61A")</f>
        <v>http://www.linkedin.com/pub/sheetal-doshi/0/5A9/61A</v>
      </c>
      <c r="I6728" s="2" t="s">
        <v>143</v>
      </c>
      <c r="J6728" s="2" t="s">
        <v>102</v>
      </c>
      <c r="K6728" s="2" t="s">
        <v>10286</v>
      </c>
    </row>
    <row r="6729" ht="15.75" customHeight="1">
      <c r="A6729" s="2">
        <v>39882.0</v>
      </c>
      <c r="B6729" s="2" t="s">
        <v>1068</v>
      </c>
      <c r="C6729" s="2" t="s">
        <v>12913</v>
      </c>
      <c r="D6729" s="2"/>
      <c r="E6729" s="2" t="s">
        <v>12914</v>
      </c>
      <c r="F6729" s="2">
        <v>4.0</v>
      </c>
      <c r="G6729" s="2">
        <v>500.0</v>
      </c>
      <c r="H6729" s="3" t="str">
        <f>HYPERLINK("http://www.linkedin.com/pub/jerry-mcbrayer/0/530/B66","http://www.linkedin.com/pub/jerry-mcbrayer/0/530/B66")</f>
        <v>http://www.linkedin.com/pub/jerry-mcbrayer/0/530/B66</v>
      </c>
      <c r="I6729" s="2" t="s">
        <v>143</v>
      </c>
      <c r="J6729" s="2" t="s">
        <v>102</v>
      </c>
      <c r="K6729" s="2" t="s">
        <v>10176</v>
      </c>
    </row>
    <row r="6730" ht="15.75" customHeight="1">
      <c r="A6730" s="2">
        <v>39884.0</v>
      </c>
      <c r="B6730" s="2" t="s">
        <v>657</v>
      </c>
      <c r="C6730" s="2" t="s">
        <v>8054</v>
      </c>
      <c r="D6730" s="2" t="s">
        <v>10281</v>
      </c>
      <c r="E6730" s="2" t="s">
        <v>808</v>
      </c>
      <c r="F6730" s="2">
        <v>4.0</v>
      </c>
      <c r="G6730" s="2">
        <v>290.0</v>
      </c>
      <c r="H6730" s="3" t="str">
        <f>HYPERLINK("http://www.linkedin.com/pub/gisela-velazco/5/878/5A7","http://www.linkedin.com/pub/gisela-velazco/5/878/5A7")</f>
        <v>http://www.linkedin.com/pub/gisela-velazco/5/878/5A7</v>
      </c>
      <c r="I6730" s="2" t="s">
        <v>77</v>
      </c>
      <c r="J6730" s="2" t="s">
        <v>102</v>
      </c>
      <c r="K6730" s="2" t="s">
        <v>10384</v>
      </c>
    </row>
    <row r="6731" ht="15.75" customHeight="1">
      <c r="A6731" s="2">
        <v>39903.0</v>
      </c>
      <c r="B6731" s="2" t="s">
        <v>784</v>
      </c>
      <c r="C6731" s="2" t="s">
        <v>12915</v>
      </c>
      <c r="D6731" s="2" t="s">
        <v>13</v>
      </c>
      <c r="E6731" s="2" t="s">
        <v>136</v>
      </c>
      <c r="F6731" s="2">
        <v>0.0</v>
      </c>
      <c r="G6731" s="2">
        <v>500.0</v>
      </c>
      <c r="H6731" s="3" t="str">
        <f>HYPERLINK("http://www.linkedin.com/pub/jeff-kirkley/1/257/AA5","http://www.linkedin.com/pub/jeff-kirkley/1/257/AA5")</f>
        <v>http://www.linkedin.com/pub/jeff-kirkley/1/257/AA5</v>
      </c>
      <c r="I6731" s="2" t="s">
        <v>599</v>
      </c>
      <c r="J6731" s="2" t="s">
        <v>102</v>
      </c>
      <c r="K6731" s="2" t="s">
        <v>10245</v>
      </c>
    </row>
    <row r="6732" ht="15.75" customHeight="1">
      <c r="A6732" s="2">
        <v>39905.0</v>
      </c>
      <c r="B6732" s="2" t="s">
        <v>4677</v>
      </c>
      <c r="C6732" s="2" t="s">
        <v>12916</v>
      </c>
      <c r="D6732" s="2" t="s">
        <v>12917</v>
      </c>
      <c r="E6732" s="2" t="s">
        <v>136</v>
      </c>
      <c r="F6732" s="2">
        <v>10.0</v>
      </c>
      <c r="G6732" s="2">
        <v>500.0</v>
      </c>
      <c r="H6732" s="3" t="str">
        <f>HYPERLINK("http://www.linkedin.com/in/petepark","http://www.linkedin.com/in/petepark")</f>
        <v>http://www.linkedin.com/in/petepark</v>
      </c>
      <c r="I6732" s="2" t="s">
        <v>105</v>
      </c>
      <c r="J6732" s="2" t="s">
        <v>102</v>
      </c>
      <c r="K6732" s="2" t="s">
        <v>10209</v>
      </c>
    </row>
    <row r="6733" ht="15.75" customHeight="1">
      <c r="A6733" s="2">
        <v>39919.0</v>
      </c>
      <c r="B6733" s="2" t="s">
        <v>511</v>
      </c>
      <c r="C6733" s="2" t="s">
        <v>12918</v>
      </c>
      <c r="D6733" s="2" t="s">
        <v>8209</v>
      </c>
      <c r="E6733" s="2" t="s">
        <v>136</v>
      </c>
      <c r="F6733" s="2">
        <v>0.0</v>
      </c>
      <c r="G6733" s="2">
        <v>417.0</v>
      </c>
      <c r="H6733" s="3" t="str">
        <f>HYPERLINK("http://www.linkedin.com/pub/mike-schilling/1/4BA/B27","http://www.linkedin.com/pub/mike-schilling/1/4BA/B27")</f>
        <v>http://www.linkedin.com/pub/mike-schilling/1/4BA/B27</v>
      </c>
      <c r="I6733" s="2" t="s">
        <v>48</v>
      </c>
      <c r="J6733" s="2" t="s">
        <v>102</v>
      </c>
      <c r="K6733" s="2" t="s">
        <v>10233</v>
      </c>
    </row>
    <row r="6734" ht="15.75" customHeight="1">
      <c r="A6734" s="2">
        <v>39927.0</v>
      </c>
      <c r="B6734" s="2" t="s">
        <v>5332</v>
      </c>
      <c r="C6734" s="2" t="s">
        <v>12919</v>
      </c>
      <c r="D6734" s="2" t="s">
        <v>12920</v>
      </c>
      <c r="E6734" s="2" t="s">
        <v>136</v>
      </c>
      <c r="F6734" s="2">
        <v>10.0</v>
      </c>
      <c r="G6734" s="2">
        <v>235.0</v>
      </c>
      <c r="H6734" s="3" t="str">
        <f>HYPERLINK("http://www.linkedin.com/pub/mercedes-hesselgesser/0/74/8B1","http://www.linkedin.com/pub/mercedes-hesselgesser/0/74/8B1")</f>
        <v>http://www.linkedin.com/pub/mercedes-hesselgesser/0/74/8B1</v>
      </c>
      <c r="I6734" s="2" t="s">
        <v>195</v>
      </c>
      <c r="J6734" s="2" t="s">
        <v>102</v>
      </c>
      <c r="K6734" s="2" t="s">
        <v>10187</v>
      </c>
    </row>
    <row r="6735" ht="15.75" customHeight="1">
      <c r="A6735" s="2">
        <v>39929.0</v>
      </c>
      <c r="B6735" s="2" t="s">
        <v>12921</v>
      </c>
      <c r="C6735" s="2" t="s">
        <v>12922</v>
      </c>
      <c r="D6735" s="2" t="s">
        <v>12923</v>
      </c>
      <c r="E6735" s="2" t="s">
        <v>136</v>
      </c>
      <c r="F6735" s="2" t="s">
        <v>13</v>
      </c>
      <c r="G6735" s="2">
        <v>500.0</v>
      </c>
      <c r="H6735" s="3" t="str">
        <f>HYPERLINK("http://www.linkedin.com/in/gocool","http://www.linkedin.com/in/gocool")</f>
        <v>http://www.linkedin.com/in/gocool</v>
      </c>
      <c r="I6735" s="2" t="s">
        <v>48</v>
      </c>
      <c r="J6735" s="2" t="s">
        <v>102</v>
      </c>
      <c r="K6735" s="2" t="s">
        <v>12924</v>
      </c>
    </row>
    <row r="6736" ht="15.75" customHeight="1">
      <c r="A6736" s="2">
        <v>39937.0</v>
      </c>
      <c r="B6736" s="2" t="s">
        <v>1475</v>
      </c>
      <c r="C6736" s="2" t="s">
        <v>189</v>
      </c>
      <c r="D6736" s="2"/>
      <c r="E6736" s="2" t="s">
        <v>136</v>
      </c>
      <c r="F6736" s="2">
        <v>11.0</v>
      </c>
      <c r="G6736" s="2">
        <v>500.0</v>
      </c>
      <c r="H6736" s="3" t="str">
        <f>HYPERLINK("http://www.linkedin.com/pub/lisa-dean/0/651/25B","http://www.linkedin.com/pub/lisa-dean/0/651/25B")</f>
        <v>http://www.linkedin.com/pub/lisa-dean/0/651/25B</v>
      </c>
      <c r="I6736" s="2" t="s">
        <v>48</v>
      </c>
      <c r="J6736" s="2" t="s">
        <v>102</v>
      </c>
      <c r="K6736" s="2" t="s">
        <v>10184</v>
      </c>
    </row>
    <row r="6737" ht="15.75" customHeight="1">
      <c r="A6737" s="2">
        <v>39938.0</v>
      </c>
      <c r="B6737" s="2" t="s">
        <v>5723</v>
      </c>
      <c r="C6737" s="2" t="s">
        <v>12925</v>
      </c>
      <c r="D6737" s="2" t="s">
        <v>12926</v>
      </c>
      <c r="E6737" s="2" t="s">
        <v>20</v>
      </c>
      <c r="F6737" s="2">
        <v>4.0</v>
      </c>
      <c r="G6737" s="2">
        <v>292.0</v>
      </c>
      <c r="H6737" s="3" t="str">
        <f>HYPERLINK("http://ar.linkedin.com/in/matopablo","http://ar.linkedin.com/in/matopablo")</f>
        <v>http://ar.linkedin.com/in/matopablo</v>
      </c>
      <c r="I6737" s="2" t="s">
        <v>15</v>
      </c>
      <c r="J6737" s="2" t="s">
        <v>21</v>
      </c>
      <c r="K6737" s="2" t="s">
        <v>10196</v>
      </c>
    </row>
    <row r="6738" ht="15.75" customHeight="1">
      <c r="A6738" s="2">
        <v>39944.0</v>
      </c>
      <c r="B6738" s="2" t="s">
        <v>809</v>
      </c>
      <c r="C6738" s="2" t="s">
        <v>12927</v>
      </c>
      <c r="D6738" s="2"/>
      <c r="E6738" s="2" t="s">
        <v>136</v>
      </c>
      <c r="F6738" s="2">
        <v>3.0</v>
      </c>
      <c r="G6738" s="2">
        <v>500.0</v>
      </c>
      <c r="H6738" s="3" t="str">
        <f>HYPERLINK("http://www.linkedin.com/pub/raj-de-datta/0/8/A99","http://www.linkedin.com/pub/raj-de-datta/0/8/A99")</f>
        <v>http://www.linkedin.com/pub/raj-de-datta/0/8/A99</v>
      </c>
      <c r="I6738" s="2" t="s">
        <v>15</v>
      </c>
      <c r="J6738" s="2" t="s">
        <v>102</v>
      </c>
      <c r="K6738" s="2" t="s">
        <v>10184</v>
      </c>
    </row>
    <row r="6739" ht="15.75" customHeight="1">
      <c r="A6739" s="2">
        <v>39945.0</v>
      </c>
      <c r="B6739" s="2" t="s">
        <v>540</v>
      </c>
      <c r="C6739" s="2" t="s">
        <v>12928</v>
      </c>
      <c r="D6739" s="2" t="s">
        <v>12929</v>
      </c>
      <c r="E6739" s="2" t="s">
        <v>20</v>
      </c>
      <c r="F6739" s="2">
        <v>4.0</v>
      </c>
      <c r="G6739" s="2">
        <v>178.0</v>
      </c>
      <c r="H6739" s="3" t="str">
        <f>HYPERLINK("http://ar.linkedin.com/in/christiandente","http://ar.linkedin.com/in/christiandente")</f>
        <v>http://ar.linkedin.com/in/christiandente</v>
      </c>
      <c r="I6739" s="2" t="s">
        <v>15</v>
      </c>
      <c r="J6739" s="2" t="s">
        <v>21</v>
      </c>
      <c r="K6739" s="2" t="s">
        <v>10196</v>
      </c>
    </row>
    <row r="6740" ht="15.75" customHeight="1">
      <c r="A6740" s="2">
        <v>39947.0</v>
      </c>
      <c r="B6740" s="2" t="s">
        <v>7086</v>
      </c>
      <c r="C6740" s="2" t="s">
        <v>568</v>
      </c>
      <c r="D6740" s="2" t="s">
        <v>12930</v>
      </c>
      <c r="E6740" s="2" t="s">
        <v>20</v>
      </c>
      <c r="F6740" s="2">
        <v>7.0</v>
      </c>
      <c r="G6740" s="2">
        <v>239.0</v>
      </c>
      <c r="H6740" s="3" t="str">
        <f>HYPERLINK("http://ar.linkedin.com/pub/mauro-rojas/8/82A/803","http://ar.linkedin.com/pub/mauro-rojas/8/82A/803")</f>
        <v>http://ar.linkedin.com/pub/mauro-rojas/8/82A/803</v>
      </c>
      <c r="I6740" s="2" t="s">
        <v>15</v>
      </c>
      <c r="J6740" s="2" t="s">
        <v>21</v>
      </c>
      <c r="K6740" s="2" t="s">
        <v>12931</v>
      </c>
    </row>
    <row r="6741" ht="15.75" customHeight="1">
      <c r="A6741" s="2">
        <v>39949.0</v>
      </c>
      <c r="B6741" s="2" t="s">
        <v>511</v>
      </c>
      <c r="C6741" s="2" t="s">
        <v>12932</v>
      </c>
      <c r="D6741" s="2" t="s">
        <v>13</v>
      </c>
      <c r="E6741" s="2" t="s">
        <v>12933</v>
      </c>
      <c r="F6741" s="2">
        <v>0.0</v>
      </c>
      <c r="G6741" s="2">
        <v>500.0</v>
      </c>
      <c r="H6741" s="3" t="str">
        <f>HYPERLINK("http://www.linkedin.com/in/mikeagron","http://www.linkedin.com/in/mikeagron")</f>
        <v>http://www.linkedin.com/in/mikeagron</v>
      </c>
      <c r="I6741" s="2" t="s">
        <v>105</v>
      </c>
      <c r="J6741" s="2" t="s">
        <v>102</v>
      </c>
      <c r="K6741" s="2" t="s">
        <v>10182</v>
      </c>
    </row>
    <row r="6742" ht="15.75" customHeight="1">
      <c r="A6742" s="2">
        <v>39951.0</v>
      </c>
      <c r="B6742" s="2" t="s">
        <v>947</v>
      </c>
      <c r="C6742" s="2" t="s">
        <v>12934</v>
      </c>
      <c r="D6742" s="2" t="s">
        <v>4764</v>
      </c>
      <c r="E6742" s="2" t="s">
        <v>101</v>
      </c>
      <c r="F6742" s="2">
        <v>0.0</v>
      </c>
      <c r="G6742" s="2">
        <v>500.0</v>
      </c>
      <c r="H6742" s="3" t="str">
        <f>HYPERLINK("http://www.linkedin.com/pub/glenn-braunstein/0/694/ABA","http://www.linkedin.com/pub/glenn-braunstein/0/694/ABA")</f>
        <v>http://www.linkedin.com/pub/glenn-braunstein/0/694/ABA</v>
      </c>
      <c r="I6742" s="2" t="s">
        <v>48</v>
      </c>
      <c r="J6742" s="2" t="s">
        <v>102</v>
      </c>
      <c r="K6742" s="2" t="s">
        <v>10184</v>
      </c>
    </row>
    <row r="6743" ht="15.75" customHeight="1">
      <c r="A6743" s="2">
        <v>39953.0</v>
      </c>
      <c r="B6743" s="2" t="s">
        <v>1071</v>
      </c>
      <c r="C6743" s="2" t="s">
        <v>12935</v>
      </c>
      <c r="D6743" s="2" t="s">
        <v>12936</v>
      </c>
      <c r="E6743" s="2" t="s">
        <v>136</v>
      </c>
      <c r="F6743" s="2">
        <v>6.0</v>
      </c>
      <c r="G6743" s="2">
        <v>500.0</v>
      </c>
      <c r="H6743" s="3" t="str">
        <f>HYPERLINK("http://www.linkedin.com/in/ericsu13","http://www.linkedin.com/in/ericsu13")</f>
        <v>http://www.linkedin.com/in/ericsu13</v>
      </c>
      <c r="I6743" s="2" t="s">
        <v>69</v>
      </c>
      <c r="J6743" s="2" t="s">
        <v>102</v>
      </c>
      <c r="K6743" s="2" t="s">
        <v>10245</v>
      </c>
    </row>
    <row r="6744" ht="15.75" customHeight="1">
      <c r="A6744" s="2">
        <v>39954.0</v>
      </c>
      <c r="B6744" s="2" t="s">
        <v>2530</v>
      </c>
      <c r="C6744" s="2" t="s">
        <v>6847</v>
      </c>
      <c r="D6744" s="2" t="s">
        <v>12937</v>
      </c>
      <c r="E6744" s="2" t="s">
        <v>20</v>
      </c>
      <c r="F6744" s="2">
        <v>6.0</v>
      </c>
      <c r="G6744" s="2">
        <v>454.0</v>
      </c>
      <c r="H6744" s="3" t="str">
        <f>HYPERLINK("http://ar.linkedin.com/in/omarrobles","http://ar.linkedin.com/in/omarrobles")</f>
        <v>http://ar.linkedin.com/in/omarrobles</v>
      </c>
      <c r="I6744" s="2" t="s">
        <v>15</v>
      </c>
      <c r="J6744" s="2" t="s">
        <v>21</v>
      </c>
      <c r="K6744" s="2" t="s">
        <v>10196</v>
      </c>
    </row>
    <row r="6745" ht="15.75" customHeight="1">
      <c r="A6745" s="2">
        <v>39959.0</v>
      </c>
      <c r="B6745" s="2" t="s">
        <v>471</v>
      </c>
      <c r="C6745" s="2" t="s">
        <v>820</v>
      </c>
      <c r="D6745" s="2" t="s">
        <v>12938</v>
      </c>
      <c r="E6745" s="2" t="s">
        <v>542</v>
      </c>
      <c r="F6745" s="2">
        <v>0.0</v>
      </c>
      <c r="G6745" s="2">
        <v>500.0</v>
      </c>
      <c r="H6745" s="3" t="str">
        <f>HYPERLINK("http://www.linkedin.com/pub/dan-moore/0/135/575","http://www.linkedin.com/pub/dan-moore/0/135/575")</f>
        <v>http://www.linkedin.com/pub/dan-moore/0/135/575</v>
      </c>
      <c r="I6745" s="2" t="s">
        <v>15</v>
      </c>
      <c r="J6745" s="2" t="s">
        <v>102</v>
      </c>
      <c r="K6745" s="2" t="s">
        <v>10184</v>
      </c>
    </row>
    <row r="6746" ht="15.75" customHeight="1">
      <c r="A6746" s="2">
        <v>39961.0</v>
      </c>
      <c r="B6746" s="2" t="s">
        <v>414</v>
      </c>
      <c r="C6746" s="2" t="s">
        <v>12939</v>
      </c>
      <c r="D6746" s="2" t="s">
        <v>12940</v>
      </c>
      <c r="E6746" s="2" t="s">
        <v>136</v>
      </c>
      <c r="F6746" s="2" t="s">
        <v>13</v>
      </c>
      <c r="G6746" s="2">
        <v>500.0</v>
      </c>
      <c r="H6746" s="3" t="str">
        <f>HYPERLINK("http://www.linkedin.com/in/tomfisher11264","http://www.linkedin.com/in/tomfisher11264")</f>
        <v>http://www.linkedin.com/in/tomfisher11264</v>
      </c>
      <c r="I6746" s="2" t="s">
        <v>15</v>
      </c>
      <c r="J6746" s="2" t="s">
        <v>102</v>
      </c>
      <c r="K6746" s="2" t="s">
        <v>10184</v>
      </c>
    </row>
    <row r="6747" ht="15.75" customHeight="1">
      <c r="A6747" s="2">
        <v>39962.0</v>
      </c>
      <c r="B6747" s="2" t="s">
        <v>362</v>
      </c>
      <c r="C6747" s="2" t="s">
        <v>12941</v>
      </c>
      <c r="D6747" s="2" t="s">
        <v>42</v>
      </c>
      <c r="E6747" s="2" t="s">
        <v>20</v>
      </c>
      <c r="F6747" s="2">
        <v>3.0</v>
      </c>
      <c r="G6747" s="2">
        <v>455.0</v>
      </c>
      <c r="H6747" s="3" t="str">
        <f>HYPERLINK("http://ar.linkedin.com/in/horaciojavierrubio","http://ar.linkedin.com/in/horaciojavierrubio")</f>
        <v>http://ar.linkedin.com/in/horaciojavierrubio</v>
      </c>
      <c r="I6747" s="2" t="s">
        <v>15</v>
      </c>
      <c r="J6747" s="2" t="s">
        <v>21</v>
      </c>
      <c r="K6747" s="2" t="s">
        <v>10196</v>
      </c>
    </row>
    <row r="6748" ht="15.75" customHeight="1">
      <c r="A6748" s="2">
        <v>39971.0</v>
      </c>
      <c r="B6748" s="2" t="s">
        <v>471</v>
      </c>
      <c r="C6748" s="2" t="s">
        <v>512</v>
      </c>
      <c r="D6748" s="2" t="s">
        <v>12942</v>
      </c>
      <c r="E6748" s="2" t="s">
        <v>136</v>
      </c>
      <c r="F6748" s="2">
        <v>57.0</v>
      </c>
      <c r="G6748" s="2">
        <v>500.0</v>
      </c>
      <c r="H6748" s="3" t="str">
        <f>HYPERLINK("http://www.linkedin.com/in/danengland1","http://www.linkedin.com/in/danengland1")</f>
        <v>http://www.linkedin.com/in/danengland1</v>
      </c>
      <c r="I6748" s="2" t="s">
        <v>48</v>
      </c>
      <c r="J6748" s="2" t="s">
        <v>102</v>
      </c>
      <c r="K6748" s="2" t="s">
        <v>10245</v>
      </c>
    </row>
    <row r="6749" ht="15.75" customHeight="1">
      <c r="A6749" s="2">
        <v>39973.0</v>
      </c>
      <c r="B6749" s="2" t="s">
        <v>4270</v>
      </c>
      <c r="C6749" s="2" t="s">
        <v>12943</v>
      </c>
      <c r="D6749" s="2" t="s">
        <v>12944</v>
      </c>
      <c r="E6749" s="2" t="s">
        <v>136</v>
      </c>
      <c r="F6749" s="2">
        <v>12.0</v>
      </c>
      <c r="G6749" s="2">
        <v>343.0</v>
      </c>
      <c r="H6749" s="3" t="str">
        <f>HYPERLINK("http://www.linkedin.com/pub/adel-zahabi/1/122/A32","http://www.linkedin.com/pub/adel-zahabi/1/122/A32")</f>
        <v>http://www.linkedin.com/pub/adel-zahabi/1/122/A32</v>
      </c>
      <c r="I6749" s="2" t="s">
        <v>15</v>
      </c>
      <c r="J6749" s="2" t="s">
        <v>102</v>
      </c>
      <c r="K6749" s="2" t="s">
        <v>10245</v>
      </c>
    </row>
    <row r="6750" ht="15.75" customHeight="1">
      <c r="A6750" s="2">
        <v>39978.0</v>
      </c>
      <c r="B6750" s="2" t="s">
        <v>275</v>
      </c>
      <c r="C6750" s="2" t="s">
        <v>12945</v>
      </c>
      <c r="D6750" s="2" t="s">
        <v>11478</v>
      </c>
      <c r="E6750" s="2" t="s">
        <v>136</v>
      </c>
      <c r="F6750" s="2">
        <v>24.0</v>
      </c>
      <c r="G6750" s="2">
        <v>500.0</v>
      </c>
      <c r="H6750" s="3" t="str">
        <f>HYPERLINK("http://www.linkedin.com/pub/mark-dittmer/0/4A7/817","http://www.linkedin.com/pub/mark-dittmer/0/4A7/817")</f>
        <v>http://www.linkedin.com/pub/mark-dittmer/0/4A7/817</v>
      </c>
      <c r="I6750" s="2" t="s">
        <v>873</v>
      </c>
      <c r="J6750" s="2" t="s">
        <v>102</v>
      </c>
      <c r="K6750" s="2" t="s">
        <v>10206</v>
      </c>
    </row>
    <row r="6751" ht="15.75" customHeight="1">
      <c r="A6751" s="2">
        <v>39980.0</v>
      </c>
      <c r="B6751" s="2" t="s">
        <v>12946</v>
      </c>
      <c r="C6751" s="2" t="s">
        <v>1814</v>
      </c>
      <c r="D6751" s="2" t="s">
        <v>12947</v>
      </c>
      <c r="E6751" s="2" t="s">
        <v>136</v>
      </c>
      <c r="F6751" s="2">
        <v>35.0</v>
      </c>
      <c r="G6751" s="2">
        <v>377.0</v>
      </c>
      <c r="H6751" s="3" t="str">
        <f>HYPERLINK("http://www.linkedin.com/in/barinder","http://www.linkedin.com/in/barinder")</f>
        <v>http://www.linkedin.com/in/barinder</v>
      </c>
      <c r="I6751" s="2" t="s">
        <v>48</v>
      </c>
      <c r="J6751" s="2" t="s">
        <v>102</v>
      </c>
      <c r="K6751" s="2" t="s">
        <v>12948</v>
      </c>
    </row>
    <row r="6752" ht="15.75" customHeight="1">
      <c r="A6752" s="2">
        <v>39983.0</v>
      </c>
      <c r="B6752" s="2" t="s">
        <v>824</v>
      </c>
      <c r="C6752" s="2" t="s">
        <v>12949</v>
      </c>
      <c r="D6752" s="2" t="s">
        <v>12950</v>
      </c>
      <c r="E6752" s="2" t="s">
        <v>136</v>
      </c>
      <c r="F6752" s="2">
        <v>6.0</v>
      </c>
      <c r="G6752" s="2">
        <v>500.0</v>
      </c>
      <c r="H6752" s="3" t="str">
        <f>HYPERLINK("http://www.linkedin.com/in/nancylevin","http://www.linkedin.com/in/nancylevin")</f>
        <v>http://www.linkedin.com/in/nancylevin</v>
      </c>
      <c r="I6752" s="2" t="s">
        <v>105</v>
      </c>
      <c r="J6752" s="2" t="s">
        <v>102</v>
      </c>
      <c r="K6752" s="2" t="s">
        <v>10988</v>
      </c>
    </row>
    <row r="6753" ht="15.75" customHeight="1">
      <c r="A6753" s="2">
        <v>39988.0</v>
      </c>
      <c r="B6753" s="2" t="s">
        <v>3684</v>
      </c>
      <c r="C6753" s="2" t="s">
        <v>12951</v>
      </c>
      <c r="D6753" s="2" t="s">
        <v>13</v>
      </c>
      <c r="E6753" s="2" t="s">
        <v>20</v>
      </c>
      <c r="F6753" s="2">
        <v>0.0</v>
      </c>
      <c r="G6753" s="2">
        <v>500.0</v>
      </c>
      <c r="H6753" s="3" t="str">
        <f>HYPERLINK("https://www.linkedin.com/in/walteralini","https://www.linkedin.com/in/walteralini")</f>
        <v>https://www.linkedin.com/in/walteralini</v>
      </c>
      <c r="I6753" s="2" t="s">
        <v>48</v>
      </c>
      <c r="J6753" s="2" t="s">
        <v>21</v>
      </c>
      <c r="K6753" s="2" t="s">
        <v>10196</v>
      </c>
    </row>
    <row r="6754" ht="15.75" customHeight="1">
      <c r="A6754" s="2">
        <v>39991.0</v>
      </c>
      <c r="B6754" s="2" t="s">
        <v>1284</v>
      </c>
      <c r="C6754" s="2" t="s">
        <v>12952</v>
      </c>
      <c r="D6754" s="2" t="s">
        <v>12953</v>
      </c>
      <c r="E6754" s="2" t="s">
        <v>20</v>
      </c>
      <c r="F6754" s="2">
        <v>2.0</v>
      </c>
      <c r="G6754" s="2">
        <v>333.0</v>
      </c>
      <c r="H6754" s="3" t="str">
        <f>HYPERLINK("http://ar.linkedin.com/in/anthonylenton","http://ar.linkedin.com/in/anthonylenton")</f>
        <v>http://ar.linkedin.com/in/anthonylenton</v>
      </c>
      <c r="I6754" s="2" t="s">
        <v>48</v>
      </c>
      <c r="J6754" s="2" t="s">
        <v>21</v>
      </c>
      <c r="K6754" s="2" t="s">
        <v>10196</v>
      </c>
    </row>
    <row r="6755" ht="15.75" customHeight="1">
      <c r="A6755" s="2">
        <v>39998.0</v>
      </c>
      <c r="B6755" s="2" t="s">
        <v>3667</v>
      </c>
      <c r="C6755" s="2" t="s">
        <v>12954</v>
      </c>
      <c r="D6755" s="2"/>
      <c r="E6755" s="2" t="s">
        <v>136</v>
      </c>
      <c r="F6755" s="2">
        <v>19.0</v>
      </c>
      <c r="G6755" s="2">
        <v>414.0</v>
      </c>
      <c r="H6755" s="3" t="str">
        <f>HYPERLINK("http://www.linkedin.com/in/anilrupnarain","http://www.linkedin.com/in/anilrupnarain")</f>
        <v>http://www.linkedin.com/in/anilrupnarain</v>
      </c>
      <c r="I6755" s="2" t="s">
        <v>15</v>
      </c>
      <c r="J6755" s="2" t="s">
        <v>102</v>
      </c>
      <c r="K6755" s="2" t="s">
        <v>10176</v>
      </c>
    </row>
    <row r="6756" ht="15.75" customHeight="1">
      <c r="A6756" s="2">
        <v>40000.0</v>
      </c>
      <c r="B6756" s="2" t="s">
        <v>1475</v>
      </c>
      <c r="C6756" s="2" t="s">
        <v>12955</v>
      </c>
      <c r="D6756" s="2"/>
      <c r="E6756" s="2" t="s">
        <v>136</v>
      </c>
      <c r="F6756" s="2">
        <v>7.0</v>
      </c>
      <c r="G6756" s="2">
        <v>500.0</v>
      </c>
      <c r="H6756" s="3" t="str">
        <f>HYPERLINK("http://www.linkedin.com/pub/lisa-ferrier/0/78B/332","http://www.linkedin.com/pub/lisa-ferrier/0/78B/332")</f>
        <v>http://www.linkedin.com/pub/lisa-ferrier/0/78B/332</v>
      </c>
      <c r="I6756" s="2" t="s">
        <v>48</v>
      </c>
      <c r="J6756" s="2" t="s">
        <v>102</v>
      </c>
      <c r="K6756" s="2" t="s">
        <v>10176</v>
      </c>
    </row>
    <row r="6757" ht="15.75" customHeight="1">
      <c r="A6757" s="2">
        <v>40009.0</v>
      </c>
      <c r="B6757" s="2" t="s">
        <v>275</v>
      </c>
      <c r="C6757" s="2" t="s">
        <v>3515</v>
      </c>
      <c r="D6757" s="2" t="s">
        <v>913</v>
      </c>
      <c r="E6757" s="2" t="s">
        <v>136</v>
      </c>
      <c r="F6757" s="2">
        <v>17.0</v>
      </c>
      <c r="G6757" s="2">
        <v>500.0</v>
      </c>
      <c r="H6757" s="3" t="str">
        <f>HYPERLINK("http://www.linkedin.com/pub/mark-thompson/11/469/B71","http://www.linkedin.com/pub/mark-thompson/11/469/B71")</f>
        <v>http://www.linkedin.com/pub/mark-thompson/11/469/B71</v>
      </c>
      <c r="I6757" s="2" t="s">
        <v>48</v>
      </c>
      <c r="J6757" s="2" t="s">
        <v>102</v>
      </c>
      <c r="K6757" s="2" t="s">
        <v>10245</v>
      </c>
    </row>
    <row r="6758" ht="15.75" customHeight="1">
      <c r="A6758" s="2">
        <v>40017.0</v>
      </c>
      <c r="B6758" s="2" t="s">
        <v>1173</v>
      </c>
      <c r="C6758" s="2" t="s">
        <v>772</v>
      </c>
      <c r="D6758" s="2" t="s">
        <v>12859</v>
      </c>
      <c r="E6758" s="2" t="s">
        <v>166</v>
      </c>
      <c r="F6758" s="2">
        <v>8.0</v>
      </c>
      <c r="G6758" s="2">
        <v>500.0</v>
      </c>
      <c r="H6758" s="3" t="str">
        <f>HYPERLINK("http://www.linkedin.com/in/slarsen","http://www.linkedin.com/in/slarsen")</f>
        <v>http://www.linkedin.com/in/slarsen</v>
      </c>
      <c r="I6758" s="2" t="s">
        <v>240</v>
      </c>
      <c r="J6758" s="2" t="s">
        <v>102</v>
      </c>
      <c r="K6758" s="2" t="s">
        <v>10577</v>
      </c>
    </row>
    <row r="6759" ht="15.75" customHeight="1">
      <c r="A6759" s="2">
        <v>40025.0</v>
      </c>
      <c r="B6759" s="2" t="s">
        <v>1653</v>
      </c>
      <c r="C6759" s="2" t="s">
        <v>12956</v>
      </c>
      <c r="D6759" s="2"/>
      <c r="E6759" s="2" t="s">
        <v>136</v>
      </c>
      <c r="F6759" s="2">
        <v>87.0</v>
      </c>
      <c r="G6759" s="2">
        <v>500.0</v>
      </c>
      <c r="H6759" s="3" t="str">
        <f>HYPERLINK("http://www.linkedin.com/pub/doug-merritt/0/69/331","http://www.linkedin.com/pub/doug-merritt/0/69/331")</f>
        <v>http://www.linkedin.com/pub/doug-merritt/0/69/331</v>
      </c>
      <c r="I6759" s="2" t="s">
        <v>48</v>
      </c>
      <c r="J6759" s="2" t="s">
        <v>102</v>
      </c>
      <c r="K6759" s="2" t="s">
        <v>10184</v>
      </c>
    </row>
    <row r="6760" ht="15.75" customHeight="1">
      <c r="A6760" s="2">
        <v>40032.0</v>
      </c>
      <c r="B6760" s="2" t="s">
        <v>953</v>
      </c>
      <c r="C6760" s="2" t="s">
        <v>12957</v>
      </c>
      <c r="D6760" s="2" t="s">
        <v>13</v>
      </c>
      <c r="E6760" s="2" t="s">
        <v>136</v>
      </c>
      <c r="F6760" s="2">
        <v>0.0</v>
      </c>
      <c r="G6760" s="2">
        <v>500.0</v>
      </c>
      <c r="H6760" s="3" t="str">
        <f>HYPERLINK("http://www.linkedin.com/pub/heidi-roizen/0/11/b39","http://www.linkedin.com/pub/heidi-roizen/0/11/b39")</f>
        <v>http://www.linkedin.com/pub/heidi-roizen/0/11/b39</v>
      </c>
      <c r="I6760" s="2" t="s">
        <v>15</v>
      </c>
      <c r="J6760" s="2" t="s">
        <v>102</v>
      </c>
      <c r="K6760" s="2" t="s">
        <v>10619</v>
      </c>
    </row>
    <row r="6761" ht="15.75" customHeight="1">
      <c r="A6761" s="2">
        <v>40041.0</v>
      </c>
      <c r="B6761" s="2" t="s">
        <v>4367</v>
      </c>
      <c r="C6761" s="2" t="s">
        <v>12958</v>
      </c>
      <c r="D6761" s="2" t="s">
        <v>304</v>
      </c>
      <c r="E6761" s="2" t="s">
        <v>136</v>
      </c>
      <c r="F6761" s="2">
        <v>2.0</v>
      </c>
      <c r="G6761" s="2">
        <v>500.0</v>
      </c>
      <c r="H6761" s="3" t="str">
        <f>HYPERLINK("http://www.linkedin.com/pub/mitchell-kertzman/4/264/404","http://www.linkedin.com/pub/mitchell-kertzman/4/264/404")</f>
        <v>http://www.linkedin.com/pub/mitchell-kertzman/4/264/404</v>
      </c>
      <c r="I6761" s="2" t="s">
        <v>709</v>
      </c>
      <c r="J6761" s="2" t="s">
        <v>102</v>
      </c>
      <c r="K6761" s="2" t="s">
        <v>10206</v>
      </c>
    </row>
    <row r="6762" ht="15.75" customHeight="1">
      <c r="A6762" s="2">
        <v>40049.0</v>
      </c>
      <c r="B6762" s="2" t="s">
        <v>862</v>
      </c>
      <c r="C6762" s="2" t="s">
        <v>12959</v>
      </c>
      <c r="D6762" s="2" t="s">
        <v>289</v>
      </c>
      <c r="E6762" s="2" t="s">
        <v>20</v>
      </c>
      <c r="F6762" s="2" t="s">
        <v>13</v>
      </c>
      <c r="G6762" s="2">
        <v>258.0</v>
      </c>
      <c r="H6762" s="3" t="str">
        <f>HYPERLINK("http://ar.linkedin.com/in/gabrielciaburri","http://ar.linkedin.com/in/gabrielciaburri")</f>
        <v>http://ar.linkedin.com/in/gabrielciaburri</v>
      </c>
      <c r="I6762" s="2" t="s">
        <v>15</v>
      </c>
      <c r="J6762" s="2" t="s">
        <v>21</v>
      </c>
      <c r="K6762" s="2" t="s">
        <v>10206</v>
      </c>
    </row>
    <row r="6763" ht="15.75" customHeight="1">
      <c r="A6763" s="2">
        <v>40066.0</v>
      </c>
      <c r="B6763" s="2" t="s">
        <v>2247</v>
      </c>
      <c r="C6763" s="2" t="s">
        <v>12960</v>
      </c>
      <c r="D6763" s="2" t="s">
        <v>12961</v>
      </c>
      <c r="E6763" s="2" t="s">
        <v>136</v>
      </c>
      <c r="F6763" s="2">
        <v>5.0</v>
      </c>
      <c r="G6763" s="2">
        <v>500.0</v>
      </c>
      <c r="H6763" s="3" t="str">
        <f>HYPERLINK("http://www.linkedin.com/in/harishlyall","http://www.linkedin.com/in/harishlyall")</f>
        <v>http://www.linkedin.com/in/harishlyall</v>
      </c>
      <c r="I6763" s="2" t="s">
        <v>15</v>
      </c>
      <c r="J6763" s="2" t="s">
        <v>102</v>
      </c>
      <c r="K6763" s="2" t="s">
        <v>10184</v>
      </c>
    </row>
    <row r="6764" ht="15.75" customHeight="1">
      <c r="A6764" s="2">
        <v>40067.0</v>
      </c>
      <c r="B6764" s="2" t="s">
        <v>12962</v>
      </c>
      <c r="C6764" s="2" t="s">
        <v>12963</v>
      </c>
      <c r="D6764" s="2"/>
      <c r="E6764" s="2" t="s">
        <v>136</v>
      </c>
      <c r="F6764" s="2">
        <v>2.0</v>
      </c>
      <c r="G6764" s="2">
        <v>468.0</v>
      </c>
      <c r="H6764" s="3" t="str">
        <f>HYPERLINK("http://www.linkedin.com/in/aparup","http://www.linkedin.com/in/aparup")</f>
        <v>http://www.linkedin.com/in/aparup</v>
      </c>
      <c r="I6764" s="2" t="s">
        <v>48</v>
      </c>
      <c r="J6764" s="2" t="s">
        <v>102</v>
      </c>
      <c r="K6764" s="2" t="s">
        <v>10184</v>
      </c>
    </row>
    <row r="6765" ht="15.75" customHeight="1">
      <c r="A6765" s="2">
        <v>40069.0</v>
      </c>
      <c r="B6765" s="2" t="s">
        <v>671</v>
      </c>
      <c r="C6765" s="2" t="s">
        <v>8790</v>
      </c>
      <c r="D6765" s="2" t="s">
        <v>12964</v>
      </c>
      <c r="E6765" s="2" t="s">
        <v>20</v>
      </c>
      <c r="F6765" s="2">
        <v>3.0</v>
      </c>
      <c r="G6765" s="2">
        <v>242.0</v>
      </c>
      <c r="H6765" s="3" t="str">
        <f>HYPERLINK("http://ar.linkedin.com/pub/mariana-fern%C3%A1ndez/A/4B6/755","http://ar.linkedin.com/pub/mariana-fern%C3%A1ndez/A/4B6/755")</f>
        <v>http://ar.linkedin.com/pub/mariana-fern%C3%A1ndez/A/4B6/755</v>
      </c>
      <c r="I6765" s="2" t="s">
        <v>15</v>
      </c>
      <c r="J6765" s="2" t="s">
        <v>21</v>
      </c>
      <c r="K6765" s="2" t="s">
        <v>10196</v>
      </c>
    </row>
    <row r="6766" ht="15.75" customHeight="1">
      <c r="A6766" s="2">
        <v>40070.0</v>
      </c>
      <c r="B6766" s="2" t="s">
        <v>12965</v>
      </c>
      <c r="C6766" s="2" t="s">
        <v>12731</v>
      </c>
      <c r="D6766" s="2" t="s">
        <v>12966</v>
      </c>
      <c r="E6766" s="2" t="s">
        <v>457</v>
      </c>
      <c r="F6766" s="2">
        <v>8.0</v>
      </c>
      <c r="G6766" s="2">
        <v>457.0</v>
      </c>
      <c r="H6766" s="3" t="str">
        <f>HYPERLINK("http://www.linkedin.com/in/ashwinshukla","http://www.linkedin.com/in/ashwinshukla")</f>
        <v>http://www.linkedin.com/in/ashwinshukla</v>
      </c>
      <c r="I6766" s="2" t="s">
        <v>48</v>
      </c>
      <c r="J6766" s="2" t="s">
        <v>102</v>
      </c>
      <c r="K6766" s="2" t="s">
        <v>10184</v>
      </c>
    </row>
    <row r="6767" ht="15.75" customHeight="1">
      <c r="A6767" s="2">
        <v>40080.0</v>
      </c>
      <c r="B6767" s="2" t="s">
        <v>845</v>
      </c>
      <c r="C6767" s="2" t="s">
        <v>12967</v>
      </c>
      <c r="D6767" s="2"/>
      <c r="E6767" s="2" t="s">
        <v>136</v>
      </c>
      <c r="F6767" s="2">
        <v>2.0</v>
      </c>
      <c r="G6767" s="2">
        <v>500.0</v>
      </c>
      <c r="H6767" s="3" t="str">
        <f>HYPERLINK("http://www.linkedin.com/in/davidandrzejek","http://www.linkedin.com/in/davidandrzejek")</f>
        <v>http://www.linkedin.com/in/davidandrzejek</v>
      </c>
      <c r="I6767" s="2" t="s">
        <v>48</v>
      </c>
      <c r="J6767" s="2" t="s">
        <v>102</v>
      </c>
      <c r="K6767" s="2" t="s">
        <v>10184</v>
      </c>
    </row>
    <row r="6768" ht="15.75" customHeight="1">
      <c r="A6768" s="2">
        <v>40085.0</v>
      </c>
      <c r="B6768" s="2" t="s">
        <v>12968</v>
      </c>
      <c r="C6768" s="2" t="s">
        <v>1153</v>
      </c>
      <c r="D6768" s="2"/>
      <c r="E6768" s="2" t="s">
        <v>713</v>
      </c>
      <c r="F6768" s="2">
        <v>11.0</v>
      </c>
      <c r="G6768" s="2">
        <v>500.0</v>
      </c>
      <c r="H6768" s="3" t="str">
        <f>HYPERLINK("http://www.linkedin.com/pub/karyn-brown/1/6B7/326","http://www.linkedin.com/pub/karyn-brown/1/6B7/326")</f>
        <v>http://www.linkedin.com/pub/karyn-brown/1/6B7/326</v>
      </c>
      <c r="I6768" s="2" t="s">
        <v>15</v>
      </c>
      <c r="J6768" s="2" t="s">
        <v>102</v>
      </c>
      <c r="K6768" s="2" t="s">
        <v>10184</v>
      </c>
    </row>
    <row r="6769" ht="15.75" customHeight="1">
      <c r="A6769" s="2">
        <v>40094.0</v>
      </c>
      <c r="B6769" s="2" t="s">
        <v>11060</v>
      </c>
      <c r="C6769" s="2" t="s">
        <v>3092</v>
      </c>
      <c r="D6769" s="2" t="s">
        <v>12969</v>
      </c>
      <c r="E6769" s="2" t="s">
        <v>136</v>
      </c>
      <c r="F6769" s="2">
        <v>0.0</v>
      </c>
      <c r="G6769" s="2">
        <v>500.0</v>
      </c>
      <c r="H6769" s="3" t="str">
        <f>HYPERLINK("http://www.linkedin.com/pub/ajay-patel/0/820/851","http://www.linkedin.com/pub/ajay-patel/0/820/851")</f>
        <v>http://www.linkedin.com/pub/ajay-patel/0/820/851</v>
      </c>
      <c r="I6769" s="2" t="s">
        <v>48</v>
      </c>
      <c r="J6769" s="2" t="s">
        <v>102</v>
      </c>
      <c r="K6769" s="2" t="s">
        <v>10184</v>
      </c>
    </row>
    <row r="6770" ht="15.75" customHeight="1">
      <c r="A6770" s="2">
        <v>40100.0</v>
      </c>
      <c r="B6770" s="2" t="s">
        <v>5723</v>
      </c>
      <c r="C6770" s="2" t="s">
        <v>12970</v>
      </c>
      <c r="D6770" s="2" t="s">
        <v>13</v>
      </c>
      <c r="E6770" s="2" t="s">
        <v>20</v>
      </c>
      <c r="F6770" s="2">
        <v>0.0</v>
      </c>
      <c r="G6770" s="2">
        <v>292.0</v>
      </c>
      <c r="H6770" s="3" t="str">
        <f>HYPERLINK("http://www.linkedin.com/in/pablofullana","http://www.linkedin.com/in/pablofullana")</f>
        <v>http://www.linkedin.com/in/pablofullana</v>
      </c>
      <c r="I6770" s="2" t="s">
        <v>15</v>
      </c>
      <c r="J6770" s="2" t="s">
        <v>21</v>
      </c>
      <c r="K6770" s="2" t="s">
        <v>10173</v>
      </c>
    </row>
    <row r="6771" ht="15.75" customHeight="1">
      <c r="A6771" s="2">
        <v>40102.0</v>
      </c>
      <c r="B6771" s="2" t="s">
        <v>12971</v>
      </c>
      <c r="C6771" s="2" t="s">
        <v>12972</v>
      </c>
      <c r="D6771" s="2" t="s">
        <v>12973</v>
      </c>
      <c r="E6771" s="2" t="s">
        <v>20</v>
      </c>
      <c r="F6771" s="2">
        <v>9.0</v>
      </c>
      <c r="G6771" s="2">
        <v>178.0</v>
      </c>
      <c r="H6771" s="3" t="str">
        <f>HYPERLINK("http://ar.linkedin.com/in/sebastiangrimberg","http://ar.linkedin.com/in/sebastiangrimberg")</f>
        <v>http://ar.linkedin.com/in/sebastiangrimberg</v>
      </c>
      <c r="I6771" s="2" t="s">
        <v>15</v>
      </c>
      <c r="J6771" s="2" t="s">
        <v>21</v>
      </c>
      <c r="K6771" s="2" t="s">
        <v>10196</v>
      </c>
    </row>
    <row r="6772" ht="15.75" customHeight="1">
      <c r="A6772" s="2">
        <v>40105.0</v>
      </c>
      <c r="B6772" s="2" t="s">
        <v>12974</v>
      </c>
      <c r="C6772" s="2" t="s">
        <v>856</v>
      </c>
      <c r="D6772" s="2" t="s">
        <v>12975</v>
      </c>
      <c r="E6772" s="2" t="s">
        <v>136</v>
      </c>
      <c r="F6772" s="2">
        <v>2.0</v>
      </c>
      <c r="G6772" s="2">
        <v>500.0</v>
      </c>
      <c r="H6772" s="3" t="str">
        <f>HYPERLINK("http://www.linkedin.com/pub/anni-lai/0/1A0/429","http://www.linkedin.com/pub/anni-lai/0/1A0/429")</f>
        <v>http://www.linkedin.com/pub/anni-lai/0/1A0/429</v>
      </c>
      <c r="I6772" s="2" t="s">
        <v>77</v>
      </c>
      <c r="J6772" s="2" t="s">
        <v>102</v>
      </c>
      <c r="K6772" s="2" t="s">
        <v>10384</v>
      </c>
    </row>
    <row r="6773" ht="15.75" customHeight="1">
      <c r="A6773" s="2">
        <v>40113.0</v>
      </c>
      <c r="B6773" s="2" t="s">
        <v>12976</v>
      </c>
      <c r="C6773" s="2" t="s">
        <v>12977</v>
      </c>
      <c r="D6773" s="2"/>
      <c r="E6773" s="2" t="s">
        <v>181</v>
      </c>
      <c r="F6773" s="2">
        <v>9.0</v>
      </c>
      <c r="G6773" s="2">
        <v>500.0</v>
      </c>
      <c r="H6773" s="3" t="str">
        <f>HYPERLINK("http://www.linkedin.com/in/khalidzia","http://www.linkedin.com/in/khalidzia")</f>
        <v>http://www.linkedin.com/in/khalidzia</v>
      </c>
      <c r="I6773" s="2" t="s">
        <v>15</v>
      </c>
      <c r="J6773" s="2" t="s">
        <v>102</v>
      </c>
      <c r="K6773" s="2" t="s">
        <v>10184</v>
      </c>
    </row>
    <row r="6774" ht="15.75" customHeight="1">
      <c r="A6774" s="2">
        <v>40116.0</v>
      </c>
      <c r="B6774" s="2" t="s">
        <v>11636</v>
      </c>
      <c r="C6774" s="2" t="s">
        <v>12978</v>
      </c>
      <c r="D6774" s="2" t="s">
        <v>12979</v>
      </c>
      <c r="E6774" s="2" t="s">
        <v>235</v>
      </c>
      <c r="F6774" s="2">
        <v>17.0</v>
      </c>
      <c r="G6774" s="2">
        <v>500.0</v>
      </c>
      <c r="H6774" s="3" t="str">
        <f>HYPERLINK("http://www.linkedin.com/in/evanmacbeth","http://www.linkedin.com/in/evanmacbeth")</f>
        <v>http://www.linkedin.com/in/evanmacbeth</v>
      </c>
      <c r="I6774" s="2" t="s">
        <v>15</v>
      </c>
      <c r="J6774" s="2" t="s">
        <v>102</v>
      </c>
      <c r="K6774" s="2" t="s">
        <v>10245</v>
      </c>
    </row>
    <row r="6775" ht="15.75" customHeight="1">
      <c r="A6775" s="2">
        <v>40118.0</v>
      </c>
      <c r="B6775" s="2" t="s">
        <v>1523</v>
      </c>
      <c r="C6775" s="2" t="s">
        <v>12980</v>
      </c>
      <c r="D6775" s="2"/>
      <c r="E6775" s="2" t="s">
        <v>744</v>
      </c>
      <c r="F6775" s="2">
        <v>7.0</v>
      </c>
      <c r="G6775" s="2">
        <v>500.0</v>
      </c>
      <c r="H6775" s="3" t="str">
        <f>HYPERLINK("http://www.linkedin.com/pub/phil-mork/1/681/A53","http://www.linkedin.com/pub/phil-mork/1/681/A53")</f>
        <v>http://www.linkedin.com/pub/phil-mork/1/681/A53</v>
      </c>
      <c r="I6775" s="2" t="s">
        <v>1679</v>
      </c>
      <c r="J6775" s="2" t="s">
        <v>102</v>
      </c>
      <c r="K6775" s="2" t="s">
        <v>10206</v>
      </c>
    </row>
    <row r="6776" ht="15.75" customHeight="1">
      <c r="A6776" s="2">
        <v>40120.0</v>
      </c>
      <c r="B6776" s="2" t="s">
        <v>12981</v>
      </c>
      <c r="C6776" s="2" t="s">
        <v>12982</v>
      </c>
      <c r="D6776" s="2"/>
      <c r="E6776" s="2" t="s">
        <v>301</v>
      </c>
      <c r="F6776" s="2">
        <v>2.0</v>
      </c>
      <c r="G6776" s="2">
        <v>179.0</v>
      </c>
      <c r="H6776" s="3" t="str">
        <f>HYPERLINK("http://www.linkedin.com/pub/orest-jarosiewicz/3/487/68B","http://www.linkedin.com/pub/orest-jarosiewicz/3/487/68B")</f>
        <v>http://www.linkedin.com/pub/orest-jarosiewicz/3/487/68B</v>
      </c>
      <c r="I6776" s="2" t="s">
        <v>279</v>
      </c>
      <c r="J6776" s="2" t="s">
        <v>102</v>
      </c>
      <c r="K6776" s="2" t="s">
        <v>10206</v>
      </c>
    </row>
    <row r="6777" ht="15.75" customHeight="1">
      <c r="A6777" s="2">
        <v>40124.0</v>
      </c>
      <c r="B6777" s="2" t="s">
        <v>10272</v>
      </c>
      <c r="C6777" s="2" t="s">
        <v>12983</v>
      </c>
      <c r="D6777" s="2" t="s">
        <v>12984</v>
      </c>
      <c r="E6777" s="2" t="s">
        <v>181</v>
      </c>
      <c r="F6777" s="2">
        <v>1.0</v>
      </c>
      <c r="G6777" s="2">
        <v>337.0</v>
      </c>
      <c r="H6777" s="3" t="str">
        <f>HYPERLINK("http://www.linkedin.com/pub/rajesh-pandoh/2/579/BA","http://www.linkedin.com/pub/rajesh-pandoh/2/579/BA")</f>
        <v>http://www.linkedin.com/pub/rajesh-pandoh/2/579/BA</v>
      </c>
      <c r="I6777" s="2" t="s">
        <v>48</v>
      </c>
      <c r="J6777" s="2" t="s">
        <v>102</v>
      </c>
      <c r="K6777" s="2" t="s">
        <v>10184</v>
      </c>
    </row>
    <row r="6778" ht="15.75" customHeight="1">
      <c r="A6778" s="2">
        <v>40126.0</v>
      </c>
      <c r="B6778" s="2" t="s">
        <v>11617</v>
      </c>
      <c r="C6778" s="2" t="s">
        <v>12985</v>
      </c>
      <c r="D6778" s="2" t="s">
        <v>2274</v>
      </c>
      <c r="E6778" s="2" t="s">
        <v>713</v>
      </c>
      <c r="F6778" s="2">
        <v>8.0</v>
      </c>
      <c r="G6778" s="2">
        <v>368.0</v>
      </c>
      <c r="H6778" s="3" t="str">
        <f>HYPERLINK("http://www.linkedin.com/in/pgangal","http://www.linkedin.com/in/pgangal")</f>
        <v>http://www.linkedin.com/in/pgangal</v>
      </c>
      <c r="I6778" s="2" t="s">
        <v>15</v>
      </c>
      <c r="J6778" s="2" t="s">
        <v>102</v>
      </c>
      <c r="K6778" s="2" t="s">
        <v>10184</v>
      </c>
    </row>
    <row r="6779" ht="15.75" customHeight="1">
      <c r="A6779" s="2">
        <v>40130.0</v>
      </c>
      <c r="B6779" s="2" t="s">
        <v>408</v>
      </c>
      <c r="C6779" s="2" t="s">
        <v>12986</v>
      </c>
      <c r="D6779" s="2" t="s">
        <v>6098</v>
      </c>
      <c r="E6779" s="2" t="s">
        <v>713</v>
      </c>
      <c r="F6779" s="2">
        <v>5.0</v>
      </c>
      <c r="G6779" s="2">
        <v>191.0</v>
      </c>
      <c r="H6779" s="3" t="str">
        <f>HYPERLINK("http://www.linkedin.com/in/edwardzarecor","http://www.linkedin.com/in/edwardzarecor")</f>
        <v>http://www.linkedin.com/in/edwardzarecor</v>
      </c>
      <c r="I6779" s="2" t="s">
        <v>440</v>
      </c>
      <c r="J6779" s="2" t="s">
        <v>102</v>
      </c>
      <c r="K6779" s="2" t="s">
        <v>10940</v>
      </c>
    </row>
    <row r="6780" ht="15.75" customHeight="1">
      <c r="A6780" s="2">
        <v>40131.0</v>
      </c>
      <c r="B6780" s="2" t="s">
        <v>7086</v>
      </c>
      <c r="C6780" s="2" t="s">
        <v>12987</v>
      </c>
      <c r="D6780" s="2" t="s">
        <v>13</v>
      </c>
      <c r="E6780" s="2" t="s">
        <v>20</v>
      </c>
      <c r="F6780" s="2">
        <v>0.0</v>
      </c>
      <c r="G6780" s="2">
        <v>479.0</v>
      </c>
      <c r="H6780" s="3" t="str">
        <f>HYPERLINK("http://ar.linkedin.com/in/mauro3guerras","http://ar.linkedin.com/in/mauro3guerras")</f>
        <v>http://ar.linkedin.com/in/mauro3guerras</v>
      </c>
      <c r="I6780" s="2" t="s">
        <v>69</v>
      </c>
      <c r="J6780" s="2" t="s">
        <v>21</v>
      </c>
      <c r="K6780" s="2" t="s">
        <v>10178</v>
      </c>
    </row>
    <row r="6781" ht="15.75" customHeight="1">
      <c r="A6781" s="2">
        <v>40132.0</v>
      </c>
      <c r="B6781" s="2" t="s">
        <v>12988</v>
      </c>
      <c r="C6781" s="2" t="s">
        <v>12989</v>
      </c>
      <c r="D6781" s="2" t="s">
        <v>12990</v>
      </c>
      <c r="E6781" s="2" t="s">
        <v>713</v>
      </c>
      <c r="F6781" s="2">
        <v>1.0</v>
      </c>
      <c r="G6781" s="2">
        <v>32.0</v>
      </c>
      <c r="H6781" s="3" t="str">
        <f>HYPERLINK("http://www.linkedin.com/pub/ziad-alsukairy/0/B96/9B1","http://www.linkedin.com/pub/ziad-alsukairy/0/B96/9B1")</f>
        <v>http://www.linkedin.com/pub/ziad-alsukairy/0/B96/9B1</v>
      </c>
      <c r="I6781" s="2" t="s">
        <v>15</v>
      </c>
      <c r="J6781" s="2" t="s">
        <v>102</v>
      </c>
      <c r="K6781" s="2" t="s">
        <v>10184</v>
      </c>
    </row>
    <row r="6782" ht="15.75" customHeight="1">
      <c r="A6782" s="2">
        <v>40133.0</v>
      </c>
      <c r="B6782" s="2" t="s">
        <v>4569</v>
      </c>
      <c r="C6782" s="2" t="s">
        <v>12991</v>
      </c>
      <c r="D6782" s="2" t="s">
        <v>12992</v>
      </c>
      <c r="E6782" s="2" t="s">
        <v>20</v>
      </c>
      <c r="F6782" s="2">
        <v>13.0</v>
      </c>
      <c r="G6782" s="2">
        <v>361.0</v>
      </c>
      <c r="H6782" s="3" t="str">
        <f>HYPERLINK("http://ar.linkedin.com/in/samanthaiapichino","http://ar.linkedin.com/in/samanthaiapichino")</f>
        <v>http://ar.linkedin.com/in/samanthaiapichino</v>
      </c>
      <c r="I6782" s="2" t="s">
        <v>143</v>
      </c>
      <c r="J6782" s="2" t="s">
        <v>21</v>
      </c>
      <c r="K6782" s="2" t="s">
        <v>10196</v>
      </c>
    </row>
    <row r="6783" ht="15.75" customHeight="1">
      <c r="A6783" s="2">
        <v>40134.0</v>
      </c>
      <c r="B6783" s="2" t="s">
        <v>511</v>
      </c>
      <c r="C6783" s="2" t="s">
        <v>11145</v>
      </c>
      <c r="D6783" s="2" t="s">
        <v>12993</v>
      </c>
      <c r="E6783" s="2" t="s">
        <v>713</v>
      </c>
      <c r="F6783" s="2">
        <v>0.0</v>
      </c>
      <c r="G6783" s="2">
        <v>358.0</v>
      </c>
      <c r="H6783" s="3" t="str">
        <f>HYPERLINK("http://www.linkedin.com/pub/mike-broderick/0/497/A69","http://www.linkedin.com/pub/mike-broderick/0/497/A69")</f>
        <v>http://www.linkedin.com/pub/mike-broderick/0/497/A69</v>
      </c>
      <c r="I6783" s="2" t="s">
        <v>15</v>
      </c>
      <c r="J6783" s="2" t="s">
        <v>102</v>
      </c>
      <c r="K6783" s="2" t="s">
        <v>10184</v>
      </c>
    </row>
    <row r="6784" ht="15.75" customHeight="1">
      <c r="A6784" s="2">
        <v>40150.0</v>
      </c>
      <c r="B6784" s="2" t="s">
        <v>341</v>
      </c>
      <c r="C6784" s="2" t="s">
        <v>12994</v>
      </c>
      <c r="D6784" s="2" t="s">
        <v>12995</v>
      </c>
      <c r="E6784" s="2" t="s">
        <v>2161</v>
      </c>
      <c r="F6784" s="2">
        <v>26.0</v>
      </c>
      <c r="G6784" s="2">
        <v>500.0</v>
      </c>
      <c r="H6784" s="3" t="str">
        <f>HYPERLINK("http://www.linkedin.com/in/gsicorp","http://www.linkedin.com/in/gsicorp")</f>
        <v>http://www.linkedin.com/in/gsicorp</v>
      </c>
      <c r="I6784" s="2" t="s">
        <v>248</v>
      </c>
      <c r="J6784" s="2" t="s">
        <v>102</v>
      </c>
      <c r="K6784" s="2" t="s">
        <v>10362</v>
      </c>
    </row>
    <row r="6785" ht="15.75" customHeight="1">
      <c r="A6785" s="2">
        <v>40177.0</v>
      </c>
      <c r="B6785" s="2" t="s">
        <v>2006</v>
      </c>
      <c r="C6785" s="2" t="s">
        <v>12718</v>
      </c>
      <c r="D6785" s="2"/>
      <c r="E6785" s="2" t="s">
        <v>136</v>
      </c>
      <c r="F6785" s="2">
        <v>37.0</v>
      </c>
      <c r="G6785" s="2">
        <v>500.0</v>
      </c>
      <c r="H6785" s="3" t="str">
        <f>HYPERLINK("http://www.linkedin.com/pub/gilbert-lau/0/68A/518","http://www.linkedin.com/pub/gilbert-lau/0/68A/518")</f>
        <v>http://www.linkedin.com/pub/gilbert-lau/0/68A/518</v>
      </c>
      <c r="I6785" s="2" t="s">
        <v>48</v>
      </c>
      <c r="J6785" s="2" t="s">
        <v>102</v>
      </c>
      <c r="K6785" s="2" t="s">
        <v>10184</v>
      </c>
    </row>
    <row r="6786" ht="15.75" customHeight="1">
      <c r="A6786" s="2">
        <v>40180.0</v>
      </c>
      <c r="B6786" s="2" t="s">
        <v>3175</v>
      </c>
      <c r="C6786" s="2" t="s">
        <v>1185</v>
      </c>
      <c r="D6786" s="2" t="s">
        <v>12996</v>
      </c>
      <c r="E6786" s="2" t="s">
        <v>219</v>
      </c>
      <c r="F6786" s="2">
        <v>3.0</v>
      </c>
      <c r="G6786" s="2">
        <v>500.0</v>
      </c>
      <c r="H6786" s="3" t="str">
        <f>HYPERLINK("http://www.linkedin.com/in/danielaxavier","http://www.linkedin.com/in/danielaxavier")</f>
        <v>http://www.linkedin.com/in/danielaxavier</v>
      </c>
      <c r="I6786" s="2" t="s">
        <v>48</v>
      </c>
      <c r="J6786" s="2" t="s">
        <v>220</v>
      </c>
      <c r="K6786" s="2" t="s">
        <v>10206</v>
      </c>
    </row>
    <row r="6787" ht="15.75" customHeight="1">
      <c r="A6787" s="2">
        <v>40188.0</v>
      </c>
      <c r="B6787" s="2" t="s">
        <v>12997</v>
      </c>
      <c r="C6787" s="2" t="s">
        <v>1990</v>
      </c>
      <c r="D6787" s="2" t="s">
        <v>13</v>
      </c>
      <c r="E6787" s="2" t="s">
        <v>181</v>
      </c>
      <c r="F6787" s="2">
        <v>3.0</v>
      </c>
      <c r="G6787" s="2">
        <v>419.0</v>
      </c>
      <c r="H6787" s="3" t="str">
        <f>HYPERLINK("http://www.linkedin.com/pub/byron-liu/1/683/871","http://www.linkedin.com/pub/byron-liu/1/683/871")</f>
        <v>http://www.linkedin.com/pub/byron-liu/1/683/871</v>
      </c>
      <c r="I6787" s="2" t="s">
        <v>15</v>
      </c>
      <c r="J6787" s="2" t="s">
        <v>102</v>
      </c>
      <c r="K6787" s="2" t="s">
        <v>10209</v>
      </c>
    </row>
    <row r="6788" ht="15.75" customHeight="1">
      <c r="A6788" s="2">
        <v>40196.0</v>
      </c>
      <c r="B6788" s="2" t="s">
        <v>12998</v>
      </c>
      <c r="C6788" s="2" t="s">
        <v>664</v>
      </c>
      <c r="D6788" s="2" t="s">
        <v>6341</v>
      </c>
      <c r="E6788" s="2" t="s">
        <v>4951</v>
      </c>
      <c r="F6788" s="2">
        <v>19.0</v>
      </c>
      <c r="G6788" s="2">
        <v>500.0</v>
      </c>
      <c r="H6788" s="3" t="str">
        <f>HYPERLINK("http://www.linkedin.com/in/jpgordon","http://www.linkedin.com/in/jpgordon")</f>
        <v>http://www.linkedin.com/in/jpgordon</v>
      </c>
      <c r="I6788" s="2" t="s">
        <v>48</v>
      </c>
      <c r="J6788" s="2" t="s">
        <v>102</v>
      </c>
      <c r="K6788" s="2" t="s">
        <v>10263</v>
      </c>
    </row>
    <row r="6789" ht="15.75" customHeight="1">
      <c r="A6789" s="2">
        <v>40202.0</v>
      </c>
      <c r="B6789" s="2" t="s">
        <v>12999</v>
      </c>
      <c r="C6789" s="2" t="s">
        <v>1038</v>
      </c>
      <c r="D6789" s="2" t="s">
        <v>9727</v>
      </c>
      <c r="E6789" s="2" t="s">
        <v>713</v>
      </c>
      <c r="F6789" s="2">
        <v>1.0</v>
      </c>
      <c r="G6789" s="2">
        <v>354.0</v>
      </c>
      <c r="H6789" s="3" t="str">
        <f>HYPERLINK("http://www.linkedin.com/in/cchunsheng","http://www.linkedin.com/in/cchunsheng")</f>
        <v>http://www.linkedin.com/in/cchunsheng</v>
      </c>
      <c r="I6789" s="2" t="s">
        <v>48</v>
      </c>
      <c r="J6789" s="2" t="s">
        <v>102</v>
      </c>
      <c r="K6789" s="2" t="s">
        <v>10233</v>
      </c>
    </row>
    <row r="6790" ht="15.75" customHeight="1">
      <c r="A6790" s="2">
        <v>40206.0</v>
      </c>
      <c r="B6790" s="2" t="s">
        <v>6232</v>
      </c>
      <c r="C6790" s="2" t="s">
        <v>13000</v>
      </c>
      <c r="D6790" s="2" t="s">
        <v>13</v>
      </c>
      <c r="E6790" s="2" t="s">
        <v>20</v>
      </c>
      <c r="F6790" s="2">
        <v>0.0</v>
      </c>
      <c r="G6790" s="2">
        <v>455.0</v>
      </c>
      <c r="H6790" s="3" t="str">
        <f>HYPERLINK("http://www.linkedin.com/pub/emiliano-ricci-aparicio/b/5b9/291","http://www.linkedin.com/pub/emiliano-ricci-aparicio/b/5b9/291")</f>
        <v>http://www.linkedin.com/pub/emiliano-ricci-aparicio/b/5b9/291</v>
      </c>
      <c r="I6790" s="2" t="s">
        <v>15</v>
      </c>
      <c r="J6790" s="2" t="s">
        <v>21</v>
      </c>
      <c r="K6790" s="2" t="s">
        <v>10196</v>
      </c>
    </row>
    <row r="6791" ht="15.75" customHeight="1">
      <c r="A6791" s="2">
        <v>40207.0</v>
      </c>
      <c r="B6791" s="2" t="s">
        <v>13001</v>
      </c>
      <c r="C6791" s="2" t="s">
        <v>13002</v>
      </c>
      <c r="D6791" s="2" t="s">
        <v>13003</v>
      </c>
      <c r="E6791" s="2" t="s">
        <v>13004</v>
      </c>
      <c r="F6791" s="2">
        <v>6.0</v>
      </c>
      <c r="G6791" s="2">
        <v>500.0</v>
      </c>
      <c r="H6791" s="3" t="str">
        <f>HYPERLINK("http://www.linkedin.com/pub/saify-lanewala/0/207/A37","http://www.linkedin.com/pub/saify-lanewala/0/207/A37")</f>
        <v>http://www.linkedin.com/pub/saify-lanewala/0/207/A37</v>
      </c>
      <c r="I6791" s="2" t="s">
        <v>48</v>
      </c>
      <c r="J6791" s="2" t="s">
        <v>102</v>
      </c>
      <c r="K6791" s="2" t="s">
        <v>10176</v>
      </c>
    </row>
    <row r="6792" ht="15.75" customHeight="1">
      <c r="A6792" s="2">
        <v>40231.0</v>
      </c>
      <c r="B6792" s="2" t="s">
        <v>5732</v>
      </c>
      <c r="C6792" s="2" t="s">
        <v>13005</v>
      </c>
      <c r="D6792" s="2" t="s">
        <v>13006</v>
      </c>
      <c r="E6792" s="2" t="s">
        <v>20</v>
      </c>
      <c r="F6792" s="2">
        <v>19.0</v>
      </c>
      <c r="G6792" s="2">
        <v>500.0</v>
      </c>
      <c r="H6792" s="3" t="str">
        <f>HYPERLINK("http://ar.linkedin.com/in/molmi","http://ar.linkedin.com/in/molmi")</f>
        <v>http://ar.linkedin.com/in/molmi</v>
      </c>
      <c r="I6792" s="2" t="s">
        <v>69</v>
      </c>
      <c r="J6792" s="2" t="s">
        <v>21</v>
      </c>
      <c r="K6792" s="2" t="s">
        <v>10180</v>
      </c>
    </row>
    <row r="6793" ht="15.75" customHeight="1">
      <c r="A6793" s="2">
        <v>40265.0</v>
      </c>
      <c r="B6793" s="2" t="s">
        <v>5761</v>
      </c>
      <c r="C6793" s="2" t="s">
        <v>13007</v>
      </c>
      <c r="D6793" s="2" t="s">
        <v>13008</v>
      </c>
      <c r="E6793" s="2" t="s">
        <v>20</v>
      </c>
      <c r="F6793" s="2">
        <v>4.0</v>
      </c>
      <c r="G6793" s="2">
        <v>393.0</v>
      </c>
      <c r="H6793" s="3" t="str">
        <f>HYPERLINK("http://ar.linkedin.com/in/florsanoner","http://ar.linkedin.com/in/florsanoner")</f>
        <v>http://ar.linkedin.com/in/florsanoner</v>
      </c>
      <c r="I6793" s="2" t="s">
        <v>69</v>
      </c>
      <c r="J6793" s="2" t="s">
        <v>21</v>
      </c>
      <c r="K6793" s="2" t="s">
        <v>10196</v>
      </c>
    </row>
    <row r="6794" ht="15.75" customHeight="1">
      <c r="A6794" s="2">
        <v>40272.0</v>
      </c>
      <c r="B6794" s="2" t="s">
        <v>523</v>
      </c>
      <c r="C6794" s="2" t="s">
        <v>13009</v>
      </c>
      <c r="D6794" s="2" t="s">
        <v>13010</v>
      </c>
      <c r="E6794" s="2" t="s">
        <v>20</v>
      </c>
      <c r="F6794" s="2">
        <v>13.0</v>
      </c>
      <c r="G6794" s="2">
        <v>500.0</v>
      </c>
      <c r="H6794" s="3" t="str">
        <f>HYPERLINK("http://www.linkedin.com/in/iroizman","http://www.linkedin.com/in/iroizman")</f>
        <v>http://www.linkedin.com/in/iroizman</v>
      </c>
      <c r="I6794" s="2" t="s">
        <v>105</v>
      </c>
      <c r="J6794" s="2" t="s">
        <v>21</v>
      </c>
      <c r="K6794" s="2" t="s">
        <v>10206</v>
      </c>
    </row>
    <row r="6795" ht="15.75" customHeight="1">
      <c r="A6795" s="2">
        <v>40289.0</v>
      </c>
      <c r="B6795" s="2" t="s">
        <v>677</v>
      </c>
      <c r="C6795" s="2" t="s">
        <v>13011</v>
      </c>
      <c r="D6795" s="2" t="s">
        <v>13012</v>
      </c>
      <c r="E6795" s="2" t="s">
        <v>1093</v>
      </c>
      <c r="F6795" s="2">
        <v>3.0</v>
      </c>
      <c r="G6795" s="2">
        <v>500.0</v>
      </c>
      <c r="H6795" s="3" t="str">
        <f>HYPERLINK("http://www.linkedin.com/in/danielmauricioguzman","http://www.linkedin.com/in/danielmauricioguzman")</f>
        <v>http://www.linkedin.com/in/danielmauricioguzman</v>
      </c>
      <c r="I6795" s="2" t="s">
        <v>15</v>
      </c>
      <c r="J6795" s="2" t="s">
        <v>1095</v>
      </c>
      <c r="K6795" s="2" t="s">
        <v>10196</v>
      </c>
    </row>
    <row r="6796" ht="15.75" customHeight="1">
      <c r="A6796" s="2">
        <v>40304.0</v>
      </c>
      <c r="B6796" s="2" t="s">
        <v>6778</v>
      </c>
      <c r="C6796" s="2" t="s">
        <v>6776</v>
      </c>
      <c r="D6796" s="2" t="s">
        <v>13013</v>
      </c>
      <c r="E6796" s="2" t="s">
        <v>20</v>
      </c>
      <c r="F6796" s="2" t="s">
        <v>13</v>
      </c>
      <c r="G6796" s="2">
        <v>278.0</v>
      </c>
      <c r="H6796" s="3" t="str">
        <f>HYPERLINK("http://ar.linkedin.com/pub/julieta-piazza/A/85/30B","http://ar.linkedin.com/pub/julieta-piazza/A/85/30B")</f>
        <v>http://ar.linkedin.com/pub/julieta-piazza/A/85/30B</v>
      </c>
      <c r="I6796" s="2" t="s">
        <v>910</v>
      </c>
      <c r="J6796" s="2" t="s">
        <v>21</v>
      </c>
      <c r="K6796" s="2" t="s">
        <v>12192</v>
      </c>
    </row>
    <row r="6797" ht="15.75" customHeight="1">
      <c r="A6797" s="2">
        <v>40311.0</v>
      </c>
      <c r="B6797" s="2" t="s">
        <v>677</v>
      </c>
      <c r="C6797" s="2" t="s">
        <v>13014</v>
      </c>
      <c r="D6797" s="2" t="s">
        <v>1966</v>
      </c>
      <c r="E6797" s="2" t="s">
        <v>20</v>
      </c>
      <c r="F6797" s="2">
        <v>2.0</v>
      </c>
      <c r="G6797" s="2">
        <v>500.0</v>
      </c>
      <c r="H6797" s="3" t="str">
        <f>HYPERLINK("http://ar.linkedin.com/in/danieldron","http://ar.linkedin.com/in/danieldron")</f>
        <v>http://ar.linkedin.com/in/danieldron</v>
      </c>
      <c r="I6797" s="2" t="s">
        <v>440</v>
      </c>
      <c r="J6797" s="2" t="s">
        <v>21</v>
      </c>
      <c r="K6797" s="2" t="s">
        <v>10224</v>
      </c>
    </row>
    <row r="6798" ht="15.75" customHeight="1">
      <c r="A6798" s="2">
        <v>40320.0</v>
      </c>
      <c r="B6798" s="2" t="s">
        <v>13015</v>
      </c>
      <c r="C6798" s="2" t="s">
        <v>13016</v>
      </c>
      <c r="D6798" s="2" t="s">
        <v>13017</v>
      </c>
      <c r="E6798" s="2" t="s">
        <v>20</v>
      </c>
      <c r="F6798" s="2">
        <v>8.0</v>
      </c>
      <c r="G6798" s="2">
        <v>326.0</v>
      </c>
      <c r="H6798" s="3" t="str">
        <f>HYPERLINK("http://ar.linkedin.com/in/pacoestevarena","http://ar.linkedin.com/in/pacoestevarena")</f>
        <v>http://ar.linkedin.com/in/pacoestevarena</v>
      </c>
      <c r="I6798" s="2" t="s">
        <v>105</v>
      </c>
      <c r="J6798" s="2" t="s">
        <v>21</v>
      </c>
      <c r="K6798" s="2" t="s">
        <v>10727</v>
      </c>
    </row>
    <row r="6799" ht="15.75" customHeight="1">
      <c r="A6799" s="2">
        <v>40332.0</v>
      </c>
      <c r="B6799" s="2" t="s">
        <v>353</v>
      </c>
      <c r="C6799" s="2" t="s">
        <v>13018</v>
      </c>
      <c r="D6799" s="2" t="s">
        <v>428</v>
      </c>
      <c r="E6799" s="2" t="s">
        <v>20</v>
      </c>
      <c r="F6799" s="2">
        <v>7.0</v>
      </c>
      <c r="G6799" s="2">
        <v>500.0</v>
      </c>
      <c r="H6799" s="3" t="str">
        <f>HYPERLINK("http://ar.linkedin.com/in/alejandroaguilera","http://ar.linkedin.com/in/alejandroaguilera")</f>
        <v>http://ar.linkedin.com/in/alejandroaguilera</v>
      </c>
      <c r="I6799" s="2" t="s">
        <v>15</v>
      </c>
      <c r="J6799" s="2" t="s">
        <v>21</v>
      </c>
      <c r="K6799" s="2" t="s">
        <v>10196</v>
      </c>
    </row>
    <row r="6800" ht="15.75" customHeight="1">
      <c r="A6800" s="2">
        <v>40336.0</v>
      </c>
      <c r="B6800" s="2" t="s">
        <v>637</v>
      </c>
      <c r="C6800" s="2" t="s">
        <v>12465</v>
      </c>
      <c r="D6800" s="2" t="s">
        <v>13</v>
      </c>
      <c r="E6800" s="2" t="s">
        <v>20</v>
      </c>
      <c r="F6800" s="2">
        <v>0.0</v>
      </c>
      <c r="G6800" s="2">
        <v>500.0</v>
      </c>
      <c r="H6800" s="3" t="str">
        <f>HYPERLINK("http://www.linkedin.com/pub/leonardo-de-francesco/13/709/34a","http://www.linkedin.com/pub/leonardo-de-francesco/13/709/34a")</f>
        <v>http://www.linkedin.com/pub/leonardo-de-francesco/13/709/34a</v>
      </c>
      <c r="I6800" s="2" t="s">
        <v>1278</v>
      </c>
      <c r="J6800" s="2" t="s">
        <v>21</v>
      </c>
      <c r="K6800" s="2" t="s">
        <v>10196</v>
      </c>
    </row>
    <row r="6801" ht="15.75" customHeight="1">
      <c r="A6801" s="2">
        <v>40337.0</v>
      </c>
      <c r="B6801" s="2" t="s">
        <v>59</v>
      </c>
      <c r="C6801" s="2" t="s">
        <v>13019</v>
      </c>
      <c r="D6801" s="2" t="s">
        <v>13020</v>
      </c>
      <c r="E6801" s="2" t="s">
        <v>20</v>
      </c>
      <c r="F6801" s="2" t="s">
        <v>13</v>
      </c>
      <c r="G6801" s="2">
        <v>500.0</v>
      </c>
      <c r="H6801" s="3" t="str">
        <f>HYPERLINK("http://ar.linkedin.com/in/martinlawson","http://ar.linkedin.com/in/martinlawson")</f>
        <v>http://ar.linkedin.com/in/martinlawson</v>
      </c>
      <c r="I6801" s="2" t="s">
        <v>69</v>
      </c>
      <c r="J6801" s="2" t="s">
        <v>21</v>
      </c>
      <c r="K6801" s="2" t="s">
        <v>10224</v>
      </c>
    </row>
    <row r="6802" ht="15.75" customHeight="1">
      <c r="A6802" s="2">
        <v>40345.0</v>
      </c>
      <c r="B6802" s="2" t="s">
        <v>9733</v>
      </c>
      <c r="C6802" s="2" t="s">
        <v>13021</v>
      </c>
      <c r="D6802" s="2" t="s">
        <v>13022</v>
      </c>
      <c r="E6802" s="2" t="s">
        <v>20</v>
      </c>
      <c r="F6802" s="2">
        <v>4.0</v>
      </c>
      <c r="G6802" s="2">
        <v>500.0</v>
      </c>
      <c r="H6802" s="3" t="str">
        <f>HYPERLINK("http://www.linkedin.com/pub/lucila-biasco/7/72/4a3","http://www.linkedin.com/pub/lucila-biasco/7/72/4a3")</f>
        <v>http://www.linkedin.com/pub/lucila-biasco/7/72/4a3</v>
      </c>
      <c r="I6802" s="2" t="s">
        <v>844</v>
      </c>
      <c r="J6802" s="2" t="s">
        <v>21</v>
      </c>
      <c r="K6802" s="2" t="s">
        <v>10196</v>
      </c>
    </row>
    <row r="6803" ht="15.75" customHeight="1">
      <c r="A6803" s="2">
        <v>40354.0</v>
      </c>
      <c r="B6803" s="2" t="s">
        <v>431</v>
      </c>
      <c r="C6803" s="2" t="s">
        <v>13023</v>
      </c>
      <c r="D6803" s="2" t="s">
        <v>13</v>
      </c>
      <c r="E6803" s="2" t="s">
        <v>20</v>
      </c>
      <c r="F6803" s="2">
        <v>0.0</v>
      </c>
      <c r="G6803" s="2">
        <v>500.0</v>
      </c>
      <c r="H6803" s="3" t="str">
        <f>HYPERLINK("http://www.linkedin.com/in/rbenzaquen","http://www.linkedin.com/in/rbenzaquen")</f>
        <v>http://www.linkedin.com/in/rbenzaquen</v>
      </c>
      <c r="I6803" s="2" t="s">
        <v>48</v>
      </c>
      <c r="J6803" s="2" t="s">
        <v>21</v>
      </c>
      <c r="K6803" s="2" t="s">
        <v>10176</v>
      </c>
    </row>
    <row r="6804" ht="15.75" customHeight="1">
      <c r="A6804" s="2">
        <v>40359.0</v>
      </c>
      <c r="B6804" s="2" t="s">
        <v>506</v>
      </c>
      <c r="C6804" s="2" t="s">
        <v>1729</v>
      </c>
      <c r="D6804" s="2" t="s">
        <v>13024</v>
      </c>
      <c r="E6804" s="2" t="s">
        <v>20</v>
      </c>
      <c r="F6804" s="2">
        <v>12.0</v>
      </c>
      <c r="G6804" s="2">
        <v>475.0</v>
      </c>
      <c r="H6804" s="3" t="str">
        <f>HYPERLINK("http://ar.linkedin.com/in/joseymartinez","http://ar.linkedin.com/in/joseymartinez")</f>
        <v>http://ar.linkedin.com/in/joseymartinez</v>
      </c>
      <c r="I6804" s="2" t="s">
        <v>69</v>
      </c>
      <c r="J6804" s="2" t="s">
        <v>21</v>
      </c>
      <c r="K6804" s="2" t="s">
        <v>10196</v>
      </c>
    </row>
    <row r="6805" ht="15.75" customHeight="1">
      <c r="A6805" s="2">
        <v>40389.0</v>
      </c>
      <c r="B6805" s="2" t="s">
        <v>13025</v>
      </c>
      <c r="C6805" s="2" t="s">
        <v>13026</v>
      </c>
      <c r="D6805" s="2" t="s">
        <v>13</v>
      </c>
      <c r="E6805" s="2" t="s">
        <v>20</v>
      </c>
      <c r="F6805" s="2">
        <v>0.0</v>
      </c>
      <c r="G6805" s="2">
        <v>329.0</v>
      </c>
      <c r="H6805" s="3" t="str">
        <f>HYPERLINK("http://www.linkedin.com/in/dfejgelis","http://www.linkedin.com/in/dfejgelis")</f>
        <v>http://www.linkedin.com/in/dfejgelis</v>
      </c>
      <c r="I6805" s="2" t="s">
        <v>69</v>
      </c>
      <c r="J6805" s="2" t="s">
        <v>21</v>
      </c>
      <c r="K6805" s="2" t="s">
        <v>10196</v>
      </c>
    </row>
    <row r="6806" ht="15.75" customHeight="1">
      <c r="A6806" s="2">
        <v>40402.0</v>
      </c>
      <c r="B6806" s="2" t="s">
        <v>6198</v>
      </c>
      <c r="C6806" s="2" t="s">
        <v>13027</v>
      </c>
      <c r="D6806" s="2" t="s">
        <v>1196</v>
      </c>
      <c r="E6806" s="2" t="s">
        <v>20</v>
      </c>
      <c r="F6806" s="2">
        <v>49.0</v>
      </c>
      <c r="G6806" s="2">
        <v>500.0</v>
      </c>
      <c r="H6806" s="3" t="str">
        <f>HYPERLINK("http://ar.linkedin.com/in/pluchinotta","http://ar.linkedin.com/in/pluchinotta")</f>
        <v>http://ar.linkedin.com/in/pluchinotta</v>
      </c>
      <c r="I6806" s="2" t="s">
        <v>15</v>
      </c>
      <c r="J6806" s="2" t="s">
        <v>21</v>
      </c>
      <c r="K6806" s="2" t="s">
        <v>10180</v>
      </c>
    </row>
    <row r="6807" ht="15.75" customHeight="1">
      <c r="A6807" s="2">
        <v>40408.0</v>
      </c>
      <c r="B6807" s="2" t="s">
        <v>3714</v>
      </c>
      <c r="C6807" s="2" t="s">
        <v>6988</v>
      </c>
      <c r="D6807" s="2" t="s">
        <v>13028</v>
      </c>
      <c r="E6807" s="2" t="s">
        <v>20</v>
      </c>
      <c r="F6807" s="2" t="s">
        <v>13</v>
      </c>
      <c r="G6807" s="2">
        <v>347.0</v>
      </c>
      <c r="H6807" s="3" t="str">
        <f>HYPERLINK("http://ar.linkedin.com/pub/diaz-ernesto/0/552/896","http://ar.linkedin.com/pub/diaz-ernesto/0/552/896")</f>
        <v>http://ar.linkedin.com/pub/diaz-ernesto/0/552/896</v>
      </c>
      <c r="I6807" s="2" t="s">
        <v>48</v>
      </c>
      <c r="J6807" s="2" t="s">
        <v>21</v>
      </c>
      <c r="K6807" s="2" t="s">
        <v>10173</v>
      </c>
    </row>
    <row r="6808" ht="15.75" customHeight="1">
      <c r="A6808" s="2">
        <v>40419.0</v>
      </c>
      <c r="B6808" s="2" t="s">
        <v>5582</v>
      </c>
      <c r="C6808" s="2" t="s">
        <v>13029</v>
      </c>
      <c r="D6808" s="2" t="s">
        <v>118</v>
      </c>
      <c r="E6808" s="2" t="s">
        <v>20</v>
      </c>
      <c r="F6808" s="2" t="s">
        <v>13</v>
      </c>
      <c r="G6808" s="2">
        <v>500.0</v>
      </c>
      <c r="H6808" s="3" t="str">
        <f>HYPERLINK("http://ar.linkedin.com/pub/sandra-yachelini/20/256/BB3","http://ar.linkedin.com/pub/sandra-yachelini/20/256/BB3")</f>
        <v>http://ar.linkedin.com/pub/sandra-yachelini/20/256/BB3</v>
      </c>
      <c r="I6808" s="2" t="s">
        <v>48</v>
      </c>
      <c r="J6808" s="2" t="s">
        <v>21</v>
      </c>
      <c r="K6808" s="2" t="s">
        <v>10180</v>
      </c>
    </row>
    <row r="6809" ht="15.75" customHeight="1">
      <c r="A6809" s="2">
        <v>40423.0</v>
      </c>
      <c r="B6809" s="2" t="s">
        <v>11175</v>
      </c>
      <c r="C6809" s="2" t="s">
        <v>13030</v>
      </c>
      <c r="D6809" s="2" t="s">
        <v>13</v>
      </c>
      <c r="E6809" s="2" t="s">
        <v>20</v>
      </c>
      <c r="F6809" s="2">
        <v>0.0</v>
      </c>
      <c r="G6809" s="2">
        <v>500.0</v>
      </c>
      <c r="H6809" s="3" t="str">
        <f>HYPERLINK("http://www.linkedin.com/pub/juan-jos%C3%A9-dell-acqua/14/28b/7a2","http://www.linkedin.com/pub/juan-jos%C3%A9-dell-acqua/14/28b/7a2")</f>
        <v>http://www.linkedin.com/pub/juan-jos%C3%A9-dell-acqua/14/28b/7a2</v>
      </c>
      <c r="I6809" s="2" t="s">
        <v>382</v>
      </c>
      <c r="J6809" s="2" t="s">
        <v>21</v>
      </c>
      <c r="K6809" s="2" t="s">
        <v>10799</v>
      </c>
    </row>
    <row r="6810" ht="15.75" customHeight="1">
      <c r="A6810" s="2">
        <v>40428.0</v>
      </c>
      <c r="B6810" s="2" t="s">
        <v>45</v>
      </c>
      <c r="C6810" s="2" t="s">
        <v>13031</v>
      </c>
      <c r="D6810" s="2" t="s">
        <v>13032</v>
      </c>
      <c r="E6810" s="2" t="s">
        <v>20</v>
      </c>
      <c r="F6810" s="2">
        <v>4.0</v>
      </c>
      <c r="G6810" s="2">
        <v>500.0</v>
      </c>
      <c r="H6810" s="3" t="str">
        <f>HYPERLINK("http://ar.linkedin.com/pub/carlos-cassia/3/838/923","http://ar.linkedin.com/pub/carlos-cassia/3/838/923")</f>
        <v>http://ar.linkedin.com/pub/carlos-cassia/3/838/923</v>
      </c>
      <c r="I6810" s="2" t="s">
        <v>15</v>
      </c>
      <c r="J6810" s="2" t="s">
        <v>21</v>
      </c>
      <c r="K6810" s="2" t="s">
        <v>13033</v>
      </c>
    </row>
    <row r="6811" ht="15.75" customHeight="1">
      <c r="A6811" s="2">
        <v>40452.0</v>
      </c>
      <c r="B6811" s="2" t="s">
        <v>13034</v>
      </c>
      <c r="C6811" s="2" t="s">
        <v>4791</v>
      </c>
      <c r="D6811" s="2" t="s">
        <v>13</v>
      </c>
      <c r="E6811" s="2" t="s">
        <v>181</v>
      </c>
      <c r="F6811" s="2">
        <v>18.0</v>
      </c>
      <c r="G6811" s="2">
        <v>500.0</v>
      </c>
      <c r="H6811" s="3" t="str">
        <f>HYPERLINK("http://www.linkedin.com/in/linettegomez","http://www.linkedin.com/in/linettegomez")</f>
        <v>http://www.linkedin.com/in/linettegomez</v>
      </c>
      <c r="I6811" s="2" t="s">
        <v>105</v>
      </c>
      <c r="J6811" s="2" t="s">
        <v>102</v>
      </c>
      <c r="K6811" s="2" t="s">
        <v>10245</v>
      </c>
    </row>
    <row r="6812" ht="15.75" customHeight="1">
      <c r="A6812" s="2">
        <v>40468.0</v>
      </c>
      <c r="B6812" s="2" t="s">
        <v>549</v>
      </c>
      <c r="C6812" s="2" t="s">
        <v>13035</v>
      </c>
      <c r="D6812" s="2" t="s">
        <v>13036</v>
      </c>
      <c r="E6812" s="2" t="s">
        <v>20</v>
      </c>
      <c r="F6812" s="2">
        <v>10.0</v>
      </c>
      <c r="G6812" s="2">
        <v>500.0</v>
      </c>
      <c r="H6812" s="3" t="str">
        <f>HYPERLINK("http://ar.linkedin.com/in/mariopernigotti","http://ar.linkedin.com/in/mariopernigotti")</f>
        <v>http://ar.linkedin.com/in/mariopernigotti</v>
      </c>
      <c r="I6812" s="2" t="s">
        <v>279</v>
      </c>
      <c r="J6812" s="2" t="s">
        <v>21</v>
      </c>
      <c r="K6812" s="2" t="s">
        <v>10184</v>
      </c>
    </row>
    <row r="6813" ht="15.75" customHeight="1">
      <c r="A6813" s="2">
        <v>40483.0</v>
      </c>
      <c r="B6813" s="2" t="s">
        <v>3378</v>
      </c>
      <c r="C6813" s="2" t="s">
        <v>13037</v>
      </c>
      <c r="D6813" s="2" t="s">
        <v>13038</v>
      </c>
      <c r="E6813" s="2" t="s">
        <v>20</v>
      </c>
      <c r="F6813" s="2">
        <v>4.0</v>
      </c>
      <c r="G6813" s="2">
        <v>500.0</v>
      </c>
      <c r="H6813" s="3" t="str">
        <f>HYPERLINK("http://ar.linkedin.com/in/juliamunar","http://ar.linkedin.com/in/juliamunar")</f>
        <v>http://ar.linkedin.com/in/juliamunar</v>
      </c>
      <c r="I6813" s="2" t="s">
        <v>69</v>
      </c>
      <c r="J6813" s="2" t="s">
        <v>21</v>
      </c>
      <c r="K6813" s="2" t="s">
        <v>10180</v>
      </c>
    </row>
    <row r="6814" ht="15.75" customHeight="1">
      <c r="A6814" s="2">
        <v>40491.0</v>
      </c>
      <c r="B6814" s="2" t="s">
        <v>10152</v>
      </c>
      <c r="C6814" s="2" t="s">
        <v>13039</v>
      </c>
      <c r="D6814" s="2" t="s">
        <v>13040</v>
      </c>
      <c r="E6814" s="2" t="s">
        <v>20</v>
      </c>
      <c r="F6814" s="2">
        <v>12.0</v>
      </c>
      <c r="G6814" s="2">
        <v>320.0</v>
      </c>
      <c r="H6814" s="3" t="str">
        <f>HYPERLINK("http://ar.linkedin.com/pub/ivana-kristoff/8/332/8A5","http://ar.linkedin.com/pub/ivana-kristoff/8/332/8A5")</f>
        <v>http://ar.linkedin.com/pub/ivana-kristoff/8/332/8A5</v>
      </c>
      <c r="I6814" s="2" t="s">
        <v>15</v>
      </c>
      <c r="J6814" s="2" t="s">
        <v>21</v>
      </c>
      <c r="K6814" s="2" t="s">
        <v>10196</v>
      </c>
    </row>
    <row r="6815" ht="15.75" customHeight="1">
      <c r="A6815" s="2">
        <v>40505.0</v>
      </c>
      <c r="B6815" s="2" t="s">
        <v>13041</v>
      </c>
      <c r="C6815" s="2" t="s">
        <v>13042</v>
      </c>
      <c r="D6815" s="2" t="s">
        <v>32</v>
      </c>
      <c r="E6815" s="2" t="s">
        <v>13043</v>
      </c>
      <c r="F6815" s="2">
        <v>2.0</v>
      </c>
      <c r="G6815" s="2">
        <v>208.0</v>
      </c>
      <c r="H6815" s="3" t="str">
        <f>HYPERLINK("http://www.linkedin.com/pub/sonja-sanjuan/0/771/922","http://www.linkedin.com/pub/sonja-sanjuan/0/771/922")</f>
        <v>http://www.linkedin.com/pub/sonja-sanjuan/0/771/922</v>
      </c>
      <c r="I6815" s="2" t="s">
        <v>15</v>
      </c>
      <c r="J6815" s="2" t="s">
        <v>102</v>
      </c>
      <c r="K6815" s="2" t="s">
        <v>10371</v>
      </c>
    </row>
    <row r="6816" ht="15.75" customHeight="1">
      <c r="A6816" s="2">
        <v>40530.0</v>
      </c>
      <c r="B6816" s="2" t="s">
        <v>341</v>
      </c>
      <c r="C6816" s="2" t="s">
        <v>13044</v>
      </c>
      <c r="D6816" s="2" t="s">
        <v>13045</v>
      </c>
      <c r="E6816" s="2" t="s">
        <v>1407</v>
      </c>
      <c r="F6816" s="2">
        <v>0.0</v>
      </c>
      <c r="G6816" s="2">
        <v>65.0</v>
      </c>
      <c r="H6816" s="3" t="str">
        <f>HYPERLINK("http://www.linkedin.com/pub/kevin-slean/10/361/624","http://www.linkedin.com/pub/kevin-slean/10/361/624")</f>
        <v>http://www.linkedin.com/pub/kevin-slean/10/361/624</v>
      </c>
      <c r="I6816" s="2" t="s">
        <v>15</v>
      </c>
      <c r="J6816" s="2" t="s">
        <v>102</v>
      </c>
      <c r="K6816" s="2" t="s">
        <v>10371</v>
      </c>
    </row>
    <row r="6817" ht="15.75" customHeight="1">
      <c r="A6817" s="2">
        <v>40531.0</v>
      </c>
      <c r="B6817" s="2" t="s">
        <v>567</v>
      </c>
      <c r="C6817" s="2" t="s">
        <v>2750</v>
      </c>
      <c r="D6817" s="2" t="s">
        <v>13046</v>
      </c>
      <c r="E6817" s="2" t="s">
        <v>20</v>
      </c>
      <c r="F6817" s="2">
        <v>2.0</v>
      </c>
      <c r="G6817" s="2">
        <v>500.0</v>
      </c>
      <c r="H6817" s="3" t="str">
        <f>HYPERLINK("http://ar.linkedin.com/pub/susana-berman/2/419/190","http://ar.linkedin.com/pub/susana-berman/2/419/190")</f>
        <v>http://ar.linkedin.com/pub/susana-berman/2/419/190</v>
      </c>
      <c r="I6817" s="2" t="s">
        <v>48</v>
      </c>
      <c r="J6817" s="2" t="s">
        <v>21</v>
      </c>
      <c r="K6817" s="2" t="s">
        <v>10214</v>
      </c>
    </row>
    <row r="6818" ht="15.75" customHeight="1">
      <c r="A6818" s="2">
        <v>40549.0</v>
      </c>
      <c r="B6818" s="2" t="s">
        <v>3015</v>
      </c>
      <c r="C6818" s="2" t="s">
        <v>9687</v>
      </c>
      <c r="D6818" s="2" t="s">
        <v>13047</v>
      </c>
      <c r="E6818" s="2" t="s">
        <v>20</v>
      </c>
      <c r="F6818" s="2">
        <v>2.0</v>
      </c>
      <c r="G6818" s="2">
        <v>285.0</v>
      </c>
      <c r="H6818" s="3" t="str">
        <f>HYPERLINK("http://ar.linkedin.com/pub/luciano-orsi/20/5A4/A2A","http://ar.linkedin.com/pub/luciano-orsi/20/5A4/A2A")</f>
        <v>http://ar.linkedin.com/pub/luciano-orsi/20/5A4/A2A</v>
      </c>
      <c r="I6818" s="2" t="s">
        <v>15</v>
      </c>
      <c r="J6818" s="2" t="s">
        <v>21</v>
      </c>
      <c r="K6818" s="2" t="s">
        <v>10196</v>
      </c>
    </row>
    <row r="6819" ht="15.75" customHeight="1">
      <c r="A6819" s="2">
        <v>40566.0</v>
      </c>
      <c r="B6819" s="2" t="s">
        <v>6252</v>
      </c>
      <c r="C6819" s="2" t="s">
        <v>13048</v>
      </c>
      <c r="D6819" s="2" t="s">
        <v>13049</v>
      </c>
      <c r="E6819" s="2" t="s">
        <v>20</v>
      </c>
      <c r="F6819" s="2">
        <v>3.0</v>
      </c>
      <c r="G6819" s="2">
        <v>315.0</v>
      </c>
      <c r="H6819" s="3" t="str">
        <f>HYPERLINK("http://ar.linkedin.com/pub/santiago-elizalde/B/6B1/870","http://ar.linkedin.com/pub/santiago-elizalde/B/6B1/870")</f>
        <v>http://ar.linkedin.com/pub/santiago-elizalde/B/6B1/870</v>
      </c>
      <c r="I6819" s="2" t="s">
        <v>143</v>
      </c>
      <c r="J6819" s="2" t="s">
        <v>21</v>
      </c>
      <c r="K6819" s="2" t="s">
        <v>10196</v>
      </c>
    </row>
    <row r="6820" ht="15.75" customHeight="1">
      <c r="A6820" s="2">
        <v>40581.0</v>
      </c>
      <c r="B6820" s="2" t="s">
        <v>605</v>
      </c>
      <c r="C6820" s="2" t="s">
        <v>13050</v>
      </c>
      <c r="D6820" s="2" t="s">
        <v>13051</v>
      </c>
      <c r="E6820" s="2" t="s">
        <v>20</v>
      </c>
      <c r="F6820" s="2">
        <v>10.0</v>
      </c>
      <c r="G6820" s="2">
        <v>394.0</v>
      </c>
      <c r="H6820" s="3" t="str">
        <f>HYPERLINK("http://ar.linkedin.com/in/robertodilello","http://ar.linkedin.com/in/robertodilello")</f>
        <v>http://ar.linkedin.com/in/robertodilello</v>
      </c>
      <c r="I6820" s="2" t="s">
        <v>48</v>
      </c>
      <c r="J6820" s="2" t="s">
        <v>21</v>
      </c>
      <c r="K6820" s="2" t="s">
        <v>10263</v>
      </c>
    </row>
    <row r="6821" ht="15.75" customHeight="1">
      <c r="A6821" s="2">
        <v>40585.0</v>
      </c>
      <c r="B6821" s="2" t="s">
        <v>1505</v>
      </c>
      <c r="C6821" s="2" t="s">
        <v>13052</v>
      </c>
      <c r="D6821" s="2" t="s">
        <v>13053</v>
      </c>
      <c r="E6821" s="2" t="s">
        <v>13054</v>
      </c>
      <c r="F6821" s="2">
        <v>34.0</v>
      </c>
      <c r="G6821" s="2">
        <v>500.0</v>
      </c>
      <c r="H6821" s="3" t="str">
        <f>HYPERLINK("http://www.linkedin.com/in/lindaroude","http://www.linkedin.com/in/lindaroude")</f>
        <v>http://www.linkedin.com/in/lindaroude</v>
      </c>
      <c r="I6821" s="2" t="s">
        <v>15</v>
      </c>
      <c r="J6821" s="2" t="s">
        <v>102</v>
      </c>
      <c r="K6821" s="2" t="s">
        <v>10224</v>
      </c>
    </row>
    <row r="6822" ht="15.75" customHeight="1">
      <c r="A6822" s="2">
        <v>40595.0</v>
      </c>
      <c r="B6822" s="2" t="s">
        <v>3378</v>
      </c>
      <c r="C6822" s="2" t="s">
        <v>13055</v>
      </c>
      <c r="D6822" s="2" t="s">
        <v>13056</v>
      </c>
      <c r="E6822" s="2" t="s">
        <v>155</v>
      </c>
      <c r="F6822" s="2">
        <v>4.0</v>
      </c>
      <c r="G6822" s="2">
        <v>364.0</v>
      </c>
      <c r="H6822" s="3" t="str">
        <f>HYPERLINK("http://www.linkedin.com/in/julialera","http://www.linkedin.com/in/julialera")</f>
        <v>http://www.linkedin.com/in/julialera</v>
      </c>
      <c r="I6822" s="2" t="s">
        <v>69</v>
      </c>
      <c r="J6822" s="2" t="s">
        <v>102</v>
      </c>
      <c r="K6822" s="2" t="s">
        <v>10286</v>
      </c>
    </row>
    <row r="6823" ht="15.75" customHeight="1">
      <c r="A6823" s="2">
        <v>40608.0</v>
      </c>
      <c r="B6823" s="2" t="s">
        <v>13057</v>
      </c>
      <c r="C6823" s="2" t="s">
        <v>5804</v>
      </c>
      <c r="D6823" s="2" t="s">
        <v>42</v>
      </c>
      <c r="E6823" s="2" t="s">
        <v>20</v>
      </c>
      <c r="F6823" s="2">
        <v>2.0</v>
      </c>
      <c r="G6823" s="2">
        <v>189.0</v>
      </c>
      <c r="H6823" s="3" t="str">
        <f>HYPERLINK("http://ar.linkedin.com/pub/hugo-sosa/14/598/705","http://ar.linkedin.com/pub/hugo-sosa/14/598/705")</f>
        <v>http://ar.linkedin.com/pub/hugo-sosa/14/598/705</v>
      </c>
      <c r="I6823" s="2" t="s">
        <v>143</v>
      </c>
      <c r="J6823" s="2" t="s">
        <v>21</v>
      </c>
      <c r="K6823" s="2" t="s">
        <v>10196</v>
      </c>
    </row>
    <row r="6824" ht="15.75" customHeight="1">
      <c r="A6824" s="2">
        <v>40636.0</v>
      </c>
      <c r="B6824" s="2" t="s">
        <v>238</v>
      </c>
      <c r="C6824" s="2" t="s">
        <v>13058</v>
      </c>
      <c r="D6824" s="2" t="s">
        <v>6040</v>
      </c>
      <c r="E6824" s="2" t="s">
        <v>20</v>
      </c>
      <c r="F6824" s="2">
        <v>2.0</v>
      </c>
      <c r="G6824" s="2">
        <v>184.0</v>
      </c>
      <c r="H6824" s="3" t="str">
        <f>HYPERLINK("http://ar.linkedin.com/pub/juan-maro/7/A60/933","http://ar.linkedin.com/pub/juan-maro/7/A60/933")</f>
        <v>http://ar.linkedin.com/pub/juan-maro/7/A60/933</v>
      </c>
      <c r="I6824" s="2" t="s">
        <v>15</v>
      </c>
      <c r="J6824" s="2" t="s">
        <v>21</v>
      </c>
      <c r="K6824" s="2" t="s">
        <v>10196</v>
      </c>
    </row>
    <row r="6825" ht="15.75" customHeight="1">
      <c r="A6825" s="2">
        <v>40647.0</v>
      </c>
      <c r="B6825" s="2" t="s">
        <v>6198</v>
      </c>
      <c r="C6825" s="2" t="s">
        <v>13059</v>
      </c>
      <c r="D6825" s="2" t="s">
        <v>13</v>
      </c>
      <c r="E6825" s="2" t="s">
        <v>20</v>
      </c>
      <c r="F6825" s="2">
        <v>0.0</v>
      </c>
      <c r="G6825" s="2">
        <v>385.0</v>
      </c>
      <c r="H6825" s="3" t="str">
        <f>HYPERLINK("http://www.linkedin.com/pub/andr%C3%A9s-behar/5/619/280","http://www.linkedin.com/pub/andr%C3%A9s-behar/5/619/280")</f>
        <v>http://www.linkedin.com/pub/andr%C3%A9s-behar/5/619/280</v>
      </c>
      <c r="I6825" s="2" t="s">
        <v>15</v>
      </c>
      <c r="J6825" s="2" t="s">
        <v>21</v>
      </c>
      <c r="K6825" s="2" t="s">
        <v>10196</v>
      </c>
    </row>
    <row r="6826" ht="15.75" customHeight="1">
      <c r="A6826" s="2">
        <v>40654.0</v>
      </c>
      <c r="B6826" s="2" t="s">
        <v>13060</v>
      </c>
      <c r="C6826" s="2" t="s">
        <v>13061</v>
      </c>
      <c r="D6826" s="2" t="s">
        <v>6010</v>
      </c>
      <c r="E6826" s="2" t="s">
        <v>20</v>
      </c>
      <c r="F6826" s="2">
        <v>2.0</v>
      </c>
      <c r="G6826" s="2">
        <v>137.0</v>
      </c>
      <c r="H6826" s="3" t="str">
        <f>HYPERLINK("http://ar.linkedin.com/in/cristianbaser","http://ar.linkedin.com/in/cristianbaser")</f>
        <v>http://ar.linkedin.com/in/cristianbaser</v>
      </c>
      <c r="I6826" s="2" t="s">
        <v>15</v>
      </c>
      <c r="J6826" s="2" t="s">
        <v>21</v>
      </c>
      <c r="K6826" s="2" t="s">
        <v>10196</v>
      </c>
    </row>
    <row r="6827" ht="15.75" customHeight="1">
      <c r="A6827" s="2">
        <v>40674.0</v>
      </c>
      <c r="B6827" s="2" t="s">
        <v>45</v>
      </c>
      <c r="C6827" s="2" t="s">
        <v>13062</v>
      </c>
      <c r="D6827" s="2" t="s">
        <v>13063</v>
      </c>
      <c r="E6827" s="2" t="s">
        <v>20</v>
      </c>
      <c r="F6827" s="2">
        <v>4.0</v>
      </c>
      <c r="G6827" s="2">
        <v>323.0</v>
      </c>
      <c r="H6827" s="3" t="str">
        <f>HYPERLINK("http://ar.linkedin.com/in/carloslatugaye","http://ar.linkedin.com/in/carloslatugaye")</f>
        <v>http://ar.linkedin.com/in/carloslatugaye</v>
      </c>
      <c r="I6827" s="2" t="s">
        <v>48</v>
      </c>
      <c r="J6827" s="2" t="s">
        <v>21</v>
      </c>
      <c r="K6827" s="2" t="s">
        <v>10343</v>
      </c>
    </row>
    <row r="6828" ht="15.75" customHeight="1">
      <c r="A6828" s="2">
        <v>40683.0</v>
      </c>
      <c r="B6828" s="2" t="s">
        <v>492</v>
      </c>
      <c r="C6828" s="2" t="s">
        <v>13064</v>
      </c>
      <c r="D6828" s="2" t="s">
        <v>13065</v>
      </c>
      <c r="E6828" s="2" t="s">
        <v>20</v>
      </c>
      <c r="F6828" s="2">
        <v>6.0</v>
      </c>
      <c r="G6828" s="2">
        <v>349.0</v>
      </c>
      <c r="H6828" s="3" t="str">
        <f>HYPERLINK("http://ar.linkedin.com/in/sergiogmartinez","http://ar.linkedin.com/in/sergiogmartinez")</f>
        <v>http://ar.linkedin.com/in/sergiogmartinez</v>
      </c>
      <c r="I6828" s="2" t="s">
        <v>15</v>
      </c>
      <c r="J6828" s="2" t="s">
        <v>21</v>
      </c>
      <c r="K6828" s="2" t="s">
        <v>13066</v>
      </c>
    </row>
    <row r="6829" ht="15.75" customHeight="1">
      <c r="A6829" s="2">
        <v>40686.0</v>
      </c>
      <c r="B6829" s="2" t="s">
        <v>3692</v>
      </c>
      <c r="C6829" s="2" t="s">
        <v>13067</v>
      </c>
      <c r="D6829" s="2" t="s">
        <v>309</v>
      </c>
      <c r="E6829" s="2" t="s">
        <v>20</v>
      </c>
      <c r="F6829" s="2">
        <v>13.0</v>
      </c>
      <c r="G6829" s="2">
        <v>500.0</v>
      </c>
      <c r="H6829" s="3" t="str">
        <f>HYPERLINK("http://ar.linkedin.com/in/fbitonte","http://ar.linkedin.com/in/fbitonte")</f>
        <v>http://ar.linkedin.com/in/fbitonte</v>
      </c>
      <c r="I6829" s="2" t="s">
        <v>105</v>
      </c>
      <c r="J6829" s="2" t="s">
        <v>21</v>
      </c>
      <c r="K6829" s="2" t="s">
        <v>10337</v>
      </c>
    </row>
    <row r="6830" ht="15.75" customHeight="1">
      <c r="A6830" s="2">
        <v>40726.0</v>
      </c>
      <c r="B6830" s="2" t="s">
        <v>11156</v>
      </c>
      <c r="C6830" s="2" t="s">
        <v>13068</v>
      </c>
      <c r="D6830" s="2" t="s">
        <v>1196</v>
      </c>
      <c r="E6830" s="2" t="s">
        <v>9170</v>
      </c>
      <c r="F6830" s="2" t="s">
        <v>13</v>
      </c>
      <c r="G6830" s="2">
        <v>357.0</v>
      </c>
      <c r="H6830" s="3" t="str">
        <f>HYPERLINK("http://ar.linkedin.com/pub/mar%C3%ADa-in%C3%A9s-buresti/19/649/933","http://ar.linkedin.com/pub/mar%C3%ADa-in%C3%A9s-buresti/19/649/933")</f>
        <v>http://ar.linkedin.com/pub/mar%C3%ADa-in%C3%A9s-buresti/19/649/933</v>
      </c>
      <c r="I6830" s="2" t="s">
        <v>105</v>
      </c>
      <c r="J6830" s="2" t="s">
        <v>220</v>
      </c>
      <c r="K6830" s="2" t="s">
        <v>10187</v>
      </c>
    </row>
    <row r="6831" ht="15.75" customHeight="1">
      <c r="A6831" s="2">
        <v>40751.0</v>
      </c>
      <c r="B6831" s="2" t="s">
        <v>1309</v>
      </c>
      <c r="C6831" s="2" t="s">
        <v>13069</v>
      </c>
      <c r="D6831" s="2" t="s">
        <v>773</v>
      </c>
      <c r="E6831" s="2" t="s">
        <v>20</v>
      </c>
      <c r="F6831" s="2">
        <v>20.0</v>
      </c>
      <c r="G6831" s="2">
        <v>500.0</v>
      </c>
      <c r="H6831" s="3" t="str">
        <f>HYPERLINK("http://ar.linkedin.com/in/alfredopinkus","http://ar.linkedin.com/in/alfredopinkus")</f>
        <v>http://ar.linkedin.com/in/alfredopinkus</v>
      </c>
      <c r="I6831" s="2" t="s">
        <v>240</v>
      </c>
      <c r="J6831" s="2" t="s">
        <v>21</v>
      </c>
      <c r="K6831" s="2" t="s">
        <v>10182</v>
      </c>
    </row>
    <row r="6832" ht="15.75" customHeight="1">
      <c r="A6832" s="2">
        <v>40766.0</v>
      </c>
      <c r="B6832" s="2" t="s">
        <v>5808</v>
      </c>
      <c r="C6832" s="2" t="s">
        <v>13070</v>
      </c>
      <c r="D6832" s="2" t="s">
        <v>13</v>
      </c>
      <c r="E6832" s="2" t="s">
        <v>791</v>
      </c>
      <c r="F6832" s="2">
        <v>0.0</v>
      </c>
      <c r="G6832" s="2">
        <v>500.0</v>
      </c>
      <c r="H6832" s="3" t="str">
        <f>HYPERLINK("https://www.linkedin.com/in/matiascompiano","https://www.linkedin.com/in/matiascompiano")</f>
        <v>https://www.linkedin.com/in/matiascompiano</v>
      </c>
      <c r="I6832" s="2" t="s">
        <v>69</v>
      </c>
      <c r="J6832" s="2" t="s">
        <v>575</v>
      </c>
      <c r="K6832" s="2" t="s">
        <v>10196</v>
      </c>
    </row>
    <row r="6833" ht="15.75" customHeight="1">
      <c r="A6833" s="2">
        <v>40775.0</v>
      </c>
      <c r="B6833" s="2" t="s">
        <v>13071</v>
      </c>
      <c r="C6833" s="2" t="s">
        <v>80</v>
      </c>
      <c r="D6833" s="2" t="s">
        <v>10254</v>
      </c>
      <c r="E6833" s="2" t="s">
        <v>20</v>
      </c>
      <c r="F6833" s="2">
        <v>6.0</v>
      </c>
      <c r="G6833" s="2">
        <v>500.0</v>
      </c>
      <c r="H6833" s="3" t="str">
        <f>HYPERLINK("http://www.linkedin.com/in/pabloduarte","http://www.linkedin.com/in/pabloduarte")</f>
        <v>http://www.linkedin.com/in/pabloduarte</v>
      </c>
      <c r="I6833" s="2" t="s">
        <v>15</v>
      </c>
      <c r="J6833" s="2" t="s">
        <v>21</v>
      </c>
      <c r="K6833" s="2" t="s">
        <v>13072</v>
      </c>
    </row>
    <row r="6834" ht="15.75" customHeight="1">
      <c r="A6834" s="2">
        <v>40778.0</v>
      </c>
      <c r="B6834" s="2" t="s">
        <v>4569</v>
      </c>
      <c r="C6834" s="2" t="s">
        <v>13073</v>
      </c>
      <c r="D6834" s="2" t="s">
        <v>13074</v>
      </c>
      <c r="E6834" s="2" t="s">
        <v>20</v>
      </c>
      <c r="F6834" s="2">
        <v>1.0</v>
      </c>
      <c r="G6834" s="2">
        <v>500.0</v>
      </c>
      <c r="H6834" s="3" t="str">
        <f>HYPERLINK("http://ar.linkedin.com/in/paquots","http://ar.linkedin.com/in/paquots")</f>
        <v>http://ar.linkedin.com/in/paquots</v>
      </c>
      <c r="I6834" s="2" t="s">
        <v>15</v>
      </c>
      <c r="J6834" s="2" t="s">
        <v>21</v>
      </c>
      <c r="K6834" s="2" t="s">
        <v>10173</v>
      </c>
    </row>
    <row r="6835" ht="15.75" customHeight="1">
      <c r="A6835" s="2">
        <v>40794.0</v>
      </c>
      <c r="B6835" s="2" t="s">
        <v>353</v>
      </c>
      <c r="C6835" s="2" t="s">
        <v>12471</v>
      </c>
      <c r="D6835" s="2" t="s">
        <v>13075</v>
      </c>
      <c r="E6835" s="2" t="s">
        <v>20</v>
      </c>
      <c r="F6835" s="2" t="s">
        <v>13</v>
      </c>
      <c r="G6835" s="2">
        <v>500.0</v>
      </c>
      <c r="H6835" s="3" t="str">
        <f>HYPERLINK("http://ar.linkedin.com/pub/alejandro-donoso/21/394/B78","http://ar.linkedin.com/pub/alejandro-donoso/21/394/B78")</f>
        <v>http://ar.linkedin.com/pub/alejandro-donoso/21/394/B78</v>
      </c>
      <c r="I6835" s="2" t="s">
        <v>15</v>
      </c>
      <c r="J6835" s="2" t="s">
        <v>21</v>
      </c>
      <c r="K6835" s="2" t="s">
        <v>10180</v>
      </c>
    </row>
    <row r="6836" ht="15.75" customHeight="1">
      <c r="A6836" s="2">
        <v>40806.0</v>
      </c>
      <c r="B6836" s="2" t="s">
        <v>70</v>
      </c>
      <c r="C6836" s="2" t="s">
        <v>13076</v>
      </c>
      <c r="D6836" s="2" t="s">
        <v>13077</v>
      </c>
      <c r="E6836" s="2" t="s">
        <v>20</v>
      </c>
      <c r="F6836" s="2">
        <v>25.0</v>
      </c>
      <c r="G6836" s="2">
        <v>500.0</v>
      </c>
      <c r="H6836" s="3" t="str">
        <f>HYPERLINK("http://ar.linkedin.com/in/gdemagistre","http://ar.linkedin.com/in/gdemagistre")</f>
        <v>http://ar.linkedin.com/in/gdemagistre</v>
      </c>
      <c r="I6836" s="2" t="s">
        <v>15</v>
      </c>
      <c r="J6836" s="2" t="s">
        <v>21</v>
      </c>
      <c r="K6836" s="2" t="s">
        <v>10180</v>
      </c>
    </row>
    <row r="6837" ht="15.75" customHeight="1">
      <c r="A6837" s="2">
        <v>40828.0</v>
      </c>
      <c r="B6837" s="2" t="s">
        <v>59</v>
      </c>
      <c r="C6837" s="2" t="s">
        <v>13078</v>
      </c>
      <c r="D6837" s="2" t="s">
        <v>100</v>
      </c>
      <c r="E6837" s="2" t="s">
        <v>235</v>
      </c>
      <c r="F6837" s="2">
        <v>1.0</v>
      </c>
      <c r="G6837" s="2">
        <v>500.0</v>
      </c>
      <c r="H6837" s="3" t="str">
        <f>HYPERLINK("http://www.linkedin.com/in/martinbueno","http://www.linkedin.com/in/martinbueno")</f>
        <v>http://www.linkedin.com/in/martinbueno</v>
      </c>
      <c r="I6837" s="2" t="s">
        <v>709</v>
      </c>
      <c r="J6837" s="2" t="s">
        <v>102</v>
      </c>
      <c r="K6837" s="2" t="s">
        <v>10799</v>
      </c>
    </row>
    <row r="6838" ht="15.75" customHeight="1">
      <c r="A6838" s="2">
        <v>40839.0</v>
      </c>
      <c r="B6838" s="2" t="s">
        <v>13079</v>
      </c>
      <c r="C6838" s="2" t="s">
        <v>13080</v>
      </c>
      <c r="D6838" s="2" t="s">
        <v>13081</v>
      </c>
      <c r="E6838" s="2" t="s">
        <v>20</v>
      </c>
      <c r="F6838" s="2">
        <v>3.0</v>
      </c>
      <c r="G6838" s="2">
        <v>239.0</v>
      </c>
      <c r="H6838" s="3" t="str">
        <f>HYPERLINK("http://ar.linkedin.com/pub/jorge-borchert/4/689/49B","http://ar.linkedin.com/pub/jorge-borchert/4/689/49B")</f>
        <v>http://ar.linkedin.com/pub/jorge-borchert/4/689/49B</v>
      </c>
      <c r="I6838" s="2" t="s">
        <v>48</v>
      </c>
      <c r="J6838" s="2" t="s">
        <v>21</v>
      </c>
      <c r="K6838" s="2" t="s">
        <v>10196</v>
      </c>
    </row>
    <row r="6839" ht="15.75" customHeight="1">
      <c r="A6839" s="2">
        <v>40850.0</v>
      </c>
      <c r="B6839" s="2" t="s">
        <v>671</v>
      </c>
      <c r="C6839" s="2" t="s">
        <v>13082</v>
      </c>
      <c r="D6839" s="2" t="s">
        <v>13083</v>
      </c>
      <c r="E6839" s="2" t="s">
        <v>20</v>
      </c>
      <c r="F6839" s="2">
        <v>13.0</v>
      </c>
      <c r="G6839" s="2">
        <v>500.0</v>
      </c>
      <c r="H6839" s="3" t="str">
        <f>HYPERLINK("http://ar.linkedin.com/pub/mariana-simonetta/4/666/A3A","http://ar.linkedin.com/pub/mariana-simonetta/4/666/A3A")</f>
        <v>http://ar.linkedin.com/pub/mariana-simonetta/4/666/A3A</v>
      </c>
      <c r="I6839" s="2" t="s">
        <v>48</v>
      </c>
      <c r="J6839" s="2" t="s">
        <v>21</v>
      </c>
      <c r="K6839" s="2" t="s">
        <v>10180</v>
      </c>
    </row>
    <row r="6840" ht="15.75" customHeight="1">
      <c r="A6840" s="2">
        <v>40863.0</v>
      </c>
      <c r="B6840" s="2" t="s">
        <v>3550</v>
      </c>
      <c r="C6840" s="2" t="s">
        <v>13084</v>
      </c>
      <c r="D6840" s="2" t="s">
        <v>13085</v>
      </c>
      <c r="E6840" s="2" t="s">
        <v>13086</v>
      </c>
      <c r="F6840" s="2">
        <v>1.0</v>
      </c>
      <c r="G6840" s="2">
        <v>305.0</v>
      </c>
      <c r="H6840" s="3" t="str">
        <f>HYPERLINK("http://www.linkedin.com/in/nicolascorrarello","http://www.linkedin.com/in/nicolascorrarello")</f>
        <v>http://www.linkedin.com/in/nicolascorrarello</v>
      </c>
      <c r="I6840" s="2" t="s">
        <v>15</v>
      </c>
      <c r="J6840" s="2" t="s">
        <v>53</v>
      </c>
      <c r="K6840" s="2" t="s">
        <v>10173</v>
      </c>
    </row>
    <row r="6841" ht="15.75" customHeight="1">
      <c r="A6841" s="2">
        <v>40874.0</v>
      </c>
      <c r="B6841" s="2" t="s">
        <v>8056</v>
      </c>
      <c r="C6841" s="2" t="s">
        <v>13087</v>
      </c>
      <c r="D6841" s="2" t="s">
        <v>13</v>
      </c>
      <c r="E6841" s="2" t="s">
        <v>20</v>
      </c>
      <c r="F6841" s="2">
        <v>0.0</v>
      </c>
      <c r="G6841" s="2">
        <v>500.0</v>
      </c>
      <c r="H6841" s="3" t="str">
        <f>HYPERLINK("http://www.linkedin.com/pub/maria-marta-sucari/0/374/992","http://www.linkedin.com/pub/maria-marta-sucari/0/374/992")</f>
        <v>http://www.linkedin.com/pub/maria-marta-sucari/0/374/992</v>
      </c>
      <c r="I6841" s="2" t="s">
        <v>48</v>
      </c>
      <c r="J6841" s="2" t="s">
        <v>21</v>
      </c>
      <c r="K6841" s="2" t="s">
        <v>10343</v>
      </c>
    </row>
    <row r="6842" ht="15.75" customHeight="1">
      <c r="A6842" s="2">
        <v>40875.0</v>
      </c>
      <c r="B6842" s="2" t="s">
        <v>5808</v>
      </c>
      <c r="C6842" s="2" t="s">
        <v>13088</v>
      </c>
      <c r="D6842" s="2"/>
      <c r="E6842" s="2" t="s">
        <v>1190</v>
      </c>
      <c r="F6842" s="2">
        <v>12.0</v>
      </c>
      <c r="G6842" s="2">
        <v>500.0</v>
      </c>
      <c r="H6842" s="3" t="str">
        <f>HYPERLINK("http://www.linkedin.com/in/matiasperel","http://www.linkedin.com/in/matiasperel")</f>
        <v>http://www.linkedin.com/in/matiasperel</v>
      </c>
      <c r="I6842" s="2" t="s">
        <v>69</v>
      </c>
      <c r="J6842" s="2" t="s">
        <v>102</v>
      </c>
      <c r="K6842" s="2" t="s">
        <v>10176</v>
      </c>
    </row>
    <row r="6843" ht="15.75" customHeight="1">
      <c r="A6843" s="2">
        <v>40887.0</v>
      </c>
      <c r="B6843" s="2" t="s">
        <v>7916</v>
      </c>
      <c r="C6843" s="2" t="s">
        <v>5997</v>
      </c>
      <c r="D6843" s="2" t="s">
        <v>8371</v>
      </c>
      <c r="E6843" s="2" t="s">
        <v>20</v>
      </c>
      <c r="F6843" s="2">
        <v>15.0</v>
      </c>
      <c r="G6843" s="2">
        <v>232.0</v>
      </c>
      <c r="H6843" s="3" t="str">
        <f>HYPERLINK("http://ar.linkedin.com/in/aneta81","http://ar.linkedin.com/in/aneta81")</f>
        <v>http://ar.linkedin.com/in/aneta81</v>
      </c>
      <c r="I6843" s="2" t="s">
        <v>15</v>
      </c>
      <c r="J6843" s="2" t="s">
        <v>21</v>
      </c>
      <c r="K6843" s="2" t="s">
        <v>10196</v>
      </c>
    </row>
    <row r="6844" ht="15.75" customHeight="1">
      <c r="A6844" s="2">
        <v>40903.0</v>
      </c>
      <c r="B6844" s="2" t="s">
        <v>13089</v>
      </c>
      <c r="C6844" s="2" t="s">
        <v>13090</v>
      </c>
      <c r="D6844" s="2" t="s">
        <v>13091</v>
      </c>
      <c r="E6844" s="2" t="s">
        <v>20</v>
      </c>
      <c r="F6844" s="2">
        <v>16.0</v>
      </c>
      <c r="G6844" s="2">
        <v>486.0</v>
      </c>
      <c r="H6844" s="3" t="str">
        <f>HYPERLINK("http://www.linkedin.com/in/luismiguelormachea","http://www.linkedin.com/in/luismiguelormachea")</f>
        <v>http://www.linkedin.com/in/luismiguelormachea</v>
      </c>
      <c r="I6844" s="2" t="s">
        <v>15</v>
      </c>
      <c r="J6844" s="2" t="s">
        <v>21</v>
      </c>
      <c r="K6844" s="2" t="s">
        <v>10180</v>
      </c>
    </row>
    <row r="6845" ht="15.75" customHeight="1">
      <c r="A6845" s="2">
        <v>40961.0</v>
      </c>
      <c r="B6845" s="2" t="s">
        <v>5883</v>
      </c>
      <c r="C6845" s="2" t="s">
        <v>13092</v>
      </c>
      <c r="D6845" s="2" t="s">
        <v>2960</v>
      </c>
      <c r="E6845" s="2" t="s">
        <v>1190</v>
      </c>
      <c r="F6845" s="2">
        <v>26.0</v>
      </c>
      <c r="G6845" s="2">
        <v>500.0</v>
      </c>
      <c r="H6845" s="3" t="str">
        <f>HYPERLINK("http://www.linkedin.com/in/zimerman","http://www.linkedin.com/in/zimerman")</f>
        <v>http://www.linkedin.com/in/zimerman</v>
      </c>
      <c r="I6845" s="2" t="s">
        <v>105</v>
      </c>
      <c r="J6845" s="2" t="s">
        <v>102</v>
      </c>
      <c r="K6845" s="2" t="s">
        <v>10209</v>
      </c>
    </row>
    <row r="6846" ht="15.75" customHeight="1">
      <c r="A6846" s="2">
        <v>41010.0</v>
      </c>
      <c r="B6846" s="2" t="s">
        <v>540</v>
      </c>
      <c r="C6846" s="2" t="s">
        <v>13093</v>
      </c>
      <c r="D6846" s="2" t="s">
        <v>6010</v>
      </c>
      <c r="E6846" s="2" t="s">
        <v>20</v>
      </c>
      <c r="F6846" s="2">
        <v>18.0</v>
      </c>
      <c r="G6846" s="2">
        <v>293.0</v>
      </c>
      <c r="H6846" s="3" t="str">
        <f>HYPERLINK("http://ar.linkedin.com/pub/christian-brangold/B/198/423","http://ar.linkedin.com/pub/christian-brangold/B/198/423")</f>
        <v>http://ar.linkedin.com/pub/christian-brangold/B/198/423</v>
      </c>
      <c r="I6846" s="2" t="s">
        <v>15</v>
      </c>
      <c r="J6846" s="2" t="s">
        <v>21</v>
      </c>
      <c r="K6846" s="2" t="s">
        <v>10196</v>
      </c>
    </row>
    <row r="6847" ht="15.75" customHeight="1">
      <c r="A6847" s="2">
        <v>41013.0</v>
      </c>
      <c r="B6847" s="2" t="s">
        <v>13094</v>
      </c>
      <c r="C6847" s="2" t="s">
        <v>13095</v>
      </c>
      <c r="D6847" s="2" t="s">
        <v>13</v>
      </c>
      <c r="E6847" s="2" t="s">
        <v>219</v>
      </c>
      <c r="F6847" s="2">
        <v>4.0</v>
      </c>
      <c r="G6847" s="2">
        <v>500.0</v>
      </c>
      <c r="H6847" s="3" t="str">
        <f>HYPERLINK("http://www.linkedin.com/pub/diego-osvaldo-lopez-gagliardi/3/5b8/245","http://www.linkedin.com/pub/diego-osvaldo-lopez-gagliardi/3/5b8/245")</f>
        <v>http://www.linkedin.com/pub/diego-osvaldo-lopez-gagliardi/3/5b8/245</v>
      </c>
      <c r="I6847" s="2" t="s">
        <v>15</v>
      </c>
      <c r="J6847" s="2" t="s">
        <v>220</v>
      </c>
      <c r="K6847" s="2" t="s">
        <v>10196</v>
      </c>
    </row>
    <row r="6848" ht="15.75" customHeight="1">
      <c r="A6848" s="2">
        <v>41039.0</v>
      </c>
      <c r="B6848" s="2" t="s">
        <v>492</v>
      </c>
      <c r="C6848" s="2" t="s">
        <v>704</v>
      </c>
      <c r="D6848" s="2" t="s">
        <v>13096</v>
      </c>
      <c r="E6848" s="2" t="s">
        <v>20</v>
      </c>
      <c r="F6848" s="2" t="s">
        <v>13</v>
      </c>
      <c r="G6848" s="2">
        <v>445.0</v>
      </c>
      <c r="H6848" s="3" t="str">
        <f>HYPERLINK("http://ar.linkedin.com/in/sergiocristaldo","http://ar.linkedin.com/in/sergiocristaldo")</f>
        <v>http://ar.linkedin.com/in/sergiocristaldo</v>
      </c>
      <c r="I6848" s="2" t="s">
        <v>96</v>
      </c>
      <c r="J6848" s="2" t="s">
        <v>21</v>
      </c>
      <c r="K6848" s="2" t="s">
        <v>10176</v>
      </c>
    </row>
    <row r="6849" ht="15.75" customHeight="1">
      <c r="A6849" s="2">
        <v>41059.0</v>
      </c>
      <c r="B6849" s="2" t="s">
        <v>13097</v>
      </c>
      <c r="C6849" s="2" t="s">
        <v>13098</v>
      </c>
      <c r="D6849" s="2" t="s">
        <v>13</v>
      </c>
      <c r="E6849" s="2" t="s">
        <v>20</v>
      </c>
      <c r="F6849" s="2">
        <v>1.0</v>
      </c>
      <c r="G6849" s="2">
        <v>500.0</v>
      </c>
      <c r="H6849" s="3" t="str">
        <f>HYPERLINK("http://www.linkedin.com/pub/martha-alicia-alles/24/b33/7b0","http://www.linkedin.com/pub/martha-alicia-alles/24/b33/7b0")</f>
        <v>http://www.linkedin.com/pub/martha-alicia-alles/24/b33/7b0</v>
      </c>
      <c r="I6849" s="2" t="s">
        <v>458</v>
      </c>
      <c r="J6849" s="2" t="s">
        <v>21</v>
      </c>
      <c r="K6849" s="2" t="s">
        <v>10184</v>
      </c>
    </row>
    <row r="6850" ht="15.75" customHeight="1">
      <c r="A6850" s="2">
        <v>41080.0</v>
      </c>
      <c r="B6850" s="2" t="s">
        <v>845</v>
      </c>
      <c r="C6850" s="2" t="s">
        <v>13099</v>
      </c>
      <c r="D6850" s="2" t="s">
        <v>13100</v>
      </c>
      <c r="E6850" s="2" t="s">
        <v>13101</v>
      </c>
      <c r="F6850" s="2">
        <v>4.0</v>
      </c>
      <c r="G6850" s="2">
        <v>162.0</v>
      </c>
      <c r="H6850" s="3" t="str">
        <f>HYPERLINK("http://www.linkedin.com/in/davidvartanian","http://www.linkedin.com/in/davidvartanian")</f>
        <v>http://www.linkedin.com/in/davidvartanian</v>
      </c>
      <c r="I6850" s="2" t="s">
        <v>15</v>
      </c>
      <c r="J6850" s="2" t="s">
        <v>926</v>
      </c>
      <c r="K6850" s="2" t="s">
        <v>10196</v>
      </c>
    </row>
    <row r="6851" ht="15.75" customHeight="1">
      <c r="A6851" s="2">
        <v>41081.0</v>
      </c>
      <c r="B6851" s="2" t="s">
        <v>13102</v>
      </c>
      <c r="C6851" s="2" t="s">
        <v>13103</v>
      </c>
      <c r="D6851" s="2" t="s">
        <v>13104</v>
      </c>
      <c r="E6851" s="2" t="s">
        <v>20</v>
      </c>
      <c r="F6851" s="2">
        <v>3.0</v>
      </c>
      <c r="G6851" s="2">
        <v>500.0</v>
      </c>
      <c r="H6851" s="3" t="str">
        <f>HYPERLINK("http://ar.linkedin.com/pub/cintia-sonia-barreiro/30/A3A/59A","http://ar.linkedin.com/pub/cintia-sonia-barreiro/30/A3A/59A")</f>
        <v>http://ar.linkedin.com/pub/cintia-sonia-barreiro/30/A3A/59A</v>
      </c>
      <c r="I6851" s="2" t="s">
        <v>15</v>
      </c>
      <c r="J6851" s="2" t="s">
        <v>21</v>
      </c>
      <c r="K6851" s="2" t="s">
        <v>10196</v>
      </c>
    </row>
    <row r="6852" ht="15.75" customHeight="1">
      <c r="A6852" s="2">
        <v>41084.0</v>
      </c>
      <c r="B6852" s="2" t="s">
        <v>2522</v>
      </c>
      <c r="C6852" s="2" t="s">
        <v>2610</v>
      </c>
      <c r="D6852" s="2"/>
      <c r="E6852" s="2" t="s">
        <v>971</v>
      </c>
      <c r="F6852" s="2">
        <v>2.0</v>
      </c>
      <c r="G6852" s="2">
        <v>232.0</v>
      </c>
      <c r="H6852" s="3" t="str">
        <f>HYPERLINK("http://www.linkedin.com/in/laurenhall","http://www.linkedin.com/in/laurenhall")</f>
        <v>http://www.linkedin.com/in/laurenhall</v>
      </c>
      <c r="I6852" s="2" t="s">
        <v>579</v>
      </c>
      <c r="J6852" s="2" t="s">
        <v>102</v>
      </c>
      <c r="K6852" s="2" t="s">
        <v>10209</v>
      </c>
    </row>
    <row r="6853" ht="15.75" customHeight="1">
      <c r="A6853" s="2">
        <v>41087.0</v>
      </c>
      <c r="B6853" s="2" t="s">
        <v>242</v>
      </c>
      <c r="C6853" s="2" t="s">
        <v>3943</v>
      </c>
      <c r="D6853" s="2" t="s">
        <v>13105</v>
      </c>
      <c r="E6853" s="2" t="s">
        <v>13106</v>
      </c>
      <c r="F6853" s="2">
        <v>4.0</v>
      </c>
      <c r="G6853" s="2">
        <v>216.0</v>
      </c>
      <c r="H6853" s="3" t="str">
        <f>HYPERLINK("http://www.linkedin.com/pub/anna-rodriguez/2/148/292","http://www.linkedin.com/pub/anna-rodriguez/2/148/292")</f>
        <v>http://www.linkedin.com/pub/anna-rodriguez/2/148/292</v>
      </c>
      <c r="I6853" s="2" t="s">
        <v>105</v>
      </c>
      <c r="J6853" s="2" t="s">
        <v>102</v>
      </c>
      <c r="K6853" s="2" t="s">
        <v>10206</v>
      </c>
    </row>
    <row r="6854" ht="15.75" customHeight="1">
      <c r="A6854" s="2">
        <v>41112.0</v>
      </c>
      <c r="B6854" s="2" t="s">
        <v>59</v>
      </c>
      <c r="C6854" s="2" t="s">
        <v>13107</v>
      </c>
      <c r="D6854" s="2" t="s">
        <v>13108</v>
      </c>
      <c r="E6854" s="2" t="s">
        <v>20</v>
      </c>
      <c r="F6854" s="2">
        <v>10.0</v>
      </c>
      <c r="G6854" s="2">
        <v>390.0</v>
      </c>
      <c r="H6854" s="3" t="str">
        <f>HYPERLINK("http://ar.linkedin.com/in/martindelbosco","http://ar.linkedin.com/in/martindelbosco")</f>
        <v>http://ar.linkedin.com/in/martindelbosco</v>
      </c>
      <c r="I6854" s="2" t="s">
        <v>15</v>
      </c>
      <c r="J6854" s="2" t="s">
        <v>21</v>
      </c>
      <c r="K6854" s="2" t="s">
        <v>10196</v>
      </c>
    </row>
    <row r="6855" ht="15.75" customHeight="1">
      <c r="A6855" s="2">
        <v>41127.0</v>
      </c>
      <c r="B6855" s="2" t="s">
        <v>5078</v>
      </c>
      <c r="C6855" s="2" t="s">
        <v>13109</v>
      </c>
      <c r="D6855" s="2" t="s">
        <v>13</v>
      </c>
      <c r="E6855" s="2" t="s">
        <v>20</v>
      </c>
      <c r="F6855" s="2">
        <v>7.0</v>
      </c>
      <c r="G6855" s="2">
        <v>475.0</v>
      </c>
      <c r="H6855" s="3" t="str">
        <f>HYPERLINK("http://www.linkedin.com/pub/diego-chulak/3/a61/5a7","http://www.linkedin.com/pub/diego-chulak/3/a61/5a7")</f>
        <v>http://www.linkedin.com/pub/diego-chulak/3/a61/5a7</v>
      </c>
      <c r="I6855" s="2" t="s">
        <v>48</v>
      </c>
      <c r="J6855" s="2" t="s">
        <v>21</v>
      </c>
      <c r="K6855" s="2" t="s">
        <v>10196</v>
      </c>
    </row>
    <row r="6856" ht="15.75" customHeight="1">
      <c r="A6856" s="2">
        <v>41184.0</v>
      </c>
      <c r="B6856" s="2" t="s">
        <v>6093</v>
      </c>
      <c r="C6856" s="2" t="s">
        <v>13110</v>
      </c>
      <c r="D6856" s="2" t="s">
        <v>13111</v>
      </c>
      <c r="E6856" s="2" t="s">
        <v>20</v>
      </c>
      <c r="F6856" s="2">
        <v>5.0</v>
      </c>
      <c r="G6856" s="2">
        <v>272.0</v>
      </c>
      <c r="H6856" s="3" t="str">
        <f>HYPERLINK("http://ar.linkedin.com/pub/nicol-s-shinyashiki/5/8B0/253","http://ar.linkedin.com/pub/nicol-s-shinyashiki/5/8B0/253")</f>
        <v>http://ar.linkedin.com/pub/nicol-s-shinyashiki/5/8B0/253</v>
      </c>
      <c r="I6856" s="2" t="s">
        <v>15</v>
      </c>
      <c r="J6856" s="2" t="s">
        <v>21</v>
      </c>
      <c r="K6856" s="2" t="s">
        <v>10196</v>
      </c>
    </row>
    <row r="6857" ht="15.75" customHeight="1">
      <c r="A6857" s="2">
        <v>41248.0</v>
      </c>
      <c r="B6857" s="2" t="s">
        <v>133</v>
      </c>
      <c r="C6857" s="2" t="s">
        <v>13112</v>
      </c>
      <c r="D6857" s="2" t="s">
        <v>13</v>
      </c>
      <c r="E6857" s="2" t="s">
        <v>5503</v>
      </c>
      <c r="F6857" s="2">
        <v>0.0</v>
      </c>
      <c r="G6857" s="2">
        <v>500.0</v>
      </c>
      <c r="H6857" s="3" t="str">
        <f>HYPERLINK("http://www.linkedin.com/in/mjremijan","http://www.linkedin.com/in/mjremijan")</f>
        <v>http://www.linkedin.com/in/mjremijan</v>
      </c>
      <c r="I6857" s="2" t="s">
        <v>48</v>
      </c>
      <c r="J6857" s="2" t="s">
        <v>102</v>
      </c>
      <c r="K6857" s="2" t="s">
        <v>10187</v>
      </c>
    </row>
    <row r="6858" ht="15.75" customHeight="1">
      <c r="A6858" s="2">
        <v>41251.0</v>
      </c>
      <c r="B6858" s="2" t="s">
        <v>3550</v>
      </c>
      <c r="C6858" s="2" t="s">
        <v>9207</v>
      </c>
      <c r="D6858" s="2" t="s">
        <v>13113</v>
      </c>
      <c r="E6858" s="2" t="s">
        <v>20</v>
      </c>
      <c r="F6858" s="2">
        <v>4.0</v>
      </c>
      <c r="G6858" s="2">
        <v>164.0</v>
      </c>
      <c r="H6858" s="3" t="str">
        <f>HYPERLINK("http://ar.linkedin.com/pub/nicolas-monetto/15/450/678","http://ar.linkedin.com/pub/nicolas-monetto/15/450/678")</f>
        <v>http://ar.linkedin.com/pub/nicolas-monetto/15/450/678</v>
      </c>
      <c r="I6858" s="2" t="s">
        <v>15</v>
      </c>
      <c r="J6858" s="2" t="s">
        <v>21</v>
      </c>
      <c r="K6858" s="2" t="s">
        <v>10196</v>
      </c>
    </row>
    <row r="6859" ht="15.75" customHeight="1">
      <c r="A6859" s="2">
        <v>41260.0</v>
      </c>
      <c r="B6859" s="2" t="s">
        <v>5883</v>
      </c>
      <c r="C6859" s="2" t="s">
        <v>2082</v>
      </c>
      <c r="D6859" s="2" t="s">
        <v>347</v>
      </c>
      <c r="E6859" s="2" t="s">
        <v>20</v>
      </c>
      <c r="F6859" s="2">
        <v>1.0</v>
      </c>
      <c r="G6859" s="2">
        <v>175.0</v>
      </c>
      <c r="H6859" s="3" t="str">
        <f>HYPERLINK("http://ar.linkedin.com/pub/ariel-carrion/1A/A93/26B","http://ar.linkedin.com/pub/ariel-carrion/1A/A93/26B")</f>
        <v>http://ar.linkedin.com/pub/ariel-carrion/1A/A93/26B</v>
      </c>
      <c r="I6859" s="2" t="s">
        <v>15</v>
      </c>
      <c r="J6859" s="2" t="s">
        <v>21</v>
      </c>
      <c r="K6859" s="2" t="s">
        <v>10180</v>
      </c>
    </row>
    <row r="6860" ht="15.75" customHeight="1">
      <c r="A6860" s="2">
        <v>41265.0</v>
      </c>
      <c r="B6860" s="2" t="s">
        <v>3025</v>
      </c>
      <c r="C6860" s="2" t="s">
        <v>13114</v>
      </c>
      <c r="D6860" s="2" t="s">
        <v>13115</v>
      </c>
      <c r="E6860" s="2" t="s">
        <v>20</v>
      </c>
      <c r="F6860" s="2">
        <v>3.0</v>
      </c>
      <c r="G6860" s="2">
        <v>476.0</v>
      </c>
      <c r="H6860" s="3" t="str">
        <f>HYPERLINK("http://ar.linkedin.com/in/npinat","http://ar.linkedin.com/in/npinat")</f>
        <v>http://ar.linkedin.com/in/npinat</v>
      </c>
      <c r="I6860" s="2" t="s">
        <v>48</v>
      </c>
      <c r="J6860" s="2" t="s">
        <v>21</v>
      </c>
      <c r="K6860" s="2" t="s">
        <v>10196</v>
      </c>
    </row>
    <row r="6861" ht="15.75" customHeight="1">
      <c r="A6861" s="2">
        <v>41277.0</v>
      </c>
      <c r="B6861" s="2" t="s">
        <v>362</v>
      </c>
      <c r="C6861" s="2" t="s">
        <v>13116</v>
      </c>
      <c r="D6861" s="2" t="s">
        <v>1750</v>
      </c>
      <c r="E6861" s="2" t="s">
        <v>20</v>
      </c>
      <c r="F6861" s="2">
        <v>1.0</v>
      </c>
      <c r="G6861" s="2">
        <v>255.0</v>
      </c>
      <c r="H6861" s="3" t="str">
        <f>HYPERLINK("http://ar.linkedin.com/pub/javier-attie/30/439/50A","http://ar.linkedin.com/pub/javier-attie/30/439/50A")</f>
        <v>http://ar.linkedin.com/pub/javier-attie/30/439/50A</v>
      </c>
      <c r="I6861" s="2" t="s">
        <v>15</v>
      </c>
      <c r="J6861" s="2" t="s">
        <v>21</v>
      </c>
      <c r="K6861" s="2" t="s">
        <v>10173</v>
      </c>
    </row>
    <row r="6862" ht="15.75" customHeight="1">
      <c r="A6862" s="2">
        <v>41286.0</v>
      </c>
      <c r="B6862" s="2" t="s">
        <v>492</v>
      </c>
      <c r="C6862" s="2" t="s">
        <v>13117</v>
      </c>
      <c r="D6862" s="2" t="s">
        <v>13</v>
      </c>
      <c r="E6862" s="2" t="s">
        <v>20</v>
      </c>
      <c r="F6862" s="2">
        <v>0.0</v>
      </c>
      <c r="G6862" s="2">
        <v>500.0</v>
      </c>
      <c r="H6862" s="3" t="str">
        <f>HYPERLINK("http://ar.linkedin.com/in/seroro","http://ar.linkedin.com/in/seroro")</f>
        <v>http://ar.linkedin.com/in/seroro</v>
      </c>
      <c r="I6862" s="2" t="s">
        <v>15</v>
      </c>
      <c r="J6862" s="2" t="s">
        <v>21</v>
      </c>
      <c r="K6862" s="2" t="s">
        <v>10180</v>
      </c>
    </row>
    <row r="6863" ht="15.75" customHeight="1">
      <c r="A6863" s="2">
        <v>41296.0</v>
      </c>
      <c r="B6863" s="2" t="s">
        <v>6025</v>
      </c>
      <c r="C6863" s="2" t="s">
        <v>13118</v>
      </c>
      <c r="D6863" s="2" t="s">
        <v>13119</v>
      </c>
      <c r="E6863" s="2" t="s">
        <v>882</v>
      </c>
      <c r="F6863" s="2">
        <v>9.0</v>
      </c>
      <c r="G6863" s="2">
        <v>500.0</v>
      </c>
      <c r="H6863" s="3" t="str">
        <f>HYPERLINK("http://www.linkedin.com/in/hernanpisano","http://www.linkedin.com/in/hernanpisano")</f>
        <v>http://www.linkedin.com/in/hernanpisano</v>
      </c>
      <c r="I6863" s="2" t="s">
        <v>714</v>
      </c>
      <c r="J6863" s="2" t="s">
        <v>102</v>
      </c>
      <c r="K6863" s="2" t="s">
        <v>10209</v>
      </c>
    </row>
    <row r="6864" ht="15.75" customHeight="1">
      <c r="A6864" s="2">
        <v>41338.0</v>
      </c>
      <c r="B6864" s="2" t="s">
        <v>13120</v>
      </c>
      <c r="C6864" s="2" t="s">
        <v>13121</v>
      </c>
      <c r="D6864" s="2" t="s">
        <v>6202</v>
      </c>
      <c r="E6864" s="2" t="s">
        <v>136</v>
      </c>
      <c r="F6864" s="2">
        <v>0.0</v>
      </c>
      <c r="G6864" s="2">
        <v>133.0</v>
      </c>
      <c r="H6864" s="3" t="str">
        <f>HYPERLINK("http://www.linkedin.com/pub/ving-ian-lei/1/430/144","http://www.linkedin.com/pub/ving-ian-lei/1/430/144")</f>
        <v>http://www.linkedin.com/pub/ving-ian-lei/1/430/144</v>
      </c>
      <c r="I6864" s="2" t="s">
        <v>48</v>
      </c>
      <c r="J6864" s="2" t="s">
        <v>102</v>
      </c>
      <c r="K6864" s="2" t="s">
        <v>10184</v>
      </c>
    </row>
    <row r="6865" ht="15.75" customHeight="1">
      <c r="A6865" s="2">
        <v>41349.0</v>
      </c>
      <c r="B6865" s="2" t="s">
        <v>13122</v>
      </c>
      <c r="C6865" s="2" t="s">
        <v>13123</v>
      </c>
      <c r="D6865" s="2" t="s">
        <v>13</v>
      </c>
      <c r="E6865" s="2" t="s">
        <v>20</v>
      </c>
      <c r="F6865" s="2">
        <v>19.0</v>
      </c>
      <c r="G6865" s="2">
        <v>500.0</v>
      </c>
      <c r="H6865" s="3" t="str">
        <f>HYPERLINK("http://www.linkedin.com/pub/flavio-adri%C3%A1n-albarrac%C3%ADn-3000/13/768/47b","http://www.linkedin.com/pub/flavio-adri%C3%A1n-albarrac%C3%ADn-3000/13/768/47b")</f>
        <v>http://www.linkedin.com/pub/flavio-adri%C3%A1n-albarrac%C3%ADn-3000/13/768/47b</v>
      </c>
      <c r="I6865" s="2" t="s">
        <v>57</v>
      </c>
      <c r="J6865" s="2" t="s">
        <v>21</v>
      </c>
      <c r="K6865" s="2" t="s">
        <v>10312</v>
      </c>
    </row>
    <row r="6866" ht="15.75" customHeight="1">
      <c r="A6866" s="2">
        <v>41396.0</v>
      </c>
      <c r="B6866" s="2" t="s">
        <v>13124</v>
      </c>
      <c r="C6866" s="2" t="s">
        <v>13125</v>
      </c>
      <c r="D6866" s="2" t="s">
        <v>13126</v>
      </c>
      <c r="E6866" s="2" t="s">
        <v>20</v>
      </c>
      <c r="F6866" s="2">
        <v>3.0</v>
      </c>
      <c r="G6866" s="2">
        <v>500.0</v>
      </c>
      <c r="H6866" s="3" t="str">
        <f>HYPERLINK("http://www.linkedin.com/in/ricardodiez","http://www.linkedin.com/in/ricardodiez")</f>
        <v>http://www.linkedin.com/in/ricardodiez</v>
      </c>
      <c r="I6866" s="2" t="s">
        <v>69</v>
      </c>
      <c r="J6866" s="2" t="s">
        <v>21</v>
      </c>
      <c r="K6866" s="2" t="s">
        <v>10180</v>
      </c>
    </row>
    <row r="6867" ht="15.75" customHeight="1">
      <c r="A6867" s="2">
        <v>41403.0</v>
      </c>
      <c r="B6867" s="2" t="s">
        <v>5078</v>
      </c>
      <c r="C6867" s="2" t="s">
        <v>12681</v>
      </c>
      <c r="D6867" s="2" t="s">
        <v>13127</v>
      </c>
      <c r="E6867" s="2" t="s">
        <v>20</v>
      </c>
      <c r="F6867" s="2">
        <v>13.0</v>
      </c>
      <c r="G6867" s="2">
        <v>500.0</v>
      </c>
      <c r="H6867" s="3" t="str">
        <f>HYPERLINK("http://ar.linkedin.com/pub/diego-arena/15/7B/639","http://ar.linkedin.com/pub/diego-arena/15/7B/639")</f>
        <v>http://ar.linkedin.com/pub/diego-arena/15/7B/639</v>
      </c>
      <c r="I6867" s="2" t="s">
        <v>15</v>
      </c>
      <c r="J6867" s="2" t="s">
        <v>21</v>
      </c>
      <c r="K6867" s="2" t="s">
        <v>10196</v>
      </c>
    </row>
    <row r="6868" ht="15.75" customHeight="1">
      <c r="A6868" s="2">
        <v>41434.0</v>
      </c>
      <c r="B6868" s="2" t="s">
        <v>6417</v>
      </c>
      <c r="C6868" s="2" t="s">
        <v>13128</v>
      </c>
      <c r="D6868" s="2" t="s">
        <v>13129</v>
      </c>
      <c r="E6868" s="2" t="s">
        <v>20</v>
      </c>
      <c r="F6868" s="2">
        <v>20.0</v>
      </c>
      <c r="G6868" s="2">
        <v>500.0</v>
      </c>
      <c r="H6868" s="3" t="str">
        <f>HYPERLINK("http://ar.linkedin.com/pub/gonzalo-la-salvia/B/139/B77","http://ar.linkedin.com/pub/gonzalo-la-salvia/B/139/B77")</f>
        <v>http://ar.linkedin.com/pub/gonzalo-la-salvia/B/139/B77</v>
      </c>
      <c r="I6868" s="2" t="s">
        <v>15</v>
      </c>
      <c r="J6868" s="2" t="s">
        <v>21</v>
      </c>
      <c r="K6868" s="2" t="s">
        <v>10180</v>
      </c>
    </row>
    <row r="6869" ht="15.75" customHeight="1">
      <c r="A6869" s="2">
        <v>41438.0</v>
      </c>
      <c r="B6869" s="2" t="s">
        <v>9129</v>
      </c>
      <c r="C6869" s="2" t="s">
        <v>11076</v>
      </c>
      <c r="D6869" s="2" t="s">
        <v>400</v>
      </c>
      <c r="E6869" s="2" t="s">
        <v>20</v>
      </c>
      <c r="F6869" s="2">
        <v>5.0</v>
      </c>
      <c r="G6869" s="2">
        <v>500.0</v>
      </c>
      <c r="H6869" s="3" t="str">
        <f>HYPERLINK("http://ar.linkedin.com/in/romanpellegrino","http://ar.linkedin.com/in/romanpellegrino")</f>
        <v>http://ar.linkedin.com/in/romanpellegrino</v>
      </c>
      <c r="I6869" s="2" t="s">
        <v>69</v>
      </c>
      <c r="J6869" s="2" t="s">
        <v>21</v>
      </c>
      <c r="K6869" s="2" t="s">
        <v>10343</v>
      </c>
    </row>
    <row r="6870" ht="15.75" customHeight="1">
      <c r="A6870" s="2">
        <v>41448.0</v>
      </c>
      <c r="B6870" s="2" t="s">
        <v>353</v>
      </c>
      <c r="C6870" s="2" t="s">
        <v>12170</v>
      </c>
      <c r="D6870" s="2" t="s">
        <v>1750</v>
      </c>
      <c r="E6870" s="2" t="s">
        <v>20</v>
      </c>
      <c r="F6870" s="2">
        <v>7.0</v>
      </c>
      <c r="G6870" s="2">
        <v>500.0</v>
      </c>
      <c r="H6870" s="3" t="str">
        <f>HYPERLINK("http://ar.linkedin.com/in/afraga","http://ar.linkedin.com/in/afraga")</f>
        <v>http://ar.linkedin.com/in/afraga</v>
      </c>
      <c r="I6870" s="2" t="s">
        <v>15</v>
      </c>
      <c r="J6870" s="2" t="s">
        <v>21</v>
      </c>
      <c r="K6870" s="2" t="s">
        <v>10180</v>
      </c>
    </row>
    <row r="6871" ht="15.75" customHeight="1">
      <c r="A6871" s="2">
        <v>41481.0</v>
      </c>
      <c r="B6871" s="2" t="s">
        <v>18</v>
      </c>
      <c r="C6871" s="2" t="s">
        <v>13130</v>
      </c>
      <c r="D6871" s="2" t="s">
        <v>289</v>
      </c>
      <c r="E6871" s="2" t="s">
        <v>20</v>
      </c>
      <c r="F6871" s="2" t="s">
        <v>13</v>
      </c>
      <c r="G6871" s="2">
        <v>500.0</v>
      </c>
      <c r="H6871" s="3" t="str">
        <f>HYPERLINK("http://ar.linkedin.com/pub/mauricio-palazzini/20/403/8B5","http://ar.linkedin.com/pub/mauricio-palazzini/20/403/8B5")</f>
        <v>http://ar.linkedin.com/pub/mauricio-palazzini/20/403/8B5</v>
      </c>
      <c r="I6871" s="2" t="s">
        <v>365</v>
      </c>
      <c r="J6871" s="2" t="s">
        <v>21</v>
      </c>
      <c r="K6871" s="2" t="s">
        <v>10209</v>
      </c>
    </row>
    <row r="6872" ht="15.75" customHeight="1">
      <c r="A6872" s="2">
        <v>41534.0</v>
      </c>
      <c r="B6872" s="2" t="s">
        <v>6467</v>
      </c>
      <c r="C6872" s="2" t="s">
        <v>7146</v>
      </c>
      <c r="D6872" s="2" t="s">
        <v>13131</v>
      </c>
      <c r="E6872" s="2" t="s">
        <v>20</v>
      </c>
      <c r="F6872" s="2">
        <v>2.0</v>
      </c>
      <c r="G6872" s="2">
        <v>500.0</v>
      </c>
      <c r="H6872" s="3" t="str">
        <f>HYPERLINK("http://ar.linkedin.com/in/florenciaramos","http://ar.linkedin.com/in/florenciaramos")</f>
        <v>http://ar.linkedin.com/in/florenciaramos</v>
      </c>
      <c r="I6872" s="2" t="s">
        <v>15</v>
      </c>
      <c r="J6872" s="2" t="s">
        <v>21</v>
      </c>
      <c r="K6872" s="2" t="s">
        <v>10178</v>
      </c>
    </row>
    <row r="6873" ht="15.75" customHeight="1">
      <c r="A6873" s="2">
        <v>41634.0</v>
      </c>
      <c r="B6873" s="2" t="s">
        <v>5803</v>
      </c>
      <c r="C6873" s="2" t="s">
        <v>13132</v>
      </c>
      <c r="D6873" s="2" t="s">
        <v>400</v>
      </c>
      <c r="E6873" s="2" t="s">
        <v>20</v>
      </c>
      <c r="F6873" s="2">
        <v>16.0</v>
      </c>
      <c r="G6873" s="2">
        <v>197.0</v>
      </c>
      <c r="H6873" s="3" t="str">
        <f>HYPERLINK("http://ar.linkedin.com/in/mbalakuniec","http://ar.linkedin.com/in/mbalakuniec")</f>
        <v>http://ar.linkedin.com/in/mbalakuniec</v>
      </c>
      <c r="I6873" s="2" t="s">
        <v>105</v>
      </c>
      <c r="J6873" s="2" t="s">
        <v>21</v>
      </c>
      <c r="K6873" s="2" t="s">
        <v>10184</v>
      </c>
    </row>
    <row r="6874" ht="15.75" customHeight="1">
      <c r="A6874" s="2">
        <v>41637.0</v>
      </c>
      <c r="B6874" s="2" t="s">
        <v>605</v>
      </c>
      <c r="C6874" s="2" t="s">
        <v>13133</v>
      </c>
      <c r="D6874" s="2" t="s">
        <v>13</v>
      </c>
      <c r="E6874" s="2" t="s">
        <v>791</v>
      </c>
      <c r="F6874" s="2">
        <v>0.0</v>
      </c>
      <c r="G6874" s="2">
        <v>500.0</v>
      </c>
      <c r="H6874" s="3" t="str">
        <f>HYPERLINK("http://www.linkedin.com/in/rvauco","http://www.linkedin.com/in/rvauco")</f>
        <v>http://www.linkedin.com/in/rvauco</v>
      </c>
      <c r="I6874" s="2" t="s">
        <v>105</v>
      </c>
      <c r="J6874" s="2" t="s">
        <v>575</v>
      </c>
      <c r="K6874" s="2" t="s">
        <v>10196</v>
      </c>
    </row>
    <row r="6875" ht="15.75" customHeight="1">
      <c r="A6875" s="2">
        <v>41716.0</v>
      </c>
      <c r="B6875" s="2" t="s">
        <v>6765</v>
      </c>
      <c r="C6875" s="2" t="s">
        <v>13134</v>
      </c>
      <c r="D6875" s="2" t="s">
        <v>3791</v>
      </c>
      <c r="E6875" s="2" t="s">
        <v>20</v>
      </c>
      <c r="F6875" s="2">
        <v>3.0</v>
      </c>
      <c r="G6875" s="2">
        <v>500.0</v>
      </c>
      <c r="H6875" s="3" t="str">
        <f>HYPERLINK("http://ar.linkedin.com/in/gastonlaya","http://ar.linkedin.com/in/gastonlaya")</f>
        <v>http://ar.linkedin.com/in/gastonlaya</v>
      </c>
      <c r="I6875" s="2" t="s">
        <v>15</v>
      </c>
      <c r="J6875" s="2" t="s">
        <v>21</v>
      </c>
      <c r="K6875" s="2" t="s">
        <v>10196</v>
      </c>
    </row>
    <row r="6876" ht="15.75" customHeight="1">
      <c r="A6876" s="2">
        <v>41742.0</v>
      </c>
      <c r="B6876" s="2" t="s">
        <v>1517</v>
      </c>
      <c r="C6876" s="2" t="s">
        <v>13135</v>
      </c>
      <c r="D6876" s="2" t="s">
        <v>118</v>
      </c>
      <c r="E6876" s="2" t="s">
        <v>20</v>
      </c>
      <c r="F6876" s="2">
        <v>3.0</v>
      </c>
      <c r="G6876" s="2">
        <v>358.0</v>
      </c>
      <c r="H6876" s="3" t="str">
        <f>HYPERLINK("http://ar.linkedin.com/in/carlaacevey","http://ar.linkedin.com/in/carlaacevey")</f>
        <v>http://ar.linkedin.com/in/carlaacevey</v>
      </c>
      <c r="I6876" s="2" t="s">
        <v>69</v>
      </c>
      <c r="J6876" s="2" t="s">
        <v>21</v>
      </c>
      <c r="K6876" s="2" t="s">
        <v>10178</v>
      </c>
    </row>
    <row r="6877" ht="15.75" customHeight="1">
      <c r="A6877" s="2">
        <v>41759.0</v>
      </c>
      <c r="B6877" s="2" t="s">
        <v>5737</v>
      </c>
      <c r="C6877" s="2" t="s">
        <v>13136</v>
      </c>
      <c r="D6877" s="2" t="s">
        <v>13</v>
      </c>
      <c r="E6877" s="2" t="s">
        <v>20</v>
      </c>
      <c r="F6877" s="2">
        <v>0.0</v>
      </c>
      <c r="G6877" s="2">
        <v>500.0</v>
      </c>
      <c r="H6877" s="3" t="str">
        <f>HYPERLINK("http://www.linkedin.com/pub/magdalena-berm%C3%BAdez/22/319/a34","http://www.linkedin.com/pub/magdalena-berm%C3%BAdez/22/319/a34")</f>
        <v>http://www.linkedin.com/pub/magdalena-berm%C3%BAdez/22/319/a34</v>
      </c>
      <c r="I6877" s="2" t="s">
        <v>105</v>
      </c>
      <c r="J6877" s="2" t="s">
        <v>21</v>
      </c>
      <c r="K6877" s="2" t="s">
        <v>10224</v>
      </c>
    </row>
    <row r="6878" ht="15.75" customHeight="1">
      <c r="A6878" s="2">
        <v>41777.0</v>
      </c>
      <c r="B6878" s="2" t="s">
        <v>703</v>
      </c>
      <c r="C6878" s="2" t="s">
        <v>13137</v>
      </c>
      <c r="D6878" s="2" t="s">
        <v>835</v>
      </c>
      <c r="E6878" s="2" t="s">
        <v>20</v>
      </c>
      <c r="F6878" s="2">
        <v>0.0</v>
      </c>
      <c r="G6878" s="2">
        <v>330.0</v>
      </c>
      <c r="H6878" s="3" t="str">
        <f>HYPERLINK("http://www.linkedin.com/pub/rafael-barabino/0/279/556","http://www.linkedin.com/pub/rafael-barabino/0/279/556")</f>
        <v>http://www.linkedin.com/pub/rafael-barabino/0/279/556</v>
      </c>
      <c r="I6878" s="2" t="s">
        <v>1183</v>
      </c>
      <c r="J6878" s="2" t="s">
        <v>21</v>
      </c>
      <c r="K6878" s="2" t="s">
        <v>10229</v>
      </c>
    </row>
    <row r="6879" ht="15.75" customHeight="1">
      <c r="A6879" s="2">
        <v>41789.0</v>
      </c>
      <c r="B6879" s="2" t="s">
        <v>4304</v>
      </c>
      <c r="C6879" s="2" t="s">
        <v>13138</v>
      </c>
      <c r="D6879" s="2" t="s">
        <v>6129</v>
      </c>
      <c r="E6879" s="2" t="s">
        <v>20</v>
      </c>
      <c r="F6879" s="2">
        <v>2.0</v>
      </c>
      <c r="G6879" s="2">
        <v>168.0</v>
      </c>
      <c r="H6879" s="3" t="str">
        <f>HYPERLINK("http://ar.linkedin.com/in/leandrodiato","http://ar.linkedin.com/in/leandrodiato")</f>
        <v>http://ar.linkedin.com/in/leandrodiato</v>
      </c>
      <c r="I6879" s="2" t="s">
        <v>48</v>
      </c>
      <c r="J6879" s="2" t="s">
        <v>21</v>
      </c>
      <c r="K6879" s="2" t="s">
        <v>10196</v>
      </c>
    </row>
    <row r="6880" ht="15.75" customHeight="1">
      <c r="A6880" s="2">
        <v>41807.0</v>
      </c>
      <c r="B6880" s="2" t="s">
        <v>9369</v>
      </c>
      <c r="C6880" s="2" t="s">
        <v>13139</v>
      </c>
      <c r="D6880" s="2" t="s">
        <v>13140</v>
      </c>
      <c r="E6880" s="2" t="s">
        <v>20</v>
      </c>
      <c r="F6880" s="2" t="s">
        <v>13</v>
      </c>
      <c r="G6880" s="2">
        <v>168.0</v>
      </c>
      <c r="H6880" s="3" t="str">
        <f>HYPERLINK("http://ar.linkedin.com/pub/m%C3%B3nica-n%C3%ADtoli/6/1B7/435","http://ar.linkedin.com/pub/m%C3%B3nica-n%C3%ADtoli/6/1B7/435")</f>
        <v>http://ar.linkedin.com/pub/m%C3%B3nica-n%C3%ADtoli/6/1B7/435</v>
      </c>
      <c r="I6880" s="2" t="s">
        <v>15</v>
      </c>
      <c r="J6880" s="2" t="s">
        <v>21</v>
      </c>
      <c r="K6880" s="2" t="s">
        <v>10173</v>
      </c>
    </row>
    <row r="6881" ht="15.75" customHeight="1">
      <c r="A6881" s="2">
        <v>41866.0</v>
      </c>
      <c r="B6881" s="2" t="s">
        <v>540</v>
      </c>
      <c r="C6881" s="2" t="s">
        <v>6357</v>
      </c>
      <c r="D6881" s="2" t="s">
        <v>13141</v>
      </c>
      <c r="E6881" s="2" t="s">
        <v>20</v>
      </c>
      <c r="F6881" s="2">
        <v>5.0</v>
      </c>
      <c r="G6881" s="2">
        <v>202.0</v>
      </c>
      <c r="H6881" s="3" t="str">
        <f>HYPERLINK("http://ar.linkedin.com/in/guzmanchristian","http://ar.linkedin.com/in/guzmanchristian")</f>
        <v>http://ar.linkedin.com/in/guzmanchristian</v>
      </c>
      <c r="I6881" s="2" t="s">
        <v>15</v>
      </c>
      <c r="J6881" s="2" t="s">
        <v>21</v>
      </c>
      <c r="K6881" s="2" t="s">
        <v>10196</v>
      </c>
    </row>
    <row r="6882" ht="15.75" customHeight="1">
      <c r="A6882" s="2">
        <v>41891.0</v>
      </c>
      <c r="B6882" s="2" t="s">
        <v>501</v>
      </c>
      <c r="C6882" s="2" t="s">
        <v>13142</v>
      </c>
      <c r="D6882" s="2" t="s">
        <v>13</v>
      </c>
      <c r="E6882" s="2" t="s">
        <v>701</v>
      </c>
      <c r="F6882" s="2">
        <v>0.0</v>
      </c>
      <c r="G6882" s="2">
        <v>500.0</v>
      </c>
      <c r="H6882" s="3" t="str">
        <f>HYPERLINK("http://www.linkedin.com/in/franciscodipaola","http://www.linkedin.com/in/franciscodipaola")</f>
        <v>http://www.linkedin.com/in/franciscodipaola</v>
      </c>
      <c r="I6882" s="2" t="s">
        <v>105</v>
      </c>
      <c r="J6882" s="2" t="s">
        <v>702</v>
      </c>
      <c r="K6882" s="2" t="s">
        <v>10184</v>
      </c>
    </row>
    <row r="6883" ht="15.75" customHeight="1">
      <c r="A6883" s="2">
        <v>41896.0</v>
      </c>
      <c r="B6883" s="2" t="s">
        <v>13143</v>
      </c>
      <c r="C6883" s="2" t="s">
        <v>13144</v>
      </c>
      <c r="D6883" s="2" t="s">
        <v>13145</v>
      </c>
      <c r="E6883" s="2" t="s">
        <v>20</v>
      </c>
      <c r="F6883" s="2">
        <v>4.0</v>
      </c>
      <c r="G6883" s="2">
        <v>201.0</v>
      </c>
      <c r="H6883" s="3" t="str">
        <f>HYPERLINK("http://ar.linkedin.com/pub/guillermina-rawson/2B/421/B57","http://ar.linkedin.com/pub/guillermina-rawson/2B/421/B57")</f>
        <v>http://ar.linkedin.com/pub/guillermina-rawson/2B/421/B57</v>
      </c>
      <c r="I6883" s="2" t="s">
        <v>48</v>
      </c>
      <c r="J6883" s="2" t="s">
        <v>21</v>
      </c>
      <c r="K6883" s="2" t="s">
        <v>10196</v>
      </c>
    </row>
    <row r="6884" ht="15.75" customHeight="1">
      <c r="A6884" s="2">
        <v>41914.0</v>
      </c>
      <c r="B6884" s="2" t="s">
        <v>13146</v>
      </c>
      <c r="C6884" s="2" t="s">
        <v>10351</v>
      </c>
      <c r="D6884" s="2" t="s">
        <v>13147</v>
      </c>
      <c r="E6884" s="2" t="s">
        <v>20</v>
      </c>
      <c r="F6884" s="2">
        <v>15.0</v>
      </c>
      <c r="G6884" s="2">
        <v>500.0</v>
      </c>
      <c r="H6884" s="3" t="str">
        <f>HYPERLINK("http://www.linkedin.com/in/matiasmendez","http://www.linkedin.com/in/matiasmendez")</f>
        <v>http://www.linkedin.com/in/matiasmendez</v>
      </c>
      <c r="I6884" s="2" t="s">
        <v>15</v>
      </c>
      <c r="J6884" s="2" t="s">
        <v>21</v>
      </c>
      <c r="K6884" s="2" t="s">
        <v>10371</v>
      </c>
    </row>
    <row r="6885" ht="15.75" customHeight="1">
      <c r="A6885" s="2">
        <v>41947.0</v>
      </c>
      <c r="B6885" s="2" t="s">
        <v>13148</v>
      </c>
      <c r="C6885" s="2" t="s">
        <v>13149</v>
      </c>
      <c r="D6885" s="2" t="s">
        <v>13150</v>
      </c>
      <c r="E6885" s="2" t="s">
        <v>20</v>
      </c>
      <c r="F6885" s="2">
        <v>10.0</v>
      </c>
      <c r="G6885" s="2">
        <v>313.0</v>
      </c>
      <c r="H6885" s="3" t="str">
        <f>HYPERLINK("http://ar.linkedin.com/pub/olegario-heberto-gamarra/9/A2A/50A","http://ar.linkedin.com/pub/olegario-heberto-gamarra/9/A2A/50A")</f>
        <v>http://ar.linkedin.com/pub/olegario-heberto-gamarra/9/A2A/50A</v>
      </c>
      <c r="I6885" s="2" t="s">
        <v>15</v>
      </c>
      <c r="J6885" s="2" t="s">
        <v>21</v>
      </c>
      <c r="K6885" s="2" t="s">
        <v>10196</v>
      </c>
    </row>
    <row r="6886" ht="15.75" customHeight="1">
      <c r="A6886" s="2">
        <v>42026.0</v>
      </c>
      <c r="B6886" s="2" t="s">
        <v>2578</v>
      </c>
      <c r="C6886" s="2" t="s">
        <v>13151</v>
      </c>
      <c r="D6886" s="2" t="s">
        <v>42</v>
      </c>
      <c r="E6886" s="2" t="s">
        <v>20</v>
      </c>
      <c r="F6886" s="2" t="s">
        <v>13</v>
      </c>
      <c r="G6886" s="2">
        <v>182.0</v>
      </c>
      <c r="H6886" s="3" t="str">
        <f>HYPERLINK("http://ar.linkedin.com/pub/philip-hausmann/8/125/59A","http://ar.linkedin.com/pub/philip-hausmann/8/125/59A")</f>
        <v>http://ar.linkedin.com/pub/philip-hausmann/8/125/59A</v>
      </c>
      <c r="I6886" s="2" t="s">
        <v>279</v>
      </c>
      <c r="J6886" s="2" t="s">
        <v>21</v>
      </c>
      <c r="K6886" s="2" t="s">
        <v>10176</v>
      </c>
    </row>
    <row r="6887" ht="15.75" customHeight="1">
      <c r="A6887" s="2">
        <v>42031.0</v>
      </c>
      <c r="B6887" s="2" t="s">
        <v>5791</v>
      </c>
      <c r="C6887" s="2" t="s">
        <v>13152</v>
      </c>
      <c r="D6887" s="2" t="s">
        <v>13</v>
      </c>
      <c r="E6887" s="2" t="s">
        <v>20</v>
      </c>
      <c r="F6887" s="2">
        <v>5.0</v>
      </c>
      <c r="G6887" s="2">
        <v>324.0</v>
      </c>
      <c r="H6887" s="3" t="str">
        <f>HYPERLINK("http://www.linkedin.com/pub/mat%C3%ADas-andres-correa/7/66a/845","http://www.linkedin.com/pub/mat%C3%ADas-andres-correa/7/66a/845")</f>
        <v>http://www.linkedin.com/pub/mat%C3%ADas-andres-correa/7/66a/845</v>
      </c>
      <c r="I6887" s="2" t="s">
        <v>77</v>
      </c>
      <c r="J6887" s="2" t="s">
        <v>21</v>
      </c>
      <c r="K6887" s="2" t="s">
        <v>10196</v>
      </c>
    </row>
    <row r="6888" ht="15.75" customHeight="1">
      <c r="A6888" s="2">
        <v>42057.0</v>
      </c>
      <c r="B6888" s="2" t="s">
        <v>6232</v>
      </c>
      <c r="C6888" s="2" t="s">
        <v>13153</v>
      </c>
      <c r="D6888" s="2" t="s">
        <v>8788</v>
      </c>
      <c r="E6888" s="2" t="s">
        <v>20</v>
      </c>
      <c r="F6888" s="2">
        <v>1.0</v>
      </c>
      <c r="G6888" s="2">
        <v>338.0</v>
      </c>
      <c r="H6888" s="3" t="str">
        <f>HYPERLINK("http://ar.linkedin.com/pub/emiliano-marchiori/25/297/AB1","http://ar.linkedin.com/pub/emiliano-marchiori/25/297/AB1")</f>
        <v>http://ar.linkedin.com/pub/emiliano-marchiori/25/297/AB1</v>
      </c>
      <c r="I6888" s="2" t="s">
        <v>57</v>
      </c>
      <c r="J6888" s="2" t="s">
        <v>21</v>
      </c>
      <c r="K6888" s="2" t="s">
        <v>10184</v>
      </c>
    </row>
    <row r="6889" ht="15.75" customHeight="1">
      <c r="A6889" s="2">
        <v>42085.0</v>
      </c>
      <c r="B6889" s="2" t="s">
        <v>13154</v>
      </c>
      <c r="C6889" s="2" t="s">
        <v>13155</v>
      </c>
      <c r="D6889" s="2" t="s">
        <v>13156</v>
      </c>
      <c r="E6889" s="2" t="s">
        <v>20</v>
      </c>
      <c r="F6889" s="2">
        <v>2.0</v>
      </c>
      <c r="G6889" s="2">
        <v>434.0</v>
      </c>
      <c r="H6889" s="3" t="str">
        <f>HYPERLINK("http://www.linkedin.com/pub/javier-oscar-arbelaiz/1b/490/b05","http://www.linkedin.com/pub/javier-oscar-arbelaiz/1b/490/b05")</f>
        <v>http://www.linkedin.com/pub/javier-oscar-arbelaiz/1b/490/b05</v>
      </c>
      <c r="I6889" s="2" t="s">
        <v>15</v>
      </c>
      <c r="J6889" s="2" t="s">
        <v>21</v>
      </c>
      <c r="K6889" s="2" t="s">
        <v>10206</v>
      </c>
    </row>
    <row r="6890" ht="15.75" customHeight="1">
      <c r="A6890" s="2">
        <v>42098.0</v>
      </c>
      <c r="B6890" s="2" t="s">
        <v>13157</v>
      </c>
      <c r="C6890" s="2" t="s">
        <v>13158</v>
      </c>
      <c r="D6890" s="2" t="s">
        <v>42</v>
      </c>
      <c r="E6890" s="2" t="s">
        <v>20</v>
      </c>
      <c r="F6890" s="2">
        <v>11.0</v>
      </c>
      <c r="G6890" s="2">
        <v>305.0</v>
      </c>
      <c r="H6890" s="3" t="str">
        <f>HYPERLINK("http://ar.linkedin.com/pub/vicky-marziali/10/571/290","http://ar.linkedin.com/pub/vicky-marziali/10/571/290")</f>
        <v>http://ar.linkedin.com/pub/vicky-marziali/10/571/290</v>
      </c>
      <c r="I6890" s="2" t="s">
        <v>1094</v>
      </c>
      <c r="J6890" s="2" t="s">
        <v>21</v>
      </c>
      <c r="K6890" s="2" t="s">
        <v>10187</v>
      </c>
    </row>
    <row r="6891" ht="15.75" customHeight="1">
      <c r="A6891" s="2">
        <v>42105.0</v>
      </c>
      <c r="B6891" s="2" t="s">
        <v>13159</v>
      </c>
      <c r="C6891" s="2" t="s">
        <v>3399</v>
      </c>
      <c r="D6891" s="2" t="s">
        <v>13160</v>
      </c>
      <c r="E6891" s="2" t="s">
        <v>971</v>
      </c>
      <c r="F6891" s="2">
        <v>11.0</v>
      </c>
      <c r="G6891" s="2">
        <v>500.0</v>
      </c>
      <c r="H6891" s="3" t="str">
        <f>HYPERLINK("http://ar.linkedin.com/pub/rolf-meyer/1/233/699","http://ar.linkedin.com/pub/rolf-meyer/1/233/699")</f>
        <v>http://ar.linkedin.com/pub/rolf-meyer/1/233/699</v>
      </c>
      <c r="I6891" s="2" t="s">
        <v>1728</v>
      </c>
      <c r="J6891" s="2" t="s">
        <v>102</v>
      </c>
      <c r="K6891" s="2" t="s">
        <v>10206</v>
      </c>
    </row>
    <row r="6892" ht="15.75" customHeight="1">
      <c r="A6892" s="2">
        <v>42124.0</v>
      </c>
      <c r="B6892" s="2" t="s">
        <v>5883</v>
      </c>
      <c r="C6892" s="2" t="s">
        <v>13161</v>
      </c>
      <c r="D6892" s="2" t="s">
        <v>289</v>
      </c>
      <c r="E6892" s="2" t="s">
        <v>407</v>
      </c>
      <c r="F6892" s="2">
        <v>8.0</v>
      </c>
      <c r="G6892" s="2">
        <v>500.0</v>
      </c>
      <c r="H6892" s="3" t="str">
        <f>HYPERLINK("http://www.linkedin.com/in/arielkas","http://www.linkedin.com/in/arielkas")</f>
        <v>http://www.linkedin.com/in/arielkas</v>
      </c>
      <c r="I6892" s="2" t="s">
        <v>579</v>
      </c>
      <c r="J6892" s="2" t="s">
        <v>102</v>
      </c>
      <c r="K6892" s="2" t="s">
        <v>10209</v>
      </c>
    </row>
    <row r="6893" ht="15.75" customHeight="1">
      <c r="A6893" s="2">
        <v>42186.0</v>
      </c>
      <c r="B6893" s="2" t="s">
        <v>3268</v>
      </c>
      <c r="C6893" s="2" t="s">
        <v>13162</v>
      </c>
      <c r="D6893" s="2" t="s">
        <v>13163</v>
      </c>
      <c r="E6893" s="2" t="s">
        <v>20</v>
      </c>
      <c r="F6893" s="2">
        <v>1.0</v>
      </c>
      <c r="G6893" s="2">
        <v>142.0</v>
      </c>
      <c r="H6893" s="3" t="str">
        <f>HYPERLINK("http://ar.linkedin.com/in/patriciacaimer","http://ar.linkedin.com/in/patriciacaimer")</f>
        <v>http://ar.linkedin.com/in/patriciacaimer</v>
      </c>
      <c r="I6893" s="2" t="s">
        <v>458</v>
      </c>
      <c r="J6893" s="2" t="s">
        <v>21</v>
      </c>
      <c r="K6893" s="2" t="s">
        <v>10229</v>
      </c>
    </row>
    <row r="6894" ht="15.75" customHeight="1">
      <c r="A6894" s="2">
        <v>42208.0</v>
      </c>
      <c r="B6894" s="2" t="s">
        <v>3692</v>
      </c>
      <c r="C6894" s="2" t="s">
        <v>13164</v>
      </c>
      <c r="D6894" s="2" t="s">
        <v>13165</v>
      </c>
      <c r="E6894" s="2" t="s">
        <v>20</v>
      </c>
      <c r="F6894" s="2">
        <v>1.0</v>
      </c>
      <c r="G6894" s="2">
        <v>330.0</v>
      </c>
      <c r="H6894" s="3" t="str">
        <f>HYPERLINK("http://ar.linkedin.com/pub/federico-bosch/2/90A/59B","http://ar.linkedin.com/pub/federico-bosch/2/90A/59B")</f>
        <v>http://ar.linkedin.com/pub/federico-bosch/2/90A/59B</v>
      </c>
      <c r="I6894" s="2" t="s">
        <v>910</v>
      </c>
      <c r="J6894" s="2" t="s">
        <v>21</v>
      </c>
      <c r="K6894" s="2" t="s">
        <v>12356</v>
      </c>
    </row>
    <row r="6895" ht="15.75" customHeight="1">
      <c r="A6895" s="2">
        <v>43040.0</v>
      </c>
      <c r="B6895" s="2" t="s">
        <v>4157</v>
      </c>
      <c r="C6895" s="2" t="s">
        <v>13166</v>
      </c>
      <c r="D6895" s="2" t="s">
        <v>13167</v>
      </c>
      <c r="E6895" s="2" t="s">
        <v>136</v>
      </c>
      <c r="F6895" s="2">
        <v>13.0</v>
      </c>
      <c r="G6895" s="2">
        <v>500.0</v>
      </c>
      <c r="H6895" s="3" t="str">
        <f>HYPERLINK("http://www.linkedin.com/in/marywelsh","http://www.linkedin.com/in/marywelsh")</f>
        <v>http://www.linkedin.com/in/marywelsh</v>
      </c>
      <c r="I6895" s="2" t="s">
        <v>1452</v>
      </c>
      <c r="J6895" s="2" t="s">
        <v>102</v>
      </c>
      <c r="K6895" s="2" t="s">
        <v>10380</v>
      </c>
    </row>
    <row r="6896" ht="15.75" customHeight="1">
      <c r="A6896" s="2">
        <v>43047.0</v>
      </c>
      <c r="B6896" s="2" t="s">
        <v>2609</v>
      </c>
      <c r="C6896" s="2" t="s">
        <v>3163</v>
      </c>
      <c r="D6896" s="2" t="s">
        <v>100</v>
      </c>
      <c r="E6896" s="2" t="s">
        <v>166</v>
      </c>
      <c r="F6896" s="2">
        <v>28.0</v>
      </c>
      <c r="G6896" s="2">
        <v>500.0</v>
      </c>
      <c r="H6896" s="3" t="str">
        <f>HYPERLINK("http://www.linkedin.com/in/carlgrover","http://www.linkedin.com/in/carlgrover")</f>
        <v>http://www.linkedin.com/in/carlgrover</v>
      </c>
      <c r="I6896" s="2" t="s">
        <v>15</v>
      </c>
      <c r="J6896" s="2" t="s">
        <v>102</v>
      </c>
      <c r="K6896" s="2" t="s">
        <v>12511</v>
      </c>
    </row>
    <row r="6897" ht="15.75" customHeight="1">
      <c r="A6897" s="2">
        <v>43084.0</v>
      </c>
      <c r="B6897" s="2" t="s">
        <v>13168</v>
      </c>
      <c r="C6897" s="2" t="s">
        <v>13169</v>
      </c>
      <c r="D6897" s="2"/>
      <c r="E6897" s="2" t="s">
        <v>1190</v>
      </c>
      <c r="F6897" s="2">
        <v>2.0</v>
      </c>
      <c r="G6897" s="2">
        <v>55.0</v>
      </c>
      <c r="H6897" s="3" t="str">
        <f>HYPERLINK("http://www.linkedin.com/pub/luiz-fernando-girolamo/0/220/830","http://www.linkedin.com/pub/luiz-fernando-girolamo/0/220/830")</f>
        <v>http://www.linkedin.com/pub/luiz-fernando-girolamo/0/220/830</v>
      </c>
      <c r="I6897" s="2" t="s">
        <v>279</v>
      </c>
      <c r="J6897" s="2" t="s">
        <v>102</v>
      </c>
      <c r="K6897" s="2" t="s">
        <v>10187</v>
      </c>
    </row>
    <row r="6898" ht="15.75" customHeight="1">
      <c r="A6898" s="2">
        <v>43086.0</v>
      </c>
      <c r="B6898" s="2" t="s">
        <v>647</v>
      </c>
      <c r="C6898" s="2" t="s">
        <v>13170</v>
      </c>
      <c r="D6898" s="2" t="s">
        <v>13171</v>
      </c>
      <c r="E6898" s="2" t="s">
        <v>20</v>
      </c>
      <c r="F6898" s="2">
        <v>2.0</v>
      </c>
      <c r="G6898" s="2">
        <v>240.0</v>
      </c>
      <c r="H6898" s="3" t="str">
        <f>HYPERLINK("http://ar.linkedin.com/pub/claudio-pazzano/12/5B1/722","http://ar.linkedin.com/pub/claudio-pazzano/12/5B1/722")</f>
        <v>http://ar.linkedin.com/pub/claudio-pazzano/12/5B1/722</v>
      </c>
      <c r="I6898" s="2" t="s">
        <v>15</v>
      </c>
      <c r="J6898" s="2" t="s">
        <v>21</v>
      </c>
      <c r="K6898" s="2" t="s">
        <v>10196</v>
      </c>
    </row>
    <row r="6899" ht="15.75" customHeight="1">
      <c r="A6899" s="2">
        <v>43140.0</v>
      </c>
      <c r="B6899" s="2" t="s">
        <v>13172</v>
      </c>
      <c r="C6899" s="2" t="s">
        <v>13173</v>
      </c>
      <c r="D6899" s="2" t="s">
        <v>13174</v>
      </c>
      <c r="E6899" s="2" t="s">
        <v>20</v>
      </c>
      <c r="F6899" s="2">
        <v>2.0</v>
      </c>
      <c r="G6899" s="2">
        <v>204.0</v>
      </c>
      <c r="H6899" s="3" t="str">
        <f>HYPERLINK("http://ar.linkedin.com/pub/susana-b-zabala/A/463/3AB","http://ar.linkedin.com/pub/susana-b-zabala/A/463/3AB")</f>
        <v>http://ar.linkedin.com/pub/susana-b-zabala/A/463/3AB</v>
      </c>
      <c r="I6899" s="2" t="s">
        <v>15</v>
      </c>
      <c r="J6899" s="2" t="s">
        <v>21</v>
      </c>
      <c r="K6899" s="2" t="s">
        <v>10196</v>
      </c>
    </row>
    <row r="6900" ht="15.75" customHeight="1">
      <c r="A6900" s="2">
        <v>43202.0</v>
      </c>
      <c r="B6900" s="2" t="s">
        <v>637</v>
      </c>
      <c r="C6900" s="2" t="s">
        <v>13175</v>
      </c>
      <c r="D6900" s="2" t="s">
        <v>13176</v>
      </c>
      <c r="E6900" s="2" t="s">
        <v>20</v>
      </c>
      <c r="F6900" s="2">
        <v>4.0</v>
      </c>
      <c r="G6900" s="2">
        <v>322.0</v>
      </c>
      <c r="H6900" s="3" t="str">
        <f>HYPERLINK("http://ar.linkedin.com/pub/leonardo-queizan/2B/901/279","http://ar.linkedin.com/pub/leonardo-queizan/2B/901/279")</f>
        <v>http://ar.linkedin.com/pub/leonardo-queizan/2B/901/279</v>
      </c>
      <c r="I6900" s="2" t="s">
        <v>15</v>
      </c>
      <c r="J6900" s="2" t="s">
        <v>21</v>
      </c>
      <c r="K6900" s="2" t="s">
        <v>10196</v>
      </c>
    </row>
    <row r="6901" ht="15.75" customHeight="1">
      <c r="A6901" s="2">
        <v>43208.0</v>
      </c>
      <c r="B6901" s="2" t="s">
        <v>314</v>
      </c>
      <c r="C6901" s="2" t="s">
        <v>13177</v>
      </c>
      <c r="D6901" s="2" t="s">
        <v>13</v>
      </c>
      <c r="E6901" s="2" t="s">
        <v>20</v>
      </c>
      <c r="F6901" s="2">
        <v>0.0</v>
      </c>
      <c r="G6901" s="2">
        <v>401.0</v>
      </c>
      <c r="H6901" s="3" t="str">
        <f>HYPERLINK("http://www.linkedin.com/pub/marcos-paione/14/1a1/b80","http://www.linkedin.com/pub/marcos-paione/14/1a1/b80")</f>
        <v>http://www.linkedin.com/pub/marcos-paione/14/1a1/b80</v>
      </c>
      <c r="I6901" s="2" t="s">
        <v>15</v>
      </c>
      <c r="J6901" s="2" t="s">
        <v>21</v>
      </c>
      <c r="K6901" s="2" t="s">
        <v>10206</v>
      </c>
    </row>
    <row r="6902" ht="15.75" customHeight="1">
      <c r="A6902" s="2">
        <v>43212.0</v>
      </c>
      <c r="B6902" s="2" t="s">
        <v>3178</v>
      </c>
      <c r="C6902" s="2" t="s">
        <v>13178</v>
      </c>
      <c r="D6902" s="2" t="s">
        <v>13</v>
      </c>
      <c r="E6902" s="2" t="s">
        <v>20</v>
      </c>
      <c r="F6902" s="2">
        <v>0.0</v>
      </c>
      <c r="G6902" s="2">
        <v>361.0</v>
      </c>
      <c r="H6902" s="3" t="str">
        <f>HYPERLINK("http://www.linkedin.com/pub/lucas-fam%C3%A1/b/4b0/85b","http://www.linkedin.com/pub/lucas-fam%C3%A1/b/4b0/85b")</f>
        <v>http://www.linkedin.com/pub/lucas-fam%C3%A1/b/4b0/85b</v>
      </c>
      <c r="I6902" s="2" t="s">
        <v>15</v>
      </c>
      <c r="J6902" s="2" t="s">
        <v>21</v>
      </c>
      <c r="K6902" s="2" t="s">
        <v>10196</v>
      </c>
    </row>
    <row r="6903" ht="15.75" customHeight="1">
      <c r="A6903" s="2">
        <v>43246.0</v>
      </c>
      <c r="B6903" s="2" t="s">
        <v>862</v>
      </c>
      <c r="C6903" s="2" t="s">
        <v>13179</v>
      </c>
      <c r="D6903" s="2" t="s">
        <v>13</v>
      </c>
      <c r="E6903" s="2" t="s">
        <v>20</v>
      </c>
      <c r="F6903" s="2">
        <v>0.0</v>
      </c>
      <c r="G6903" s="2">
        <v>500.0</v>
      </c>
      <c r="H6903" s="3" t="str">
        <f>HYPERLINK("http://www.linkedin.com/pub/gabriel-redrado/a/375/b83","http://www.linkedin.com/pub/gabriel-redrado/a/375/b83")</f>
        <v>http://www.linkedin.com/pub/gabriel-redrado/a/375/b83</v>
      </c>
      <c r="I6903" s="2" t="s">
        <v>15</v>
      </c>
      <c r="J6903" s="2" t="s">
        <v>21</v>
      </c>
      <c r="K6903" s="2" t="s">
        <v>10173</v>
      </c>
    </row>
    <row r="6904" ht="15.75" customHeight="1">
      <c r="A6904" s="2">
        <v>43257.0</v>
      </c>
      <c r="B6904" s="2" t="s">
        <v>647</v>
      </c>
      <c r="C6904" s="2" t="s">
        <v>13180</v>
      </c>
      <c r="D6904" s="2" t="s">
        <v>13181</v>
      </c>
      <c r="E6904" s="2" t="s">
        <v>20</v>
      </c>
      <c r="F6904" s="2">
        <v>1.0</v>
      </c>
      <c r="G6904" s="2">
        <v>116.0</v>
      </c>
      <c r="H6904" s="3" t="str">
        <f>HYPERLINK("http://ar.linkedin.com/pub/claudio-pailhe/A/85/207","http://ar.linkedin.com/pub/claudio-pailhe/A/85/207")</f>
        <v>http://ar.linkedin.com/pub/claudio-pailhe/A/85/207</v>
      </c>
      <c r="I6904" s="2" t="s">
        <v>15</v>
      </c>
      <c r="J6904" s="2" t="s">
        <v>21</v>
      </c>
      <c r="K6904" s="2" t="s">
        <v>10173</v>
      </c>
    </row>
    <row r="6905" ht="15.75" customHeight="1">
      <c r="A6905" s="2">
        <v>43259.0</v>
      </c>
      <c r="B6905" s="2" t="s">
        <v>227</v>
      </c>
      <c r="C6905" s="2" t="s">
        <v>7420</v>
      </c>
      <c r="D6905" s="2" t="s">
        <v>8923</v>
      </c>
      <c r="E6905" s="2" t="s">
        <v>20</v>
      </c>
      <c r="F6905" s="2">
        <v>5.0</v>
      </c>
      <c r="G6905" s="2">
        <v>190.0</v>
      </c>
      <c r="H6905" s="3" t="str">
        <f>HYPERLINK("http://ar.linkedin.com/in/jorgedangelo","http://ar.linkedin.com/in/jorgedangelo")</f>
        <v>http://ar.linkedin.com/in/jorgedangelo</v>
      </c>
      <c r="I6905" s="2" t="s">
        <v>15</v>
      </c>
      <c r="J6905" s="2" t="s">
        <v>21</v>
      </c>
      <c r="K6905" s="2" t="s">
        <v>10196</v>
      </c>
    </row>
    <row r="6906" ht="15.75" customHeight="1">
      <c r="A6906" s="2">
        <v>43282.0</v>
      </c>
      <c r="B6906" s="2" t="s">
        <v>6025</v>
      </c>
      <c r="C6906" s="2" t="s">
        <v>13182</v>
      </c>
      <c r="D6906" s="2" t="s">
        <v>13183</v>
      </c>
      <c r="E6906" s="2" t="s">
        <v>20</v>
      </c>
      <c r="F6906" s="2">
        <v>2.0</v>
      </c>
      <c r="G6906" s="2">
        <v>331.0</v>
      </c>
      <c r="H6906" s="3" t="str">
        <f>HYPERLINK("http://ar.linkedin.com/pub/hernan-del-negro/8/300/BBB","http://ar.linkedin.com/pub/hernan-del-negro/8/300/BBB")</f>
        <v>http://ar.linkedin.com/pub/hernan-del-negro/8/300/BBB</v>
      </c>
      <c r="I6906" s="2" t="s">
        <v>48</v>
      </c>
      <c r="J6906" s="2" t="s">
        <v>21</v>
      </c>
      <c r="K6906" s="2" t="s">
        <v>10196</v>
      </c>
    </row>
    <row r="6907" ht="15.75" customHeight="1">
      <c r="A6907" s="2">
        <v>43289.0</v>
      </c>
      <c r="B6907" s="2" t="s">
        <v>1296</v>
      </c>
      <c r="C6907" s="2" t="s">
        <v>13184</v>
      </c>
      <c r="D6907" s="2" t="s">
        <v>13185</v>
      </c>
      <c r="E6907" s="2" t="s">
        <v>20</v>
      </c>
      <c r="F6907" s="2">
        <v>3.0</v>
      </c>
      <c r="G6907" s="2">
        <v>453.0</v>
      </c>
      <c r="H6907" s="3" t="str">
        <f>HYPERLINK("http://ar.linkedin.com/pub/andrea-agostinelli/2/4A/3A6","http://ar.linkedin.com/pub/andrea-agostinelli/2/4A/3A6")</f>
        <v>http://ar.linkedin.com/pub/andrea-agostinelli/2/4A/3A6</v>
      </c>
      <c r="I6907" s="2" t="s">
        <v>15</v>
      </c>
      <c r="J6907" s="2" t="s">
        <v>21</v>
      </c>
      <c r="K6907" s="2" t="s">
        <v>10180</v>
      </c>
    </row>
    <row r="6908" ht="15.75" customHeight="1">
      <c r="A6908" s="2">
        <v>43317.0</v>
      </c>
      <c r="B6908" s="2" t="s">
        <v>6038</v>
      </c>
      <c r="C6908" s="2" t="s">
        <v>13186</v>
      </c>
      <c r="D6908" s="2" t="s">
        <v>6129</v>
      </c>
      <c r="E6908" s="2" t="s">
        <v>20</v>
      </c>
      <c r="F6908" s="2">
        <v>4.0</v>
      </c>
      <c r="G6908" s="2">
        <v>423.0</v>
      </c>
      <c r="H6908" s="3" t="str">
        <f>HYPERLINK("http://ar.linkedin.com/in/joaquindoglio","http://ar.linkedin.com/in/joaquindoglio")</f>
        <v>http://ar.linkedin.com/in/joaquindoglio</v>
      </c>
      <c r="I6908" s="2" t="s">
        <v>15</v>
      </c>
      <c r="J6908" s="2" t="s">
        <v>21</v>
      </c>
      <c r="K6908" s="2" t="s">
        <v>10196</v>
      </c>
    </row>
    <row r="6909" ht="15.75" customHeight="1">
      <c r="A6909" s="2">
        <v>43326.0</v>
      </c>
      <c r="B6909" s="2" t="s">
        <v>353</v>
      </c>
      <c r="C6909" s="2" t="s">
        <v>6357</v>
      </c>
      <c r="D6909" s="2" t="s">
        <v>13187</v>
      </c>
      <c r="E6909" s="2" t="s">
        <v>20</v>
      </c>
      <c r="F6909" s="2">
        <v>6.0</v>
      </c>
      <c r="G6909" s="2">
        <v>500.0</v>
      </c>
      <c r="H6909" s="3" t="str">
        <f>HYPERLINK("http://ar.linkedin.com/pub/alejandro-guzm-n/A/317/981","http://ar.linkedin.com/pub/alejandro-guzm-n/A/317/981")</f>
        <v>http://ar.linkedin.com/pub/alejandro-guzm-n/A/317/981</v>
      </c>
      <c r="I6909" s="2" t="s">
        <v>15</v>
      </c>
      <c r="J6909" s="2" t="s">
        <v>21</v>
      </c>
      <c r="K6909" s="2" t="s">
        <v>10180</v>
      </c>
    </row>
    <row r="6910" ht="15.75" customHeight="1">
      <c r="A6910" s="2">
        <v>43331.0</v>
      </c>
      <c r="B6910" s="2" t="s">
        <v>3015</v>
      </c>
      <c r="C6910" s="2" t="s">
        <v>7617</v>
      </c>
      <c r="D6910" s="2" t="s">
        <v>13188</v>
      </c>
      <c r="E6910" s="2" t="s">
        <v>20</v>
      </c>
      <c r="F6910" s="2">
        <v>5.0</v>
      </c>
      <c r="G6910" s="2">
        <v>195.0</v>
      </c>
      <c r="H6910" s="3" t="str">
        <f>HYPERLINK("http://ar.linkedin.com/in/lucianogimeno","http://ar.linkedin.com/in/lucianogimeno")</f>
        <v>http://ar.linkedin.com/in/lucianogimeno</v>
      </c>
      <c r="I6910" s="2" t="s">
        <v>15</v>
      </c>
      <c r="J6910" s="2" t="s">
        <v>21</v>
      </c>
      <c r="K6910" s="2" t="s">
        <v>10196</v>
      </c>
    </row>
    <row r="6911" ht="15.75" customHeight="1">
      <c r="A6911" s="2">
        <v>43415.0</v>
      </c>
      <c r="B6911" s="2" t="s">
        <v>6004</v>
      </c>
      <c r="C6911" s="2" t="s">
        <v>13189</v>
      </c>
      <c r="D6911" s="2" t="s">
        <v>13190</v>
      </c>
      <c r="E6911" s="2" t="s">
        <v>20</v>
      </c>
      <c r="F6911" s="2">
        <v>17.0</v>
      </c>
      <c r="G6911" s="2">
        <v>500.0</v>
      </c>
      <c r="H6911" s="3" t="str">
        <f>HYPERLINK("http://www.linkedin.com/in/jmrodriguezb","http://www.linkedin.com/in/jmrodriguezb")</f>
        <v>http://www.linkedin.com/in/jmrodriguezb</v>
      </c>
      <c r="I6911" s="2" t="s">
        <v>15</v>
      </c>
      <c r="J6911" s="2" t="s">
        <v>21</v>
      </c>
      <c r="K6911" s="2" t="s">
        <v>10196</v>
      </c>
    </row>
    <row r="6912" ht="15.75" customHeight="1">
      <c r="A6912" s="2">
        <v>43425.0</v>
      </c>
      <c r="B6912" s="2" t="s">
        <v>5883</v>
      </c>
      <c r="C6912" s="2" t="s">
        <v>13191</v>
      </c>
      <c r="D6912" s="2" t="s">
        <v>186</v>
      </c>
      <c r="E6912" s="2" t="s">
        <v>20</v>
      </c>
      <c r="F6912" s="2" t="s">
        <v>13</v>
      </c>
      <c r="G6912" s="2">
        <v>235.0</v>
      </c>
      <c r="H6912" s="3" t="str">
        <f>HYPERLINK("http://ar.linkedin.com/pub/ariel-kanelson/5/857/3A6","http://ar.linkedin.com/pub/ariel-kanelson/5/857/3A6")</f>
        <v>http://ar.linkedin.com/pub/ariel-kanelson/5/857/3A6</v>
      </c>
      <c r="I6912" s="2" t="s">
        <v>15</v>
      </c>
      <c r="J6912" s="2" t="s">
        <v>21</v>
      </c>
      <c r="K6912" s="2" t="s">
        <v>10173</v>
      </c>
    </row>
    <row r="6913" ht="15.75" customHeight="1">
      <c r="A6913" s="2">
        <v>43449.0</v>
      </c>
      <c r="B6913" s="2" t="s">
        <v>6716</v>
      </c>
      <c r="C6913" s="2" t="s">
        <v>9538</v>
      </c>
      <c r="D6913" s="2" t="s">
        <v>13192</v>
      </c>
      <c r="E6913" s="2" t="s">
        <v>20</v>
      </c>
      <c r="F6913" s="2">
        <v>7.0</v>
      </c>
      <c r="G6913" s="2">
        <v>500.0</v>
      </c>
      <c r="H6913" s="3" t="str">
        <f>HYPERLINK("http://ar.linkedin.com/pub/claudia-brea/4/271/610","http://ar.linkedin.com/pub/claudia-brea/4/271/610")</f>
        <v>http://ar.linkedin.com/pub/claudia-brea/4/271/610</v>
      </c>
      <c r="I6913" s="2" t="s">
        <v>1931</v>
      </c>
      <c r="J6913" s="2" t="s">
        <v>21</v>
      </c>
      <c r="K6913" s="2" t="s">
        <v>10482</v>
      </c>
    </row>
    <row r="6914" ht="15.75" customHeight="1">
      <c r="A6914" s="2">
        <v>43460.0</v>
      </c>
      <c r="B6914" s="2" t="s">
        <v>5755</v>
      </c>
      <c r="C6914" s="2" t="s">
        <v>13193</v>
      </c>
      <c r="D6914" s="2" t="s">
        <v>13</v>
      </c>
      <c r="E6914" s="2" t="s">
        <v>20</v>
      </c>
      <c r="F6914" s="2">
        <v>0.0</v>
      </c>
      <c r="G6914" s="2">
        <v>500.0</v>
      </c>
      <c r="H6914" s="3" t="str">
        <f>HYPERLINK("http://ar.linkedin.com/pub/maria-eugenia-arroyo/2/5B2/260","http://ar.linkedin.com/pub/maria-eugenia-arroyo/2/5B2/260")</f>
        <v>http://ar.linkedin.com/pub/maria-eugenia-arroyo/2/5B2/260</v>
      </c>
      <c r="I6914" s="2" t="s">
        <v>15</v>
      </c>
      <c r="J6914" s="2" t="s">
        <v>21</v>
      </c>
      <c r="K6914" s="2" t="s">
        <v>10180</v>
      </c>
    </row>
    <row r="6915" ht="15.75" customHeight="1">
      <c r="A6915" s="2">
        <v>43465.0</v>
      </c>
      <c r="B6915" s="2" t="s">
        <v>6432</v>
      </c>
      <c r="C6915" s="2" t="s">
        <v>13194</v>
      </c>
      <c r="D6915" s="2" t="s">
        <v>13195</v>
      </c>
      <c r="E6915" s="2" t="s">
        <v>20</v>
      </c>
      <c r="F6915" s="2">
        <v>2.0</v>
      </c>
      <c r="G6915" s="2">
        <v>327.0</v>
      </c>
      <c r="H6915" s="3" t="str">
        <f>HYPERLINK("http://www.linkedin.com/pub/marcela-malanca/2b/127/132","http://www.linkedin.com/pub/marcela-malanca/2b/127/132")</f>
        <v>http://www.linkedin.com/pub/marcela-malanca/2b/127/132</v>
      </c>
      <c r="I6915" s="2" t="s">
        <v>15</v>
      </c>
      <c r="J6915" s="2" t="s">
        <v>21</v>
      </c>
      <c r="K6915" s="2" t="s">
        <v>10196</v>
      </c>
    </row>
    <row r="6916" ht="15.75" customHeight="1">
      <c r="A6916" s="2">
        <v>43482.0</v>
      </c>
      <c r="B6916" s="2" t="s">
        <v>6319</v>
      </c>
      <c r="C6916" s="2" t="s">
        <v>13196</v>
      </c>
      <c r="D6916" s="2" t="s">
        <v>13</v>
      </c>
      <c r="E6916" s="2" t="s">
        <v>20</v>
      </c>
      <c r="F6916" s="2">
        <v>0.0</v>
      </c>
      <c r="G6916" s="2">
        <v>378.0</v>
      </c>
      <c r="H6916" s="3" t="str">
        <f>HYPERLINK("http://www.linkedin.com/pub/alejo-vazquez-bahurlet/7/59a/223","http://www.linkedin.com/pub/alejo-vazquez-bahurlet/7/59a/223")</f>
        <v>http://www.linkedin.com/pub/alejo-vazquez-bahurlet/7/59a/223</v>
      </c>
      <c r="I6916" s="2" t="s">
        <v>48</v>
      </c>
      <c r="J6916" s="2" t="s">
        <v>21</v>
      </c>
      <c r="K6916" s="2" t="s">
        <v>10173</v>
      </c>
    </row>
    <row r="6917" ht="15.75" customHeight="1">
      <c r="A6917" s="2">
        <v>43526.0</v>
      </c>
      <c r="B6917" s="2" t="s">
        <v>5078</v>
      </c>
      <c r="C6917" s="2" t="s">
        <v>13197</v>
      </c>
      <c r="D6917" s="2"/>
      <c r="E6917" s="2" t="s">
        <v>136</v>
      </c>
      <c r="F6917" s="2">
        <v>2.0</v>
      </c>
      <c r="G6917" s="2">
        <v>500.0</v>
      </c>
      <c r="H6917" s="3" t="str">
        <f>HYPERLINK("http://www.linkedin.com/pub/diego-veca/1/598/840","http://www.linkedin.com/pub/diego-veca/1/598/840")</f>
        <v>http://www.linkedin.com/pub/diego-veca/1/598/840</v>
      </c>
      <c r="I6917" s="2" t="s">
        <v>77</v>
      </c>
      <c r="J6917" s="2" t="s">
        <v>102</v>
      </c>
      <c r="K6917" s="2" t="s">
        <v>10209</v>
      </c>
    </row>
    <row r="6918" ht="15.75" customHeight="1">
      <c r="A6918" s="2">
        <v>43543.0</v>
      </c>
      <c r="B6918" s="2" t="s">
        <v>13198</v>
      </c>
      <c r="C6918" s="2" t="s">
        <v>4819</v>
      </c>
      <c r="D6918" s="2" t="s">
        <v>13199</v>
      </c>
      <c r="E6918" s="2" t="s">
        <v>971</v>
      </c>
      <c r="F6918" s="2">
        <v>6.0</v>
      </c>
      <c r="G6918" s="2">
        <v>500.0</v>
      </c>
      <c r="H6918" s="3" t="str">
        <f>HYPERLINK("http://www.linkedin.com/pub/naveed-agha/6/514/71B","http://www.linkedin.com/pub/naveed-agha/6/514/71B")</f>
        <v>http://www.linkedin.com/pub/naveed-agha/6/514/71B</v>
      </c>
      <c r="I6918" s="2" t="s">
        <v>132</v>
      </c>
      <c r="J6918" s="2" t="s">
        <v>102</v>
      </c>
      <c r="K6918" s="2" t="s">
        <v>10209</v>
      </c>
    </row>
    <row r="6919" ht="15.75" customHeight="1">
      <c r="A6919" s="2">
        <v>43583.0</v>
      </c>
      <c r="B6919" s="2" t="s">
        <v>5915</v>
      </c>
      <c r="C6919" s="2" t="s">
        <v>3392</v>
      </c>
      <c r="D6919" s="2" t="s">
        <v>13200</v>
      </c>
      <c r="E6919" s="2" t="s">
        <v>20</v>
      </c>
      <c r="F6919" s="2">
        <v>7.0</v>
      </c>
      <c r="G6919" s="2">
        <v>211.0</v>
      </c>
      <c r="H6919" s="3" t="str">
        <f>HYPERLINK("http://ar.linkedin.com/pub/cecilia-lopez/10/862/481","http://ar.linkedin.com/pub/cecilia-lopez/10/862/481")</f>
        <v>http://ar.linkedin.com/pub/cecilia-lopez/10/862/481</v>
      </c>
      <c r="I6919" s="2" t="s">
        <v>15</v>
      </c>
      <c r="J6919" s="2" t="s">
        <v>21</v>
      </c>
      <c r="K6919" s="2" t="s">
        <v>10196</v>
      </c>
    </row>
    <row r="6920" ht="15.75" customHeight="1">
      <c r="A6920" s="2">
        <v>43586.0</v>
      </c>
      <c r="B6920" s="2" t="s">
        <v>6339</v>
      </c>
      <c r="C6920" s="2" t="s">
        <v>8391</v>
      </c>
      <c r="D6920" s="2" t="s">
        <v>6982</v>
      </c>
      <c r="E6920" s="2" t="s">
        <v>20</v>
      </c>
      <c r="F6920" s="2">
        <v>2.0</v>
      </c>
      <c r="G6920" s="2">
        <v>500.0</v>
      </c>
      <c r="H6920" s="3" t="str">
        <f>HYPERLINK("http://ar.linkedin.com/pub/esteban-casta-eda/13/180/3B","http://ar.linkedin.com/pub/esteban-casta-eda/13/180/3B")</f>
        <v>http://ar.linkedin.com/pub/esteban-casta-eda/13/180/3B</v>
      </c>
      <c r="I6920" s="2" t="s">
        <v>15</v>
      </c>
      <c r="J6920" s="2" t="s">
        <v>21</v>
      </c>
      <c r="K6920" s="2" t="s">
        <v>10196</v>
      </c>
    </row>
    <row r="6921" ht="15.75" customHeight="1">
      <c r="A6921" s="2">
        <v>43587.0</v>
      </c>
      <c r="B6921" s="2" t="s">
        <v>13201</v>
      </c>
      <c r="C6921" s="2" t="s">
        <v>631</v>
      </c>
      <c r="D6921" s="2" t="s">
        <v>13202</v>
      </c>
      <c r="E6921" s="2" t="s">
        <v>136</v>
      </c>
      <c r="F6921" s="2">
        <v>22.0</v>
      </c>
      <c r="G6921" s="2">
        <v>500.0</v>
      </c>
      <c r="H6921" s="3" t="str">
        <f>HYPERLINK("http://www.linkedin.com/in/chrisalberto","http://www.linkedin.com/in/chrisalberto")</f>
        <v>http://www.linkedin.com/in/chrisalberto</v>
      </c>
      <c r="I6921" s="2" t="s">
        <v>69</v>
      </c>
      <c r="J6921" s="2" t="s">
        <v>102</v>
      </c>
      <c r="K6921" s="2" t="s">
        <v>10245</v>
      </c>
    </row>
    <row r="6922" ht="15.75" customHeight="1">
      <c r="A6922" s="2">
        <v>43657.0</v>
      </c>
      <c r="B6922" s="2" t="s">
        <v>7096</v>
      </c>
      <c r="C6922" s="2" t="s">
        <v>13203</v>
      </c>
      <c r="D6922" s="2"/>
      <c r="E6922" s="2" t="s">
        <v>235</v>
      </c>
      <c r="F6922" s="2">
        <v>5.0</v>
      </c>
      <c r="G6922" s="2">
        <v>474.0</v>
      </c>
      <c r="H6922" s="3" t="str">
        <f>HYPERLINK("http://www.linkedin.com/in/valeriamosconi","http://www.linkedin.com/in/valeriamosconi")</f>
        <v>http://www.linkedin.com/in/valeriamosconi</v>
      </c>
      <c r="I6922" s="2" t="s">
        <v>1948</v>
      </c>
      <c r="J6922" s="2" t="s">
        <v>102</v>
      </c>
      <c r="K6922" s="2" t="s">
        <v>10206</v>
      </c>
    </row>
    <row r="6923" ht="15.75" customHeight="1">
      <c r="A6923" s="2">
        <v>43745.0</v>
      </c>
      <c r="B6923" s="2" t="s">
        <v>5922</v>
      </c>
      <c r="C6923" s="2" t="s">
        <v>13204</v>
      </c>
      <c r="D6923" s="2" t="s">
        <v>8939</v>
      </c>
      <c r="E6923" s="2" t="s">
        <v>20</v>
      </c>
      <c r="F6923" s="2">
        <v>4.0</v>
      </c>
      <c r="G6923" s="2">
        <v>341.0</v>
      </c>
      <c r="H6923" s="3" t="str">
        <f>HYPERLINK("http://ar.linkedin.com/pub/gabriela-suriani/17/1BB/173","http://ar.linkedin.com/pub/gabriela-suriani/17/1BB/173")</f>
        <v>http://ar.linkedin.com/pub/gabriela-suriani/17/1BB/173</v>
      </c>
      <c r="I6923" s="2" t="s">
        <v>15</v>
      </c>
      <c r="J6923" s="2" t="s">
        <v>21</v>
      </c>
      <c r="K6923" s="2" t="s">
        <v>10196</v>
      </c>
    </row>
    <row r="6924" ht="15.75" customHeight="1">
      <c r="A6924" s="2">
        <v>43804.0</v>
      </c>
      <c r="B6924" s="2" t="s">
        <v>353</v>
      </c>
      <c r="C6924" s="2" t="s">
        <v>13205</v>
      </c>
      <c r="D6924" s="2" t="s">
        <v>1196</v>
      </c>
      <c r="E6924" s="2" t="s">
        <v>20</v>
      </c>
      <c r="F6924" s="2">
        <v>31.0</v>
      </c>
      <c r="G6924" s="2">
        <v>500.0</v>
      </c>
      <c r="H6924" s="3" t="str">
        <f>HYPERLINK("http://ar.linkedin.com/in/alejandrogrisoni","http://ar.linkedin.com/in/alejandrogrisoni")</f>
        <v>http://ar.linkedin.com/in/alejandrogrisoni</v>
      </c>
      <c r="I6924" s="2" t="s">
        <v>15</v>
      </c>
      <c r="J6924" s="2" t="s">
        <v>21</v>
      </c>
      <c r="K6924" s="2" t="s">
        <v>10180</v>
      </c>
    </row>
    <row r="6925" ht="15.75" customHeight="1">
      <c r="A6925" s="2">
        <v>43812.0</v>
      </c>
      <c r="B6925" s="2" t="s">
        <v>6145</v>
      </c>
      <c r="C6925" s="2" t="s">
        <v>13206</v>
      </c>
      <c r="D6925" s="2" t="s">
        <v>13207</v>
      </c>
      <c r="E6925" s="2" t="s">
        <v>13208</v>
      </c>
      <c r="F6925" s="2" t="s">
        <v>13</v>
      </c>
      <c r="G6925" s="2">
        <v>500.0</v>
      </c>
      <c r="H6925" s="3" t="str">
        <f>HYPERLINK("http://ar.linkedin.com/pub/guadalupe-casuso/5/282/5B1","http://ar.linkedin.com/pub/guadalupe-casuso/5/282/5B1")</f>
        <v>http://ar.linkedin.com/pub/guadalupe-casuso/5/282/5B1</v>
      </c>
      <c r="I6925" s="2" t="s">
        <v>48</v>
      </c>
      <c r="J6925" s="2" t="s">
        <v>102</v>
      </c>
      <c r="K6925" s="2" t="s">
        <v>10233</v>
      </c>
    </row>
    <row r="6926" ht="15.75" customHeight="1">
      <c r="A6926" s="2">
        <v>43835.0</v>
      </c>
      <c r="B6926" s="2" t="s">
        <v>227</v>
      </c>
      <c r="C6926" s="2" t="s">
        <v>13209</v>
      </c>
      <c r="D6926" s="2" t="s">
        <v>13210</v>
      </c>
      <c r="E6926" s="2" t="s">
        <v>20</v>
      </c>
      <c r="F6926" s="2" t="s">
        <v>13</v>
      </c>
      <c r="G6926" s="2">
        <v>162.0</v>
      </c>
      <c r="H6926" s="3" t="str">
        <f>HYPERLINK("http://ar.linkedin.com/pub/jorge-heras/8/211/167","http://ar.linkedin.com/pub/jorge-heras/8/211/167")</f>
        <v>http://ar.linkedin.com/pub/jorge-heras/8/211/167</v>
      </c>
      <c r="I6926" s="2" t="s">
        <v>15</v>
      </c>
      <c r="J6926" s="2" t="s">
        <v>21</v>
      </c>
      <c r="K6926" s="2" t="s">
        <v>10173</v>
      </c>
    </row>
    <row r="6927" ht="15.75" customHeight="1">
      <c r="A6927" s="2">
        <v>43838.0</v>
      </c>
      <c r="B6927" s="2" t="s">
        <v>3891</v>
      </c>
      <c r="C6927" s="2" t="s">
        <v>9003</v>
      </c>
      <c r="D6927" s="2" t="s">
        <v>13211</v>
      </c>
      <c r="E6927" s="2" t="s">
        <v>20</v>
      </c>
      <c r="F6927" s="2">
        <v>11.0</v>
      </c>
      <c r="G6927" s="2">
        <v>220.0</v>
      </c>
      <c r="H6927" s="3" t="str">
        <f>HYPERLINK("http://ar.linkedin.com/in/vdandrea","http://ar.linkedin.com/in/vdandrea")</f>
        <v>http://ar.linkedin.com/in/vdandrea</v>
      </c>
      <c r="I6927" s="2" t="s">
        <v>15</v>
      </c>
      <c r="J6927" s="2" t="s">
        <v>21</v>
      </c>
      <c r="K6927" s="2" t="s">
        <v>10196</v>
      </c>
    </row>
    <row r="6928" ht="15.75" customHeight="1">
      <c r="A6928" s="2">
        <v>43895.0</v>
      </c>
      <c r="B6928" s="2" t="s">
        <v>13212</v>
      </c>
      <c r="C6928" s="2" t="s">
        <v>13213</v>
      </c>
      <c r="D6928" s="2" t="s">
        <v>13214</v>
      </c>
      <c r="E6928" s="2" t="s">
        <v>101</v>
      </c>
      <c r="F6928" s="2">
        <v>0.0</v>
      </c>
      <c r="G6928" s="2">
        <v>283.0</v>
      </c>
      <c r="H6928" s="3" t="str">
        <f>HYPERLINK("http://www.linkedin.com/pub/jose-leonardo-serres/2/128/8BB","http://www.linkedin.com/pub/jose-leonardo-serres/2/128/8BB")</f>
        <v>http://www.linkedin.com/pub/jose-leonardo-serres/2/128/8BB</v>
      </c>
      <c r="I6928" s="2" t="s">
        <v>15</v>
      </c>
      <c r="J6928" s="2" t="s">
        <v>102</v>
      </c>
      <c r="K6928" s="2" t="s">
        <v>10184</v>
      </c>
    </row>
    <row r="6929" ht="15.75" customHeight="1">
      <c r="A6929" s="2">
        <v>43915.0</v>
      </c>
      <c r="B6929" s="2" t="s">
        <v>7592</v>
      </c>
      <c r="C6929" s="2" t="s">
        <v>13215</v>
      </c>
      <c r="D6929" s="2" t="s">
        <v>13216</v>
      </c>
      <c r="E6929" s="2" t="s">
        <v>20</v>
      </c>
      <c r="F6929" s="2">
        <v>4.0</v>
      </c>
      <c r="G6929" s="2">
        <v>500.0</v>
      </c>
      <c r="H6929" s="3" t="str">
        <f>HYPERLINK("http://ar.linkedin.com/in/maximouva","http://ar.linkedin.com/in/maximouva")</f>
        <v>http://ar.linkedin.com/in/maximouva</v>
      </c>
      <c r="I6929" s="2" t="s">
        <v>15</v>
      </c>
      <c r="J6929" s="2" t="s">
        <v>21</v>
      </c>
      <c r="K6929" s="2" t="s">
        <v>10196</v>
      </c>
    </row>
    <row r="6930" ht="15.75" customHeight="1">
      <c r="A6930" s="2">
        <v>43958.0</v>
      </c>
      <c r="B6930" s="2" t="s">
        <v>3015</v>
      </c>
      <c r="C6930" s="2" t="s">
        <v>13217</v>
      </c>
      <c r="D6930" s="2" t="s">
        <v>400</v>
      </c>
      <c r="E6930" s="2" t="s">
        <v>20</v>
      </c>
      <c r="F6930" s="2">
        <v>6.0</v>
      </c>
      <c r="G6930" s="2">
        <v>500.0</v>
      </c>
      <c r="H6930" s="3" t="str">
        <f>HYPERLINK("http://ar.linkedin.com/in/lucianomangini","http://ar.linkedin.com/in/lucianomangini")</f>
        <v>http://ar.linkedin.com/in/lucianomangini</v>
      </c>
      <c r="I6930" s="2" t="s">
        <v>458</v>
      </c>
      <c r="J6930" s="2" t="s">
        <v>21</v>
      </c>
      <c r="K6930" s="2" t="s">
        <v>10184</v>
      </c>
    </row>
    <row r="6931" ht="15.75" customHeight="1">
      <c r="A6931" s="2">
        <v>44201.0</v>
      </c>
      <c r="B6931" s="2" t="s">
        <v>5723</v>
      </c>
      <c r="C6931" s="2" t="s">
        <v>13218</v>
      </c>
      <c r="D6931" s="2" t="s">
        <v>13219</v>
      </c>
      <c r="E6931" s="2" t="s">
        <v>20</v>
      </c>
      <c r="F6931" s="2">
        <v>7.0</v>
      </c>
      <c r="G6931" s="2">
        <v>216.0</v>
      </c>
      <c r="H6931" s="3" t="str">
        <f>HYPERLINK("http://ar.linkedin.com/pub/pablo-fernandez-elisegui/11/407/498","http://ar.linkedin.com/pub/pablo-fernandez-elisegui/11/407/498")</f>
        <v>http://ar.linkedin.com/pub/pablo-fernandez-elisegui/11/407/498</v>
      </c>
      <c r="I6931" s="2" t="s">
        <v>15</v>
      </c>
      <c r="J6931" s="2" t="s">
        <v>21</v>
      </c>
      <c r="K6931" s="2" t="s">
        <v>10180</v>
      </c>
    </row>
    <row r="6932" ht="15.75" customHeight="1">
      <c r="A6932" s="2">
        <v>46237.0</v>
      </c>
      <c r="B6932" s="2" t="s">
        <v>13220</v>
      </c>
      <c r="C6932" s="2" t="s">
        <v>13221</v>
      </c>
      <c r="D6932" s="2" t="s">
        <v>13222</v>
      </c>
      <c r="E6932" s="2" t="s">
        <v>136</v>
      </c>
      <c r="F6932" s="2">
        <v>0.0</v>
      </c>
      <c r="G6932" s="2">
        <v>498.0</v>
      </c>
      <c r="H6932" s="3" t="str">
        <f>HYPERLINK("http://www.linkedin.com/in/brianscotttoney","http://www.linkedin.com/in/brianscotttoney")</f>
        <v>http://www.linkedin.com/in/brianscotttoney</v>
      </c>
      <c r="I6932" s="2" t="s">
        <v>48</v>
      </c>
      <c r="J6932" s="2" t="s">
        <v>102</v>
      </c>
      <c r="K6932" s="2" t="s">
        <v>10233</v>
      </c>
    </row>
    <row r="6933" ht="15.75" customHeight="1">
      <c r="A6933" s="2">
        <v>46351.0</v>
      </c>
      <c r="B6933" s="2" t="s">
        <v>609</v>
      </c>
      <c r="C6933" s="2" t="s">
        <v>13223</v>
      </c>
      <c r="D6933" s="2" t="s">
        <v>13224</v>
      </c>
      <c r="E6933" s="2" t="s">
        <v>20</v>
      </c>
      <c r="F6933" s="2">
        <v>6.0</v>
      </c>
      <c r="G6933" s="2">
        <v>500.0</v>
      </c>
      <c r="H6933" s="3" t="str">
        <f>HYPERLINK("http://ar.linkedin.com/in/ricardoczikk","http://ar.linkedin.com/in/ricardoczikk")</f>
        <v>http://ar.linkedin.com/in/ricardoczikk</v>
      </c>
      <c r="I6933" s="2" t="s">
        <v>240</v>
      </c>
      <c r="J6933" s="2" t="s">
        <v>21</v>
      </c>
      <c r="K6933" s="2" t="s">
        <v>10605</v>
      </c>
    </row>
    <row r="6934" ht="15.75" customHeight="1">
      <c r="A6934" s="2">
        <v>46379.0</v>
      </c>
      <c r="B6934" s="2" t="s">
        <v>6252</v>
      </c>
      <c r="C6934" s="2" t="s">
        <v>10906</v>
      </c>
      <c r="D6934" s="2" t="s">
        <v>13225</v>
      </c>
      <c r="E6934" s="2" t="s">
        <v>20</v>
      </c>
      <c r="F6934" s="2">
        <v>5.0</v>
      </c>
      <c r="G6934" s="2">
        <v>500.0</v>
      </c>
      <c r="H6934" s="3" t="str">
        <f>HYPERLINK("http://ar.linkedin.com/in/santiagoalmiron","http://ar.linkedin.com/in/santiagoalmiron")</f>
        <v>http://ar.linkedin.com/in/santiagoalmiron</v>
      </c>
      <c r="I6934" s="2" t="s">
        <v>15</v>
      </c>
      <c r="J6934" s="2" t="s">
        <v>21</v>
      </c>
      <c r="K6934" s="2" t="s">
        <v>10196</v>
      </c>
    </row>
    <row r="6935" ht="15.75" customHeight="1">
      <c r="A6935" s="2">
        <v>46404.0</v>
      </c>
      <c r="B6935" s="2" t="s">
        <v>329</v>
      </c>
      <c r="C6935" s="2" t="s">
        <v>13226</v>
      </c>
      <c r="D6935" s="2" t="s">
        <v>13227</v>
      </c>
      <c r="E6935" s="2" t="s">
        <v>20</v>
      </c>
      <c r="F6935" s="2" t="s">
        <v>13</v>
      </c>
      <c r="G6935" s="2">
        <v>347.0</v>
      </c>
      <c r="H6935" s="3" t="str">
        <f>HYPERLINK("http://ar.linkedin.com/in/jdenkiewicz","http://ar.linkedin.com/in/jdenkiewicz")</f>
        <v>http://ar.linkedin.com/in/jdenkiewicz</v>
      </c>
      <c r="I6935" s="2" t="s">
        <v>15</v>
      </c>
      <c r="J6935" s="2" t="s">
        <v>21</v>
      </c>
      <c r="K6935" s="2" t="s">
        <v>10173</v>
      </c>
    </row>
    <row r="6936" ht="15.75" customHeight="1">
      <c r="A6936" s="2">
        <v>46432.0</v>
      </c>
      <c r="B6936" s="2" t="s">
        <v>18</v>
      </c>
      <c r="C6936" s="2" t="s">
        <v>13228</v>
      </c>
      <c r="D6936" s="2" t="s">
        <v>13229</v>
      </c>
      <c r="E6936" s="2" t="s">
        <v>20</v>
      </c>
      <c r="F6936" s="2">
        <v>6.0</v>
      </c>
      <c r="G6936" s="2">
        <v>406.0</v>
      </c>
      <c r="H6936" s="3" t="str">
        <f>HYPERLINK("http://ar.linkedin.com/in/mauriciomiret","http://ar.linkedin.com/in/mauriciomiret")</f>
        <v>http://ar.linkedin.com/in/mauriciomiret</v>
      </c>
      <c r="I6936" s="2" t="s">
        <v>15</v>
      </c>
      <c r="J6936" s="2" t="s">
        <v>21</v>
      </c>
      <c r="K6936" s="2" t="s">
        <v>10196</v>
      </c>
    </row>
    <row r="6937" ht="15.75" customHeight="1">
      <c r="A6937" s="2">
        <v>46456.0</v>
      </c>
      <c r="B6937" s="2" t="s">
        <v>492</v>
      </c>
      <c r="C6937" s="2" t="s">
        <v>13230</v>
      </c>
      <c r="D6937" s="2" t="s">
        <v>13231</v>
      </c>
      <c r="E6937" s="2" t="s">
        <v>13232</v>
      </c>
      <c r="F6937" s="2">
        <v>2.0</v>
      </c>
      <c r="G6937" s="2">
        <v>494.0</v>
      </c>
      <c r="H6937" s="3" t="str">
        <f>HYPERLINK("http://www.linkedin.com/pub/sergio-mastrogiovanni/20/711/45B","http://www.linkedin.com/pub/sergio-mastrogiovanni/20/711/45B")</f>
        <v>http://www.linkedin.com/pub/sergio-mastrogiovanni/20/711/45B</v>
      </c>
      <c r="I6937" s="2" t="s">
        <v>374</v>
      </c>
      <c r="J6937" s="2" t="s">
        <v>102</v>
      </c>
      <c r="K6937" s="2" t="s">
        <v>10209</v>
      </c>
    </row>
    <row r="6938" ht="15.75" customHeight="1">
      <c r="A6938" s="2">
        <v>46478.0</v>
      </c>
      <c r="B6938" s="2" t="s">
        <v>329</v>
      </c>
      <c r="C6938" s="2" t="s">
        <v>13233</v>
      </c>
      <c r="D6938" s="2" t="s">
        <v>13234</v>
      </c>
      <c r="E6938" s="2" t="s">
        <v>20</v>
      </c>
      <c r="F6938" s="2">
        <v>3.0</v>
      </c>
      <c r="G6938" s="2">
        <v>349.0</v>
      </c>
      <c r="H6938" s="3" t="str">
        <f>HYPERLINK("http://ar.linkedin.com/pub/juan-pablo-brunori/B/9A7/791","http://ar.linkedin.com/pub/juan-pablo-brunori/B/9A7/791")</f>
        <v>http://ar.linkedin.com/pub/juan-pablo-brunori/B/9A7/791</v>
      </c>
      <c r="I6938" s="2" t="s">
        <v>15</v>
      </c>
      <c r="J6938" s="2" t="s">
        <v>21</v>
      </c>
      <c r="K6938" s="2" t="s">
        <v>10196</v>
      </c>
    </row>
    <row r="6939" ht="15.75" customHeight="1">
      <c r="A6939" s="2">
        <v>46480.0</v>
      </c>
      <c r="B6939" s="2" t="s">
        <v>9893</v>
      </c>
      <c r="C6939" s="2" t="s">
        <v>13235</v>
      </c>
      <c r="D6939" s="2" t="s">
        <v>13236</v>
      </c>
      <c r="E6939" s="2" t="s">
        <v>20</v>
      </c>
      <c r="F6939" s="2">
        <v>7.0</v>
      </c>
      <c r="G6939" s="2">
        <v>500.0</v>
      </c>
      <c r="H6939" s="3" t="str">
        <f>HYPERLINK("http://ar.linkedin.com/pub/gregorio-kominiarz/8/914/236","http://ar.linkedin.com/pub/gregorio-kominiarz/8/914/236")</f>
        <v>http://ar.linkedin.com/pub/gregorio-kominiarz/8/914/236</v>
      </c>
      <c r="I6939" s="2" t="s">
        <v>15</v>
      </c>
      <c r="J6939" s="2" t="s">
        <v>21</v>
      </c>
      <c r="K6939" s="2" t="s">
        <v>10196</v>
      </c>
    </row>
    <row r="6940" ht="15.75" customHeight="1">
      <c r="A6940" s="2">
        <v>46496.0</v>
      </c>
      <c r="B6940" s="2" t="s">
        <v>3201</v>
      </c>
      <c r="C6940" s="2" t="s">
        <v>2937</v>
      </c>
      <c r="D6940" s="2" t="s">
        <v>7238</v>
      </c>
      <c r="E6940" s="2" t="s">
        <v>20</v>
      </c>
      <c r="F6940" s="2">
        <v>4.0</v>
      </c>
      <c r="G6940" s="2">
        <v>500.0</v>
      </c>
      <c r="H6940" s="3" t="str">
        <f>HYPERLINK("http://ar.linkedin.com/in/sebastianromano","http://ar.linkedin.com/in/sebastianromano")</f>
        <v>http://ar.linkedin.com/in/sebastianromano</v>
      </c>
      <c r="I6940" s="2" t="s">
        <v>15</v>
      </c>
      <c r="J6940" s="2" t="s">
        <v>21</v>
      </c>
      <c r="K6940" s="2" t="s">
        <v>10196</v>
      </c>
    </row>
    <row r="6941" ht="15.75" customHeight="1">
      <c r="A6941" s="2">
        <v>46526.0</v>
      </c>
      <c r="B6941" s="2" t="s">
        <v>13237</v>
      </c>
      <c r="C6941" s="2" t="s">
        <v>13238</v>
      </c>
      <c r="D6941" s="2" t="s">
        <v>10389</v>
      </c>
      <c r="E6941" s="2" t="s">
        <v>181</v>
      </c>
      <c r="F6941" s="2">
        <v>2.0</v>
      </c>
      <c r="G6941" s="2">
        <v>436.0</v>
      </c>
      <c r="H6941" s="3" t="str">
        <f>HYPERLINK("http://www.linkedin.com/pub/amie-drahos/6/19B/977","http://www.linkedin.com/pub/amie-drahos/6/19B/977")</f>
        <v>http://www.linkedin.com/pub/amie-drahos/6/19B/977</v>
      </c>
      <c r="I6941" s="2" t="s">
        <v>15</v>
      </c>
      <c r="J6941" s="2" t="s">
        <v>102</v>
      </c>
      <c r="K6941" s="2" t="s">
        <v>10263</v>
      </c>
    </row>
    <row r="6942" ht="15.75" customHeight="1">
      <c r="A6942" s="2">
        <v>46528.0</v>
      </c>
      <c r="B6942" s="2" t="s">
        <v>6252</v>
      </c>
      <c r="C6942" s="2" t="s">
        <v>13239</v>
      </c>
      <c r="D6942" s="2" t="s">
        <v>13240</v>
      </c>
      <c r="E6942" s="2" t="s">
        <v>20</v>
      </c>
      <c r="F6942" s="2">
        <v>17.0</v>
      </c>
      <c r="G6942" s="2">
        <v>381.0</v>
      </c>
      <c r="H6942" s="3" t="str">
        <f>HYPERLINK("http://ar.linkedin.com/in/scianciulli","http://ar.linkedin.com/in/scianciulli")</f>
        <v>http://ar.linkedin.com/in/scianciulli</v>
      </c>
      <c r="I6942" s="2" t="s">
        <v>2081</v>
      </c>
      <c r="J6942" s="2" t="s">
        <v>21</v>
      </c>
      <c r="K6942" s="2" t="s">
        <v>10184</v>
      </c>
    </row>
    <row r="6943" ht="15.75" customHeight="1">
      <c r="A6943" s="2">
        <v>46569.0</v>
      </c>
      <c r="B6943" s="2" t="s">
        <v>6988</v>
      </c>
      <c r="C6943" s="2" t="s">
        <v>13241</v>
      </c>
      <c r="D6943" s="2" t="s">
        <v>517</v>
      </c>
      <c r="E6943" s="2" t="s">
        <v>20</v>
      </c>
      <c r="F6943" s="2">
        <v>7.0</v>
      </c>
      <c r="G6943" s="2">
        <v>500.0</v>
      </c>
      <c r="H6943" s="3" t="str">
        <f>HYPERLINK("http://ar.linkedin.com/in/etagwerker","http://ar.linkedin.com/in/etagwerker")</f>
        <v>http://ar.linkedin.com/in/etagwerker</v>
      </c>
      <c r="I6943" s="2" t="s">
        <v>69</v>
      </c>
      <c r="J6943" s="2" t="s">
        <v>21</v>
      </c>
      <c r="K6943" s="2" t="s">
        <v>10343</v>
      </c>
    </row>
    <row r="6944" ht="15.75" customHeight="1">
      <c r="A6944" s="2">
        <v>46595.0</v>
      </c>
      <c r="B6944" s="2" t="s">
        <v>5389</v>
      </c>
      <c r="C6944" s="2" t="s">
        <v>13242</v>
      </c>
      <c r="D6944" s="2" t="s">
        <v>13243</v>
      </c>
      <c r="E6944" s="2" t="s">
        <v>20</v>
      </c>
      <c r="F6944" s="2">
        <v>10.0</v>
      </c>
      <c r="G6944" s="2">
        <v>500.0</v>
      </c>
      <c r="H6944" s="3" t="str">
        <f>HYPERLINK("http://ar.linkedin.com/in/paulapallo","http://ar.linkedin.com/in/paulapallo")</f>
        <v>http://ar.linkedin.com/in/paulapallo</v>
      </c>
      <c r="I6944" s="2" t="s">
        <v>15</v>
      </c>
      <c r="J6944" s="2" t="s">
        <v>21</v>
      </c>
      <c r="K6944" s="2" t="s">
        <v>10196</v>
      </c>
    </row>
    <row r="6945" ht="15.75" customHeight="1">
      <c r="A6945" s="2">
        <v>46605.0</v>
      </c>
      <c r="B6945" s="2" t="s">
        <v>1042</v>
      </c>
      <c r="C6945" s="2" t="s">
        <v>13244</v>
      </c>
      <c r="D6945" s="2" t="s">
        <v>13245</v>
      </c>
      <c r="E6945" s="2" t="s">
        <v>20</v>
      </c>
      <c r="F6945" s="2">
        <v>3.0</v>
      </c>
      <c r="G6945" s="2">
        <v>500.0</v>
      </c>
      <c r="H6945" s="3" t="str">
        <f>HYPERLINK("http://ar.linkedin.com/pub/marina-sesar/26/24B/730","http://ar.linkedin.com/pub/marina-sesar/26/24B/730")</f>
        <v>http://ar.linkedin.com/pub/marina-sesar/26/24B/730</v>
      </c>
      <c r="I6945" s="2" t="s">
        <v>15</v>
      </c>
      <c r="J6945" s="2" t="s">
        <v>21</v>
      </c>
      <c r="K6945" s="2" t="s">
        <v>10196</v>
      </c>
    </row>
    <row r="6946" ht="15.75" customHeight="1">
      <c r="A6946" s="2">
        <v>46617.0</v>
      </c>
      <c r="B6946" s="2" t="s">
        <v>11210</v>
      </c>
      <c r="C6946" s="2" t="s">
        <v>13246</v>
      </c>
      <c r="D6946" s="2" t="s">
        <v>13247</v>
      </c>
      <c r="E6946" s="2" t="s">
        <v>971</v>
      </c>
      <c r="F6946" s="2">
        <v>15.0</v>
      </c>
      <c r="G6946" s="2">
        <v>500.0</v>
      </c>
      <c r="H6946" s="3" t="str">
        <f>HYPERLINK("http://www.linkedin.com/in/osvaldocapmany","http://www.linkedin.com/in/osvaldocapmany")</f>
        <v>http://www.linkedin.com/in/osvaldocapmany</v>
      </c>
      <c r="I6946" s="2" t="s">
        <v>579</v>
      </c>
      <c r="J6946" s="2" t="s">
        <v>102</v>
      </c>
      <c r="K6946" s="2" t="s">
        <v>13248</v>
      </c>
    </row>
    <row r="6947" ht="15.75" customHeight="1">
      <c r="A6947" s="2">
        <v>46760.0</v>
      </c>
      <c r="B6947" s="2" t="s">
        <v>353</v>
      </c>
      <c r="C6947" s="2" t="s">
        <v>6619</v>
      </c>
      <c r="D6947" s="2" t="s">
        <v>32</v>
      </c>
      <c r="E6947" s="2" t="s">
        <v>20</v>
      </c>
      <c r="F6947" s="2" t="s">
        <v>13</v>
      </c>
      <c r="G6947" s="2">
        <v>265.0</v>
      </c>
      <c r="H6947" s="3" t="str">
        <f>HYPERLINK("http://ar.linkedin.com/pub/alejandro-duran/4/258/5B8","http://ar.linkedin.com/pub/alejandro-duran/4/258/5B8")</f>
        <v>http://ar.linkedin.com/pub/alejandro-duran/4/258/5B8</v>
      </c>
      <c r="I6947" s="2" t="s">
        <v>579</v>
      </c>
      <c r="J6947" s="2" t="s">
        <v>21</v>
      </c>
      <c r="K6947" s="2" t="s">
        <v>10384</v>
      </c>
    </row>
    <row r="6948" ht="15.75" customHeight="1">
      <c r="A6948" s="2">
        <v>46775.0</v>
      </c>
      <c r="B6948" s="2" t="s">
        <v>5755</v>
      </c>
      <c r="C6948" s="2" t="s">
        <v>13249</v>
      </c>
      <c r="D6948" s="2" t="s">
        <v>13</v>
      </c>
      <c r="E6948" s="2" t="s">
        <v>20</v>
      </c>
      <c r="F6948" s="2">
        <v>5.0</v>
      </c>
      <c r="G6948" s="2">
        <v>500.0</v>
      </c>
      <c r="H6948" s="3" t="str">
        <f>HYPERLINK("http://www.linkedin.com/pub/maria-eugenia-barbagallo-lewin/15/537/15a","http://www.linkedin.com/pub/maria-eugenia-barbagallo-lewin/15/537/15a")</f>
        <v>http://www.linkedin.com/pub/maria-eugenia-barbagallo-lewin/15/537/15a</v>
      </c>
      <c r="I6948" s="2" t="s">
        <v>458</v>
      </c>
      <c r="J6948" s="2" t="s">
        <v>21</v>
      </c>
      <c r="K6948" s="2" t="s">
        <v>10196</v>
      </c>
    </row>
    <row r="6949" ht="15.75" customHeight="1">
      <c r="A6949" s="2">
        <v>46789.0</v>
      </c>
      <c r="B6949" s="2" t="s">
        <v>13250</v>
      </c>
      <c r="C6949" s="2" t="s">
        <v>1626</v>
      </c>
      <c r="D6949" s="2" t="s">
        <v>13</v>
      </c>
      <c r="E6949" s="2" t="s">
        <v>122</v>
      </c>
      <c r="F6949" s="2">
        <v>3.0</v>
      </c>
      <c r="G6949" s="2">
        <v>500.0</v>
      </c>
      <c r="H6949" s="3" t="str">
        <f>HYPERLINK("http://www.linkedin.com/pub/prof-pruthwiraj-das/18/132/809","http://www.linkedin.com/pub/prof-pruthwiraj-das/18/132/809")</f>
        <v>http://www.linkedin.com/pub/prof-pruthwiraj-das/18/132/809</v>
      </c>
      <c r="I6949" s="2" t="s">
        <v>1094</v>
      </c>
      <c r="J6949" s="2" t="s">
        <v>53</v>
      </c>
      <c r="K6949" s="2" t="s">
        <v>13251</v>
      </c>
    </row>
    <row r="6950" ht="15.75" customHeight="1">
      <c r="A6950" s="2">
        <v>46798.0</v>
      </c>
      <c r="B6950" s="2" t="s">
        <v>609</v>
      </c>
      <c r="C6950" s="2" t="s">
        <v>13252</v>
      </c>
      <c r="D6950" s="2" t="s">
        <v>13253</v>
      </c>
      <c r="E6950" s="2" t="s">
        <v>20</v>
      </c>
      <c r="F6950" s="2">
        <v>5.0</v>
      </c>
      <c r="G6950" s="2">
        <v>305.0</v>
      </c>
      <c r="H6950" s="3" t="str">
        <f>HYPERLINK("http://ar.linkedin.com/pub/ricardo-piergallini/6/B60/395","http://ar.linkedin.com/pub/ricardo-piergallini/6/B60/395")</f>
        <v>http://ar.linkedin.com/pub/ricardo-piergallini/6/B60/395</v>
      </c>
      <c r="I6950" s="2" t="s">
        <v>15</v>
      </c>
      <c r="J6950" s="2" t="s">
        <v>21</v>
      </c>
      <c r="K6950" s="2" t="s">
        <v>13254</v>
      </c>
    </row>
    <row r="6951" ht="15.75" customHeight="1">
      <c r="A6951" s="2">
        <v>46802.0</v>
      </c>
      <c r="B6951" s="2" t="s">
        <v>6025</v>
      </c>
      <c r="C6951" s="2" t="s">
        <v>13255</v>
      </c>
      <c r="D6951" s="2" t="s">
        <v>13256</v>
      </c>
      <c r="E6951" s="2" t="s">
        <v>20</v>
      </c>
      <c r="F6951" s="2">
        <v>20.0</v>
      </c>
      <c r="G6951" s="2">
        <v>500.0</v>
      </c>
      <c r="H6951" s="3" t="str">
        <f>HYPERLINK("http://www.linkedin.com/in/bolotchi","http://www.linkedin.com/in/bolotchi")</f>
        <v>http://www.linkedin.com/in/bolotchi</v>
      </c>
      <c r="I6951" s="2" t="s">
        <v>15</v>
      </c>
      <c r="J6951" s="2" t="s">
        <v>21</v>
      </c>
      <c r="K6951" s="2" t="s">
        <v>10196</v>
      </c>
    </row>
    <row r="6952" ht="15.75" customHeight="1">
      <c r="A6952" s="2">
        <v>46814.0</v>
      </c>
      <c r="B6952" s="2" t="s">
        <v>414</v>
      </c>
      <c r="C6952" s="2" t="s">
        <v>4697</v>
      </c>
      <c r="D6952" s="2" t="s">
        <v>13257</v>
      </c>
      <c r="E6952" s="2" t="s">
        <v>13258</v>
      </c>
      <c r="F6952" s="2">
        <v>0.0</v>
      </c>
      <c r="G6952" s="2">
        <v>500.0</v>
      </c>
      <c r="H6952" s="3" t="str">
        <f>HYPERLINK("http://www.linkedin.com/in/tariley","http://www.linkedin.com/in/tariley")</f>
        <v>http://www.linkedin.com/in/tariley</v>
      </c>
      <c r="I6952" s="2" t="s">
        <v>344</v>
      </c>
      <c r="J6952" s="2" t="s">
        <v>102</v>
      </c>
      <c r="K6952" s="2" t="s">
        <v>10346</v>
      </c>
    </row>
    <row r="6953" ht="15.75" customHeight="1">
      <c r="A6953" s="2">
        <v>46822.0</v>
      </c>
      <c r="B6953" s="2" t="s">
        <v>1617</v>
      </c>
      <c r="C6953" s="2" t="s">
        <v>13259</v>
      </c>
      <c r="D6953" s="2" t="s">
        <v>13260</v>
      </c>
      <c r="E6953" s="2" t="s">
        <v>13261</v>
      </c>
      <c r="F6953" s="2">
        <v>0.0</v>
      </c>
      <c r="G6953" s="2">
        <v>500.0</v>
      </c>
      <c r="H6953" s="3" t="str">
        <f>HYPERLINK("http://www.linkedin.com/in/rjtutak","http://www.linkedin.com/in/rjtutak")</f>
        <v>http://www.linkedin.com/in/rjtutak</v>
      </c>
      <c r="I6953" s="2" t="s">
        <v>2443</v>
      </c>
      <c r="J6953" s="2" t="s">
        <v>102</v>
      </c>
      <c r="K6953" s="2" t="s">
        <v>10187</v>
      </c>
    </row>
    <row r="6954" ht="15.75" customHeight="1">
      <c r="A6954" s="2">
        <v>46837.0</v>
      </c>
      <c r="B6954" s="2" t="s">
        <v>3305</v>
      </c>
      <c r="C6954" s="2" t="s">
        <v>9696</v>
      </c>
      <c r="D6954" s="2" t="s">
        <v>289</v>
      </c>
      <c r="E6954" s="2" t="s">
        <v>20</v>
      </c>
      <c r="F6954" s="2">
        <v>1.0</v>
      </c>
      <c r="G6954" s="2">
        <v>163.0</v>
      </c>
      <c r="H6954" s="3" t="str">
        <f>HYPERLINK("http://ar.linkedin.com/pub/ana-marin/4/A08/13","http://ar.linkedin.com/pub/ana-marin/4/A08/13")</f>
        <v>http://ar.linkedin.com/pub/ana-marin/4/A08/13</v>
      </c>
      <c r="I6954" s="2" t="s">
        <v>231</v>
      </c>
      <c r="J6954" s="2" t="s">
        <v>21</v>
      </c>
      <c r="K6954" s="2" t="s">
        <v>10187</v>
      </c>
    </row>
    <row r="6955" ht="15.75" customHeight="1">
      <c r="A6955" s="2">
        <v>46938.0</v>
      </c>
      <c r="B6955" s="2" t="s">
        <v>5808</v>
      </c>
      <c r="C6955" s="2" t="s">
        <v>13262</v>
      </c>
      <c r="D6955" s="2" t="s">
        <v>13263</v>
      </c>
      <c r="E6955" s="2" t="s">
        <v>20</v>
      </c>
      <c r="F6955" s="2">
        <v>3.0</v>
      </c>
      <c r="G6955" s="2">
        <v>123.0</v>
      </c>
      <c r="H6955" s="3" t="str">
        <f>HYPERLINK("http://ar.linkedin.com/pub/matias-salimbene/11/51B/A10","http://ar.linkedin.com/pub/matias-salimbene/11/51B/A10")</f>
        <v>http://ar.linkedin.com/pub/matias-salimbene/11/51B/A10</v>
      </c>
      <c r="I6955" s="2" t="s">
        <v>15</v>
      </c>
      <c r="J6955" s="2" t="s">
        <v>21</v>
      </c>
      <c r="K6955" s="2" t="s">
        <v>10196</v>
      </c>
    </row>
    <row r="6956" ht="15.75" customHeight="1">
      <c r="A6956" s="2">
        <v>46955.0</v>
      </c>
      <c r="B6956" s="2" t="s">
        <v>6061</v>
      </c>
      <c r="C6956" s="2" t="s">
        <v>13264</v>
      </c>
      <c r="D6956" s="2" t="s">
        <v>13265</v>
      </c>
      <c r="E6956" s="2" t="s">
        <v>20</v>
      </c>
      <c r="F6956" s="2">
        <v>6.0</v>
      </c>
      <c r="G6956" s="2">
        <v>176.0</v>
      </c>
      <c r="H6956" s="3" t="str">
        <f>HYPERLINK("http://ar.linkedin.com/in/daddino","http://ar.linkedin.com/in/daddino")</f>
        <v>http://ar.linkedin.com/in/daddino</v>
      </c>
      <c r="I6956" s="2" t="s">
        <v>15</v>
      </c>
      <c r="J6956" s="2" t="s">
        <v>21</v>
      </c>
      <c r="K6956" s="2" t="s">
        <v>10196</v>
      </c>
    </row>
    <row r="6957" ht="15.75" customHeight="1">
      <c r="A6957" s="2">
        <v>46963.0</v>
      </c>
      <c r="B6957" s="2" t="s">
        <v>6496</v>
      </c>
      <c r="C6957" s="2" t="s">
        <v>13266</v>
      </c>
      <c r="D6957" s="2" t="s">
        <v>13267</v>
      </c>
      <c r="E6957" s="2" t="s">
        <v>20</v>
      </c>
      <c r="F6957" s="2" t="s">
        <v>13</v>
      </c>
      <c r="G6957" s="2">
        <v>500.0</v>
      </c>
      <c r="H6957" s="3" t="str">
        <f>HYPERLINK("http://ar.linkedin.com/pub/karina-neter/7/258/975","http://ar.linkedin.com/pub/karina-neter/7/258/975")</f>
        <v>http://ar.linkedin.com/pub/karina-neter/7/258/975</v>
      </c>
      <c r="I6957" s="2" t="s">
        <v>458</v>
      </c>
      <c r="J6957" s="2" t="s">
        <v>21</v>
      </c>
      <c r="K6957" s="2" t="s">
        <v>10176</v>
      </c>
    </row>
    <row r="6958" ht="15.75" customHeight="1">
      <c r="A6958" s="2">
        <v>46966.0</v>
      </c>
      <c r="B6958" s="2" t="s">
        <v>1004</v>
      </c>
      <c r="C6958" s="2" t="s">
        <v>13268</v>
      </c>
      <c r="D6958" s="2" t="s">
        <v>400</v>
      </c>
      <c r="E6958" s="2" t="s">
        <v>457</v>
      </c>
      <c r="F6958" s="2">
        <v>10.0</v>
      </c>
      <c r="G6958" s="2">
        <v>500.0</v>
      </c>
      <c r="H6958" s="3" t="str">
        <f>HYPERLINK("http://www.linkedin.com/in/sbuchholz","http://www.linkedin.com/in/sbuchholz")</f>
        <v>http://www.linkedin.com/in/sbuchholz</v>
      </c>
      <c r="I6958" s="2" t="s">
        <v>69</v>
      </c>
      <c r="J6958" s="2" t="s">
        <v>102</v>
      </c>
      <c r="K6958" s="2" t="s">
        <v>10176</v>
      </c>
    </row>
    <row r="6959" ht="15.75" customHeight="1">
      <c r="A6959" s="2">
        <v>47018.0</v>
      </c>
      <c r="B6959" s="2" t="s">
        <v>511</v>
      </c>
      <c r="C6959" s="2" t="s">
        <v>4237</v>
      </c>
      <c r="D6959" s="2" t="s">
        <v>13269</v>
      </c>
      <c r="E6959" s="2" t="s">
        <v>7844</v>
      </c>
      <c r="F6959" s="2">
        <v>137.0</v>
      </c>
      <c r="G6959" s="2">
        <v>500.0</v>
      </c>
      <c r="H6959" s="3" t="str">
        <f>HYPERLINK("http://www.linkedin.com/in/mikeoneil","http://www.linkedin.com/in/mikeoneil")</f>
        <v>http://www.linkedin.com/in/mikeoneil</v>
      </c>
      <c r="I6959" s="2" t="s">
        <v>1390</v>
      </c>
      <c r="J6959" s="2" t="s">
        <v>102</v>
      </c>
      <c r="K6959" s="2" t="s">
        <v>10176</v>
      </c>
    </row>
    <row r="6960" ht="15.75" customHeight="1">
      <c r="A6960" s="2">
        <v>47030.0</v>
      </c>
      <c r="B6960" s="2" t="s">
        <v>13270</v>
      </c>
      <c r="C6960" s="2" t="s">
        <v>13271</v>
      </c>
      <c r="D6960" s="2" t="s">
        <v>13</v>
      </c>
      <c r="E6960" s="2" t="s">
        <v>20</v>
      </c>
      <c r="F6960" s="2">
        <v>0.0</v>
      </c>
      <c r="G6960" s="2">
        <v>500.0</v>
      </c>
      <c r="H6960" s="3" t="str">
        <f>HYPERLINK("http://www.linkedin.com/pub/patricia-laura-loria/5/302/487","http://www.linkedin.com/pub/patricia-laura-loria/5/302/487")</f>
        <v>http://www.linkedin.com/pub/patricia-laura-loria/5/302/487</v>
      </c>
      <c r="I6960" s="2" t="s">
        <v>15</v>
      </c>
      <c r="J6960" s="2" t="s">
        <v>21</v>
      </c>
      <c r="K6960" s="2" t="s">
        <v>10187</v>
      </c>
    </row>
    <row r="6961" ht="15.75" customHeight="1">
      <c r="A6961" s="2">
        <v>47042.0</v>
      </c>
      <c r="B6961" s="2" t="s">
        <v>2153</v>
      </c>
      <c r="C6961" s="2" t="s">
        <v>13272</v>
      </c>
      <c r="D6961" s="2" t="s">
        <v>2224</v>
      </c>
      <c r="E6961" s="2" t="s">
        <v>1321</v>
      </c>
      <c r="F6961" s="2">
        <v>10.0</v>
      </c>
      <c r="G6961" s="2">
        <v>500.0</v>
      </c>
      <c r="H6961" s="3" t="str">
        <f>HYPERLINK("http://www.linkedin.com/in/internetmarketingnickstamoulis","http://www.linkedin.com/in/internetmarketingnickstamoulis")</f>
        <v>http://www.linkedin.com/in/internetmarketingnickstamoulis</v>
      </c>
      <c r="I6961" s="2" t="s">
        <v>105</v>
      </c>
      <c r="J6961" s="2" t="s">
        <v>102</v>
      </c>
      <c r="K6961" s="2" t="s">
        <v>10182</v>
      </c>
    </row>
    <row r="6962" ht="15.75" customHeight="1">
      <c r="A6962" s="2">
        <v>47108.0</v>
      </c>
      <c r="B6962" s="2" t="s">
        <v>13273</v>
      </c>
      <c r="C6962" s="2" t="s">
        <v>13274</v>
      </c>
      <c r="D6962" s="2" t="s">
        <v>13</v>
      </c>
      <c r="E6962" s="2" t="s">
        <v>181</v>
      </c>
      <c r="F6962" s="2">
        <v>10.0</v>
      </c>
      <c r="G6962" s="2">
        <v>500.0</v>
      </c>
      <c r="H6962" s="3" t="str">
        <f>HYPERLINK("http://www.linkedin.com/in/adnanavdic","http://www.linkedin.com/in/adnanavdic")</f>
        <v>http://www.linkedin.com/in/adnanavdic</v>
      </c>
      <c r="I6962" s="2" t="s">
        <v>105</v>
      </c>
      <c r="J6962" s="2" t="s">
        <v>102</v>
      </c>
      <c r="K6962" s="2" t="s">
        <v>10206</v>
      </c>
    </row>
    <row r="6963" ht="15.75" customHeight="1">
      <c r="A6963" s="2">
        <v>47110.0</v>
      </c>
      <c r="B6963" s="2" t="s">
        <v>774</v>
      </c>
      <c r="C6963" s="2" t="s">
        <v>13275</v>
      </c>
      <c r="D6963" s="2" t="s">
        <v>13276</v>
      </c>
      <c r="E6963" s="2" t="s">
        <v>971</v>
      </c>
      <c r="F6963" s="2">
        <v>4.0</v>
      </c>
      <c r="G6963" s="2">
        <v>500.0</v>
      </c>
      <c r="H6963" s="3" t="str">
        <f>HYPERLINK("http://www.linkedin.com/pub/bruce-bain/0/809/A36","http://www.linkedin.com/pub/bruce-bain/0/809/A36")</f>
        <v>http://www.linkedin.com/pub/bruce-bain/0/809/A36</v>
      </c>
      <c r="I6963" s="2" t="s">
        <v>48</v>
      </c>
      <c r="J6963" s="2" t="s">
        <v>102</v>
      </c>
      <c r="K6963" s="2" t="s">
        <v>10286</v>
      </c>
    </row>
    <row r="6964" ht="15.75" customHeight="1">
      <c r="A6964" s="2">
        <v>47165.0</v>
      </c>
      <c r="B6964" s="2" t="s">
        <v>7275</v>
      </c>
      <c r="C6964" s="2" t="s">
        <v>13277</v>
      </c>
      <c r="D6964" s="2" t="s">
        <v>13</v>
      </c>
      <c r="E6964" s="2" t="s">
        <v>20</v>
      </c>
      <c r="F6964" s="2">
        <v>0.0</v>
      </c>
      <c r="G6964" s="2">
        <v>500.0</v>
      </c>
      <c r="H6964" s="3" t="str">
        <f>HYPERLINK("http://www.linkedin.com/pub/maria-jose-piastrellini/23/3b1/2b5","http://www.linkedin.com/pub/maria-jose-piastrellini/23/3b1/2b5")</f>
        <v>http://www.linkedin.com/pub/maria-jose-piastrellini/23/3b1/2b5</v>
      </c>
      <c r="I6964" s="2" t="s">
        <v>15</v>
      </c>
      <c r="J6964" s="2" t="s">
        <v>21</v>
      </c>
      <c r="K6964" s="2" t="s">
        <v>10187</v>
      </c>
    </row>
    <row r="6965" ht="15.75" customHeight="1">
      <c r="A6965" s="2">
        <v>47213.0</v>
      </c>
      <c r="B6965" s="2" t="s">
        <v>5078</v>
      </c>
      <c r="C6965" s="2" t="s">
        <v>4645</v>
      </c>
      <c r="D6965" s="2" t="s">
        <v>13278</v>
      </c>
      <c r="E6965" s="2" t="s">
        <v>20</v>
      </c>
      <c r="F6965" s="2">
        <v>1.0</v>
      </c>
      <c r="G6965" s="2">
        <v>298.0</v>
      </c>
      <c r="H6965" s="3" t="str">
        <f>HYPERLINK("http://ar.linkedin.com/pub/diego-conde/3/A60/582","http://ar.linkedin.com/pub/diego-conde/3/A60/582")</f>
        <v>http://ar.linkedin.com/pub/diego-conde/3/A60/582</v>
      </c>
      <c r="I6965" s="2" t="s">
        <v>48</v>
      </c>
      <c r="J6965" s="2" t="s">
        <v>21</v>
      </c>
      <c r="K6965" s="2" t="s">
        <v>10173</v>
      </c>
    </row>
    <row r="6966" ht="15.75" customHeight="1">
      <c r="A6966" s="2">
        <v>47216.0</v>
      </c>
      <c r="B6966" s="2" t="s">
        <v>492</v>
      </c>
      <c r="C6966" s="2" t="s">
        <v>13279</v>
      </c>
      <c r="D6966" s="2" t="s">
        <v>13</v>
      </c>
      <c r="E6966" s="2" t="s">
        <v>20</v>
      </c>
      <c r="F6966" s="2">
        <v>5.0</v>
      </c>
      <c r="G6966" s="2">
        <v>287.0</v>
      </c>
      <c r="H6966" s="3" t="str">
        <f>HYPERLINK("http://www.linkedin.com/pub/sergio-tiraferri/22/113/78a","http://www.linkedin.com/pub/sergio-tiraferri/22/113/78a")</f>
        <v>http://www.linkedin.com/pub/sergio-tiraferri/22/113/78a</v>
      </c>
      <c r="I6966" s="2" t="s">
        <v>1237</v>
      </c>
      <c r="J6966" s="2" t="s">
        <v>21</v>
      </c>
      <c r="K6966" s="2" t="s">
        <v>10196</v>
      </c>
    </row>
    <row r="6967" ht="15.75" customHeight="1">
      <c r="A6967" s="2">
        <v>47263.0</v>
      </c>
      <c r="B6967" s="2" t="s">
        <v>506</v>
      </c>
      <c r="C6967" s="2" t="s">
        <v>6207</v>
      </c>
      <c r="D6967" s="2" t="s">
        <v>108</v>
      </c>
      <c r="E6967" s="2" t="s">
        <v>20</v>
      </c>
      <c r="F6967" s="2">
        <v>2.0</v>
      </c>
      <c r="G6967" s="2">
        <v>500.0</v>
      </c>
      <c r="H6967" s="3" t="str">
        <f>HYPERLINK("http://ar.linkedin.com/in/josemarianoalvarez","http://ar.linkedin.com/in/josemarianoalvarez")</f>
        <v>http://ar.linkedin.com/in/josemarianoalvarez</v>
      </c>
      <c r="I6967" s="2" t="s">
        <v>15</v>
      </c>
      <c r="J6967" s="2" t="s">
        <v>21</v>
      </c>
      <c r="K6967" s="2" t="s">
        <v>10173</v>
      </c>
    </row>
    <row r="6968" ht="15.75" customHeight="1">
      <c r="A6968" s="2">
        <v>47300.0</v>
      </c>
      <c r="B6968" s="2" t="s">
        <v>13280</v>
      </c>
      <c r="C6968" s="2" t="s">
        <v>5891</v>
      </c>
      <c r="D6968" s="2" t="s">
        <v>13281</v>
      </c>
      <c r="E6968" s="2" t="s">
        <v>20</v>
      </c>
      <c r="F6968" s="2">
        <v>7.0</v>
      </c>
      <c r="G6968" s="2">
        <v>242.0</v>
      </c>
      <c r="H6968" s="3" t="str">
        <f>HYPERLINK("http://ar.linkedin.com/in/caherrera","http://ar.linkedin.com/in/caherrera")</f>
        <v>http://ar.linkedin.com/in/caherrera</v>
      </c>
      <c r="I6968" s="2" t="s">
        <v>15</v>
      </c>
      <c r="J6968" s="2" t="s">
        <v>21</v>
      </c>
      <c r="K6968" s="2" t="s">
        <v>10196</v>
      </c>
    </row>
    <row r="6969" ht="15.75" customHeight="1">
      <c r="A6969" s="2">
        <v>47311.0</v>
      </c>
      <c r="B6969" s="2" t="s">
        <v>13282</v>
      </c>
      <c r="C6969" s="2" t="s">
        <v>2610</v>
      </c>
      <c r="D6969" s="2" t="s">
        <v>2331</v>
      </c>
      <c r="E6969" s="2" t="s">
        <v>992</v>
      </c>
      <c r="F6969" s="2">
        <v>13.0</v>
      </c>
      <c r="G6969" s="2">
        <v>500.0</v>
      </c>
      <c r="H6969" s="3" t="str">
        <f>HYPERLINK("http://www.linkedin.com/in/blainehall","http://www.linkedin.com/in/blainehall")</f>
        <v>http://www.linkedin.com/in/blainehall</v>
      </c>
      <c r="I6969" s="2" t="s">
        <v>15</v>
      </c>
      <c r="J6969" s="2" t="s">
        <v>102</v>
      </c>
      <c r="K6969" s="2" t="s">
        <v>10184</v>
      </c>
    </row>
    <row r="6970" ht="15.75" customHeight="1">
      <c r="A6970" s="2">
        <v>47359.0</v>
      </c>
      <c r="B6970" s="2" t="s">
        <v>1230</v>
      </c>
      <c r="C6970" s="2" t="s">
        <v>8815</v>
      </c>
      <c r="D6970" s="2" t="s">
        <v>13283</v>
      </c>
      <c r="E6970" s="2" t="s">
        <v>20</v>
      </c>
      <c r="F6970" s="2" t="s">
        <v>13</v>
      </c>
      <c r="G6970" s="2">
        <v>356.0</v>
      </c>
      <c r="H6970" s="3" t="str">
        <f>HYPERLINK("http://ar.linkedin.com/pub/alberto-varela/6/120/504","http://ar.linkedin.com/pub/alberto-varela/6/120/504")</f>
        <v>http://ar.linkedin.com/pub/alberto-varela/6/120/504</v>
      </c>
      <c r="I6970" s="2" t="s">
        <v>279</v>
      </c>
      <c r="J6970" s="2" t="s">
        <v>21</v>
      </c>
      <c r="K6970" s="2" t="s">
        <v>10229</v>
      </c>
    </row>
    <row r="6971" ht="15.75" customHeight="1">
      <c r="A6971" s="2">
        <v>47362.0</v>
      </c>
      <c r="B6971" s="2" t="s">
        <v>862</v>
      </c>
      <c r="C6971" s="2" t="s">
        <v>8741</v>
      </c>
      <c r="D6971" s="2" t="s">
        <v>347</v>
      </c>
      <c r="E6971" s="2" t="s">
        <v>20</v>
      </c>
      <c r="F6971" s="2">
        <v>5.0</v>
      </c>
      <c r="G6971" s="2">
        <v>256.0</v>
      </c>
      <c r="H6971" s="3" t="str">
        <f>HYPERLINK("http://ar.linkedin.com/pub/gabriel-robledo/B/508/426","http://ar.linkedin.com/pub/gabriel-robledo/B/508/426")</f>
        <v>http://ar.linkedin.com/pub/gabriel-robledo/B/508/426</v>
      </c>
      <c r="I6971" s="2" t="s">
        <v>1237</v>
      </c>
      <c r="J6971" s="2" t="s">
        <v>21</v>
      </c>
      <c r="K6971" s="2" t="s">
        <v>10206</v>
      </c>
    </row>
    <row r="6972" ht="15.75" customHeight="1">
      <c r="A6972" s="2">
        <v>47367.0</v>
      </c>
      <c r="B6972" s="2" t="s">
        <v>677</v>
      </c>
      <c r="C6972" s="2" t="s">
        <v>6207</v>
      </c>
      <c r="D6972" s="2" t="s">
        <v>13284</v>
      </c>
      <c r="E6972" s="2" t="s">
        <v>20</v>
      </c>
      <c r="F6972" s="2">
        <v>1.0</v>
      </c>
      <c r="G6972" s="2">
        <v>291.0</v>
      </c>
      <c r="H6972" s="3" t="str">
        <f>HYPERLINK("http://ar.linkedin.com/pub/daniel-alvarez/4/B40/B66","http://ar.linkedin.com/pub/daniel-alvarez/4/B40/B66")</f>
        <v>http://ar.linkedin.com/pub/daniel-alvarez/4/B40/B66</v>
      </c>
      <c r="I6972" s="2" t="s">
        <v>77</v>
      </c>
      <c r="J6972" s="2" t="s">
        <v>21</v>
      </c>
      <c r="K6972" s="2" t="s">
        <v>10384</v>
      </c>
    </row>
    <row r="6973" ht="15.75" customHeight="1">
      <c r="A6973" s="2">
        <v>47443.0</v>
      </c>
      <c r="B6973" s="2" t="s">
        <v>412</v>
      </c>
      <c r="C6973" s="2" t="s">
        <v>11520</v>
      </c>
      <c r="D6973" s="2"/>
      <c r="E6973" s="2" t="s">
        <v>181</v>
      </c>
      <c r="F6973" s="2">
        <v>11.0</v>
      </c>
      <c r="G6973" s="2">
        <v>500.0</v>
      </c>
      <c r="H6973" s="3" t="str">
        <f>HYPERLINK("http://www.linkedin.com/pub/robert-spinelli/0/B11/6B4","http://www.linkedin.com/pub/robert-spinelli/0/B11/6B4")</f>
        <v>http://www.linkedin.com/pub/robert-spinelli/0/B11/6B4</v>
      </c>
      <c r="I6973" s="2" t="s">
        <v>15</v>
      </c>
      <c r="J6973" s="2" t="s">
        <v>102</v>
      </c>
      <c r="K6973" s="2" t="s">
        <v>10371</v>
      </c>
    </row>
    <row r="6974" ht="15.75" customHeight="1">
      <c r="A6974" s="2">
        <v>47454.0</v>
      </c>
      <c r="B6974" s="2" t="s">
        <v>501</v>
      </c>
      <c r="C6974" s="2" t="s">
        <v>13285</v>
      </c>
      <c r="D6974" s="2" t="s">
        <v>13</v>
      </c>
      <c r="E6974" s="2" t="s">
        <v>20</v>
      </c>
      <c r="F6974" s="2">
        <v>0.0</v>
      </c>
      <c r="G6974" s="2">
        <v>500.0</v>
      </c>
      <c r="H6974" s="3" t="str">
        <f>HYPERLINK("http://www.linkedin.com/pub/francisco-lanteri/12/767/148","http://www.linkedin.com/pub/francisco-lanteri/12/767/148")</f>
        <v>http://www.linkedin.com/pub/francisco-lanteri/12/767/148</v>
      </c>
      <c r="I6974" s="2" t="s">
        <v>57</v>
      </c>
      <c r="J6974" s="2" t="s">
        <v>21</v>
      </c>
      <c r="K6974" s="2" t="s">
        <v>10184</v>
      </c>
    </row>
    <row r="6975" ht="15.75" customHeight="1">
      <c r="A6975" s="2">
        <v>47469.0</v>
      </c>
      <c r="B6975" s="2" t="s">
        <v>13286</v>
      </c>
      <c r="C6975" s="2" t="s">
        <v>8763</v>
      </c>
      <c r="D6975" s="2" t="s">
        <v>13</v>
      </c>
      <c r="E6975" s="2" t="s">
        <v>20</v>
      </c>
      <c r="F6975" s="2">
        <v>4.0</v>
      </c>
      <c r="G6975" s="2">
        <v>135.0</v>
      </c>
      <c r="H6975" s="3" t="str">
        <f>HYPERLINK("http://www.linkedin.com/pub/alfredo-daniel-vel%C3%A1zquez/1a/5a1/28b","http://www.linkedin.com/pub/alfredo-daniel-vel%C3%A1zquez/1a/5a1/28b")</f>
        <v>http://www.linkedin.com/pub/alfredo-daniel-vel%C3%A1zquez/1a/5a1/28b</v>
      </c>
      <c r="I6975" s="2" t="s">
        <v>709</v>
      </c>
      <c r="J6975" s="2" t="s">
        <v>21</v>
      </c>
      <c r="K6975" s="2" t="s">
        <v>10196</v>
      </c>
    </row>
    <row r="6976" ht="15.75" customHeight="1">
      <c r="A6976" s="2">
        <v>47475.0</v>
      </c>
      <c r="B6976" s="2" t="s">
        <v>5883</v>
      </c>
      <c r="C6976" s="2" t="s">
        <v>13287</v>
      </c>
      <c r="D6976" s="2" t="s">
        <v>1750</v>
      </c>
      <c r="E6976" s="2" t="s">
        <v>20</v>
      </c>
      <c r="F6976" s="2">
        <v>3.0</v>
      </c>
      <c r="G6976" s="2">
        <v>500.0</v>
      </c>
      <c r="H6976" s="3" t="str">
        <f>HYPERLINK("http://ar.linkedin.com/pub/ariel-mastrangelo-ozores/2A/501/7A5","http://ar.linkedin.com/pub/ariel-mastrangelo-ozores/2A/501/7A5")</f>
        <v>http://ar.linkedin.com/pub/ariel-mastrangelo-ozores/2A/501/7A5</v>
      </c>
      <c r="I6976" s="2" t="s">
        <v>15</v>
      </c>
      <c r="J6976" s="2" t="s">
        <v>21</v>
      </c>
      <c r="K6976" s="2" t="s">
        <v>10180</v>
      </c>
    </row>
    <row r="6977" ht="15.75" customHeight="1">
      <c r="A6977" s="2">
        <v>47507.0</v>
      </c>
      <c r="B6977" s="2" t="s">
        <v>540</v>
      </c>
      <c r="C6977" s="2" t="s">
        <v>13288</v>
      </c>
      <c r="D6977" s="2"/>
      <c r="E6977" s="2" t="s">
        <v>10993</v>
      </c>
      <c r="F6977" s="2">
        <v>5.0</v>
      </c>
      <c r="G6977" s="2">
        <v>468.0</v>
      </c>
      <c r="H6977" s="3" t="str">
        <f>HYPERLINK("http://www.linkedin.com/pub/christian-mambrin-ms-pmp/0/821/B69","http://www.linkedin.com/pub/christian-mambrin-ms-pmp/0/821/B69")</f>
        <v>http://www.linkedin.com/pub/christian-mambrin-ms-pmp/0/821/B69</v>
      </c>
      <c r="I6977" s="2" t="s">
        <v>77</v>
      </c>
      <c r="J6977" s="2" t="s">
        <v>44</v>
      </c>
      <c r="K6977" s="2" t="s">
        <v>10187</v>
      </c>
    </row>
    <row r="6978" ht="15.75" customHeight="1">
      <c r="A6978" s="2">
        <v>47524.0</v>
      </c>
      <c r="B6978" s="2" t="s">
        <v>8807</v>
      </c>
      <c r="C6978" s="2" t="s">
        <v>4233</v>
      </c>
      <c r="D6978" s="2" t="s">
        <v>13289</v>
      </c>
      <c r="E6978" s="2" t="s">
        <v>20</v>
      </c>
      <c r="F6978" s="2">
        <v>7.0</v>
      </c>
      <c r="G6978" s="2">
        <v>500.0</v>
      </c>
      <c r="H6978" s="3" t="str">
        <f>HYPERLINK("http://ar.linkedin.com/in/mariasolgonzalez","http://ar.linkedin.com/in/mariasolgonzalez")</f>
        <v>http://ar.linkedin.com/in/mariasolgonzalez</v>
      </c>
      <c r="I6978" s="2" t="s">
        <v>143</v>
      </c>
      <c r="J6978" s="2" t="s">
        <v>21</v>
      </c>
      <c r="K6978" s="2" t="s">
        <v>10206</v>
      </c>
    </row>
    <row r="6979" ht="15.75" customHeight="1">
      <c r="A6979" s="2">
        <v>47555.0</v>
      </c>
      <c r="B6979" s="2" t="s">
        <v>5922</v>
      </c>
      <c r="C6979" s="2" t="s">
        <v>9529</v>
      </c>
      <c r="D6979" s="2" t="s">
        <v>13</v>
      </c>
      <c r="E6979" s="2" t="s">
        <v>20</v>
      </c>
      <c r="F6979" s="2">
        <v>0.0</v>
      </c>
      <c r="G6979" s="2">
        <v>278.0</v>
      </c>
      <c r="H6979" s="3" t="str">
        <f>HYPERLINK("http://www.linkedin.com/pub/gabriela-alfano/13/83b/4b","http://www.linkedin.com/pub/gabriela-alfano/13/83b/4b")</f>
        <v>http://www.linkedin.com/pub/gabriela-alfano/13/83b/4b</v>
      </c>
      <c r="I6979" s="2" t="s">
        <v>15</v>
      </c>
      <c r="J6979" s="2" t="s">
        <v>21</v>
      </c>
      <c r="K6979" s="2" t="s">
        <v>10180</v>
      </c>
    </row>
    <row r="6980" ht="15.75" customHeight="1">
      <c r="A6980" s="2">
        <v>47582.0</v>
      </c>
      <c r="B6980" s="2" t="s">
        <v>3776</v>
      </c>
      <c r="C6980" s="2" t="s">
        <v>6122</v>
      </c>
      <c r="D6980" s="2" t="s">
        <v>12137</v>
      </c>
      <c r="E6980" s="2" t="s">
        <v>204</v>
      </c>
      <c r="F6980" s="2">
        <v>1.0</v>
      </c>
      <c r="G6980" s="2">
        <v>371.0</v>
      </c>
      <c r="H6980" s="3" t="str">
        <f>HYPERLINK("http://mx.linkedin.com/pub/pedro-ramirez/25/A27/204","http://mx.linkedin.com/pub/pedro-ramirez/25/A27/204")</f>
        <v>http://mx.linkedin.com/pub/pedro-ramirez/25/A27/204</v>
      </c>
      <c r="I6980" s="2" t="s">
        <v>446</v>
      </c>
      <c r="J6980" s="2" t="s">
        <v>28</v>
      </c>
      <c r="K6980" s="2" t="s">
        <v>10384</v>
      </c>
    </row>
    <row r="6981" ht="15.75" customHeight="1">
      <c r="A6981" s="2">
        <v>47583.0</v>
      </c>
      <c r="B6981" s="2" t="s">
        <v>492</v>
      </c>
      <c r="C6981" s="2" t="s">
        <v>13290</v>
      </c>
      <c r="D6981" s="2" t="s">
        <v>13291</v>
      </c>
      <c r="E6981" s="2" t="s">
        <v>13292</v>
      </c>
      <c r="F6981" s="2">
        <v>4.0</v>
      </c>
      <c r="G6981" s="2">
        <v>500.0</v>
      </c>
      <c r="H6981" s="3" t="str">
        <f>HYPERLINK("http://ar.linkedin.com/in/sergiozuleta","http://ar.linkedin.com/in/sergiozuleta")</f>
        <v>http://ar.linkedin.com/in/sergiozuleta</v>
      </c>
      <c r="I6981" s="2" t="s">
        <v>15</v>
      </c>
      <c r="J6981" s="2" t="s">
        <v>220</v>
      </c>
      <c r="K6981" s="2" t="s">
        <v>10173</v>
      </c>
    </row>
    <row r="6982" ht="15.75" customHeight="1">
      <c r="A6982" s="2">
        <v>47594.0</v>
      </c>
      <c r="B6982" s="2" t="s">
        <v>1096</v>
      </c>
      <c r="C6982" s="2" t="s">
        <v>13293</v>
      </c>
      <c r="D6982" s="2"/>
      <c r="E6982" s="2" t="s">
        <v>407</v>
      </c>
      <c r="F6982" s="2">
        <v>4.0</v>
      </c>
      <c r="G6982" s="2">
        <v>172.0</v>
      </c>
      <c r="H6982" s="3" t="str">
        <f>HYPERLINK("http://www.linkedin.com/pub/tony-del-valle/0/784/384","http://www.linkedin.com/pub/tony-del-valle/0/784/384")</f>
        <v>http://www.linkedin.com/pub/tony-del-valle/0/784/384</v>
      </c>
      <c r="I6982" s="2" t="s">
        <v>1421</v>
      </c>
      <c r="J6982" s="2" t="s">
        <v>102</v>
      </c>
      <c r="K6982" s="2" t="s">
        <v>10206</v>
      </c>
    </row>
    <row r="6983" ht="15.75" customHeight="1">
      <c r="A6983" s="2">
        <v>47632.0</v>
      </c>
      <c r="B6983" s="2" t="s">
        <v>631</v>
      </c>
      <c r="C6983" s="2" t="s">
        <v>6326</v>
      </c>
      <c r="D6983" s="2" t="s">
        <v>13294</v>
      </c>
      <c r="E6983" s="2" t="s">
        <v>136</v>
      </c>
      <c r="F6983" s="2">
        <v>18.0</v>
      </c>
      <c r="G6983" s="2">
        <v>500.0</v>
      </c>
      <c r="H6983" s="3" t="str">
        <f>HYPERLINK("http://www.linkedin.com/in/chrisheuer","http://www.linkedin.com/in/chrisheuer")</f>
        <v>http://www.linkedin.com/in/chrisheuer</v>
      </c>
      <c r="I6983" s="2" t="s">
        <v>57</v>
      </c>
      <c r="J6983" s="2" t="s">
        <v>102</v>
      </c>
      <c r="K6983" s="2" t="s">
        <v>10206</v>
      </c>
    </row>
    <row r="6984" ht="15.75" customHeight="1">
      <c r="A6984" s="2">
        <v>47645.0</v>
      </c>
      <c r="B6984" s="2" t="s">
        <v>193</v>
      </c>
      <c r="C6984" s="2" t="s">
        <v>13295</v>
      </c>
      <c r="D6984" s="2" t="s">
        <v>13296</v>
      </c>
      <c r="E6984" s="2" t="s">
        <v>20</v>
      </c>
      <c r="F6984" s="2">
        <v>4.0</v>
      </c>
      <c r="G6984" s="2">
        <v>500.0</v>
      </c>
      <c r="H6984" s="3" t="str">
        <f>HYPERLINK("http://www.linkedin.com/pub/guillermo-trombotto/5/77/17a","http://www.linkedin.com/pub/guillermo-trombotto/5/77/17a")</f>
        <v>http://www.linkedin.com/pub/guillermo-trombotto/5/77/17a</v>
      </c>
      <c r="I6984" s="2" t="s">
        <v>15</v>
      </c>
      <c r="J6984" s="2" t="s">
        <v>21</v>
      </c>
      <c r="K6984" s="2" t="s">
        <v>10180</v>
      </c>
    </row>
    <row r="6985" ht="15.75" customHeight="1">
      <c r="A6985" s="2">
        <v>47650.0</v>
      </c>
      <c r="B6985" s="2" t="s">
        <v>5735</v>
      </c>
      <c r="C6985" s="2" t="s">
        <v>11313</v>
      </c>
      <c r="D6985" s="2" t="s">
        <v>32</v>
      </c>
      <c r="E6985" s="2" t="s">
        <v>20</v>
      </c>
      <c r="F6985" s="2" t="s">
        <v>13</v>
      </c>
      <c r="G6985" s="2">
        <v>305.0</v>
      </c>
      <c r="H6985" s="3" t="str">
        <f>HYPERLINK("http://ar.linkedin.com/pub/german-tello/8/497/2AB","http://ar.linkedin.com/pub/german-tello/8/497/2AB")</f>
        <v>http://ar.linkedin.com/pub/german-tello/8/497/2AB</v>
      </c>
      <c r="I6985" s="2" t="s">
        <v>15</v>
      </c>
      <c r="J6985" s="2" t="s">
        <v>21</v>
      </c>
      <c r="K6985" s="2" t="s">
        <v>10245</v>
      </c>
    </row>
    <row r="6986" ht="15.75" customHeight="1">
      <c r="A6986" s="2">
        <v>47675.0</v>
      </c>
      <c r="B6986" s="2" t="s">
        <v>353</v>
      </c>
      <c r="C6986" s="2" t="s">
        <v>13297</v>
      </c>
      <c r="D6986" s="2" t="s">
        <v>13</v>
      </c>
      <c r="E6986" s="2" t="s">
        <v>20</v>
      </c>
      <c r="F6986" s="2">
        <v>0.0</v>
      </c>
      <c r="G6986" s="2">
        <v>372.0</v>
      </c>
      <c r="H6986" s="3" t="str">
        <f>HYPERLINK("http://www.linkedin.com/pub/alejandro-bruzoni/24/4b/601","http://www.linkedin.com/pub/alejandro-bruzoni/24/4b/601")</f>
        <v>http://www.linkedin.com/pub/alejandro-bruzoni/24/4b/601</v>
      </c>
      <c r="I6986" s="2" t="s">
        <v>105</v>
      </c>
      <c r="J6986" s="2" t="s">
        <v>21</v>
      </c>
      <c r="K6986" s="2" t="s">
        <v>10184</v>
      </c>
    </row>
    <row r="6987" ht="15.75" customHeight="1">
      <c r="A6987" s="2">
        <v>47678.0</v>
      </c>
      <c r="B6987" s="2" t="s">
        <v>287</v>
      </c>
      <c r="C6987" s="2" t="s">
        <v>13298</v>
      </c>
      <c r="D6987" s="2"/>
      <c r="E6987" s="2" t="s">
        <v>13299</v>
      </c>
      <c r="F6987" s="2">
        <v>19.0</v>
      </c>
      <c r="G6987" s="2">
        <v>500.0</v>
      </c>
      <c r="H6987" s="3" t="str">
        <f>HYPERLINK("http://www.linkedin.com/in/paulrbruno","http://www.linkedin.com/in/paulrbruno")</f>
        <v>http://www.linkedin.com/in/paulrbruno</v>
      </c>
      <c r="I6987" s="2" t="s">
        <v>57</v>
      </c>
      <c r="J6987" s="2" t="s">
        <v>102</v>
      </c>
      <c r="K6987" s="2" t="s">
        <v>10206</v>
      </c>
    </row>
    <row r="6988" ht="15.75" customHeight="1">
      <c r="A6988" s="2">
        <v>47680.0</v>
      </c>
      <c r="B6988" s="2" t="s">
        <v>6432</v>
      </c>
      <c r="C6988" s="2" t="s">
        <v>13300</v>
      </c>
      <c r="D6988" s="2" t="s">
        <v>13</v>
      </c>
      <c r="E6988" s="2" t="s">
        <v>20</v>
      </c>
      <c r="F6988" s="2">
        <v>0.0</v>
      </c>
      <c r="G6988" s="2">
        <v>248.0</v>
      </c>
      <c r="H6988" s="3" t="str">
        <f>HYPERLINK("http://www.linkedin.com/pub/marcela-depianti/15/759/3b9","http://www.linkedin.com/pub/marcela-depianti/15/759/3b9")</f>
        <v>http://www.linkedin.com/pub/marcela-depianti/15/759/3b9</v>
      </c>
      <c r="I6988" s="2" t="s">
        <v>105</v>
      </c>
      <c r="J6988" s="2" t="s">
        <v>21</v>
      </c>
      <c r="K6988" s="2" t="s">
        <v>13301</v>
      </c>
    </row>
    <row r="6989" ht="15.75" customHeight="1">
      <c r="A6989" s="2">
        <v>47691.0</v>
      </c>
      <c r="B6989" s="2" t="s">
        <v>2547</v>
      </c>
      <c r="C6989" s="2" t="s">
        <v>13302</v>
      </c>
      <c r="D6989" s="2" t="s">
        <v>13303</v>
      </c>
      <c r="E6989" s="2" t="s">
        <v>20</v>
      </c>
      <c r="F6989" s="2">
        <v>6.0</v>
      </c>
      <c r="G6989" s="2">
        <v>353.0</v>
      </c>
      <c r="H6989" s="3" t="str">
        <f>HYPERLINK("http://ar.linkedin.com/pub/franco-besso-pianetto/4/72B/90B","http://ar.linkedin.com/pub/franco-besso-pianetto/4/72B/90B")</f>
        <v>http://ar.linkedin.com/pub/franco-besso-pianetto/4/72B/90B</v>
      </c>
      <c r="I6989" s="2" t="s">
        <v>15</v>
      </c>
      <c r="J6989" s="2" t="s">
        <v>21</v>
      </c>
      <c r="K6989" s="2" t="s">
        <v>10196</v>
      </c>
    </row>
    <row r="6990" ht="15.75" customHeight="1">
      <c r="A6990" s="2">
        <v>47708.0</v>
      </c>
      <c r="B6990" s="2" t="s">
        <v>3692</v>
      </c>
      <c r="C6990" s="2" t="s">
        <v>13304</v>
      </c>
      <c r="D6990" s="2" t="s">
        <v>13</v>
      </c>
      <c r="E6990" s="2" t="s">
        <v>20</v>
      </c>
      <c r="F6990" s="2">
        <v>0.0</v>
      </c>
      <c r="G6990" s="2">
        <v>500.0</v>
      </c>
      <c r="H6990" s="3" t="str">
        <f>HYPERLINK("http://www.linkedin.com/pub/federico-mccormick-freddie/13/318/133","http://www.linkedin.com/pub/federico-mccormick-freddie/13/318/133")</f>
        <v>http://www.linkedin.com/pub/federico-mccormick-freddie/13/318/133</v>
      </c>
      <c r="I6990" s="2" t="s">
        <v>105</v>
      </c>
      <c r="J6990" s="2" t="s">
        <v>21</v>
      </c>
      <c r="K6990" s="2" t="s">
        <v>10184</v>
      </c>
    </row>
    <row r="6991" ht="15.75" customHeight="1">
      <c r="A6991" s="2">
        <v>47733.0</v>
      </c>
      <c r="B6991" s="2" t="s">
        <v>3550</v>
      </c>
      <c r="C6991" s="2" t="s">
        <v>13305</v>
      </c>
      <c r="D6991" s="2" t="s">
        <v>13</v>
      </c>
      <c r="E6991" s="2" t="s">
        <v>39</v>
      </c>
      <c r="F6991" s="2">
        <v>0.0</v>
      </c>
      <c r="G6991" s="2">
        <v>500.0</v>
      </c>
      <c r="H6991" s="3" t="str">
        <f>HYPERLINK("http://ar.linkedin.com/in/nicolasroberts","http://ar.linkedin.com/in/nicolasroberts")</f>
        <v>http://ar.linkedin.com/in/nicolasroberts</v>
      </c>
      <c r="I6991" s="2" t="s">
        <v>69</v>
      </c>
      <c r="J6991" s="2" t="s">
        <v>34</v>
      </c>
      <c r="K6991" s="2" t="s">
        <v>10196</v>
      </c>
    </row>
    <row r="6992" ht="15.75" customHeight="1">
      <c r="A6992" s="2">
        <v>47744.0</v>
      </c>
      <c r="B6992" s="2" t="s">
        <v>3072</v>
      </c>
      <c r="C6992" s="2" t="s">
        <v>13306</v>
      </c>
      <c r="D6992" s="2" t="s">
        <v>13307</v>
      </c>
      <c r="E6992" s="2" t="s">
        <v>136</v>
      </c>
      <c r="F6992" s="2">
        <v>15.0</v>
      </c>
      <c r="G6992" s="2">
        <v>500.0</v>
      </c>
      <c r="H6992" s="3" t="str">
        <f>HYPERLINK("http://www.linkedin.com/in/luisblando","http://www.linkedin.com/in/luisblando")</f>
        <v>http://www.linkedin.com/in/luisblando</v>
      </c>
      <c r="I6992" s="2" t="s">
        <v>167</v>
      </c>
      <c r="J6992" s="2" t="s">
        <v>102</v>
      </c>
      <c r="K6992" s="2" t="s">
        <v>10482</v>
      </c>
    </row>
    <row r="6993" ht="15.75" customHeight="1">
      <c r="A6993" s="2">
        <v>47773.0</v>
      </c>
      <c r="B6993" s="2" t="s">
        <v>1042</v>
      </c>
      <c r="C6993" s="2" t="s">
        <v>13308</v>
      </c>
      <c r="D6993" s="2" t="s">
        <v>13</v>
      </c>
      <c r="E6993" s="2" t="s">
        <v>20</v>
      </c>
      <c r="F6993" s="2">
        <v>0.0</v>
      </c>
      <c r="G6993" s="2">
        <v>500.0</v>
      </c>
      <c r="H6993" s="3" t="str">
        <f>HYPERLINK("http://ar.linkedin.com/in/marinamagarinos","http://ar.linkedin.com/in/marinamagarinos")</f>
        <v>http://ar.linkedin.com/in/marinamagarinos</v>
      </c>
      <c r="I6993" s="2" t="s">
        <v>69</v>
      </c>
      <c r="J6993" s="2" t="s">
        <v>21</v>
      </c>
      <c r="K6993" s="2" t="s">
        <v>10180</v>
      </c>
    </row>
    <row r="6994" ht="15.75" customHeight="1">
      <c r="A6994" s="2">
        <v>47780.0</v>
      </c>
      <c r="B6994" s="2" t="s">
        <v>3692</v>
      </c>
      <c r="C6994" s="2" t="s">
        <v>13309</v>
      </c>
      <c r="D6994" s="2" t="s">
        <v>13</v>
      </c>
      <c r="E6994" s="2" t="s">
        <v>20</v>
      </c>
      <c r="F6994" s="2">
        <v>0.0</v>
      </c>
      <c r="G6994" s="2">
        <v>500.0</v>
      </c>
      <c r="H6994" s="3" t="str">
        <f>HYPERLINK("http://www.linkedin.com/pub/federico-cofman/1b/693/142","http://www.linkedin.com/pub/federico-cofman/1b/693/142")</f>
        <v>http://www.linkedin.com/pub/federico-cofman/1b/693/142</v>
      </c>
      <c r="I6994" s="2" t="s">
        <v>69</v>
      </c>
      <c r="J6994" s="2" t="s">
        <v>21</v>
      </c>
      <c r="K6994" s="2" t="s">
        <v>10173</v>
      </c>
    </row>
    <row r="6995" ht="15.75" customHeight="1">
      <c r="A6995" s="2">
        <v>47823.0</v>
      </c>
      <c r="B6995" s="2" t="s">
        <v>4304</v>
      </c>
      <c r="C6995" s="2" t="s">
        <v>13310</v>
      </c>
      <c r="D6995" s="2" t="s">
        <v>347</v>
      </c>
      <c r="E6995" s="2" t="s">
        <v>20</v>
      </c>
      <c r="F6995" s="2" t="s">
        <v>13</v>
      </c>
      <c r="G6995" s="2">
        <v>200.0</v>
      </c>
      <c r="H6995" s="3" t="str">
        <f>HYPERLINK("http://ar.linkedin.com/in/leandrorivoldini","http://ar.linkedin.com/in/leandrorivoldini")</f>
        <v>http://ar.linkedin.com/in/leandrorivoldini</v>
      </c>
      <c r="I6995" s="2" t="s">
        <v>143</v>
      </c>
      <c r="J6995" s="2" t="s">
        <v>21</v>
      </c>
      <c r="K6995" s="2" t="s">
        <v>10180</v>
      </c>
    </row>
    <row r="6996" ht="15.75" customHeight="1">
      <c r="A6996" s="2">
        <v>47825.0</v>
      </c>
      <c r="B6996" s="2" t="s">
        <v>1015</v>
      </c>
      <c r="C6996" s="2" t="s">
        <v>1456</v>
      </c>
      <c r="D6996" s="2" t="s">
        <v>114</v>
      </c>
      <c r="E6996" s="2" t="s">
        <v>628</v>
      </c>
      <c r="F6996" s="2" t="s">
        <v>13</v>
      </c>
      <c r="G6996" s="2">
        <v>500.0</v>
      </c>
      <c r="H6996" s="3" t="str">
        <f>HYPERLINK("http://www.linkedin.com/in/brianandersonbasearchgroup","http://www.linkedin.com/in/brianandersonbasearchgroup")</f>
        <v>http://www.linkedin.com/in/brianandersonbasearchgroup</v>
      </c>
      <c r="I6996" s="2" t="s">
        <v>96</v>
      </c>
      <c r="J6996" s="2" t="s">
        <v>102</v>
      </c>
      <c r="K6996" s="2" t="s">
        <v>10847</v>
      </c>
    </row>
    <row r="6997" ht="15.75" customHeight="1">
      <c r="A6997" s="2">
        <v>47867.0</v>
      </c>
      <c r="B6997" s="2" t="s">
        <v>13311</v>
      </c>
      <c r="C6997" s="2" t="s">
        <v>11909</v>
      </c>
      <c r="D6997" s="2" t="s">
        <v>13</v>
      </c>
      <c r="E6997" s="2" t="s">
        <v>20</v>
      </c>
      <c r="F6997" s="2">
        <v>24.0</v>
      </c>
      <c r="G6997" s="2">
        <v>500.0</v>
      </c>
      <c r="H6997" s="3" t="str">
        <f>HYPERLINK("http://www.linkedin.com/pub/alberto-rub%C3%A9n-ojeda/5/ab3/599","http://www.linkedin.com/pub/alberto-rub%C3%A9n-ojeda/5/ab3/599")</f>
        <v>http://www.linkedin.com/pub/alberto-rub%C3%A9n-ojeda/5/ab3/599</v>
      </c>
      <c r="I6997" s="2" t="s">
        <v>15</v>
      </c>
      <c r="J6997" s="2" t="s">
        <v>21</v>
      </c>
      <c r="K6997" s="2" t="s">
        <v>10196</v>
      </c>
    </row>
    <row r="6998" ht="15.75" customHeight="1">
      <c r="A6998" s="2">
        <v>47947.0</v>
      </c>
      <c r="B6998" s="2" t="s">
        <v>5846</v>
      </c>
      <c r="C6998" s="2" t="s">
        <v>13312</v>
      </c>
      <c r="D6998" s="2" t="s">
        <v>1145</v>
      </c>
      <c r="E6998" s="2" t="s">
        <v>20</v>
      </c>
      <c r="F6998" s="2">
        <v>0.0</v>
      </c>
      <c r="G6998" s="2">
        <v>500.0</v>
      </c>
      <c r="H6998" s="3" t="str">
        <f>HYPERLINK("http://ar.linkedin.com/pub/horacio-barbeito/13/435/310","http://ar.linkedin.com/pub/horacio-barbeito/13/435/310")</f>
        <v>http://ar.linkedin.com/pub/horacio-barbeito/13/435/310</v>
      </c>
      <c r="I6998" s="2" t="s">
        <v>96</v>
      </c>
      <c r="J6998" s="2" t="s">
        <v>21</v>
      </c>
      <c r="K6998" s="2" t="s">
        <v>10209</v>
      </c>
    </row>
    <row r="6999" ht="15.75" customHeight="1">
      <c r="A6999" s="2">
        <v>48025.0</v>
      </c>
      <c r="B6999" s="2" t="s">
        <v>418</v>
      </c>
      <c r="C6999" s="2" t="s">
        <v>1729</v>
      </c>
      <c r="D6999" s="2" t="s">
        <v>13313</v>
      </c>
      <c r="E6999" s="2" t="s">
        <v>1407</v>
      </c>
      <c r="F6999" s="2">
        <v>2.0</v>
      </c>
      <c r="G6999" s="2">
        <v>437.0</v>
      </c>
      <c r="H6999" s="3" t="str">
        <f>HYPERLINK("http://www.linkedin.com/pub/ivan-martinez/0/53B/878","http://www.linkedin.com/pub/ivan-martinez/0/53B/878")</f>
        <v>http://www.linkedin.com/pub/ivan-martinez/0/53B/878</v>
      </c>
      <c r="I6999" s="2" t="s">
        <v>3857</v>
      </c>
      <c r="J6999" s="2" t="s">
        <v>102</v>
      </c>
      <c r="K6999" s="2" t="s">
        <v>10209</v>
      </c>
    </row>
    <row r="7000" ht="15.75" customHeight="1">
      <c r="A7000" s="2">
        <v>48032.0</v>
      </c>
      <c r="B7000" s="2" t="s">
        <v>358</v>
      </c>
      <c r="C7000" s="2" t="s">
        <v>13314</v>
      </c>
      <c r="D7000" s="2" t="s">
        <v>13315</v>
      </c>
      <c r="E7000" s="2" t="s">
        <v>20</v>
      </c>
      <c r="F7000" s="2">
        <v>2.0</v>
      </c>
      <c r="G7000" s="2">
        <v>215.0</v>
      </c>
      <c r="H7000" s="3" t="str">
        <f>HYPERLINK("http://ar.linkedin.com/in/marcelocoronel","http://ar.linkedin.com/in/marcelocoronel")</f>
        <v>http://ar.linkedin.com/in/marcelocoronel</v>
      </c>
      <c r="I7000" s="2" t="s">
        <v>15</v>
      </c>
      <c r="J7000" s="2" t="s">
        <v>21</v>
      </c>
      <c r="K7000" s="2" t="s">
        <v>10196</v>
      </c>
    </row>
    <row r="7001" ht="15.75" customHeight="1">
      <c r="A7001" s="2">
        <v>48036.0</v>
      </c>
      <c r="B7001" s="2" t="s">
        <v>6219</v>
      </c>
      <c r="C7001" s="2" t="s">
        <v>13316</v>
      </c>
      <c r="D7001" s="2" t="s">
        <v>498</v>
      </c>
      <c r="E7001" s="2" t="s">
        <v>20</v>
      </c>
      <c r="F7001" s="2">
        <v>4.0</v>
      </c>
      <c r="G7001" s="2">
        <v>368.0</v>
      </c>
      <c r="H7001" s="3" t="str">
        <f>HYPERLINK("http://ar.linkedin.com/pub/hugo-mac-gaul/1/198/87","http://ar.linkedin.com/pub/hugo-mac-gaul/1/198/87")</f>
        <v>http://ar.linkedin.com/pub/hugo-mac-gaul/1/198/87</v>
      </c>
      <c r="I7001" s="2" t="s">
        <v>15</v>
      </c>
      <c r="J7001" s="2" t="s">
        <v>21</v>
      </c>
      <c r="K7001" s="2" t="s">
        <v>10187</v>
      </c>
    </row>
    <row r="7002" ht="15.75" customHeight="1">
      <c r="A7002" s="2">
        <v>48046.0</v>
      </c>
      <c r="B7002" s="2" t="s">
        <v>45</v>
      </c>
      <c r="C7002" s="2" t="s">
        <v>13317</v>
      </c>
      <c r="D7002" s="2" t="s">
        <v>13318</v>
      </c>
      <c r="E7002" s="2" t="s">
        <v>713</v>
      </c>
      <c r="F7002" s="2">
        <v>36.0</v>
      </c>
      <c r="G7002" s="2">
        <v>494.0</v>
      </c>
      <c r="H7002" s="3" t="str">
        <f>HYPERLINK("http://www.linkedin.com/pub/carlos-ciruelos/0/198/243","http://www.linkedin.com/pub/carlos-ciruelos/0/198/243")</f>
        <v>http://www.linkedin.com/pub/carlos-ciruelos/0/198/243</v>
      </c>
      <c r="I7002" s="2" t="s">
        <v>57</v>
      </c>
      <c r="J7002" s="2" t="s">
        <v>102</v>
      </c>
      <c r="K7002" s="2" t="s">
        <v>10209</v>
      </c>
    </row>
    <row r="7003" ht="15.75" customHeight="1">
      <c r="A7003" s="2">
        <v>48061.0</v>
      </c>
      <c r="B7003" s="2" t="s">
        <v>1254</v>
      </c>
      <c r="C7003" s="2" t="s">
        <v>13319</v>
      </c>
      <c r="D7003" s="2" t="s">
        <v>289</v>
      </c>
      <c r="E7003" s="2" t="s">
        <v>713</v>
      </c>
      <c r="F7003" s="2">
        <v>0.0</v>
      </c>
      <c r="G7003" s="2">
        <v>500.0</v>
      </c>
      <c r="H7003" s="3" t="str">
        <f>HYPERLINK("http://www.linkedin.com/pub/rick-reidy/3/B4/313","http://www.linkedin.com/pub/rick-reidy/3/B4/313")</f>
        <v>http://www.linkedin.com/pub/rick-reidy/3/B4/313</v>
      </c>
      <c r="I7003" s="2" t="s">
        <v>48</v>
      </c>
      <c r="J7003" s="2" t="s">
        <v>102</v>
      </c>
      <c r="K7003" s="2" t="s">
        <v>10184</v>
      </c>
    </row>
    <row r="7004" ht="15.75" customHeight="1">
      <c r="A7004" s="2">
        <v>48070.0</v>
      </c>
      <c r="B7004" s="2" t="s">
        <v>423</v>
      </c>
      <c r="C7004" s="2" t="s">
        <v>13320</v>
      </c>
      <c r="D7004" s="2" t="s">
        <v>10389</v>
      </c>
      <c r="E7004" s="2" t="s">
        <v>20</v>
      </c>
      <c r="F7004" s="2" t="s">
        <v>13</v>
      </c>
      <c r="G7004" s="2">
        <v>275.0</v>
      </c>
      <c r="H7004" s="3" t="str">
        <f>HYPERLINK("http://ar.linkedin.com/pub/carolina-tobio/9/657/470","http://ar.linkedin.com/pub/carolina-tobio/9/657/470")</f>
        <v>http://ar.linkedin.com/pub/carolina-tobio/9/657/470</v>
      </c>
      <c r="I7004" s="2" t="s">
        <v>15</v>
      </c>
      <c r="J7004" s="2" t="s">
        <v>21</v>
      </c>
      <c r="K7004" s="2" t="s">
        <v>10173</v>
      </c>
    </row>
    <row r="7005" ht="15.75" customHeight="1">
      <c r="A7005" s="2">
        <v>48077.0</v>
      </c>
      <c r="B7005" s="2" t="s">
        <v>523</v>
      </c>
      <c r="C7005" s="2" t="s">
        <v>13321</v>
      </c>
      <c r="D7005" s="2" t="s">
        <v>13</v>
      </c>
      <c r="E7005" s="2" t="s">
        <v>20</v>
      </c>
      <c r="F7005" s="2">
        <v>0.0</v>
      </c>
      <c r="G7005" s="2">
        <v>500.0</v>
      </c>
      <c r="H7005" s="3" t="str">
        <f>HYPERLINK("http://www.linkedin.com/pub/ignacio-ayanz/5/250/351","http://www.linkedin.com/pub/ignacio-ayanz/5/250/351")</f>
        <v>http://www.linkedin.com/pub/ignacio-ayanz/5/250/351</v>
      </c>
      <c r="I7005" s="2" t="s">
        <v>669</v>
      </c>
      <c r="J7005" s="2" t="s">
        <v>21</v>
      </c>
      <c r="K7005" s="2" t="s">
        <v>10371</v>
      </c>
    </row>
    <row r="7006" ht="15.75" customHeight="1">
      <c r="A7006" s="2">
        <v>48114.0</v>
      </c>
      <c r="B7006" s="2" t="s">
        <v>549</v>
      </c>
      <c r="C7006" s="2" t="s">
        <v>13322</v>
      </c>
      <c r="D7006" s="2" t="s">
        <v>289</v>
      </c>
      <c r="E7006" s="2" t="s">
        <v>20</v>
      </c>
      <c r="F7006" s="2" t="s">
        <v>13</v>
      </c>
      <c r="G7006" s="2">
        <v>500.0</v>
      </c>
      <c r="H7006" s="3" t="str">
        <f>HYPERLINK("http://ar.linkedin.com/pub/mario-arraigada/27/291/97B","http://ar.linkedin.com/pub/mario-arraigada/27/291/97B")</f>
        <v>http://ar.linkedin.com/pub/mario-arraigada/27/291/97B</v>
      </c>
      <c r="I7006" s="2" t="s">
        <v>458</v>
      </c>
      <c r="J7006" s="2" t="s">
        <v>21</v>
      </c>
      <c r="K7006" s="2" t="s">
        <v>10206</v>
      </c>
    </row>
    <row r="7007" ht="15.75" customHeight="1">
      <c r="A7007" s="2">
        <v>48130.0</v>
      </c>
      <c r="B7007" s="2" t="s">
        <v>605</v>
      </c>
      <c r="C7007" s="2" t="s">
        <v>13323</v>
      </c>
      <c r="D7007" s="2" t="s">
        <v>13324</v>
      </c>
      <c r="E7007" s="2" t="s">
        <v>20</v>
      </c>
      <c r="F7007" s="2">
        <v>5.0</v>
      </c>
      <c r="G7007" s="2">
        <v>500.0</v>
      </c>
      <c r="H7007" s="3" t="str">
        <f>HYPERLINK("http://ar.linkedin.com/in/robertoescardo","http://ar.linkedin.com/in/robertoescardo")</f>
        <v>http://ar.linkedin.com/in/robertoescardo</v>
      </c>
      <c r="I7007" s="2" t="s">
        <v>69</v>
      </c>
      <c r="J7007" s="2" t="s">
        <v>21</v>
      </c>
      <c r="K7007" s="2" t="s">
        <v>10187</v>
      </c>
    </row>
    <row r="7008" ht="15.75" customHeight="1">
      <c r="A7008" s="2">
        <v>48135.0</v>
      </c>
      <c r="B7008" s="2" t="s">
        <v>7445</v>
      </c>
      <c r="C7008" s="2" t="s">
        <v>13325</v>
      </c>
      <c r="D7008" s="2" t="s">
        <v>13</v>
      </c>
      <c r="E7008" s="2" t="s">
        <v>20</v>
      </c>
      <c r="F7008" s="2">
        <v>2.0</v>
      </c>
      <c r="G7008" s="2">
        <v>500.0</v>
      </c>
      <c r="H7008" s="3" t="str">
        <f>HYPERLINK("http://www.linkedin.com/pub/ana-laura-roccia/2a/855/284","http://www.linkedin.com/pub/ana-laura-roccia/2a/855/284")</f>
        <v>http://www.linkedin.com/pub/ana-laura-roccia/2a/855/284</v>
      </c>
      <c r="I7008" s="2" t="s">
        <v>458</v>
      </c>
      <c r="J7008" s="2" t="s">
        <v>21</v>
      </c>
      <c r="K7008" s="2" t="s">
        <v>10196</v>
      </c>
    </row>
    <row r="7009" ht="15.75" customHeight="1">
      <c r="A7009" s="2">
        <v>48136.0</v>
      </c>
      <c r="B7009" s="2" t="s">
        <v>3684</v>
      </c>
      <c r="C7009" s="2" t="s">
        <v>5383</v>
      </c>
      <c r="D7009" s="2" t="s">
        <v>42</v>
      </c>
      <c r="E7009" s="2" t="s">
        <v>20</v>
      </c>
      <c r="F7009" s="2">
        <v>23.0</v>
      </c>
      <c r="G7009" s="2">
        <v>306.0</v>
      </c>
      <c r="H7009" s="3" t="str">
        <f>HYPERLINK("http://ar.linkedin.com/in/wlucero","http://ar.linkedin.com/in/wlucero")</f>
        <v>http://ar.linkedin.com/in/wlucero</v>
      </c>
      <c r="I7009" s="2" t="s">
        <v>48</v>
      </c>
      <c r="J7009" s="2" t="s">
        <v>21</v>
      </c>
      <c r="K7009" s="2" t="s">
        <v>10196</v>
      </c>
    </row>
    <row r="7010" ht="15.75" customHeight="1">
      <c r="A7010" s="2">
        <v>48205.0</v>
      </c>
      <c r="B7010" s="2" t="s">
        <v>5803</v>
      </c>
      <c r="C7010" s="2" t="s">
        <v>13326</v>
      </c>
      <c r="D7010" s="2" t="s">
        <v>13</v>
      </c>
      <c r="E7010" s="2" t="s">
        <v>20</v>
      </c>
      <c r="F7010" s="2">
        <v>0.0</v>
      </c>
      <c r="G7010" s="2">
        <v>500.0</v>
      </c>
      <c r="H7010" s="3" t="str">
        <f>HYPERLINK("http://www.linkedin.com/in/marianokraefft","http://www.linkedin.com/in/marianokraefft")</f>
        <v>http://www.linkedin.com/in/marianokraefft</v>
      </c>
      <c r="I7010" s="2" t="s">
        <v>15</v>
      </c>
      <c r="J7010" s="2" t="s">
        <v>21</v>
      </c>
      <c r="K7010" s="2" t="s">
        <v>10371</v>
      </c>
    </row>
    <row r="7011" ht="15.75" customHeight="1">
      <c r="A7011" s="2">
        <v>48225.0</v>
      </c>
      <c r="B7011" s="2" t="s">
        <v>1680</v>
      </c>
      <c r="C7011" s="2" t="s">
        <v>10368</v>
      </c>
      <c r="D7011" s="2" t="s">
        <v>13327</v>
      </c>
      <c r="E7011" s="2" t="s">
        <v>20</v>
      </c>
      <c r="F7011" s="2">
        <v>2.0</v>
      </c>
      <c r="G7011" s="2">
        <v>368.0</v>
      </c>
      <c r="H7011" s="3" t="str">
        <f>HYPERLINK("http://ar.linkedin.com/in/sheilaschuster","http://ar.linkedin.com/in/sheilaschuster")</f>
        <v>http://ar.linkedin.com/in/sheilaschuster</v>
      </c>
      <c r="I7011" s="2" t="s">
        <v>69</v>
      </c>
      <c r="J7011" s="2" t="s">
        <v>21</v>
      </c>
      <c r="K7011" s="2" t="s">
        <v>10196</v>
      </c>
    </row>
    <row r="7012" ht="15.75" customHeight="1">
      <c r="A7012" s="2">
        <v>48245.0</v>
      </c>
      <c r="B7012" s="2" t="s">
        <v>8597</v>
      </c>
      <c r="C7012" s="2" t="s">
        <v>13328</v>
      </c>
      <c r="D7012" s="2" t="s">
        <v>13329</v>
      </c>
      <c r="E7012" s="2" t="s">
        <v>1190</v>
      </c>
      <c r="F7012" s="2">
        <v>31.0</v>
      </c>
      <c r="G7012" s="2">
        <v>500.0</v>
      </c>
      <c r="H7012" s="3" t="str">
        <f>HYPERLINK("http://www.linkedin.com/in/fyungman","http://www.linkedin.com/in/fyungman")</f>
        <v>http://www.linkedin.com/in/fyungman</v>
      </c>
      <c r="I7012" s="2" t="s">
        <v>48</v>
      </c>
      <c r="J7012" s="2" t="s">
        <v>102</v>
      </c>
      <c r="K7012" s="2" t="s">
        <v>10184</v>
      </c>
    </row>
    <row r="7013" ht="15.75" customHeight="1">
      <c r="A7013" s="2">
        <v>48262.0</v>
      </c>
      <c r="B7013" s="2" t="s">
        <v>13330</v>
      </c>
      <c r="C7013" s="2" t="s">
        <v>13331</v>
      </c>
      <c r="D7013" s="2" t="s">
        <v>13</v>
      </c>
      <c r="E7013" s="2" t="s">
        <v>20</v>
      </c>
      <c r="F7013" s="2">
        <v>0.0</v>
      </c>
      <c r="G7013" s="2">
        <v>500.0</v>
      </c>
      <c r="H7013" s="3" t="str">
        <f>HYPERLINK("http://www.linkedin.com/pub/sof%C3%ADa-jungberg/24/8ab/286","http://www.linkedin.com/pub/sof%C3%ADa-jungberg/24/8ab/286")</f>
        <v>http://www.linkedin.com/pub/sof%C3%ADa-jungberg/24/8ab/286</v>
      </c>
      <c r="I7013" s="2" t="s">
        <v>470</v>
      </c>
      <c r="J7013" s="2" t="s">
        <v>21</v>
      </c>
      <c r="K7013" s="2" t="s">
        <v>10196</v>
      </c>
    </row>
    <row r="7014" ht="15.75" customHeight="1">
      <c r="A7014" s="2">
        <v>48269.0</v>
      </c>
      <c r="B7014" s="2" t="s">
        <v>506</v>
      </c>
      <c r="C7014" s="2" t="s">
        <v>13332</v>
      </c>
      <c r="D7014" s="2" t="s">
        <v>13333</v>
      </c>
      <c r="E7014" s="2" t="s">
        <v>13334</v>
      </c>
      <c r="F7014" s="2">
        <v>5.0</v>
      </c>
      <c r="G7014" s="2">
        <v>500.0</v>
      </c>
      <c r="H7014" s="3" t="str">
        <f>HYPERLINK("http://www.linkedin.com/pub/jose-l-kruyff/0/95/B60","http://www.linkedin.com/pub/jose-l-kruyff/0/95/B60")</f>
        <v>http://www.linkedin.com/pub/jose-l-kruyff/0/95/B60</v>
      </c>
      <c r="I7014" s="2" t="s">
        <v>77</v>
      </c>
      <c r="J7014" s="2" t="s">
        <v>102</v>
      </c>
      <c r="K7014" s="2" t="s">
        <v>10180</v>
      </c>
    </row>
    <row r="7015" ht="15.75" customHeight="1">
      <c r="A7015" s="2">
        <v>48270.0</v>
      </c>
      <c r="B7015" s="2" t="s">
        <v>6083</v>
      </c>
      <c r="C7015" s="2" t="s">
        <v>13335</v>
      </c>
      <c r="D7015" s="2" t="s">
        <v>13336</v>
      </c>
      <c r="E7015" s="2" t="s">
        <v>20</v>
      </c>
      <c r="F7015" s="2">
        <v>2.0</v>
      </c>
      <c r="G7015" s="2">
        <v>369.0</v>
      </c>
      <c r="H7015" s="3" t="str">
        <f>HYPERLINK("http://ar.linkedin.com/in/marielacrupnik","http://ar.linkedin.com/in/marielacrupnik")</f>
        <v>http://ar.linkedin.com/in/marielacrupnik</v>
      </c>
      <c r="I7015" s="2" t="s">
        <v>69</v>
      </c>
      <c r="J7015" s="2" t="s">
        <v>21</v>
      </c>
      <c r="K7015" s="2" t="s">
        <v>10196</v>
      </c>
    </row>
    <row r="7016" ht="15.75" customHeight="1">
      <c r="A7016" s="2">
        <v>48277.0</v>
      </c>
      <c r="B7016" s="2" t="s">
        <v>6145</v>
      </c>
      <c r="C7016" s="2" t="s">
        <v>13337</v>
      </c>
      <c r="D7016" s="2"/>
      <c r="E7016" s="2" t="s">
        <v>1407</v>
      </c>
      <c r="F7016" s="2">
        <v>4.0</v>
      </c>
      <c r="G7016" s="2">
        <v>500.0</v>
      </c>
      <c r="H7016" s="3" t="str">
        <f>HYPERLINK("http://www.linkedin.com/pub/guadalupe-duarte-de-leidigh/1/B20/59","http://www.linkedin.com/pub/guadalupe-duarte-de-leidigh/1/B20/59")</f>
        <v>http://www.linkedin.com/pub/guadalupe-duarte-de-leidigh/1/B20/59</v>
      </c>
      <c r="I7016" s="2" t="s">
        <v>248</v>
      </c>
      <c r="J7016" s="2" t="s">
        <v>102</v>
      </c>
      <c r="K7016" s="2" t="s">
        <v>10187</v>
      </c>
    </row>
    <row r="7017" ht="15.75" customHeight="1">
      <c r="A7017" s="2">
        <v>48306.0</v>
      </c>
      <c r="B7017" s="2" t="s">
        <v>6025</v>
      </c>
      <c r="C7017" s="2" t="s">
        <v>13338</v>
      </c>
      <c r="D7017" s="2" t="s">
        <v>12167</v>
      </c>
      <c r="E7017" s="2" t="s">
        <v>20</v>
      </c>
      <c r="F7017" s="2">
        <v>0.0</v>
      </c>
      <c r="G7017" s="2">
        <v>406.0</v>
      </c>
      <c r="H7017" s="3" t="str">
        <f>HYPERLINK("http://www.linkedin.com/in/hernanrchamorrogyssels","http://www.linkedin.com/in/hernanrchamorrogyssels")</f>
        <v>http://www.linkedin.com/in/hernanrchamorrogyssels</v>
      </c>
      <c r="I7017" s="2" t="s">
        <v>57</v>
      </c>
      <c r="J7017" s="2" t="s">
        <v>21</v>
      </c>
      <c r="K7017" s="2" t="s">
        <v>10187</v>
      </c>
    </row>
    <row r="7018" ht="15.75" customHeight="1">
      <c r="A7018" s="2">
        <v>48329.0</v>
      </c>
      <c r="B7018" s="2" t="s">
        <v>9249</v>
      </c>
      <c r="C7018" s="2" t="s">
        <v>13339</v>
      </c>
      <c r="D7018" s="2" t="s">
        <v>13</v>
      </c>
      <c r="E7018" s="2" t="s">
        <v>20</v>
      </c>
      <c r="F7018" s="2">
        <v>0.0</v>
      </c>
      <c r="G7018" s="2">
        <v>500.0</v>
      </c>
      <c r="H7018" s="3" t="str">
        <f>HYPERLINK("http://www.linkedin.com/pub/luc%C3%ADa-benzaqu%C3%A9n/8/452/b46","http://www.linkedin.com/pub/luc%C3%ADa-benzaqu%C3%A9n/8/452/b46")</f>
        <v>http://www.linkedin.com/pub/luc%C3%ADa-benzaqu%C3%A9n/8/452/b46</v>
      </c>
      <c r="I7018" s="2" t="s">
        <v>458</v>
      </c>
      <c r="J7018" s="2" t="s">
        <v>21</v>
      </c>
      <c r="K7018" s="2" t="s">
        <v>10196</v>
      </c>
    </row>
    <row r="7019" ht="15.75" customHeight="1">
      <c r="A7019" s="2">
        <v>48342.0</v>
      </c>
      <c r="B7019" s="2" t="s">
        <v>3684</v>
      </c>
      <c r="C7019" s="2" t="s">
        <v>13340</v>
      </c>
      <c r="D7019" s="2" t="s">
        <v>13341</v>
      </c>
      <c r="E7019" s="2" t="s">
        <v>1190</v>
      </c>
      <c r="F7019" s="2">
        <v>8.0</v>
      </c>
      <c r="G7019" s="2">
        <v>452.0</v>
      </c>
      <c r="H7019" s="3" t="str">
        <f>HYPERLINK("http://www.linkedin.com/in/kusmaul","http://www.linkedin.com/in/kusmaul")</f>
        <v>http://www.linkedin.com/in/kusmaul</v>
      </c>
      <c r="I7019" s="2" t="s">
        <v>873</v>
      </c>
      <c r="J7019" s="2" t="s">
        <v>102</v>
      </c>
      <c r="K7019" s="2" t="s">
        <v>10263</v>
      </c>
    </row>
    <row r="7020" ht="15.75" customHeight="1">
      <c r="A7020" s="2">
        <v>48362.0</v>
      </c>
      <c r="B7020" s="2" t="s">
        <v>353</v>
      </c>
      <c r="C7020" s="2" t="s">
        <v>13342</v>
      </c>
      <c r="D7020" s="2" t="s">
        <v>114</v>
      </c>
      <c r="E7020" s="2" t="s">
        <v>20</v>
      </c>
      <c r="F7020" s="2">
        <v>1.0</v>
      </c>
      <c r="G7020" s="2">
        <v>500.0</v>
      </c>
      <c r="H7020" s="3" t="str">
        <f>HYPERLINK("http://ar.linkedin.com/in/alefishman","http://ar.linkedin.com/in/alefishman")</f>
        <v>http://ar.linkedin.com/in/alefishman</v>
      </c>
      <c r="I7020" s="2" t="s">
        <v>69</v>
      </c>
      <c r="J7020" s="2" t="s">
        <v>21</v>
      </c>
      <c r="K7020" s="2" t="s">
        <v>10233</v>
      </c>
    </row>
    <row r="7021" ht="15.75" customHeight="1">
      <c r="A7021" s="2">
        <v>48424.0</v>
      </c>
      <c r="B7021" s="2" t="s">
        <v>5723</v>
      </c>
      <c r="C7021" s="2" t="s">
        <v>13343</v>
      </c>
      <c r="D7021" s="2" t="s">
        <v>380</v>
      </c>
      <c r="E7021" s="2" t="s">
        <v>20</v>
      </c>
      <c r="F7021" s="2">
        <v>2.0</v>
      </c>
      <c r="G7021" s="2">
        <v>500.0</v>
      </c>
      <c r="H7021" s="3" t="str">
        <f>HYPERLINK("http://ar.linkedin.com/in/chamatropulos","http://ar.linkedin.com/in/chamatropulos")</f>
        <v>http://ar.linkedin.com/in/chamatropulos</v>
      </c>
      <c r="I7021" s="2" t="s">
        <v>382</v>
      </c>
      <c r="J7021" s="2" t="s">
        <v>21</v>
      </c>
      <c r="K7021" s="2" t="s">
        <v>10187</v>
      </c>
    </row>
    <row r="7022" ht="15.75" customHeight="1">
      <c r="A7022" s="2">
        <v>48489.0</v>
      </c>
      <c r="B7022" s="2" t="s">
        <v>9584</v>
      </c>
      <c r="C7022" s="2" t="s">
        <v>13344</v>
      </c>
      <c r="D7022" s="2" t="s">
        <v>13345</v>
      </c>
      <c r="E7022" s="2" t="s">
        <v>20</v>
      </c>
      <c r="F7022" s="2">
        <v>2.0</v>
      </c>
      <c r="G7022" s="2">
        <v>236.0</v>
      </c>
      <c r="H7022" s="3" t="str">
        <f>HYPERLINK("http://ar.linkedin.com/pub/celeste-simone/13/281/674","http://ar.linkedin.com/pub/celeste-simone/13/281/674")</f>
        <v>http://ar.linkedin.com/pub/celeste-simone/13/281/674</v>
      </c>
      <c r="I7022" s="2" t="s">
        <v>15</v>
      </c>
      <c r="J7022" s="2" t="s">
        <v>21</v>
      </c>
      <c r="K7022" s="2" t="s">
        <v>10196</v>
      </c>
    </row>
    <row r="7023" ht="15.75" customHeight="1">
      <c r="A7023" s="2">
        <v>48491.0</v>
      </c>
      <c r="B7023" s="2" t="s">
        <v>59</v>
      </c>
      <c r="C7023" s="2" t="s">
        <v>13346</v>
      </c>
      <c r="D7023" s="2" t="s">
        <v>2661</v>
      </c>
      <c r="E7023" s="2" t="s">
        <v>20</v>
      </c>
      <c r="F7023" s="2">
        <v>1.0</v>
      </c>
      <c r="G7023" s="2">
        <v>144.0</v>
      </c>
      <c r="H7023" s="3" t="str">
        <f>HYPERLINK("http://ar.linkedin.com/in/martynostrala","http://ar.linkedin.com/in/martynostrala")</f>
        <v>http://ar.linkedin.com/in/martynostrala</v>
      </c>
      <c r="I7023" s="2" t="s">
        <v>2000</v>
      </c>
      <c r="J7023" s="2" t="s">
        <v>21</v>
      </c>
      <c r="K7023" s="2" t="s">
        <v>10206</v>
      </c>
    </row>
    <row r="7024" ht="15.75" customHeight="1">
      <c r="A7024" s="2">
        <v>48556.0</v>
      </c>
      <c r="B7024" s="2" t="s">
        <v>7096</v>
      </c>
      <c r="C7024" s="2" t="s">
        <v>13347</v>
      </c>
      <c r="D7024" s="2" t="s">
        <v>42</v>
      </c>
      <c r="E7024" s="2" t="s">
        <v>20</v>
      </c>
      <c r="F7024" s="2">
        <v>1.0</v>
      </c>
      <c r="G7024" s="2">
        <v>157.0</v>
      </c>
      <c r="H7024" s="3" t="str">
        <f>HYPERLINK("http://ar.linkedin.com/pub/valeria-ferro/13/2B4/819","http://ar.linkedin.com/pub/valeria-ferro/13/2B4/819")</f>
        <v>http://ar.linkedin.com/pub/valeria-ferro/13/2B4/819</v>
      </c>
      <c r="I7024" s="2" t="s">
        <v>2081</v>
      </c>
      <c r="J7024" s="2" t="s">
        <v>21</v>
      </c>
      <c r="K7024" s="2" t="s">
        <v>10209</v>
      </c>
    </row>
    <row r="7025" ht="15.75" customHeight="1">
      <c r="A7025" s="2">
        <v>48563.0</v>
      </c>
      <c r="B7025" s="2" t="s">
        <v>358</v>
      </c>
      <c r="C7025" s="2" t="s">
        <v>13348</v>
      </c>
      <c r="D7025" s="2" t="s">
        <v>289</v>
      </c>
      <c r="E7025" s="2" t="s">
        <v>20</v>
      </c>
      <c r="F7025" s="2">
        <v>3.0</v>
      </c>
      <c r="G7025" s="2">
        <v>500.0</v>
      </c>
      <c r="H7025" s="3" t="str">
        <f>HYPERLINK("http://ar.linkedin.com/pub/marcelo-wengrovsky/9/759/764","http://ar.linkedin.com/pub/marcelo-wengrovsky/9/759/764")</f>
        <v>http://ar.linkedin.com/pub/marcelo-wengrovsky/9/759/764</v>
      </c>
      <c r="I7025" s="2" t="s">
        <v>15</v>
      </c>
      <c r="J7025" s="2" t="s">
        <v>21</v>
      </c>
      <c r="K7025" s="2" t="s">
        <v>10196</v>
      </c>
    </row>
    <row r="7026" ht="15.75" customHeight="1">
      <c r="A7026" s="2">
        <v>48568.0</v>
      </c>
      <c r="B7026" s="2" t="s">
        <v>1344</v>
      </c>
      <c r="C7026" s="2" t="s">
        <v>13349</v>
      </c>
      <c r="D7026" s="2" t="s">
        <v>13350</v>
      </c>
      <c r="E7026" s="2" t="s">
        <v>1190</v>
      </c>
      <c r="F7026" s="2">
        <v>24.0</v>
      </c>
      <c r="G7026" s="2">
        <v>500.0</v>
      </c>
      <c r="H7026" s="3" t="str">
        <f>HYPERLINK("http://www.linkedin.com/pub/renato-hirata/0/372/188","http://www.linkedin.com/pub/renato-hirata/0/372/188")</f>
        <v>http://www.linkedin.com/pub/renato-hirata/0/372/188</v>
      </c>
      <c r="I7026" s="2" t="s">
        <v>15</v>
      </c>
      <c r="J7026" s="2" t="s">
        <v>102</v>
      </c>
      <c r="K7026" s="2" t="s">
        <v>13351</v>
      </c>
    </row>
    <row r="7027" ht="15.75" customHeight="1">
      <c r="A7027" s="2">
        <v>48592.0</v>
      </c>
      <c r="B7027" s="2" t="s">
        <v>13352</v>
      </c>
      <c r="C7027" s="2" t="s">
        <v>13353</v>
      </c>
      <c r="D7027" s="2" t="s">
        <v>1017</v>
      </c>
      <c r="E7027" s="2" t="s">
        <v>713</v>
      </c>
      <c r="F7027" s="2">
        <v>28.0</v>
      </c>
      <c r="G7027" s="2">
        <v>500.0</v>
      </c>
      <c r="H7027" s="3" t="str">
        <f>HYPERLINK("http://www.linkedin.com/in/robertcfreeman","http://www.linkedin.com/in/robertcfreeman")</f>
        <v>http://www.linkedin.com/in/robertcfreeman</v>
      </c>
      <c r="I7027" s="2" t="s">
        <v>160</v>
      </c>
      <c r="J7027" s="2" t="s">
        <v>102</v>
      </c>
      <c r="K7027" s="2" t="s">
        <v>10209</v>
      </c>
    </row>
    <row r="7028" ht="15.75" customHeight="1">
      <c r="A7028" s="2">
        <v>48603.0</v>
      </c>
      <c r="B7028" s="2" t="s">
        <v>3305</v>
      </c>
      <c r="C7028" s="2" t="s">
        <v>13354</v>
      </c>
      <c r="D7028" s="2"/>
      <c r="E7028" s="2" t="s">
        <v>1190</v>
      </c>
      <c r="F7028" s="2">
        <v>3.0</v>
      </c>
      <c r="G7028" s="2">
        <v>462.0</v>
      </c>
      <c r="H7028" s="3" t="str">
        <f>HYPERLINK("http://www.linkedin.com/pub/ana-schulze/3/6B1/664","http://www.linkedin.com/pub/ana-schulze/3/6B1/664")</f>
        <v>http://www.linkedin.com/pub/ana-schulze/3/6B1/664</v>
      </c>
      <c r="I7028" s="2" t="s">
        <v>873</v>
      </c>
      <c r="J7028" s="2" t="s">
        <v>102</v>
      </c>
      <c r="K7028" s="2" t="s">
        <v>10187</v>
      </c>
    </row>
    <row r="7029" ht="15.75" customHeight="1">
      <c r="A7029" s="2">
        <v>48605.0</v>
      </c>
      <c r="B7029" s="2" t="s">
        <v>6531</v>
      </c>
      <c r="C7029" s="2" t="s">
        <v>7663</v>
      </c>
      <c r="D7029" s="2"/>
      <c r="E7029" s="2" t="s">
        <v>1190</v>
      </c>
      <c r="F7029" s="2">
        <v>10.0</v>
      </c>
      <c r="G7029" s="2">
        <v>500.0</v>
      </c>
      <c r="H7029" s="3" t="str">
        <f>HYPERLINK("http://www.linkedin.com/pub/gerardo-leon/0/7B3/918","http://www.linkedin.com/pub/gerardo-leon/0/7B3/918")</f>
        <v>http://www.linkedin.com/pub/gerardo-leon/0/7B3/918</v>
      </c>
      <c r="I7029" s="2" t="s">
        <v>48</v>
      </c>
      <c r="J7029" s="2" t="s">
        <v>102</v>
      </c>
      <c r="K7029" s="2" t="s">
        <v>10184</v>
      </c>
    </row>
    <row r="7030" ht="15.75" customHeight="1">
      <c r="A7030" s="2">
        <v>48612.0</v>
      </c>
      <c r="B7030" s="2" t="s">
        <v>227</v>
      </c>
      <c r="C7030" s="2" t="s">
        <v>13355</v>
      </c>
      <c r="D7030" s="2" t="s">
        <v>13356</v>
      </c>
      <c r="E7030" s="2" t="s">
        <v>20</v>
      </c>
      <c r="F7030" s="2">
        <v>1.0</v>
      </c>
      <c r="G7030" s="2">
        <v>339.0</v>
      </c>
      <c r="H7030" s="3" t="str">
        <f>HYPERLINK("http://ar.linkedin.com/pub/jorge-finardi/0/334/890","http://ar.linkedin.com/pub/jorge-finardi/0/334/890")</f>
        <v>http://ar.linkedin.com/pub/jorge-finardi/0/334/890</v>
      </c>
      <c r="I7030" s="2" t="s">
        <v>15</v>
      </c>
      <c r="J7030" s="2" t="s">
        <v>21</v>
      </c>
      <c r="K7030" s="2" t="s">
        <v>10173</v>
      </c>
    </row>
    <row r="7031" ht="15.75" customHeight="1">
      <c r="A7031" s="2">
        <v>48621.0</v>
      </c>
      <c r="B7031" s="2" t="s">
        <v>460</v>
      </c>
      <c r="C7031" s="2" t="s">
        <v>13357</v>
      </c>
      <c r="D7031" s="2" t="s">
        <v>13358</v>
      </c>
      <c r="E7031" s="2" t="s">
        <v>4407</v>
      </c>
      <c r="F7031" s="2">
        <v>0.0</v>
      </c>
      <c r="G7031" s="2">
        <v>500.0</v>
      </c>
      <c r="H7031" s="3" t="str">
        <f>HYPERLINK("http://www.linkedin.com/pub/john-maas/0/B89/9A5","http://www.linkedin.com/pub/john-maas/0/B89/9A5")</f>
        <v>http://www.linkedin.com/pub/john-maas/0/B89/9A5</v>
      </c>
      <c r="I7031" s="2" t="s">
        <v>15</v>
      </c>
      <c r="J7031" s="2" t="s">
        <v>102</v>
      </c>
      <c r="K7031" s="2" t="s">
        <v>10184</v>
      </c>
    </row>
    <row r="7032" ht="15.75" customHeight="1">
      <c r="A7032" s="2">
        <v>48639.0</v>
      </c>
      <c r="B7032" s="2" t="s">
        <v>13359</v>
      </c>
      <c r="C7032" s="2" t="s">
        <v>4657</v>
      </c>
      <c r="D7032" s="2" t="s">
        <v>47</v>
      </c>
      <c r="E7032" s="2" t="s">
        <v>20</v>
      </c>
      <c r="F7032" s="2">
        <v>5.0</v>
      </c>
      <c r="G7032" s="2">
        <v>159.0</v>
      </c>
      <c r="H7032" s="3" t="str">
        <f>HYPERLINK("http://ar.linkedin.com/in/urbchip","http://ar.linkedin.com/in/urbchip")</f>
        <v>http://ar.linkedin.com/in/urbchip</v>
      </c>
      <c r="I7032" s="2" t="s">
        <v>2268</v>
      </c>
      <c r="J7032" s="2" t="s">
        <v>21</v>
      </c>
      <c r="K7032" s="2" t="s">
        <v>10371</v>
      </c>
    </row>
    <row r="7033" ht="15.75" customHeight="1">
      <c r="A7033" s="2">
        <v>48642.0</v>
      </c>
      <c r="B7033" s="2" t="s">
        <v>3287</v>
      </c>
      <c r="C7033" s="2" t="s">
        <v>13360</v>
      </c>
      <c r="D7033" s="2" t="s">
        <v>13361</v>
      </c>
      <c r="E7033" s="2" t="s">
        <v>20</v>
      </c>
      <c r="F7033" s="2">
        <v>3.0</v>
      </c>
      <c r="G7033" s="2">
        <v>301.0</v>
      </c>
      <c r="H7033" s="3" t="str">
        <f>HYPERLINK("http://ar.linkedin.com/pub/nadia-araque/14/2AB/737","http://ar.linkedin.com/pub/nadia-araque/14/2AB/737")</f>
        <v>http://ar.linkedin.com/pub/nadia-araque/14/2AB/737</v>
      </c>
      <c r="I7033" s="2" t="s">
        <v>69</v>
      </c>
      <c r="J7033" s="2" t="s">
        <v>21</v>
      </c>
      <c r="K7033" s="2" t="s">
        <v>10196</v>
      </c>
    </row>
    <row r="7034" ht="15.75" customHeight="1">
      <c r="A7034" s="2">
        <v>48654.0</v>
      </c>
      <c r="B7034" s="2" t="s">
        <v>152</v>
      </c>
      <c r="C7034" s="2" t="s">
        <v>13362</v>
      </c>
      <c r="D7034" s="2" t="s">
        <v>13363</v>
      </c>
      <c r="E7034" s="2" t="s">
        <v>20</v>
      </c>
      <c r="F7034" s="2">
        <v>0.0</v>
      </c>
      <c r="G7034" s="2">
        <v>500.0</v>
      </c>
      <c r="H7034" s="3" t="str">
        <f>HYPERLINK("http://www.linkedin.com/pub/eduardo-battistoni/12/268/595","http://www.linkedin.com/pub/eduardo-battistoni/12/268/595")</f>
        <v>http://www.linkedin.com/pub/eduardo-battistoni/12/268/595</v>
      </c>
      <c r="I7034" s="2" t="s">
        <v>77</v>
      </c>
      <c r="J7034" s="2" t="s">
        <v>21</v>
      </c>
      <c r="K7034" s="2" t="s">
        <v>10384</v>
      </c>
    </row>
    <row r="7035" ht="15.75" customHeight="1">
      <c r="A7035" s="2">
        <v>48665.0</v>
      </c>
      <c r="B7035" s="2" t="s">
        <v>238</v>
      </c>
      <c r="C7035" s="2" t="s">
        <v>13364</v>
      </c>
      <c r="D7035" s="2" t="s">
        <v>13365</v>
      </c>
      <c r="E7035" s="2" t="s">
        <v>20</v>
      </c>
      <c r="F7035" s="2">
        <v>1.0</v>
      </c>
      <c r="G7035" s="2">
        <v>240.0</v>
      </c>
      <c r="H7035" s="3" t="str">
        <f>HYPERLINK("http://ar.linkedin.com/pub/juan-fosaro/24/2/A42","http://ar.linkedin.com/pub/juan-fosaro/24/2/A42")</f>
        <v>http://ar.linkedin.com/pub/juan-fosaro/24/2/A42</v>
      </c>
      <c r="I7035" s="2" t="s">
        <v>15</v>
      </c>
      <c r="J7035" s="2" t="s">
        <v>21</v>
      </c>
      <c r="K7035" s="2" t="s">
        <v>10180</v>
      </c>
    </row>
    <row r="7036" ht="15.75" customHeight="1">
      <c r="A7036" s="2">
        <v>48677.0</v>
      </c>
      <c r="B7036" s="2" t="s">
        <v>45</v>
      </c>
      <c r="C7036" s="2" t="s">
        <v>13366</v>
      </c>
      <c r="D7036" s="2" t="s">
        <v>13367</v>
      </c>
      <c r="E7036" s="2" t="s">
        <v>762</v>
      </c>
      <c r="F7036" s="2">
        <v>21.0</v>
      </c>
      <c r="G7036" s="2">
        <v>500.0</v>
      </c>
      <c r="H7036" s="3" t="str">
        <f>HYPERLINK("http://www.linkedin.com/in/carloslove","http://www.linkedin.com/in/carloslove")</f>
        <v>http://www.linkedin.com/in/carloslove</v>
      </c>
      <c r="I7036" s="2" t="s">
        <v>15</v>
      </c>
      <c r="J7036" s="2" t="s">
        <v>102</v>
      </c>
      <c r="K7036" s="2" t="s">
        <v>10286</v>
      </c>
    </row>
    <row r="7037" ht="15.75" customHeight="1">
      <c r="A7037" s="2">
        <v>48704.0</v>
      </c>
      <c r="B7037" s="2" t="s">
        <v>5803</v>
      </c>
      <c r="C7037" s="2" t="s">
        <v>13368</v>
      </c>
      <c r="D7037" s="2" t="s">
        <v>10405</v>
      </c>
      <c r="E7037" s="2" t="s">
        <v>20</v>
      </c>
      <c r="F7037" s="2">
        <v>6.0</v>
      </c>
      <c r="G7037" s="2">
        <v>500.0</v>
      </c>
      <c r="H7037" s="3" t="str">
        <f>HYPERLINK("http://www.linkedin.com/in/marianolecuona","http://www.linkedin.com/in/marianolecuona")</f>
        <v>http://www.linkedin.com/in/marianolecuona</v>
      </c>
      <c r="I7037" s="2" t="s">
        <v>15</v>
      </c>
      <c r="J7037" s="2" t="s">
        <v>21</v>
      </c>
      <c r="K7037" s="2" t="s">
        <v>10196</v>
      </c>
    </row>
    <row r="7038" ht="15.75" customHeight="1">
      <c r="A7038" s="2">
        <v>48737.0</v>
      </c>
      <c r="B7038" s="2" t="s">
        <v>13369</v>
      </c>
      <c r="C7038" s="2" t="s">
        <v>10156</v>
      </c>
      <c r="D7038" s="2" t="s">
        <v>6241</v>
      </c>
      <c r="E7038" s="2" t="s">
        <v>20</v>
      </c>
      <c r="F7038" s="2">
        <v>5.0</v>
      </c>
      <c r="G7038" s="2">
        <v>144.0</v>
      </c>
      <c r="H7038" s="3" t="str">
        <f>HYPERLINK("http://ar.linkedin.com/in/fabriciobustos","http://ar.linkedin.com/in/fabriciobustos")</f>
        <v>http://ar.linkedin.com/in/fabriciobustos</v>
      </c>
      <c r="I7038" s="2" t="s">
        <v>15</v>
      </c>
      <c r="J7038" s="2" t="s">
        <v>21</v>
      </c>
      <c r="K7038" s="2" t="s">
        <v>10196</v>
      </c>
    </row>
    <row r="7039" ht="15.75" customHeight="1">
      <c r="A7039" s="2">
        <v>48760.0</v>
      </c>
      <c r="B7039" s="2" t="s">
        <v>13370</v>
      </c>
      <c r="C7039" s="2" t="s">
        <v>9216</v>
      </c>
      <c r="D7039" s="2" t="s">
        <v>13371</v>
      </c>
      <c r="E7039" s="2" t="s">
        <v>20</v>
      </c>
      <c r="F7039" s="2">
        <v>5.0</v>
      </c>
      <c r="G7039" s="2">
        <v>189.0</v>
      </c>
      <c r="H7039" s="3" t="str">
        <f>HYPERLINK("http://ar.linkedin.com/in/nohobu","http://ar.linkedin.com/in/nohobu")</f>
        <v>http://ar.linkedin.com/in/nohobu</v>
      </c>
      <c r="I7039" s="2" t="s">
        <v>15</v>
      </c>
      <c r="J7039" s="2" t="s">
        <v>21</v>
      </c>
      <c r="K7039" s="2" t="s">
        <v>10196</v>
      </c>
    </row>
    <row r="7040" ht="15.75" customHeight="1">
      <c r="A7040" s="2">
        <v>48761.0</v>
      </c>
      <c r="B7040" s="2" t="s">
        <v>5808</v>
      </c>
      <c r="C7040" s="2" t="s">
        <v>13372</v>
      </c>
      <c r="D7040" s="2" t="s">
        <v>11875</v>
      </c>
      <c r="E7040" s="2" t="s">
        <v>20</v>
      </c>
      <c r="F7040" s="2">
        <v>6.0</v>
      </c>
      <c r="G7040" s="2">
        <v>500.0</v>
      </c>
      <c r="H7040" s="3" t="str">
        <f>HYPERLINK("http://ar.linkedin.com/pub/matias-eillman/A/BB6/477","http://ar.linkedin.com/pub/matias-eillman/A/BB6/477")</f>
        <v>http://ar.linkedin.com/pub/matias-eillman/A/BB6/477</v>
      </c>
      <c r="I7040" s="2" t="s">
        <v>15</v>
      </c>
      <c r="J7040" s="2" t="s">
        <v>21</v>
      </c>
      <c r="K7040" s="2" t="s">
        <v>10180</v>
      </c>
    </row>
    <row r="7041" ht="15.75" customHeight="1">
      <c r="A7041" s="2">
        <v>48777.0</v>
      </c>
      <c r="B7041" s="2" t="s">
        <v>13373</v>
      </c>
      <c r="C7041" s="2" t="s">
        <v>13374</v>
      </c>
      <c r="D7041" s="2" t="s">
        <v>13375</v>
      </c>
      <c r="E7041" s="2" t="s">
        <v>1407</v>
      </c>
      <c r="F7041" s="2">
        <v>18.0</v>
      </c>
      <c r="G7041" s="2">
        <v>500.0</v>
      </c>
      <c r="H7041" s="3" t="str">
        <f>HYPERLINK("http://www.linkedin.com/in/adolfokunz","http://www.linkedin.com/in/adolfokunz")</f>
        <v>http://www.linkedin.com/in/adolfokunz</v>
      </c>
      <c r="I7041" s="2" t="s">
        <v>57</v>
      </c>
      <c r="J7041" s="2" t="s">
        <v>102</v>
      </c>
      <c r="K7041" s="2" t="s">
        <v>10209</v>
      </c>
    </row>
    <row r="7042" ht="15.75" customHeight="1">
      <c r="A7042" s="2">
        <v>48818.0</v>
      </c>
      <c r="B7042" s="2" t="s">
        <v>13376</v>
      </c>
      <c r="C7042" s="2" t="s">
        <v>13377</v>
      </c>
      <c r="D7042" s="2" t="s">
        <v>13378</v>
      </c>
      <c r="E7042" s="2" t="s">
        <v>20</v>
      </c>
      <c r="F7042" s="2">
        <v>9.0</v>
      </c>
      <c r="G7042" s="2">
        <v>500.0</v>
      </c>
      <c r="H7042" s="3" t="str">
        <f>HYPERLINK("http://ar.linkedin.com/in/rodrigodemingo","http://ar.linkedin.com/in/rodrigodemingo")</f>
        <v>http://ar.linkedin.com/in/rodrigodemingo</v>
      </c>
      <c r="I7042" s="2" t="s">
        <v>15</v>
      </c>
      <c r="J7042" s="2" t="s">
        <v>21</v>
      </c>
      <c r="K7042" s="2" t="s">
        <v>10196</v>
      </c>
    </row>
    <row r="7043" ht="15.75" customHeight="1">
      <c r="A7043" s="2">
        <v>48821.0</v>
      </c>
      <c r="B7043" s="2" t="s">
        <v>677</v>
      </c>
      <c r="C7043" s="2" t="s">
        <v>13379</v>
      </c>
      <c r="D7043" s="2" t="s">
        <v>13380</v>
      </c>
      <c r="E7043" s="2" t="s">
        <v>20</v>
      </c>
      <c r="F7043" s="2">
        <v>6.0</v>
      </c>
      <c r="G7043" s="2">
        <v>500.0</v>
      </c>
      <c r="H7043" s="3" t="str">
        <f>HYPERLINK("http://ar.linkedin.com/in/daniellevadapolimeni","http://ar.linkedin.com/in/daniellevadapolimeni")</f>
        <v>http://ar.linkedin.com/in/daniellevadapolimeni</v>
      </c>
      <c r="I7043" s="2" t="s">
        <v>69</v>
      </c>
      <c r="J7043" s="2" t="s">
        <v>21</v>
      </c>
      <c r="K7043" s="2" t="s">
        <v>13381</v>
      </c>
    </row>
    <row r="7044" ht="15.75" customHeight="1">
      <c r="A7044" s="2">
        <v>48822.0</v>
      </c>
      <c r="B7044" s="2" t="s">
        <v>8597</v>
      </c>
      <c r="C7044" s="2" t="s">
        <v>13382</v>
      </c>
      <c r="D7044" s="2" t="s">
        <v>5696</v>
      </c>
      <c r="E7044" s="2" t="s">
        <v>914</v>
      </c>
      <c r="F7044" s="2">
        <v>3.0</v>
      </c>
      <c r="G7044" s="2">
        <v>500.0</v>
      </c>
      <c r="H7044" s="3" t="str">
        <f>HYPERLINK("http://www.linkedin.com/in/felipelemaitre","http://www.linkedin.com/in/felipelemaitre")</f>
        <v>http://www.linkedin.com/in/felipelemaitre</v>
      </c>
      <c r="I7044" s="2" t="s">
        <v>48</v>
      </c>
      <c r="J7044" s="2" t="s">
        <v>102</v>
      </c>
      <c r="K7044" s="2" t="s">
        <v>10233</v>
      </c>
    </row>
    <row r="7045" ht="15.75" customHeight="1">
      <c r="A7045" s="2">
        <v>48874.0</v>
      </c>
      <c r="B7045" s="2" t="s">
        <v>6225</v>
      </c>
      <c r="C7045" s="2" t="s">
        <v>13383</v>
      </c>
      <c r="D7045" s="2" t="s">
        <v>13384</v>
      </c>
      <c r="E7045" s="2" t="s">
        <v>20</v>
      </c>
      <c r="F7045" s="2" t="s">
        <v>13</v>
      </c>
      <c r="G7045" s="2">
        <v>108.0</v>
      </c>
      <c r="H7045" s="3" t="str">
        <f>HYPERLINK("http://ar.linkedin.com/pub/paola-aiello/13/6A0/230","http://ar.linkedin.com/pub/paola-aiello/13/6A0/230")</f>
        <v>http://ar.linkedin.com/pub/paola-aiello/13/6A0/230</v>
      </c>
      <c r="I7045" s="2" t="s">
        <v>844</v>
      </c>
      <c r="J7045" s="2" t="s">
        <v>21</v>
      </c>
      <c r="K7045" s="2" t="s">
        <v>10994</v>
      </c>
    </row>
    <row r="7046" ht="15.75" customHeight="1">
      <c r="A7046" s="2">
        <v>48898.0</v>
      </c>
      <c r="B7046" s="2" t="s">
        <v>6252</v>
      </c>
      <c r="C7046" s="2" t="s">
        <v>13385</v>
      </c>
      <c r="D7046" s="2" t="s">
        <v>13386</v>
      </c>
      <c r="E7046" s="2" t="s">
        <v>20</v>
      </c>
      <c r="F7046" s="2" t="s">
        <v>13</v>
      </c>
      <c r="G7046" s="2">
        <v>500.0</v>
      </c>
      <c r="H7046" s="3" t="str">
        <f>HYPERLINK("http://ar.linkedin.com/in/santiagomaiz","http://ar.linkedin.com/in/santiagomaiz")</f>
        <v>http://ar.linkedin.com/in/santiagomaiz</v>
      </c>
      <c r="I7046" s="2" t="s">
        <v>105</v>
      </c>
      <c r="J7046" s="2" t="s">
        <v>21</v>
      </c>
      <c r="K7046" s="2" t="s">
        <v>10184</v>
      </c>
    </row>
    <row r="7047" ht="15.75" customHeight="1">
      <c r="A7047" s="2">
        <v>48902.0</v>
      </c>
      <c r="B7047" s="2" t="s">
        <v>18</v>
      </c>
      <c r="C7047" s="2" t="s">
        <v>13387</v>
      </c>
      <c r="D7047" s="2" t="s">
        <v>8644</v>
      </c>
      <c r="E7047" s="2" t="s">
        <v>1190</v>
      </c>
      <c r="F7047" s="2">
        <v>0.0</v>
      </c>
      <c r="G7047" s="2">
        <v>500.0</v>
      </c>
      <c r="H7047" s="3" t="str">
        <f>HYPERLINK("http://www.linkedin.com/pub/mauricio-diaz-cardona/B/A42/BBA","http://www.linkedin.com/pub/mauricio-diaz-cardona/B/A42/BBA")</f>
        <v>http://www.linkedin.com/pub/mauricio-diaz-cardona/B/A42/BBA</v>
      </c>
      <c r="I7047" s="2" t="s">
        <v>1452</v>
      </c>
      <c r="J7047" s="2" t="s">
        <v>102</v>
      </c>
      <c r="K7047" s="2" t="s">
        <v>12279</v>
      </c>
    </row>
    <row r="7048" ht="15.75" customHeight="1">
      <c r="A7048" s="2">
        <v>48935.0</v>
      </c>
      <c r="B7048" s="2" t="s">
        <v>13388</v>
      </c>
      <c r="C7048" s="2" t="s">
        <v>13389</v>
      </c>
      <c r="D7048" s="2" t="s">
        <v>13390</v>
      </c>
      <c r="E7048" s="2" t="s">
        <v>20</v>
      </c>
      <c r="F7048" s="2">
        <v>9.0</v>
      </c>
      <c r="G7048" s="2">
        <v>500.0</v>
      </c>
      <c r="H7048" s="3" t="str">
        <f>HYPERLINK("http://www.linkedin.com/in/mauromarchesi","http://www.linkedin.com/in/mauromarchesi")</f>
        <v>http://www.linkedin.com/in/mauromarchesi</v>
      </c>
      <c r="I7048" s="2" t="s">
        <v>2268</v>
      </c>
      <c r="J7048" s="2" t="s">
        <v>21</v>
      </c>
      <c r="K7048" s="2" t="s">
        <v>10196</v>
      </c>
    </row>
    <row r="7049" ht="15.75" customHeight="1">
      <c r="A7049" s="2">
        <v>48955.0</v>
      </c>
      <c r="B7049" s="2" t="s">
        <v>6061</v>
      </c>
      <c r="C7049" s="2" t="s">
        <v>3190</v>
      </c>
      <c r="D7049" s="2" t="s">
        <v>13391</v>
      </c>
      <c r="E7049" s="2" t="s">
        <v>20</v>
      </c>
      <c r="F7049" s="2" t="s">
        <v>13</v>
      </c>
      <c r="G7049" s="2">
        <v>402.0</v>
      </c>
      <c r="H7049" s="3" t="str">
        <f>HYPERLINK("http://ar.linkedin.com/pub/agustin-henry/21/9B7/103","http://ar.linkedin.com/pub/agustin-henry/21/9B7/103")</f>
        <v>http://ar.linkedin.com/pub/agustin-henry/21/9B7/103</v>
      </c>
      <c r="I7049" s="2" t="s">
        <v>15</v>
      </c>
      <c r="J7049" s="2" t="s">
        <v>21</v>
      </c>
      <c r="K7049" s="2" t="s">
        <v>10206</v>
      </c>
    </row>
    <row r="7050" ht="15.75" customHeight="1">
      <c r="A7050" s="2">
        <v>48972.0</v>
      </c>
      <c r="B7050" s="2" t="s">
        <v>264</v>
      </c>
      <c r="C7050" s="2" t="s">
        <v>13392</v>
      </c>
      <c r="D7050" s="2" t="s">
        <v>13393</v>
      </c>
      <c r="E7050" s="2" t="s">
        <v>713</v>
      </c>
      <c r="F7050" s="2">
        <v>4.0</v>
      </c>
      <c r="G7050" s="2">
        <v>333.0</v>
      </c>
      <c r="H7050" s="3" t="str">
        <f>HYPERLINK("http://www.linkedin.com/in/andresrigoni","http://www.linkedin.com/in/andresrigoni")</f>
        <v>http://www.linkedin.com/in/andresrigoni</v>
      </c>
      <c r="I7050" s="2" t="s">
        <v>15</v>
      </c>
      <c r="J7050" s="2" t="s">
        <v>102</v>
      </c>
      <c r="K7050" s="2" t="s">
        <v>10184</v>
      </c>
    </row>
    <row r="7051" ht="15.75" customHeight="1">
      <c r="A7051" s="2">
        <v>48979.0</v>
      </c>
      <c r="B7051" s="2" t="s">
        <v>5039</v>
      </c>
      <c r="C7051" s="2" t="s">
        <v>13394</v>
      </c>
      <c r="D7051" s="2" t="s">
        <v>13395</v>
      </c>
      <c r="E7051" s="2" t="s">
        <v>1407</v>
      </c>
      <c r="F7051" s="2" t="s">
        <v>13</v>
      </c>
      <c r="G7051" s="2">
        <v>481.0</v>
      </c>
      <c r="H7051" s="3" t="str">
        <f>HYPERLINK("http://www.linkedin.com/pub/rodolfo-elizondo/0/104/74","http://www.linkedin.com/pub/rodolfo-elizondo/0/104/74")</f>
        <v>http://www.linkedin.com/pub/rodolfo-elizondo/0/104/74</v>
      </c>
      <c r="I7051" s="2" t="s">
        <v>1728</v>
      </c>
      <c r="J7051" s="2" t="s">
        <v>102</v>
      </c>
      <c r="K7051" s="2" t="s">
        <v>10209</v>
      </c>
    </row>
    <row r="7052" ht="15.75" customHeight="1">
      <c r="A7052" s="2">
        <v>48994.0</v>
      </c>
      <c r="B7052" s="2" t="s">
        <v>1499</v>
      </c>
      <c r="C7052" s="2" t="s">
        <v>13396</v>
      </c>
      <c r="D7052" s="2" t="s">
        <v>1453</v>
      </c>
      <c r="E7052" s="2" t="s">
        <v>255</v>
      </c>
      <c r="F7052" s="2" t="s">
        <v>13</v>
      </c>
      <c r="G7052" s="2">
        <v>500.0</v>
      </c>
      <c r="H7052" s="3" t="str">
        <f>HYPERLINK("http://www.linkedin.com/pub/adrian-moretta/20/b40/837","http://www.linkedin.com/pub/adrian-moretta/20/b40/837")</f>
        <v>http://www.linkedin.com/pub/adrian-moretta/20/b40/837</v>
      </c>
      <c r="I7052" s="2" t="s">
        <v>579</v>
      </c>
      <c r="J7052" s="2" t="s">
        <v>102</v>
      </c>
      <c r="K7052" s="2" t="s">
        <v>10187</v>
      </c>
    </row>
    <row r="7053" ht="15.75" customHeight="1">
      <c r="A7053" s="2">
        <v>49029.0</v>
      </c>
      <c r="B7053" s="2" t="s">
        <v>5723</v>
      </c>
      <c r="C7053" s="2" t="s">
        <v>9318</v>
      </c>
      <c r="D7053" s="2" t="s">
        <v>13397</v>
      </c>
      <c r="E7053" s="2" t="s">
        <v>20</v>
      </c>
      <c r="F7053" s="2">
        <v>4.0</v>
      </c>
      <c r="G7053" s="2">
        <v>436.0</v>
      </c>
      <c r="H7053" s="3" t="str">
        <f>HYPERLINK("http://ar.linkedin.com/in/pablovallejo","http://ar.linkedin.com/in/pablovallejo")</f>
        <v>http://ar.linkedin.com/in/pablovallejo</v>
      </c>
      <c r="I7053" s="2" t="s">
        <v>143</v>
      </c>
      <c r="J7053" s="2" t="s">
        <v>21</v>
      </c>
      <c r="K7053" s="2" t="s">
        <v>10187</v>
      </c>
    </row>
    <row r="7054" ht="15.75" customHeight="1">
      <c r="A7054" s="2">
        <v>49135.0</v>
      </c>
      <c r="B7054" s="2" t="s">
        <v>1133</v>
      </c>
      <c r="C7054" s="2" t="s">
        <v>13398</v>
      </c>
      <c r="D7054" s="2" t="s">
        <v>13399</v>
      </c>
      <c r="E7054" s="2" t="s">
        <v>1190</v>
      </c>
      <c r="F7054" s="2">
        <v>2.0</v>
      </c>
      <c r="G7054" s="2">
        <v>500.0</v>
      </c>
      <c r="H7054" s="3" t="str">
        <f>HYPERLINK("http://www.linkedin.com/in/enegrete","http://www.linkedin.com/in/enegrete")</f>
        <v>http://www.linkedin.com/in/enegrete</v>
      </c>
      <c r="I7054" s="2" t="s">
        <v>910</v>
      </c>
      <c r="J7054" s="2" t="s">
        <v>102</v>
      </c>
      <c r="K7054" s="2" t="s">
        <v>10187</v>
      </c>
    </row>
    <row r="7055" ht="15.75" customHeight="1">
      <c r="A7055" s="2">
        <v>49210.0</v>
      </c>
      <c r="B7055" s="2" t="s">
        <v>13400</v>
      </c>
      <c r="C7055" s="2" t="s">
        <v>13401</v>
      </c>
      <c r="D7055" s="2" t="s">
        <v>7219</v>
      </c>
      <c r="E7055" s="2" t="s">
        <v>1190</v>
      </c>
      <c r="F7055" s="2">
        <v>2.0</v>
      </c>
      <c r="G7055" s="2">
        <v>226.0</v>
      </c>
      <c r="H7055" s="3" t="str">
        <f>HYPERLINK("http://www.linkedin.com/pub/gicella-moroyoqui/6/7B/648","http://www.linkedin.com/pub/gicella-moroyoqui/6/7B/648")</f>
        <v>http://www.linkedin.com/pub/gicella-moroyoqui/6/7B/648</v>
      </c>
      <c r="I7055" s="2" t="s">
        <v>119</v>
      </c>
      <c r="J7055" s="2" t="s">
        <v>102</v>
      </c>
      <c r="K7055" s="2" t="s">
        <v>10209</v>
      </c>
    </row>
    <row r="7056" ht="15.75" customHeight="1">
      <c r="A7056" s="2">
        <v>49214.0</v>
      </c>
      <c r="B7056" s="2" t="s">
        <v>9220</v>
      </c>
      <c r="C7056" s="2" t="s">
        <v>13402</v>
      </c>
      <c r="D7056" s="2" t="s">
        <v>13</v>
      </c>
      <c r="E7056" s="2" t="s">
        <v>20</v>
      </c>
      <c r="F7056" s="2">
        <v>2.0</v>
      </c>
      <c r="G7056" s="2">
        <v>467.0</v>
      </c>
      <c r="H7056" s="3" t="str">
        <f>HYPERLINK("http://www.linkedin.com/pub/noelia-scheibenhofer/7/b1/827","http://www.linkedin.com/pub/noelia-scheibenhofer/7/b1/827")</f>
        <v>http://www.linkedin.com/pub/noelia-scheibenhofer/7/b1/827</v>
      </c>
      <c r="I7056" s="2" t="s">
        <v>2268</v>
      </c>
      <c r="J7056" s="2" t="s">
        <v>21</v>
      </c>
      <c r="K7056" s="2" t="s">
        <v>10196</v>
      </c>
    </row>
    <row r="7057" ht="15.75" customHeight="1">
      <c r="A7057" s="2">
        <v>49219.0</v>
      </c>
      <c r="B7057" s="2" t="s">
        <v>531</v>
      </c>
      <c r="C7057" s="2" t="s">
        <v>13401</v>
      </c>
      <c r="D7057" s="2" t="s">
        <v>13403</v>
      </c>
      <c r="E7057" s="2" t="s">
        <v>1190</v>
      </c>
      <c r="F7057" s="2">
        <v>0.0</v>
      </c>
      <c r="G7057" s="2">
        <v>500.0</v>
      </c>
      <c r="H7057" s="3" t="str">
        <f>HYPERLINK("http://www.linkedin.com/pub/ruben-moroyoqui/6/1A1/727","http://www.linkedin.com/pub/ruben-moroyoqui/6/1A1/727")</f>
        <v>http://www.linkedin.com/pub/ruben-moroyoqui/6/1A1/727</v>
      </c>
      <c r="I7057" s="2" t="s">
        <v>15</v>
      </c>
      <c r="J7057" s="2" t="s">
        <v>102</v>
      </c>
      <c r="K7057" s="2" t="s">
        <v>10263</v>
      </c>
    </row>
    <row r="7058" ht="15.75" customHeight="1">
      <c r="A7058" s="2">
        <v>49223.0</v>
      </c>
      <c r="B7058" s="2" t="s">
        <v>13404</v>
      </c>
      <c r="C7058" s="2" t="s">
        <v>6736</v>
      </c>
      <c r="D7058" s="2" t="s">
        <v>289</v>
      </c>
      <c r="E7058" s="2" t="s">
        <v>20</v>
      </c>
      <c r="F7058" s="2" t="s">
        <v>13</v>
      </c>
      <c r="G7058" s="2">
        <v>500.0</v>
      </c>
      <c r="H7058" s="3" t="str">
        <f>HYPERLINK("http://ar.linkedin.com/pub/yolanda-serrano/6/B00/50B","http://ar.linkedin.com/pub/yolanda-serrano/6/B00/50B")</f>
        <v>http://ar.linkedin.com/pub/yolanda-serrano/6/B00/50B</v>
      </c>
      <c r="I7058" s="2" t="s">
        <v>458</v>
      </c>
      <c r="J7058" s="2" t="s">
        <v>21</v>
      </c>
      <c r="K7058" s="2" t="s">
        <v>10229</v>
      </c>
    </row>
    <row r="7059" ht="15.75" customHeight="1">
      <c r="A7059" s="2">
        <v>49241.0</v>
      </c>
      <c r="B7059" s="2" t="s">
        <v>993</v>
      </c>
      <c r="C7059" s="2" t="s">
        <v>6621</v>
      </c>
      <c r="D7059" s="2" t="s">
        <v>13405</v>
      </c>
      <c r="E7059" s="2" t="s">
        <v>101</v>
      </c>
      <c r="F7059" s="2">
        <v>1.0</v>
      </c>
      <c r="G7059" s="2">
        <v>113.0</v>
      </c>
      <c r="H7059" s="3" t="str">
        <f>HYPERLINK("http://www.linkedin.com/pub/jon-ortiz/4/195/995","http://www.linkedin.com/pub/jon-ortiz/4/195/995")</f>
        <v>http://www.linkedin.com/pub/jon-ortiz/4/195/995</v>
      </c>
      <c r="I7059" s="2" t="s">
        <v>48</v>
      </c>
      <c r="J7059" s="2" t="s">
        <v>102</v>
      </c>
      <c r="K7059" s="2" t="s">
        <v>10233</v>
      </c>
    </row>
    <row r="7060" ht="15.75" customHeight="1">
      <c r="A7060" s="2">
        <v>49245.0</v>
      </c>
      <c r="B7060" s="2" t="s">
        <v>5078</v>
      </c>
      <c r="C7060" s="2" t="s">
        <v>9732</v>
      </c>
      <c r="D7060" s="2" t="s">
        <v>13</v>
      </c>
      <c r="E7060" s="2" t="s">
        <v>20</v>
      </c>
      <c r="F7060" s="2">
        <v>1.0</v>
      </c>
      <c r="G7060" s="2">
        <v>437.0</v>
      </c>
      <c r="H7060" s="3" t="str">
        <f>HYPERLINK("http://www.linkedin.com/pub/diego-miara/0/9a9/235","http://www.linkedin.com/pub/diego-miara/0/9a9/235")</f>
        <v>http://www.linkedin.com/pub/diego-miara/0/9a9/235</v>
      </c>
      <c r="I7060" s="2" t="s">
        <v>15</v>
      </c>
      <c r="J7060" s="2" t="s">
        <v>21</v>
      </c>
      <c r="K7060" s="2" t="s">
        <v>10206</v>
      </c>
    </row>
    <row r="7061" ht="15.75" customHeight="1">
      <c r="A7061" s="2">
        <v>49260.0</v>
      </c>
      <c r="B7061" s="2" t="s">
        <v>5039</v>
      </c>
      <c r="C7061" s="2" t="s">
        <v>13406</v>
      </c>
      <c r="D7061" s="2" t="s">
        <v>347</v>
      </c>
      <c r="E7061" s="2" t="s">
        <v>20</v>
      </c>
      <c r="F7061" s="2">
        <v>5.0</v>
      </c>
      <c r="G7061" s="2">
        <v>224.0</v>
      </c>
      <c r="H7061" s="3" t="str">
        <f>HYPERLINK("http://ar.linkedin.com/pub/rodolfo-kruger/11/28A/35A","http://ar.linkedin.com/pub/rodolfo-kruger/11/28A/35A")</f>
        <v>http://ar.linkedin.com/pub/rodolfo-kruger/11/28A/35A</v>
      </c>
      <c r="I7061" s="2" t="s">
        <v>15</v>
      </c>
      <c r="J7061" s="2" t="s">
        <v>21</v>
      </c>
      <c r="K7061" s="2" t="s">
        <v>10209</v>
      </c>
    </row>
    <row r="7062" ht="15.75" customHeight="1">
      <c r="A7062" s="2">
        <v>49264.0</v>
      </c>
      <c r="B7062" s="2" t="s">
        <v>13407</v>
      </c>
      <c r="C7062" s="2" t="s">
        <v>8591</v>
      </c>
      <c r="D7062" s="2" t="s">
        <v>498</v>
      </c>
      <c r="E7062" s="2" t="s">
        <v>136</v>
      </c>
      <c r="F7062" s="2">
        <v>0.0</v>
      </c>
      <c r="G7062" s="2">
        <v>500.0</v>
      </c>
      <c r="H7062" s="3" t="str">
        <f>HYPERLINK("http://www.linkedin.com/pub/patt-cronin/8/6B7/689","http://www.linkedin.com/pub/patt-cronin/8/6B7/689")</f>
        <v>http://www.linkedin.com/pub/patt-cronin/8/6B7/689</v>
      </c>
      <c r="I7062" s="2" t="s">
        <v>15</v>
      </c>
      <c r="J7062" s="2" t="s">
        <v>102</v>
      </c>
      <c r="K7062" s="2" t="s">
        <v>10263</v>
      </c>
    </row>
    <row r="7063" ht="15.75" customHeight="1">
      <c r="A7063" s="2">
        <v>49278.0</v>
      </c>
      <c r="B7063" s="2" t="s">
        <v>253</v>
      </c>
      <c r="C7063" s="2" t="s">
        <v>13408</v>
      </c>
      <c r="D7063" s="2" t="s">
        <v>13409</v>
      </c>
      <c r="E7063" s="2" t="s">
        <v>1190</v>
      </c>
      <c r="F7063" s="2">
        <v>19.0</v>
      </c>
      <c r="G7063" s="2">
        <v>500.0</v>
      </c>
      <c r="H7063" s="3" t="str">
        <f>HYPERLINK("http://www.linkedin.com/pub/fernando-cimato/10/876/299","http://www.linkedin.com/pub/fernando-cimato/10/876/299")</f>
        <v>http://www.linkedin.com/pub/fernando-cimato/10/876/299</v>
      </c>
      <c r="I7063" s="2" t="s">
        <v>119</v>
      </c>
      <c r="J7063" s="2" t="s">
        <v>102</v>
      </c>
      <c r="K7063" s="2" t="s">
        <v>10233</v>
      </c>
    </row>
    <row r="7064" ht="15.75" customHeight="1">
      <c r="A7064" s="2">
        <v>49334.0</v>
      </c>
      <c r="B7064" s="2" t="s">
        <v>431</v>
      </c>
      <c r="C7064" s="2" t="s">
        <v>46</v>
      </c>
      <c r="D7064" s="2" t="s">
        <v>13410</v>
      </c>
      <c r="E7064" s="2" t="s">
        <v>914</v>
      </c>
      <c r="F7064" s="2">
        <v>6.0</v>
      </c>
      <c r="G7064" s="2">
        <v>401.0</v>
      </c>
      <c r="H7064" s="3" t="str">
        <f>HYPERLINK("http://www.linkedin.com/in/rodrigoprocha","http://www.linkedin.com/in/rodrigoprocha")</f>
        <v>http://www.linkedin.com/in/rodrigoprocha</v>
      </c>
      <c r="I7064" s="2" t="s">
        <v>48</v>
      </c>
      <c r="J7064" s="2" t="s">
        <v>102</v>
      </c>
      <c r="K7064" s="2" t="s">
        <v>10233</v>
      </c>
    </row>
    <row r="7065" ht="15.75" customHeight="1">
      <c r="A7065" s="2">
        <v>49349.0</v>
      </c>
      <c r="B7065" s="2" t="s">
        <v>5723</v>
      </c>
      <c r="C7065" s="2" t="s">
        <v>13411</v>
      </c>
      <c r="D7065" s="2" t="s">
        <v>13412</v>
      </c>
      <c r="E7065" s="2" t="s">
        <v>20</v>
      </c>
      <c r="F7065" s="2">
        <v>9.0</v>
      </c>
      <c r="G7065" s="2">
        <v>499.0</v>
      </c>
      <c r="H7065" s="3" t="str">
        <f>HYPERLINK("http://ar.linkedin.com/in/pablolandeira","http://ar.linkedin.com/in/pablolandeira")</f>
        <v>http://ar.linkedin.com/in/pablolandeira</v>
      </c>
      <c r="I7065" s="2" t="s">
        <v>69</v>
      </c>
      <c r="J7065" s="2" t="s">
        <v>21</v>
      </c>
      <c r="K7065" s="2" t="s">
        <v>10196</v>
      </c>
    </row>
    <row r="7066" ht="15.75" customHeight="1">
      <c r="A7066" s="2">
        <v>49350.0</v>
      </c>
      <c r="B7066" s="2" t="s">
        <v>3550</v>
      </c>
      <c r="C7066" s="2" t="s">
        <v>13413</v>
      </c>
      <c r="D7066" s="2" t="s">
        <v>13414</v>
      </c>
      <c r="E7066" s="2" t="s">
        <v>20</v>
      </c>
      <c r="F7066" s="2">
        <v>18.0</v>
      </c>
      <c r="G7066" s="2">
        <v>500.0</v>
      </c>
      <c r="H7066" s="3" t="str">
        <f>HYPERLINK("http://ar.linkedin.com/in/nicolasdonadio","http://ar.linkedin.com/in/nicolasdonadio")</f>
        <v>http://ar.linkedin.com/in/nicolasdonadio</v>
      </c>
      <c r="I7066" s="2" t="s">
        <v>77</v>
      </c>
      <c r="J7066" s="2" t="s">
        <v>21</v>
      </c>
      <c r="K7066" s="2" t="s">
        <v>10940</v>
      </c>
    </row>
    <row r="7067" ht="15.75" customHeight="1">
      <c r="A7067" s="2">
        <v>49354.0</v>
      </c>
      <c r="B7067" s="2" t="s">
        <v>3692</v>
      </c>
      <c r="C7067" s="2" t="s">
        <v>13415</v>
      </c>
      <c r="D7067" s="2" t="s">
        <v>13416</v>
      </c>
      <c r="E7067" s="2" t="s">
        <v>20</v>
      </c>
      <c r="F7067" s="2">
        <v>4.0</v>
      </c>
      <c r="G7067" s="2">
        <v>446.0</v>
      </c>
      <c r="H7067" s="3" t="str">
        <f>HYPERLINK("http://ar.linkedin.com/in/federicostirparo","http://ar.linkedin.com/in/federicostirparo")</f>
        <v>http://ar.linkedin.com/in/federicostirparo</v>
      </c>
      <c r="I7067" s="2" t="s">
        <v>15</v>
      </c>
      <c r="J7067" s="2" t="s">
        <v>21</v>
      </c>
      <c r="K7067" s="2" t="s">
        <v>10196</v>
      </c>
    </row>
    <row r="7068" ht="15.75" customHeight="1">
      <c r="A7068" s="2">
        <v>49356.0</v>
      </c>
      <c r="B7068" s="2" t="s">
        <v>5415</v>
      </c>
      <c r="C7068" s="2" t="s">
        <v>13417</v>
      </c>
      <c r="D7068" s="2" t="s">
        <v>13418</v>
      </c>
      <c r="E7068" s="2" t="s">
        <v>20</v>
      </c>
      <c r="F7068" s="2">
        <v>2.0</v>
      </c>
      <c r="G7068" s="2">
        <v>463.0</v>
      </c>
      <c r="H7068" s="3" t="str">
        <f>HYPERLINK("http://ar.linkedin.com/in/cristianmartinezcrovetto","http://ar.linkedin.com/in/cristianmartinezcrovetto")</f>
        <v>http://ar.linkedin.com/in/cristianmartinezcrovetto</v>
      </c>
      <c r="I7068" s="2" t="s">
        <v>15</v>
      </c>
      <c r="J7068" s="2" t="s">
        <v>21</v>
      </c>
      <c r="K7068" s="2" t="s">
        <v>10178</v>
      </c>
    </row>
    <row r="7069" ht="15.75" customHeight="1">
      <c r="A7069" s="2">
        <v>49368.0</v>
      </c>
      <c r="B7069" s="2" t="s">
        <v>492</v>
      </c>
      <c r="C7069" s="2" t="s">
        <v>13419</v>
      </c>
      <c r="D7069" s="2" t="s">
        <v>13420</v>
      </c>
      <c r="E7069" s="2" t="s">
        <v>3516</v>
      </c>
      <c r="F7069" s="2">
        <v>1.0</v>
      </c>
      <c r="G7069" s="2">
        <v>500.0</v>
      </c>
      <c r="H7069" s="3" t="str">
        <f>HYPERLINK("http://www.linkedin.com/pub/sergio-banuet/2/828/259","http://www.linkedin.com/pub/sergio-banuet/2/828/259")</f>
        <v>http://www.linkedin.com/pub/sergio-banuet/2/828/259</v>
      </c>
      <c r="I7069" s="2" t="s">
        <v>15</v>
      </c>
      <c r="J7069" s="2" t="s">
        <v>102</v>
      </c>
      <c r="K7069" s="2" t="s">
        <v>10184</v>
      </c>
    </row>
    <row r="7070" ht="15.75" customHeight="1">
      <c r="A7070" s="2">
        <v>49379.0</v>
      </c>
      <c r="B7070" s="2" t="s">
        <v>6653</v>
      </c>
      <c r="C7070" s="2" t="s">
        <v>13421</v>
      </c>
      <c r="D7070" s="2"/>
      <c r="E7070" s="2" t="s">
        <v>1041</v>
      </c>
      <c r="F7070" s="2">
        <v>10.0</v>
      </c>
      <c r="G7070" s="2">
        <v>388.0</v>
      </c>
      <c r="H7070" s="3" t="str">
        <f>HYPERLINK("http://www.linkedin.com/pub/tatiana-georgetti-brizzotti/0/970/53A","http://www.linkedin.com/pub/tatiana-georgetti-brizzotti/0/970/53A")</f>
        <v>http://www.linkedin.com/pub/tatiana-georgetti-brizzotti/0/970/53A</v>
      </c>
      <c r="I7070" s="2" t="s">
        <v>105</v>
      </c>
      <c r="J7070" s="2" t="s">
        <v>102</v>
      </c>
      <c r="K7070" s="2" t="s">
        <v>10206</v>
      </c>
    </row>
    <row r="7071" ht="15.75" customHeight="1">
      <c r="A7071" s="2">
        <v>49397.0</v>
      </c>
      <c r="B7071" s="2" t="s">
        <v>5558</v>
      </c>
      <c r="C7071" s="2" t="s">
        <v>12306</v>
      </c>
      <c r="D7071" s="2"/>
      <c r="E7071" s="2" t="s">
        <v>1918</v>
      </c>
      <c r="F7071" s="2">
        <v>5.0</v>
      </c>
      <c r="G7071" s="2">
        <v>315.0</v>
      </c>
      <c r="H7071" s="3" t="str">
        <f>HYPERLINK("http://www.linkedin.com/pub/pamela-reyes/0/29A/3A1","http://www.linkedin.com/pub/pamela-reyes/0/29A/3A1")</f>
        <v>http://www.linkedin.com/pub/pamela-reyes/0/29A/3A1</v>
      </c>
      <c r="I7071" s="2" t="s">
        <v>156</v>
      </c>
      <c r="J7071" s="2" t="s">
        <v>102</v>
      </c>
      <c r="K7071" s="2" t="s">
        <v>10206</v>
      </c>
    </row>
    <row r="7072" ht="15.75" customHeight="1">
      <c r="A7072" s="2">
        <v>49422.0</v>
      </c>
      <c r="B7072" s="2" t="s">
        <v>11210</v>
      </c>
      <c r="C7072" s="2" t="s">
        <v>13422</v>
      </c>
      <c r="D7072" s="2" t="s">
        <v>13423</v>
      </c>
      <c r="E7072" s="2" t="s">
        <v>20</v>
      </c>
      <c r="F7072" s="2">
        <v>2.0</v>
      </c>
      <c r="G7072" s="2">
        <v>280.0</v>
      </c>
      <c r="H7072" s="3" t="str">
        <f>HYPERLINK("http://ar.linkedin.com/in/worksarray","http://ar.linkedin.com/in/worksarray")</f>
        <v>http://ar.linkedin.com/in/worksarray</v>
      </c>
      <c r="I7072" s="2" t="s">
        <v>15</v>
      </c>
      <c r="J7072" s="2" t="s">
        <v>21</v>
      </c>
      <c r="K7072" s="2" t="s">
        <v>10196</v>
      </c>
    </row>
    <row r="7073" ht="15.75" customHeight="1">
      <c r="A7073" s="2">
        <v>49440.0</v>
      </c>
      <c r="B7073" s="2" t="s">
        <v>5732</v>
      </c>
      <c r="C7073" s="2" t="s">
        <v>13424</v>
      </c>
      <c r="D7073" s="2" t="s">
        <v>347</v>
      </c>
      <c r="E7073" s="2" t="s">
        <v>20</v>
      </c>
      <c r="F7073" s="2">
        <v>2.0</v>
      </c>
      <c r="G7073" s="2">
        <v>474.0</v>
      </c>
      <c r="H7073" s="3" t="str">
        <f>HYPERLINK("http://www.linkedin.com/in/larzabalm","http://www.linkedin.com/in/larzabalm")</f>
        <v>http://www.linkedin.com/in/larzabalm</v>
      </c>
      <c r="I7073" s="2" t="s">
        <v>15</v>
      </c>
      <c r="J7073" s="2" t="s">
        <v>21</v>
      </c>
      <c r="K7073" s="2" t="s">
        <v>10180</v>
      </c>
    </row>
    <row r="7074" ht="15.75" customHeight="1">
      <c r="A7074" s="2">
        <v>49479.0</v>
      </c>
      <c r="B7074" s="2" t="s">
        <v>358</v>
      </c>
      <c r="C7074" s="2" t="s">
        <v>13425</v>
      </c>
      <c r="D7074" s="2"/>
      <c r="E7074" s="2" t="s">
        <v>255</v>
      </c>
      <c r="F7074" s="2">
        <v>11.0</v>
      </c>
      <c r="G7074" s="2">
        <v>500.0</v>
      </c>
      <c r="H7074" s="3" t="str">
        <f>HYPERLINK("http://www.linkedin.com/in/marceloszabo","http://www.linkedin.com/in/marceloszabo")</f>
        <v>http://www.linkedin.com/in/marceloszabo</v>
      </c>
      <c r="I7074" s="2" t="s">
        <v>77</v>
      </c>
      <c r="J7074" s="2" t="s">
        <v>102</v>
      </c>
      <c r="K7074" s="2" t="s">
        <v>10209</v>
      </c>
    </row>
    <row r="7075" ht="15.75" customHeight="1">
      <c r="A7075" s="2">
        <v>49519.0</v>
      </c>
      <c r="B7075" s="2" t="s">
        <v>6496</v>
      </c>
      <c r="C7075" s="2" t="s">
        <v>13426</v>
      </c>
      <c r="D7075" s="2" t="s">
        <v>13427</v>
      </c>
      <c r="E7075" s="2" t="s">
        <v>20</v>
      </c>
      <c r="F7075" s="2">
        <v>3.0</v>
      </c>
      <c r="G7075" s="2">
        <v>500.0</v>
      </c>
      <c r="H7075" s="3" t="str">
        <f>HYPERLINK("http://ar.linkedin.com/pub/karina-winik/B/162/63A","http://ar.linkedin.com/pub/karina-winik/B/162/63A")</f>
        <v>http://ar.linkedin.com/pub/karina-winik/B/162/63A</v>
      </c>
      <c r="I7075" s="2" t="s">
        <v>48</v>
      </c>
      <c r="J7075" s="2" t="s">
        <v>21</v>
      </c>
      <c r="K7075" s="2" t="s">
        <v>10196</v>
      </c>
    </row>
    <row r="7076" ht="15.75" customHeight="1">
      <c r="A7076" s="2">
        <v>49521.0</v>
      </c>
      <c r="B7076" s="2" t="s">
        <v>5723</v>
      </c>
      <c r="C7076" s="2" t="s">
        <v>13428</v>
      </c>
      <c r="D7076" s="2" t="s">
        <v>13429</v>
      </c>
      <c r="E7076" s="2" t="s">
        <v>1190</v>
      </c>
      <c r="F7076" s="2" t="s">
        <v>13</v>
      </c>
      <c r="G7076" s="2">
        <v>441.0</v>
      </c>
      <c r="H7076" s="3" t="str">
        <f>HYPERLINK("http://www.linkedin.com/pub/pablo-verdi/0/453/80","http://www.linkedin.com/pub/pablo-verdi/0/453/80")</f>
        <v>http://www.linkedin.com/pub/pablo-verdi/0/453/80</v>
      </c>
      <c r="I7076" s="2" t="s">
        <v>15</v>
      </c>
      <c r="J7076" s="2" t="s">
        <v>102</v>
      </c>
      <c r="K7076" s="2" t="s">
        <v>10184</v>
      </c>
    </row>
    <row r="7077" ht="15.75" customHeight="1">
      <c r="A7077" s="2">
        <v>49548.0</v>
      </c>
      <c r="B7077" s="2" t="s">
        <v>7403</v>
      </c>
      <c r="C7077" s="2" t="s">
        <v>13430</v>
      </c>
      <c r="D7077" s="2" t="s">
        <v>13431</v>
      </c>
      <c r="E7077" s="2" t="s">
        <v>20</v>
      </c>
      <c r="F7077" s="2">
        <v>10.0</v>
      </c>
      <c r="G7077" s="2">
        <v>328.0</v>
      </c>
      <c r="H7077" s="3" t="str">
        <f>HYPERLINK("http://ar.linkedin.com/in/lorenalemos","http://ar.linkedin.com/in/lorenalemos")</f>
        <v>http://ar.linkedin.com/in/lorenalemos</v>
      </c>
      <c r="I7077" s="2" t="s">
        <v>15</v>
      </c>
      <c r="J7077" s="2" t="s">
        <v>21</v>
      </c>
      <c r="K7077" s="2" t="s">
        <v>13432</v>
      </c>
    </row>
    <row r="7078" ht="15.75" customHeight="1">
      <c r="A7078" s="2">
        <v>49568.0</v>
      </c>
      <c r="B7078" s="2" t="s">
        <v>582</v>
      </c>
      <c r="C7078" s="2" t="s">
        <v>13433</v>
      </c>
      <c r="D7078" s="2" t="s">
        <v>13434</v>
      </c>
      <c r="E7078" s="2" t="s">
        <v>39</v>
      </c>
      <c r="F7078" s="2">
        <v>42.0</v>
      </c>
      <c r="G7078" s="2">
        <v>500.0</v>
      </c>
      <c r="H7078" s="3" t="str">
        <f>HYPERLINK("http://www.linkedin.com/in/alexandremesquita","http://www.linkedin.com/in/alexandremesquita")</f>
        <v>http://www.linkedin.com/in/alexandremesquita</v>
      </c>
      <c r="I7078" s="2" t="s">
        <v>15</v>
      </c>
      <c r="J7078" s="2" t="s">
        <v>34</v>
      </c>
      <c r="K7078" s="2" t="s">
        <v>10233</v>
      </c>
    </row>
    <row r="7079" ht="15.75" customHeight="1">
      <c r="A7079" s="2">
        <v>49589.0</v>
      </c>
      <c r="B7079" s="2" t="s">
        <v>3015</v>
      </c>
      <c r="C7079" s="2" t="s">
        <v>13435</v>
      </c>
      <c r="D7079" s="2" t="s">
        <v>13436</v>
      </c>
      <c r="E7079" s="2" t="s">
        <v>20</v>
      </c>
      <c r="F7079" s="2">
        <v>14.0</v>
      </c>
      <c r="G7079" s="2">
        <v>289.0</v>
      </c>
      <c r="H7079" s="3" t="str">
        <f>HYPERLINK("http://ar.linkedin.com/in/lucianocrescente","http://ar.linkedin.com/in/lucianocrescente")</f>
        <v>http://ar.linkedin.com/in/lucianocrescente</v>
      </c>
      <c r="I7079" s="2" t="s">
        <v>69</v>
      </c>
      <c r="J7079" s="2" t="s">
        <v>21</v>
      </c>
      <c r="K7079" s="2" t="s">
        <v>10196</v>
      </c>
    </row>
    <row r="7080" ht="15.75" customHeight="1">
      <c r="A7080" s="2">
        <v>49597.0</v>
      </c>
      <c r="B7080" s="2" t="s">
        <v>1071</v>
      </c>
      <c r="C7080" s="2" t="s">
        <v>13437</v>
      </c>
      <c r="D7080" s="2" t="s">
        <v>8338</v>
      </c>
      <c r="E7080" s="2" t="s">
        <v>1190</v>
      </c>
      <c r="F7080" s="2">
        <v>1.0</v>
      </c>
      <c r="G7080" s="2">
        <v>369.0</v>
      </c>
      <c r="H7080" s="3" t="str">
        <f>HYPERLINK("http://www.linkedin.com/pub/eric-lavely/3/801/245","http://www.linkedin.com/pub/eric-lavely/3/801/245")</f>
        <v>http://www.linkedin.com/pub/eric-lavely/3/801/245</v>
      </c>
      <c r="I7080" s="2" t="s">
        <v>69</v>
      </c>
      <c r="J7080" s="2" t="s">
        <v>102</v>
      </c>
      <c r="K7080" s="2" t="s">
        <v>10245</v>
      </c>
    </row>
    <row r="7081" ht="15.75" customHeight="1">
      <c r="A7081" s="2">
        <v>49689.0</v>
      </c>
      <c r="B7081" s="2" t="s">
        <v>3072</v>
      </c>
      <c r="C7081" s="2" t="s">
        <v>11938</v>
      </c>
      <c r="D7081" s="2" t="s">
        <v>13438</v>
      </c>
      <c r="E7081" s="2" t="s">
        <v>1407</v>
      </c>
      <c r="F7081" s="2">
        <v>3.0</v>
      </c>
      <c r="G7081" s="2">
        <v>500.0</v>
      </c>
      <c r="H7081" s="3" t="str">
        <f>HYPERLINK("http://www.linkedin.com/pub/luis-crespo/0/113/92B","http://www.linkedin.com/pub/luis-crespo/0/113/92B")</f>
        <v>http://www.linkedin.com/pub/luis-crespo/0/113/92B</v>
      </c>
      <c r="I7081" s="2" t="s">
        <v>15</v>
      </c>
      <c r="J7081" s="2" t="s">
        <v>102</v>
      </c>
      <c r="K7081" s="2" t="s">
        <v>10184</v>
      </c>
    </row>
    <row r="7082" ht="15.75" customHeight="1">
      <c r="A7082" s="2">
        <v>49759.0</v>
      </c>
      <c r="B7082" s="2" t="s">
        <v>13439</v>
      </c>
      <c r="C7082" s="2" t="s">
        <v>13440</v>
      </c>
      <c r="D7082" s="2" t="s">
        <v>13441</v>
      </c>
      <c r="E7082" s="2" t="s">
        <v>11375</v>
      </c>
      <c r="F7082" s="2">
        <v>6.0</v>
      </c>
      <c r="G7082" s="2">
        <v>500.0</v>
      </c>
      <c r="H7082" s="3" t="str">
        <f>HYPERLINK("http://www.linkedin.com/pub/suso-tormo-trilles/13/557/143","http://www.linkedin.com/pub/suso-tormo-trilles/13/557/143")</f>
        <v>http://www.linkedin.com/pub/suso-tormo-trilles/13/557/143</v>
      </c>
      <c r="I7082" s="2" t="s">
        <v>48</v>
      </c>
      <c r="J7082" s="2" t="s">
        <v>220</v>
      </c>
      <c r="K7082" s="2" t="s">
        <v>10173</v>
      </c>
    </row>
    <row r="7083" ht="15.75" customHeight="1">
      <c r="A7083" s="2">
        <v>49778.0</v>
      </c>
      <c r="B7083" s="2" t="s">
        <v>7155</v>
      </c>
      <c r="C7083" s="2" t="s">
        <v>13442</v>
      </c>
      <c r="D7083" s="2" t="s">
        <v>13443</v>
      </c>
      <c r="E7083" s="2" t="s">
        <v>407</v>
      </c>
      <c r="F7083" s="2">
        <v>25.0</v>
      </c>
      <c r="G7083" s="2">
        <v>500.0</v>
      </c>
      <c r="H7083" s="3" t="str">
        <f>HYPERLINK("http://www.linkedin.com/in/hanez","http://www.linkedin.com/in/hanez")</f>
        <v>http://www.linkedin.com/in/hanez</v>
      </c>
      <c r="I7083" s="2" t="s">
        <v>48</v>
      </c>
      <c r="J7083" s="2" t="s">
        <v>102</v>
      </c>
      <c r="K7083" s="2" t="s">
        <v>10286</v>
      </c>
    </row>
    <row r="7084" ht="15.75" customHeight="1">
      <c r="A7084" s="2">
        <v>49836.0</v>
      </c>
      <c r="B7084" s="2" t="s">
        <v>13444</v>
      </c>
      <c r="C7084" s="2" t="s">
        <v>13445</v>
      </c>
      <c r="D7084" s="2" t="s">
        <v>13</v>
      </c>
      <c r="E7084" s="2" t="s">
        <v>13446</v>
      </c>
      <c r="F7084" s="2">
        <v>0.0</v>
      </c>
      <c r="G7084" s="2">
        <v>361.0</v>
      </c>
      <c r="H7084" s="3" t="str">
        <f>HYPERLINK("http://www.linkedin.com/pub/gabriel-n-miguel-alesi/17/5a/aa0","http://www.linkedin.com/pub/gabriel-n-miguel-alesi/17/5a/aa0")</f>
        <v>http://www.linkedin.com/pub/gabriel-n-miguel-alesi/17/5a/aa0</v>
      </c>
      <c r="I7084" s="2" t="s">
        <v>15</v>
      </c>
      <c r="J7084" s="2" t="s">
        <v>102</v>
      </c>
      <c r="K7084" s="2" t="s">
        <v>10180</v>
      </c>
    </row>
    <row r="7085" ht="15.75" customHeight="1">
      <c r="A7085" s="2">
        <v>49838.0</v>
      </c>
      <c r="B7085" s="2" t="s">
        <v>5723</v>
      </c>
      <c r="C7085" s="2" t="s">
        <v>13447</v>
      </c>
      <c r="D7085" s="2" t="s">
        <v>13</v>
      </c>
      <c r="E7085" s="2" t="s">
        <v>20</v>
      </c>
      <c r="F7085" s="2">
        <v>0.0</v>
      </c>
      <c r="G7085" s="2">
        <v>143.0</v>
      </c>
      <c r="H7085" s="3" t="str">
        <f>HYPERLINK("http://www.linkedin.com/pub/pablo-kossakowski/1b/b4b/22a","http://www.linkedin.com/pub/pablo-kossakowski/1b/b4b/22a")</f>
        <v>http://www.linkedin.com/pub/pablo-kossakowski/1b/b4b/22a</v>
      </c>
      <c r="I7085" s="2" t="s">
        <v>48</v>
      </c>
      <c r="J7085" s="2" t="s">
        <v>21</v>
      </c>
      <c r="K7085" s="2" t="s">
        <v>10206</v>
      </c>
    </row>
    <row r="7086" ht="15.75" customHeight="1">
      <c r="A7086" s="2">
        <v>49850.0</v>
      </c>
      <c r="B7086" s="2" t="s">
        <v>5469</v>
      </c>
      <c r="C7086" s="2" t="s">
        <v>1112</v>
      </c>
      <c r="D7086" s="2" t="s">
        <v>13448</v>
      </c>
      <c r="E7086" s="2" t="s">
        <v>1190</v>
      </c>
      <c r="F7086" s="2">
        <v>16.0</v>
      </c>
      <c r="G7086" s="2">
        <v>500.0</v>
      </c>
      <c r="H7086" s="3" t="str">
        <f>HYPERLINK("http://www.linkedin.com/in/glenbenjamin","http://www.linkedin.com/in/glenbenjamin")</f>
        <v>http://www.linkedin.com/in/glenbenjamin</v>
      </c>
      <c r="I7086" s="2" t="s">
        <v>15</v>
      </c>
      <c r="J7086" s="2" t="s">
        <v>102</v>
      </c>
      <c r="K7086" s="2" t="s">
        <v>10343</v>
      </c>
    </row>
    <row r="7087" ht="15.75" customHeight="1">
      <c r="A7087" s="2">
        <v>49868.0</v>
      </c>
      <c r="B7087" s="2" t="s">
        <v>5763</v>
      </c>
      <c r="C7087" s="2" t="s">
        <v>206</v>
      </c>
      <c r="D7087" s="2" t="s">
        <v>6449</v>
      </c>
      <c r="E7087" s="2" t="s">
        <v>20</v>
      </c>
      <c r="F7087" s="2">
        <v>4.0</v>
      </c>
      <c r="G7087" s="2">
        <v>240.0</v>
      </c>
      <c r="H7087" s="3" t="str">
        <f>HYPERLINK("http://ar.linkedin.com/in/ezequielgarcia","http://ar.linkedin.com/in/ezequielgarcia")</f>
        <v>http://ar.linkedin.com/in/ezequielgarcia</v>
      </c>
      <c r="I7087" s="2" t="s">
        <v>69</v>
      </c>
      <c r="J7087" s="2" t="s">
        <v>21</v>
      </c>
      <c r="K7087" s="2" t="s">
        <v>10180</v>
      </c>
    </row>
    <row r="7088" ht="15.75" customHeight="1">
      <c r="A7088" s="2">
        <v>49919.0</v>
      </c>
      <c r="B7088" s="2" t="s">
        <v>6432</v>
      </c>
      <c r="C7088" s="2" t="s">
        <v>13449</v>
      </c>
      <c r="D7088" s="2" t="s">
        <v>13450</v>
      </c>
      <c r="E7088" s="2" t="s">
        <v>1190</v>
      </c>
      <c r="F7088" s="2">
        <v>11.0</v>
      </c>
      <c r="G7088" s="2">
        <v>465.0</v>
      </c>
      <c r="H7088" s="3" t="str">
        <f>HYPERLINK("http://www.linkedin.com/pub/marcela-schifini-gladchtein/10/4A3/8A7","http://www.linkedin.com/pub/marcela-schifini-gladchtein/10/4A3/8A7")</f>
        <v>http://www.linkedin.com/pub/marcela-schifini-gladchtein/10/4A3/8A7</v>
      </c>
      <c r="I7088" s="2" t="s">
        <v>458</v>
      </c>
      <c r="J7088" s="2" t="s">
        <v>102</v>
      </c>
      <c r="K7088" s="2" t="s">
        <v>10187</v>
      </c>
    </row>
    <row r="7089" ht="15.75" customHeight="1">
      <c r="A7089" s="2">
        <v>49930.0</v>
      </c>
      <c r="B7089" s="2" t="s">
        <v>13451</v>
      </c>
      <c r="C7089" s="2" t="s">
        <v>13452</v>
      </c>
      <c r="D7089" s="2" t="s">
        <v>13453</v>
      </c>
      <c r="E7089" s="2" t="s">
        <v>13454</v>
      </c>
      <c r="F7089" s="2">
        <v>8.0</v>
      </c>
      <c r="G7089" s="2">
        <v>458.0</v>
      </c>
      <c r="H7089" s="3" t="str">
        <f>HYPERLINK("http://www.linkedin.com/in/meghancannizzaro","http://www.linkedin.com/in/meghancannizzaro")</f>
        <v>http://www.linkedin.com/in/meghancannizzaro</v>
      </c>
      <c r="I7089" s="2" t="s">
        <v>2268</v>
      </c>
      <c r="J7089" s="2" t="s">
        <v>102</v>
      </c>
      <c r="K7089" s="2" t="s">
        <v>10180</v>
      </c>
    </row>
    <row r="7090" ht="15.75" customHeight="1">
      <c r="A7090" s="2">
        <v>49975.0</v>
      </c>
      <c r="B7090" s="2" t="s">
        <v>6025</v>
      </c>
      <c r="C7090" s="2" t="s">
        <v>13455</v>
      </c>
      <c r="D7090" s="2" t="s">
        <v>289</v>
      </c>
      <c r="E7090" s="2" t="s">
        <v>20</v>
      </c>
      <c r="F7090" s="2">
        <v>11.0</v>
      </c>
      <c r="G7090" s="2">
        <v>361.0</v>
      </c>
      <c r="H7090" s="3" t="str">
        <f>HYPERLINK("http://ar.linkedin.com/pub/hernan-pato-herrera/24/4B7/451","http://ar.linkedin.com/pub/hernan-pato-herrera/24/4B7/451")</f>
        <v>http://ar.linkedin.com/pub/hernan-pato-herrera/24/4B7/451</v>
      </c>
      <c r="I7090" s="2" t="s">
        <v>15</v>
      </c>
      <c r="J7090" s="2" t="s">
        <v>21</v>
      </c>
      <c r="K7090" s="2" t="s">
        <v>10196</v>
      </c>
    </row>
    <row r="7091" ht="15.75" customHeight="1">
      <c r="A7091" s="2">
        <v>50004.0</v>
      </c>
      <c r="B7091" s="2" t="s">
        <v>353</v>
      </c>
      <c r="C7091" s="2" t="s">
        <v>6207</v>
      </c>
      <c r="D7091" s="2" t="s">
        <v>13456</v>
      </c>
      <c r="E7091" s="2" t="s">
        <v>20</v>
      </c>
      <c r="F7091" s="2">
        <v>9.0</v>
      </c>
      <c r="G7091" s="2">
        <v>283.0</v>
      </c>
      <c r="H7091" s="3" t="str">
        <f>HYPERLINK("http://ar.linkedin.com/pub/alejandro-alvarez/1/1B/284","http://ar.linkedin.com/pub/alejandro-alvarez/1/1B/284")</f>
        <v>http://ar.linkedin.com/pub/alejandro-alvarez/1/1B/284</v>
      </c>
      <c r="I7091" s="2" t="s">
        <v>15</v>
      </c>
      <c r="J7091" s="2" t="s">
        <v>21</v>
      </c>
      <c r="K7091" s="2" t="s">
        <v>10196</v>
      </c>
    </row>
    <row r="7092" ht="15.75" customHeight="1">
      <c r="A7092" s="2">
        <v>50030.0</v>
      </c>
      <c r="B7092" s="2" t="s">
        <v>264</v>
      </c>
      <c r="C7092" s="2" t="s">
        <v>8019</v>
      </c>
      <c r="D7092" s="2" t="s">
        <v>400</v>
      </c>
      <c r="E7092" s="2" t="s">
        <v>882</v>
      </c>
      <c r="F7092" s="2">
        <v>16.0</v>
      </c>
      <c r="G7092" s="2">
        <v>500.0</v>
      </c>
      <c r="H7092" s="3" t="str">
        <f>HYPERLINK("http://www.linkedin.com/in/andreshb","http://www.linkedin.com/in/andreshb")</f>
        <v>http://www.linkedin.com/in/andreshb</v>
      </c>
      <c r="I7092" s="2" t="s">
        <v>709</v>
      </c>
      <c r="J7092" s="2" t="s">
        <v>102</v>
      </c>
      <c r="K7092" s="2" t="s">
        <v>10182</v>
      </c>
    </row>
    <row r="7093" ht="15.75" customHeight="1">
      <c r="A7093" s="2">
        <v>50065.0</v>
      </c>
      <c r="B7093" s="2" t="s">
        <v>2335</v>
      </c>
      <c r="C7093" s="2" t="s">
        <v>13457</v>
      </c>
      <c r="D7093" s="2" t="s">
        <v>13458</v>
      </c>
      <c r="E7093" s="2" t="s">
        <v>628</v>
      </c>
      <c r="F7093" s="2">
        <v>6.0</v>
      </c>
      <c r="G7093" s="2">
        <v>500.0</v>
      </c>
      <c r="H7093" s="3" t="str">
        <f>HYPERLINK("http://www.linkedin.com/in/brunoregio","http://www.linkedin.com/in/brunoregio")</f>
        <v>http://www.linkedin.com/in/brunoregio</v>
      </c>
      <c r="I7093" s="2" t="s">
        <v>279</v>
      </c>
      <c r="J7093" s="2" t="s">
        <v>102</v>
      </c>
      <c r="K7093" s="2" t="s">
        <v>10180</v>
      </c>
    </row>
    <row r="7094" ht="15.75" customHeight="1">
      <c r="A7094" s="2">
        <v>50139.0</v>
      </c>
      <c r="B7094" s="2" t="s">
        <v>45</v>
      </c>
      <c r="C7094" s="2" t="s">
        <v>4233</v>
      </c>
      <c r="D7094" s="2" t="s">
        <v>13459</v>
      </c>
      <c r="E7094" s="2" t="s">
        <v>1190</v>
      </c>
      <c r="F7094" s="2">
        <v>11.0</v>
      </c>
      <c r="G7094" s="2">
        <v>457.0</v>
      </c>
      <c r="H7094" s="3" t="str">
        <f>HYPERLINK("http://www.linkedin.com/pub/carlos-gonzalez/2/940/237","http://www.linkedin.com/pub/carlos-gonzalez/2/940/237")</f>
        <v>http://www.linkedin.com/pub/carlos-gonzalez/2/940/237</v>
      </c>
      <c r="I7094" s="2" t="s">
        <v>105</v>
      </c>
      <c r="J7094" s="2" t="s">
        <v>102</v>
      </c>
      <c r="K7094" s="2" t="s">
        <v>10209</v>
      </c>
    </row>
    <row r="7095" ht="15.75" customHeight="1">
      <c r="A7095" s="2">
        <v>50202.0</v>
      </c>
      <c r="B7095" s="2" t="s">
        <v>6856</v>
      </c>
      <c r="C7095" s="2" t="s">
        <v>9775</v>
      </c>
      <c r="D7095" s="2" t="s">
        <v>13460</v>
      </c>
      <c r="E7095" s="2" t="s">
        <v>20</v>
      </c>
      <c r="F7095" s="2" t="s">
        <v>13</v>
      </c>
      <c r="G7095" s="2">
        <v>117.0</v>
      </c>
      <c r="H7095" s="3" t="str">
        <f>HYPERLINK("http://ar.linkedin.com/pub/germ%C3%A1n-forti/20/5AA/818","http://ar.linkedin.com/pub/germ%C3%A1n-forti/20/5AA/818")</f>
        <v>http://ar.linkedin.com/pub/germ%C3%A1n-forti/20/5AA/818</v>
      </c>
      <c r="I7095" s="2" t="s">
        <v>2362</v>
      </c>
      <c r="J7095" s="2" t="s">
        <v>21</v>
      </c>
      <c r="K7095" s="2" t="s">
        <v>10184</v>
      </c>
    </row>
    <row r="7096" ht="15.75" customHeight="1">
      <c r="A7096" s="2">
        <v>50240.0</v>
      </c>
      <c r="B7096" s="2" t="s">
        <v>13461</v>
      </c>
      <c r="C7096" s="2" t="s">
        <v>13462</v>
      </c>
      <c r="D7096" s="2" t="s">
        <v>13463</v>
      </c>
      <c r="E7096" s="2" t="s">
        <v>728</v>
      </c>
      <c r="F7096" s="2">
        <v>37.0</v>
      </c>
      <c r="G7096" s="2">
        <v>500.0</v>
      </c>
      <c r="H7096" s="3" t="str">
        <f>HYPERLINK("http://www.linkedin.com/in/johnnybarrett3","http://www.linkedin.com/in/johnnybarrett3")</f>
        <v>http://www.linkedin.com/in/johnnybarrett3</v>
      </c>
      <c r="I7096" s="2" t="s">
        <v>105</v>
      </c>
      <c r="J7096" s="2" t="s">
        <v>102</v>
      </c>
      <c r="K7096" s="2" t="s">
        <v>10209</v>
      </c>
    </row>
    <row r="7097" ht="15.75" customHeight="1">
      <c r="A7097" s="2">
        <v>50279.0</v>
      </c>
      <c r="B7097" s="2" t="s">
        <v>193</v>
      </c>
      <c r="C7097" s="2" t="s">
        <v>13464</v>
      </c>
      <c r="D7097" s="2" t="s">
        <v>13465</v>
      </c>
      <c r="E7097" s="2" t="s">
        <v>20</v>
      </c>
      <c r="F7097" s="2">
        <v>17.0</v>
      </c>
      <c r="G7097" s="2">
        <v>448.0</v>
      </c>
      <c r="H7097" s="3" t="str">
        <f>HYPERLINK("http://ar.linkedin.com/pub/guillermo-errandonea/9/477/349","http://ar.linkedin.com/pub/guillermo-errandonea/9/477/349")</f>
        <v>http://ar.linkedin.com/pub/guillermo-errandonea/9/477/349</v>
      </c>
      <c r="I7097" s="2" t="s">
        <v>15</v>
      </c>
      <c r="J7097" s="2" t="s">
        <v>21</v>
      </c>
      <c r="K7097" s="2" t="s">
        <v>10340</v>
      </c>
    </row>
    <row r="7098" ht="15.75" customHeight="1">
      <c r="A7098" s="2">
        <v>50336.0</v>
      </c>
      <c r="B7098" s="2" t="s">
        <v>5808</v>
      </c>
      <c r="C7098" s="2" t="s">
        <v>13466</v>
      </c>
      <c r="D7098" s="2" t="s">
        <v>400</v>
      </c>
      <c r="E7098" s="2" t="s">
        <v>20</v>
      </c>
      <c r="F7098" s="2">
        <v>5.0</v>
      </c>
      <c r="G7098" s="2">
        <v>500.0</v>
      </c>
      <c r="H7098" s="3" t="str">
        <f>HYPERLINK("http://ar.linkedin.com/in/mgorostegui","http://ar.linkedin.com/in/mgorostegui")</f>
        <v>http://ar.linkedin.com/in/mgorostegui</v>
      </c>
      <c r="I7098" s="2" t="s">
        <v>15</v>
      </c>
      <c r="J7098" s="2" t="s">
        <v>21</v>
      </c>
      <c r="K7098" s="2" t="s">
        <v>10343</v>
      </c>
    </row>
    <row r="7099" ht="15.75" customHeight="1">
      <c r="A7099" s="2">
        <v>50342.0</v>
      </c>
      <c r="B7099" s="2" t="s">
        <v>6339</v>
      </c>
      <c r="C7099" s="2" t="s">
        <v>13467</v>
      </c>
      <c r="D7099" s="2" t="s">
        <v>47</v>
      </c>
      <c r="E7099" s="2" t="s">
        <v>20</v>
      </c>
      <c r="F7099" s="2">
        <v>1.0</v>
      </c>
      <c r="G7099" s="2">
        <v>500.0</v>
      </c>
      <c r="H7099" s="3" t="str">
        <f>HYPERLINK("http://ar.linkedin.com/in/estebanirigoyen","http://ar.linkedin.com/in/estebanirigoyen")</f>
        <v>http://ar.linkedin.com/in/estebanirigoyen</v>
      </c>
      <c r="I7099" s="2" t="s">
        <v>240</v>
      </c>
      <c r="J7099" s="2" t="s">
        <v>21</v>
      </c>
      <c r="K7099" s="2" t="s">
        <v>10229</v>
      </c>
    </row>
    <row r="7100" ht="15.75" customHeight="1">
      <c r="A7100" s="2">
        <v>50375.0</v>
      </c>
      <c r="B7100" s="2" t="s">
        <v>492</v>
      </c>
      <c r="C7100" s="2" t="s">
        <v>13468</v>
      </c>
      <c r="D7100" s="2" t="s">
        <v>13469</v>
      </c>
      <c r="E7100" s="2" t="s">
        <v>20</v>
      </c>
      <c r="F7100" s="2">
        <v>2.0</v>
      </c>
      <c r="G7100" s="2">
        <v>120.0</v>
      </c>
      <c r="H7100" s="3" t="str">
        <f>HYPERLINK("http://ar.linkedin.com/pub/sergio-massaini/A/A4/69B","http://ar.linkedin.com/pub/sergio-massaini/A/A4/69B")</f>
        <v>http://ar.linkedin.com/pub/sergio-massaini/A/A4/69B</v>
      </c>
      <c r="I7100" s="2" t="s">
        <v>15</v>
      </c>
      <c r="J7100" s="2" t="s">
        <v>21</v>
      </c>
      <c r="K7100" s="2" t="s">
        <v>10196</v>
      </c>
    </row>
    <row r="7101" ht="15.75" customHeight="1">
      <c r="A7101" s="2">
        <v>50414.0</v>
      </c>
      <c r="B7101" s="2" t="s">
        <v>13470</v>
      </c>
      <c r="C7101" s="2" t="s">
        <v>13471</v>
      </c>
      <c r="D7101" s="2"/>
      <c r="E7101" s="2" t="s">
        <v>1473</v>
      </c>
      <c r="F7101" s="2">
        <v>4.0</v>
      </c>
      <c r="G7101" s="2">
        <v>264.0</v>
      </c>
      <c r="H7101" s="3" t="str">
        <f>HYPERLINK("http://www.linkedin.com/in/smalecki","http://www.linkedin.com/in/smalecki")</f>
        <v>http://www.linkedin.com/in/smalecki</v>
      </c>
      <c r="I7101" s="2" t="s">
        <v>105</v>
      </c>
      <c r="J7101" s="2" t="s">
        <v>102</v>
      </c>
      <c r="K7101" s="2" t="s">
        <v>10206</v>
      </c>
    </row>
    <row r="7102" ht="15.75" customHeight="1">
      <c r="A7102" s="2">
        <v>50538.0</v>
      </c>
      <c r="B7102" s="2" t="s">
        <v>1816</v>
      </c>
      <c r="C7102" s="2" t="s">
        <v>13472</v>
      </c>
      <c r="D7102" s="2" t="s">
        <v>13473</v>
      </c>
      <c r="E7102" s="2" t="s">
        <v>20</v>
      </c>
      <c r="F7102" s="2">
        <v>17.0</v>
      </c>
      <c r="G7102" s="2">
        <v>500.0</v>
      </c>
      <c r="H7102" s="3" t="str">
        <f>HYPERLINK("http://www.linkedin.com/in/jeffklenner","http://www.linkedin.com/in/jeffklenner")</f>
        <v>http://www.linkedin.com/in/jeffklenner</v>
      </c>
      <c r="I7102" s="2" t="s">
        <v>48</v>
      </c>
      <c r="J7102" s="2" t="s">
        <v>21</v>
      </c>
      <c r="K7102" s="2" t="s">
        <v>10196</v>
      </c>
    </row>
    <row r="7103" ht="15.75" customHeight="1">
      <c r="A7103" s="2">
        <v>50544.0</v>
      </c>
      <c r="B7103" s="2" t="s">
        <v>5791</v>
      </c>
      <c r="C7103" s="2" t="s">
        <v>13474</v>
      </c>
      <c r="D7103" s="2" t="s">
        <v>517</v>
      </c>
      <c r="E7103" s="2" t="s">
        <v>20</v>
      </c>
      <c r="F7103" s="2">
        <v>18.0</v>
      </c>
      <c r="G7103" s="2">
        <v>500.0</v>
      </c>
      <c r="H7103" s="3" t="str">
        <f>HYPERLINK("http://ar.linkedin.com/in/mdominoni","http://ar.linkedin.com/in/mdominoni")</f>
        <v>http://ar.linkedin.com/in/mdominoni</v>
      </c>
      <c r="I7103" s="2" t="s">
        <v>15</v>
      </c>
      <c r="J7103" s="2" t="s">
        <v>21</v>
      </c>
      <c r="K7103" s="2" t="s">
        <v>10343</v>
      </c>
    </row>
    <row r="7104" ht="15.75" customHeight="1">
      <c r="A7104" s="2">
        <v>50548.0</v>
      </c>
      <c r="B7104" s="2" t="s">
        <v>549</v>
      </c>
      <c r="C7104" s="2" t="s">
        <v>8239</v>
      </c>
      <c r="D7104" s="2"/>
      <c r="E7104" s="2" t="s">
        <v>1190</v>
      </c>
      <c r="F7104" s="2">
        <v>1.0</v>
      </c>
      <c r="G7104" s="2">
        <v>320.0</v>
      </c>
      <c r="H7104" s="3" t="str">
        <f>HYPERLINK("http://www.linkedin.com/pub/mario-quiroga/1/128/B19","http://www.linkedin.com/pub/mario-quiroga/1/128/B19")</f>
        <v>http://www.linkedin.com/pub/mario-quiroga/1/128/B19</v>
      </c>
      <c r="I7104" s="2" t="s">
        <v>1237</v>
      </c>
      <c r="J7104" s="2" t="s">
        <v>102</v>
      </c>
      <c r="K7104" s="2" t="s">
        <v>10187</v>
      </c>
    </row>
    <row r="7105" ht="15.75" customHeight="1">
      <c r="A7105" s="2">
        <v>50562.0</v>
      </c>
      <c r="B7105" s="2" t="s">
        <v>8519</v>
      </c>
      <c r="C7105" s="2" t="s">
        <v>13475</v>
      </c>
      <c r="D7105" s="2"/>
      <c r="E7105" s="2" t="s">
        <v>235</v>
      </c>
      <c r="F7105" s="2">
        <v>8.0</v>
      </c>
      <c r="G7105" s="2">
        <v>113.0</v>
      </c>
      <c r="H7105" s="3" t="str">
        <f>HYPERLINK("http://www.linkedin.com/in/joseluisoria","http://www.linkedin.com/in/joseluisoria")</f>
        <v>http://www.linkedin.com/in/joseluisoria</v>
      </c>
      <c r="I7105" s="2" t="s">
        <v>77</v>
      </c>
      <c r="J7105" s="2" t="s">
        <v>102</v>
      </c>
      <c r="K7105" s="2" t="s">
        <v>10209</v>
      </c>
    </row>
    <row r="7106" ht="15.75" customHeight="1">
      <c r="A7106" s="2">
        <v>50682.0</v>
      </c>
      <c r="B7106" s="2" t="s">
        <v>9458</v>
      </c>
      <c r="C7106" s="2" t="s">
        <v>13476</v>
      </c>
      <c r="D7106" s="2" t="s">
        <v>13477</v>
      </c>
      <c r="E7106" s="2" t="s">
        <v>20</v>
      </c>
      <c r="F7106" s="2">
        <v>3.0</v>
      </c>
      <c r="G7106" s="2">
        <v>347.0</v>
      </c>
      <c r="H7106" s="3" t="str">
        <f>HYPERLINK("http://ar.linkedin.com/in/agostinalaveran","http://ar.linkedin.com/in/agostinalaveran")</f>
        <v>http://ar.linkedin.com/in/agostinalaveran</v>
      </c>
      <c r="I7106" s="2" t="s">
        <v>15</v>
      </c>
      <c r="J7106" s="2" t="s">
        <v>21</v>
      </c>
      <c r="K7106" s="2" t="s">
        <v>10178</v>
      </c>
    </row>
    <row r="7107" ht="15.75" customHeight="1">
      <c r="A7107" s="2">
        <v>50756.0</v>
      </c>
      <c r="B7107" s="2" t="s">
        <v>2508</v>
      </c>
      <c r="C7107" s="2" t="s">
        <v>13478</v>
      </c>
      <c r="D7107" s="2"/>
      <c r="E7107" s="2" t="s">
        <v>1190</v>
      </c>
      <c r="F7107" s="2">
        <v>0.0</v>
      </c>
      <c r="G7107" s="2">
        <v>339.0</v>
      </c>
      <c r="H7107" s="3" t="str">
        <f>HYPERLINK("http://www.linkedin.com/pub/leo-manzewitsch/0/202/AA1","http://www.linkedin.com/pub/leo-manzewitsch/0/202/AA1")</f>
        <v>http://www.linkedin.com/pub/leo-manzewitsch/0/202/AA1</v>
      </c>
      <c r="I7107" s="2" t="s">
        <v>77</v>
      </c>
      <c r="J7107" s="2" t="s">
        <v>102</v>
      </c>
      <c r="K7107" s="2" t="s">
        <v>10229</v>
      </c>
    </row>
    <row r="7108" ht="15.75" customHeight="1">
      <c r="A7108" s="2">
        <v>50781.0</v>
      </c>
      <c r="B7108" s="2" t="s">
        <v>412</v>
      </c>
      <c r="C7108" s="2" t="s">
        <v>8961</v>
      </c>
      <c r="D7108" s="2" t="s">
        <v>13479</v>
      </c>
      <c r="E7108" s="2" t="s">
        <v>136</v>
      </c>
      <c r="F7108" s="2">
        <v>36.0</v>
      </c>
      <c r="G7108" s="2">
        <v>500.0</v>
      </c>
      <c r="H7108" s="3" t="str">
        <f>HYPERLINK("http://www.linkedin.com/in/rsegovia","http://www.linkedin.com/in/rsegovia")</f>
        <v>http://www.linkedin.com/in/rsegovia</v>
      </c>
      <c r="I7108" s="2" t="s">
        <v>77</v>
      </c>
      <c r="J7108" s="2" t="s">
        <v>102</v>
      </c>
      <c r="K7108" s="2" t="s">
        <v>10384</v>
      </c>
    </row>
    <row r="7109" ht="15.75" customHeight="1">
      <c r="A7109" s="2">
        <v>50786.0</v>
      </c>
      <c r="B7109" s="2" t="s">
        <v>13480</v>
      </c>
      <c r="C7109" s="2" t="s">
        <v>13481</v>
      </c>
      <c r="D7109" s="2" t="s">
        <v>10389</v>
      </c>
      <c r="E7109" s="2" t="s">
        <v>13482</v>
      </c>
      <c r="F7109" s="2">
        <v>0.0</v>
      </c>
      <c r="G7109" s="2">
        <v>136.0</v>
      </c>
      <c r="H7109" s="3" t="str">
        <f>HYPERLINK("http://www.linkedin.com/pub/marlan-nolt/6/B33/586","http://www.linkedin.com/pub/marlan-nolt/6/B33/586")</f>
        <v>http://www.linkedin.com/pub/marlan-nolt/6/B33/586</v>
      </c>
      <c r="I7109" s="2" t="s">
        <v>15</v>
      </c>
      <c r="J7109" s="2" t="s">
        <v>102</v>
      </c>
      <c r="K7109" s="2" t="s">
        <v>10263</v>
      </c>
    </row>
    <row r="7110" ht="15.75" customHeight="1">
      <c r="A7110" s="2">
        <v>50903.0</v>
      </c>
      <c r="B7110" s="2" t="s">
        <v>418</v>
      </c>
      <c r="C7110" s="2" t="s">
        <v>13483</v>
      </c>
      <c r="D7110" s="2" t="s">
        <v>2974</v>
      </c>
      <c r="E7110" s="2" t="s">
        <v>136</v>
      </c>
      <c r="F7110" s="2">
        <v>2.0</v>
      </c>
      <c r="G7110" s="2">
        <v>500.0</v>
      </c>
      <c r="H7110" s="3" t="str">
        <f>HYPERLINK("http://www.linkedin.com/pub/ivan-zavaleta/6/846/332","http://www.linkedin.com/pub/ivan-zavaleta/6/846/332")</f>
        <v>http://www.linkedin.com/pub/ivan-zavaleta/6/846/332</v>
      </c>
      <c r="I7110" s="2" t="s">
        <v>318</v>
      </c>
      <c r="J7110" s="2" t="s">
        <v>102</v>
      </c>
      <c r="K7110" s="2" t="s">
        <v>10209</v>
      </c>
    </row>
    <row r="7111" ht="15.75" customHeight="1">
      <c r="A7111" s="2">
        <v>50970.0</v>
      </c>
      <c r="B7111" s="2" t="s">
        <v>6093</v>
      </c>
      <c r="C7111" s="2" t="s">
        <v>13484</v>
      </c>
      <c r="D7111" s="2" t="s">
        <v>13485</v>
      </c>
      <c r="E7111" s="2" t="s">
        <v>20</v>
      </c>
      <c r="F7111" s="2">
        <v>9.0</v>
      </c>
      <c r="G7111" s="2">
        <v>308.0</v>
      </c>
      <c r="H7111" s="3" t="str">
        <f>HYPERLINK("http://ar.linkedin.com/pub/nicol%C3%A1s-crespi/1A/894/B50","http://ar.linkedin.com/pub/nicol%C3%A1s-crespi/1A/894/B50")</f>
        <v>http://ar.linkedin.com/pub/nicol%C3%A1s-crespi/1A/894/B50</v>
      </c>
      <c r="I7111" s="2" t="s">
        <v>15</v>
      </c>
      <c r="J7111" s="2" t="s">
        <v>21</v>
      </c>
      <c r="K7111" s="2" t="s">
        <v>10209</v>
      </c>
    </row>
    <row r="7112" ht="15.75" customHeight="1">
      <c r="A7112" s="2">
        <v>50980.0</v>
      </c>
      <c r="B7112" s="2" t="s">
        <v>862</v>
      </c>
      <c r="C7112" s="2" t="s">
        <v>13486</v>
      </c>
      <c r="D7112" s="2" t="s">
        <v>8690</v>
      </c>
      <c r="E7112" s="2" t="s">
        <v>20</v>
      </c>
      <c r="F7112" s="2" t="s">
        <v>13</v>
      </c>
      <c r="G7112" s="2">
        <v>500.0</v>
      </c>
      <c r="H7112" s="3" t="str">
        <f>HYPERLINK("http://ar.linkedin.com/pub/gabriel-aufgang/2A/554/552","http://ar.linkedin.com/pub/gabriel-aufgang/2A/554/552")</f>
        <v>http://ar.linkedin.com/pub/gabriel-aufgang/2A/554/552</v>
      </c>
      <c r="I7112" s="2" t="s">
        <v>2268</v>
      </c>
      <c r="J7112" s="2" t="s">
        <v>21</v>
      </c>
      <c r="K7112" s="2" t="s">
        <v>10229</v>
      </c>
    </row>
    <row r="7113" ht="15.75" customHeight="1">
      <c r="A7113" s="2">
        <v>50989.0</v>
      </c>
      <c r="B7113" s="2" t="s">
        <v>13487</v>
      </c>
      <c r="C7113" s="2" t="s">
        <v>880</v>
      </c>
      <c r="D7113" s="2" t="s">
        <v>13488</v>
      </c>
      <c r="E7113" s="2" t="s">
        <v>235</v>
      </c>
      <c r="F7113" s="2">
        <v>2.0</v>
      </c>
      <c r="G7113" s="2">
        <v>480.0</v>
      </c>
      <c r="H7113" s="3" t="str">
        <f>HYPERLINK("http://www.linkedin.com/pub/lucina-navarro/A/385/9AA","http://www.linkedin.com/pub/lucina-navarro/A/385/9AA")</f>
        <v>http://www.linkedin.com/pub/lucina-navarro/A/385/9AA</v>
      </c>
      <c r="I7113" s="2" t="s">
        <v>77</v>
      </c>
      <c r="J7113" s="2" t="s">
        <v>102</v>
      </c>
      <c r="K7113" s="2" t="s">
        <v>10988</v>
      </c>
    </row>
    <row r="7114" ht="15.75" customHeight="1">
      <c r="A7114" s="2">
        <v>51031.0</v>
      </c>
      <c r="B7114" s="2" t="s">
        <v>152</v>
      </c>
      <c r="C7114" s="2" t="s">
        <v>13489</v>
      </c>
      <c r="D7114" s="2" t="s">
        <v>42</v>
      </c>
      <c r="E7114" s="2" t="s">
        <v>20</v>
      </c>
      <c r="F7114" s="2">
        <v>2.0</v>
      </c>
      <c r="G7114" s="2">
        <v>267.0</v>
      </c>
      <c r="H7114" s="3" t="str">
        <f>HYPERLINK("http://ar.linkedin.com/pub/eduardo-berutti/9/AB4/272","http://ar.linkedin.com/pub/eduardo-berutti/9/AB4/272")</f>
        <v>http://ar.linkedin.com/pub/eduardo-berutti/9/AB4/272</v>
      </c>
      <c r="I7114" s="2" t="s">
        <v>1094</v>
      </c>
      <c r="J7114" s="2" t="s">
        <v>21</v>
      </c>
      <c r="K7114" s="2" t="s">
        <v>10187</v>
      </c>
    </row>
    <row r="7115" ht="15.75" customHeight="1">
      <c r="A7115" s="2">
        <v>51136.0</v>
      </c>
      <c r="B7115" s="2" t="s">
        <v>7096</v>
      </c>
      <c r="C7115" s="2" t="s">
        <v>13490</v>
      </c>
      <c r="D7115" s="2" t="s">
        <v>42</v>
      </c>
      <c r="E7115" s="2" t="s">
        <v>20</v>
      </c>
      <c r="F7115" s="2" t="s">
        <v>13</v>
      </c>
      <c r="G7115" s="2">
        <v>500.0</v>
      </c>
      <c r="H7115" s="3" t="str">
        <f>HYPERLINK("http://ar.linkedin.com/pub/valeria-cordovero/7/109/39","http://ar.linkedin.com/pub/valeria-cordovero/7/109/39")</f>
        <v>http://ar.linkedin.com/pub/valeria-cordovero/7/109/39</v>
      </c>
      <c r="I7115" s="2" t="s">
        <v>458</v>
      </c>
      <c r="J7115" s="2" t="s">
        <v>21</v>
      </c>
      <c r="K7115" s="2" t="s">
        <v>10176</v>
      </c>
    </row>
    <row r="7116" ht="15.75" customHeight="1">
      <c r="A7116" s="2">
        <v>51151.0</v>
      </c>
      <c r="B7116" s="2" t="s">
        <v>774</v>
      </c>
      <c r="C7116" s="2" t="s">
        <v>13491</v>
      </c>
      <c r="D7116" s="2" t="s">
        <v>13492</v>
      </c>
      <c r="E7116" s="2" t="s">
        <v>713</v>
      </c>
      <c r="F7116" s="2">
        <v>16.0</v>
      </c>
      <c r="G7116" s="2">
        <v>500.0</v>
      </c>
      <c r="H7116" s="3" t="str">
        <f>HYPERLINK("http://www.linkedin.com/in/brucetemkin","http://www.linkedin.com/in/brucetemkin")</f>
        <v>http://www.linkedin.com/in/brucetemkin</v>
      </c>
      <c r="I7116" s="2" t="s">
        <v>57</v>
      </c>
      <c r="J7116" s="2" t="s">
        <v>102</v>
      </c>
      <c r="K7116" s="2" t="s">
        <v>10799</v>
      </c>
    </row>
    <row r="7117" ht="15.75" customHeight="1">
      <c r="A7117" s="2">
        <v>51176.0</v>
      </c>
      <c r="B7117" s="2" t="s">
        <v>3201</v>
      </c>
      <c r="C7117" s="2" t="s">
        <v>677</v>
      </c>
      <c r="D7117" s="2" t="s">
        <v>12472</v>
      </c>
      <c r="E7117" s="2" t="s">
        <v>20</v>
      </c>
      <c r="F7117" s="2" t="s">
        <v>13</v>
      </c>
      <c r="G7117" s="2">
        <v>500.0</v>
      </c>
      <c r="H7117" s="3" t="str">
        <f>HYPERLINK("http://ar.linkedin.com/pub/sebastian-daniel/7/517/29","http://ar.linkedin.com/pub/sebastian-daniel/7/517/29")</f>
        <v>http://ar.linkedin.com/pub/sebastian-daniel/7/517/29</v>
      </c>
      <c r="I7117" s="2" t="s">
        <v>458</v>
      </c>
      <c r="J7117" s="2" t="s">
        <v>21</v>
      </c>
      <c r="K7117" s="2" t="s">
        <v>10482</v>
      </c>
    </row>
    <row r="7118" ht="15.75" customHeight="1">
      <c r="A7118" s="2">
        <v>51179.0</v>
      </c>
      <c r="B7118" s="2" t="s">
        <v>5723</v>
      </c>
      <c r="C7118" s="2" t="s">
        <v>13493</v>
      </c>
      <c r="D7118" s="2" t="s">
        <v>8788</v>
      </c>
      <c r="E7118" s="2" t="s">
        <v>20</v>
      </c>
      <c r="F7118" s="2" t="s">
        <v>13</v>
      </c>
      <c r="G7118" s="2">
        <v>500.0</v>
      </c>
      <c r="H7118" s="3" t="str">
        <f>HYPERLINK("http://ar.linkedin.com/in/pabloabiad","http://ar.linkedin.com/in/pabloabiad")</f>
        <v>http://ar.linkedin.com/in/pabloabiad</v>
      </c>
      <c r="I7118" s="2" t="s">
        <v>844</v>
      </c>
      <c r="J7118" s="2" t="s">
        <v>21</v>
      </c>
      <c r="K7118" s="2" t="s">
        <v>10209</v>
      </c>
    </row>
    <row r="7119" ht="15.75" customHeight="1">
      <c r="A7119" s="2">
        <v>51207.0</v>
      </c>
      <c r="B7119" s="2" t="s">
        <v>8621</v>
      </c>
      <c r="C7119" s="2" t="s">
        <v>13494</v>
      </c>
      <c r="D7119" s="2" t="s">
        <v>7238</v>
      </c>
      <c r="E7119" s="2" t="s">
        <v>20</v>
      </c>
      <c r="F7119" s="2">
        <v>8.0</v>
      </c>
      <c r="G7119" s="2">
        <v>500.0</v>
      </c>
      <c r="H7119" s="3" t="str">
        <f>HYPERLINK("http://ar.linkedin.com/pub/natalio-garbus/27/6B3/91","http://ar.linkedin.com/pub/natalio-garbus/27/6B3/91")</f>
        <v>http://ar.linkedin.com/pub/natalio-garbus/27/6B3/91</v>
      </c>
      <c r="I7119" s="2" t="s">
        <v>69</v>
      </c>
      <c r="J7119" s="2" t="s">
        <v>21</v>
      </c>
      <c r="K7119" s="2" t="s">
        <v>10196</v>
      </c>
    </row>
    <row r="7120" ht="15.75" customHeight="1">
      <c r="A7120" s="2">
        <v>51230.0</v>
      </c>
      <c r="B7120" s="2" t="s">
        <v>3175</v>
      </c>
      <c r="C7120" s="2" t="s">
        <v>13495</v>
      </c>
      <c r="D7120" s="2" t="s">
        <v>13496</v>
      </c>
      <c r="E7120" s="2" t="s">
        <v>2058</v>
      </c>
      <c r="F7120" s="2">
        <v>3.0</v>
      </c>
      <c r="G7120" s="2">
        <v>124.0</v>
      </c>
      <c r="H7120" s="3" t="str">
        <f>HYPERLINK("http://www.linkedin.com/in/danielagomezrichter","http://www.linkedin.com/in/danielagomezrichter")</f>
        <v>http://www.linkedin.com/in/danielagomezrichter</v>
      </c>
      <c r="I7120" s="2" t="s">
        <v>910</v>
      </c>
      <c r="J7120" s="2" t="s">
        <v>102</v>
      </c>
      <c r="K7120" s="2" t="s">
        <v>10187</v>
      </c>
    </row>
    <row r="7121" ht="15.75" customHeight="1">
      <c r="A7121" s="2">
        <v>51235.0</v>
      </c>
      <c r="B7121" s="2" t="s">
        <v>3776</v>
      </c>
      <c r="C7121" s="2" t="s">
        <v>13497</v>
      </c>
      <c r="D7121" s="2" t="s">
        <v>13498</v>
      </c>
      <c r="E7121" s="2" t="s">
        <v>20</v>
      </c>
      <c r="F7121" s="2" t="s">
        <v>13</v>
      </c>
      <c r="G7121" s="2">
        <v>200.0</v>
      </c>
      <c r="H7121" s="3" t="str">
        <f>HYPERLINK("http://ar.linkedin.com/in/pedrogs","http://ar.linkedin.com/in/pedrogs")</f>
        <v>http://ar.linkedin.com/in/pedrogs</v>
      </c>
      <c r="I7121" s="2" t="s">
        <v>2268</v>
      </c>
      <c r="J7121" s="2" t="s">
        <v>21</v>
      </c>
      <c r="K7121" s="2" t="s">
        <v>10229</v>
      </c>
    </row>
    <row r="7122" ht="15.75" customHeight="1">
      <c r="A7122" s="2">
        <v>51280.0</v>
      </c>
      <c r="B7122" s="2" t="s">
        <v>13499</v>
      </c>
      <c r="C7122" s="2" t="s">
        <v>13500</v>
      </c>
      <c r="D7122" s="2" t="s">
        <v>13</v>
      </c>
      <c r="E7122" s="2" t="s">
        <v>20</v>
      </c>
      <c r="F7122" s="2">
        <v>6.0</v>
      </c>
      <c r="G7122" s="2">
        <v>500.0</v>
      </c>
      <c r="H7122" s="3" t="str">
        <f>HYPERLINK("http://www.linkedin.com/in/marchionnienzo","http://www.linkedin.com/in/marchionnienzo")</f>
        <v>http://www.linkedin.com/in/marchionnienzo</v>
      </c>
      <c r="I7122" s="2" t="s">
        <v>15</v>
      </c>
      <c r="J7122" s="2" t="s">
        <v>21</v>
      </c>
      <c r="K7122" s="2" t="s">
        <v>10371</v>
      </c>
    </row>
    <row r="7123" ht="15.75" customHeight="1">
      <c r="A7123" s="2">
        <v>51281.0</v>
      </c>
      <c r="B7123" s="2" t="s">
        <v>13501</v>
      </c>
      <c r="C7123" s="2" t="s">
        <v>348</v>
      </c>
      <c r="D7123" s="2" t="s">
        <v>13502</v>
      </c>
      <c r="E7123" s="2" t="s">
        <v>20</v>
      </c>
      <c r="F7123" s="2" t="s">
        <v>13</v>
      </c>
      <c r="G7123" s="2">
        <v>175.0</v>
      </c>
      <c r="H7123" s="3" t="str">
        <f>HYPERLINK("http://ar.linkedin.com/in/hockim","http://ar.linkedin.com/in/hockim")</f>
        <v>http://ar.linkedin.com/in/hockim</v>
      </c>
      <c r="I7123" s="2" t="s">
        <v>105</v>
      </c>
      <c r="J7123" s="2" t="s">
        <v>21</v>
      </c>
      <c r="K7123" s="2" t="s">
        <v>10229</v>
      </c>
    </row>
    <row r="7124" ht="15.75" customHeight="1">
      <c r="A7124" s="2">
        <v>51287.0</v>
      </c>
      <c r="B7124" s="2" t="s">
        <v>3201</v>
      </c>
      <c r="C7124" s="2" t="s">
        <v>13503</v>
      </c>
      <c r="D7124" s="2" t="s">
        <v>13504</v>
      </c>
      <c r="E7124" s="2" t="s">
        <v>20</v>
      </c>
      <c r="F7124" s="2" t="s">
        <v>13</v>
      </c>
      <c r="G7124" s="2">
        <v>335.0</v>
      </c>
      <c r="H7124" s="3" t="str">
        <f>HYPERLINK("http://ar.linkedin.com/pub/sebastian-leiva/27/AA/104","http://ar.linkedin.com/pub/sebastian-leiva/27/AA/104")</f>
        <v>http://ar.linkedin.com/pub/sebastian-leiva/27/AA/104</v>
      </c>
      <c r="I7124" s="2" t="s">
        <v>69</v>
      </c>
      <c r="J7124" s="2" t="s">
        <v>21</v>
      </c>
      <c r="K7124" s="2" t="s">
        <v>10173</v>
      </c>
    </row>
    <row r="7125" ht="15.75" customHeight="1">
      <c r="A7125" s="2">
        <v>51324.0</v>
      </c>
      <c r="B7125" s="2" t="s">
        <v>5681</v>
      </c>
      <c r="C7125" s="2" t="s">
        <v>13505</v>
      </c>
      <c r="D7125" s="2" t="s">
        <v>13</v>
      </c>
      <c r="E7125" s="2" t="s">
        <v>20</v>
      </c>
      <c r="F7125" s="2">
        <v>0.0</v>
      </c>
      <c r="G7125" s="2">
        <v>274.0</v>
      </c>
      <c r="H7125" s="3" t="str">
        <f>HYPERLINK("http://www.linkedin.com/pub/damian-d%C2%B4agostino/23/562/669","http://www.linkedin.com/pub/damian-d%C2%B4agostino/23/562/669")</f>
        <v>http://www.linkedin.com/pub/damian-d%C2%B4agostino/23/562/669</v>
      </c>
      <c r="I7125" s="2" t="s">
        <v>69</v>
      </c>
      <c r="J7125" s="2" t="s">
        <v>21</v>
      </c>
      <c r="K7125" s="2" t="s">
        <v>10187</v>
      </c>
    </row>
    <row r="7126" ht="15.75" customHeight="1">
      <c r="A7126" s="2">
        <v>51387.0</v>
      </c>
      <c r="B7126" s="2" t="s">
        <v>238</v>
      </c>
      <c r="C7126" s="2" t="s">
        <v>13506</v>
      </c>
      <c r="D7126" s="2" t="s">
        <v>13</v>
      </c>
      <c r="E7126" s="2" t="s">
        <v>20</v>
      </c>
      <c r="F7126" s="2">
        <v>0.0</v>
      </c>
      <c r="G7126" s="2">
        <v>500.0</v>
      </c>
      <c r="H7126" s="3" t="str">
        <f>HYPERLINK("http://www.linkedin.com/pub/juan-niklison/9/907/bbb","http://www.linkedin.com/pub/juan-niklison/9/907/bbb")</f>
        <v>http://www.linkedin.com/pub/juan-niklison/9/907/bbb</v>
      </c>
      <c r="I7126" s="2" t="s">
        <v>105</v>
      </c>
      <c r="J7126" s="2" t="s">
        <v>21</v>
      </c>
      <c r="K7126" s="2" t="s">
        <v>11117</v>
      </c>
    </row>
    <row r="7127" ht="15.75" customHeight="1">
      <c r="A7127" s="2">
        <v>51400.0</v>
      </c>
      <c r="B7127" s="2" t="s">
        <v>13507</v>
      </c>
      <c r="C7127" s="2" t="s">
        <v>13508</v>
      </c>
      <c r="D7127" s="2" t="s">
        <v>4026</v>
      </c>
      <c r="E7127" s="2" t="s">
        <v>20</v>
      </c>
      <c r="F7127" s="2">
        <v>1.0</v>
      </c>
      <c r="G7127" s="2">
        <v>500.0</v>
      </c>
      <c r="H7127" s="3" t="str">
        <f>HYPERLINK("http://www.linkedin.com/in/horaciocorbiere","http://www.linkedin.com/in/horaciocorbiere")</f>
        <v>http://www.linkedin.com/in/horaciocorbiere</v>
      </c>
      <c r="I7127" s="2" t="s">
        <v>57</v>
      </c>
      <c r="J7127" s="2" t="s">
        <v>21</v>
      </c>
      <c r="K7127" s="2" t="s">
        <v>10229</v>
      </c>
    </row>
    <row r="7128" ht="15.75" customHeight="1">
      <c r="A7128" s="2">
        <v>51447.0</v>
      </c>
      <c r="B7128" s="2" t="s">
        <v>5803</v>
      </c>
      <c r="C7128" s="2" t="s">
        <v>13509</v>
      </c>
      <c r="D7128" s="2" t="s">
        <v>13</v>
      </c>
      <c r="E7128" s="2" t="s">
        <v>20</v>
      </c>
      <c r="F7128" s="2">
        <v>0.0</v>
      </c>
      <c r="G7128" s="2">
        <v>443.0</v>
      </c>
      <c r="H7128" s="3" t="str">
        <f>HYPERLINK("http://www.linkedin.com/pub/mariano-barucca/17/b06/34","http://www.linkedin.com/pub/mariano-barucca/17/b06/34")</f>
        <v>http://www.linkedin.com/pub/mariano-barucca/17/b06/34</v>
      </c>
      <c r="I7128" s="2" t="s">
        <v>105</v>
      </c>
      <c r="J7128" s="2" t="s">
        <v>21</v>
      </c>
      <c r="K7128" s="2" t="s">
        <v>10312</v>
      </c>
    </row>
    <row r="7129" ht="15.75" customHeight="1">
      <c r="A7129" s="2">
        <v>51457.0</v>
      </c>
      <c r="B7129" s="2" t="s">
        <v>5803</v>
      </c>
      <c r="C7129" s="2" t="s">
        <v>13510</v>
      </c>
      <c r="D7129" s="2" t="s">
        <v>7344</v>
      </c>
      <c r="E7129" s="2" t="s">
        <v>20</v>
      </c>
      <c r="F7129" s="2">
        <v>3.0</v>
      </c>
      <c r="G7129" s="2">
        <v>256.0</v>
      </c>
      <c r="H7129" s="3" t="str">
        <f>HYPERLINK("http://www.linkedin.com/in/mgtdi","http://www.linkedin.com/in/mgtdi")</f>
        <v>http://www.linkedin.com/in/mgtdi</v>
      </c>
      <c r="I7129" s="2" t="s">
        <v>15</v>
      </c>
      <c r="J7129" s="2" t="s">
        <v>21</v>
      </c>
      <c r="K7129" s="2" t="s">
        <v>10196</v>
      </c>
    </row>
    <row r="7130" ht="15.75" customHeight="1">
      <c r="A7130" s="2">
        <v>51472.0</v>
      </c>
      <c r="B7130" s="2" t="s">
        <v>2457</v>
      </c>
      <c r="C7130" s="2" t="s">
        <v>2061</v>
      </c>
      <c r="D7130" s="2" t="s">
        <v>13511</v>
      </c>
      <c r="E7130" s="2" t="s">
        <v>1547</v>
      </c>
      <c r="F7130" s="2">
        <v>1.0</v>
      </c>
      <c r="G7130" s="2">
        <v>464.0</v>
      </c>
      <c r="H7130" s="3" t="str">
        <f>HYPERLINK("http://www.linkedin.com/pub/stephen-white/0/58/437","http://www.linkedin.com/pub/stephen-white/0/58/437")</f>
        <v>http://www.linkedin.com/pub/stephen-white/0/58/437</v>
      </c>
      <c r="I7130" s="2" t="s">
        <v>48</v>
      </c>
      <c r="J7130" s="2" t="s">
        <v>102</v>
      </c>
      <c r="K7130" s="2" t="s">
        <v>10184</v>
      </c>
    </row>
    <row r="7131" ht="15.75" customHeight="1">
      <c r="A7131" s="2">
        <v>51478.0</v>
      </c>
      <c r="B7131" s="2" t="s">
        <v>940</v>
      </c>
      <c r="C7131" s="2" t="s">
        <v>13512</v>
      </c>
      <c r="D7131" s="2"/>
      <c r="E7131" s="2" t="s">
        <v>214</v>
      </c>
      <c r="F7131" s="2">
        <v>14.0</v>
      </c>
      <c r="G7131" s="2">
        <v>188.0</v>
      </c>
      <c r="H7131" s="3" t="str">
        <f>HYPERLINK("http://www.linkedin.com/in/bobhatfield","http://www.linkedin.com/in/bobhatfield")</f>
        <v>http://www.linkedin.com/in/bobhatfield</v>
      </c>
      <c r="I7131" s="2" t="s">
        <v>873</v>
      </c>
      <c r="J7131" s="2" t="s">
        <v>102</v>
      </c>
      <c r="K7131" s="2" t="s">
        <v>10206</v>
      </c>
    </row>
    <row r="7132" ht="15.75" customHeight="1">
      <c r="A7132" s="2">
        <v>51496.0</v>
      </c>
      <c r="B7132" s="2" t="s">
        <v>13513</v>
      </c>
      <c r="C7132" s="2" t="s">
        <v>3392</v>
      </c>
      <c r="D7132" s="2" t="s">
        <v>13</v>
      </c>
      <c r="E7132" s="2" t="s">
        <v>20</v>
      </c>
      <c r="F7132" s="2">
        <v>6.0</v>
      </c>
      <c r="G7132" s="2">
        <v>371.0</v>
      </c>
      <c r="H7132" s="3" t="str">
        <f>HYPERLINK("http://www.linkedin.com/pub/diego-e-lopez/b/411/714","http://www.linkedin.com/pub/diego-e-lopez/b/411/714")</f>
        <v>http://www.linkedin.com/pub/diego-e-lopez/b/411/714</v>
      </c>
      <c r="I7132" s="2" t="s">
        <v>77</v>
      </c>
      <c r="J7132" s="2" t="s">
        <v>21</v>
      </c>
      <c r="K7132" s="2" t="s">
        <v>10196</v>
      </c>
    </row>
    <row r="7133" ht="15.75" customHeight="1">
      <c r="A7133" s="2">
        <v>51498.0</v>
      </c>
      <c r="B7133" s="2" t="s">
        <v>13514</v>
      </c>
      <c r="C7133" s="2" t="s">
        <v>13515</v>
      </c>
      <c r="D7133" s="2" t="s">
        <v>13</v>
      </c>
      <c r="E7133" s="2" t="s">
        <v>20</v>
      </c>
      <c r="F7133" s="2">
        <v>0.0</v>
      </c>
      <c r="G7133" s="2">
        <v>500.0</v>
      </c>
      <c r="H7133" s="3" t="str">
        <f>HYPERLINK("http://ar.linkedin.com/in/ujaroslawski","http://ar.linkedin.com/in/ujaroslawski")</f>
        <v>http://ar.linkedin.com/in/ujaroslawski</v>
      </c>
      <c r="I7133" s="2" t="s">
        <v>15</v>
      </c>
      <c r="J7133" s="2" t="s">
        <v>21</v>
      </c>
      <c r="K7133" s="2" t="s">
        <v>10173</v>
      </c>
    </row>
    <row r="7134" ht="15.75" customHeight="1">
      <c r="A7134" s="2">
        <v>51518.0</v>
      </c>
      <c r="B7134" s="2" t="s">
        <v>3432</v>
      </c>
      <c r="C7134" s="2" t="s">
        <v>13516</v>
      </c>
      <c r="D7134" s="2" t="s">
        <v>13517</v>
      </c>
      <c r="E7134" s="2" t="s">
        <v>1407</v>
      </c>
      <c r="F7134" s="2">
        <v>58.0</v>
      </c>
      <c r="G7134" s="2">
        <v>500.0</v>
      </c>
      <c r="H7134" s="3" t="str">
        <f>HYPERLINK("http://www.linkedin.com/in/mckernan","http://www.linkedin.com/in/mckernan")</f>
        <v>http://www.linkedin.com/in/mckernan</v>
      </c>
      <c r="I7134" s="2" t="s">
        <v>160</v>
      </c>
      <c r="J7134" s="2" t="s">
        <v>102</v>
      </c>
      <c r="K7134" s="2" t="s">
        <v>12769</v>
      </c>
    </row>
    <row r="7135" ht="15.75" customHeight="1">
      <c r="A7135" s="2">
        <v>51541.0</v>
      </c>
      <c r="B7135" s="2" t="s">
        <v>6093</v>
      </c>
      <c r="C7135" s="2" t="s">
        <v>13518</v>
      </c>
      <c r="D7135" s="2" t="s">
        <v>6730</v>
      </c>
      <c r="E7135" s="2" t="s">
        <v>20</v>
      </c>
      <c r="F7135" s="2" t="s">
        <v>13</v>
      </c>
      <c r="G7135" s="2">
        <v>500.0</v>
      </c>
      <c r="H7135" s="3" t="str">
        <f>HYPERLINK("http://ar.linkedin.com/in/nicolastorok","http://ar.linkedin.com/in/nicolastorok")</f>
        <v>http://ar.linkedin.com/in/nicolastorok</v>
      </c>
      <c r="I7135" s="2" t="s">
        <v>105</v>
      </c>
      <c r="J7135" s="2" t="s">
        <v>21</v>
      </c>
      <c r="K7135" s="2" t="s">
        <v>10184</v>
      </c>
    </row>
    <row r="7136" ht="15.75" customHeight="1">
      <c r="A7136" s="2">
        <v>51577.0</v>
      </c>
      <c r="B7136" s="2" t="s">
        <v>13519</v>
      </c>
      <c r="C7136" s="2" t="s">
        <v>13520</v>
      </c>
      <c r="D7136" s="2"/>
      <c r="E7136" s="2" t="s">
        <v>301</v>
      </c>
      <c r="F7136" s="2">
        <v>2.0</v>
      </c>
      <c r="G7136" s="2">
        <v>445.0</v>
      </c>
      <c r="H7136" s="3" t="str">
        <f>HYPERLINK("http://www.linkedin.com/pub/alessia-petrucci/2/370/522","http://www.linkedin.com/pub/alessia-petrucci/2/370/522")</f>
        <v>http://www.linkedin.com/pub/alessia-petrucci/2/370/522</v>
      </c>
      <c r="I7136" s="2" t="s">
        <v>2561</v>
      </c>
      <c r="J7136" s="2" t="s">
        <v>102</v>
      </c>
      <c r="K7136" s="2" t="s">
        <v>10206</v>
      </c>
    </row>
    <row r="7137" ht="15.75" customHeight="1">
      <c r="A7137" s="2">
        <v>51625.0</v>
      </c>
      <c r="B7137" s="2" t="s">
        <v>13521</v>
      </c>
      <c r="C7137" s="2" t="s">
        <v>13522</v>
      </c>
      <c r="D7137" s="2" t="s">
        <v>13523</v>
      </c>
      <c r="E7137" s="2" t="s">
        <v>1179</v>
      </c>
      <c r="F7137" s="2">
        <v>6.0</v>
      </c>
      <c r="G7137" s="2">
        <v>500.0</v>
      </c>
      <c r="H7137" s="3" t="str">
        <f>HYPERLINK("http://www.linkedin.com/in/fdschiaffino","http://www.linkedin.com/in/fdschiaffino")</f>
        <v>http://www.linkedin.com/in/fdschiaffino</v>
      </c>
      <c r="I7137" s="2" t="s">
        <v>458</v>
      </c>
      <c r="J7137" s="2" t="s">
        <v>102</v>
      </c>
      <c r="K7137" s="2" t="s">
        <v>10209</v>
      </c>
    </row>
    <row r="7138" ht="15.75" customHeight="1">
      <c r="A7138" s="2">
        <v>51777.0</v>
      </c>
      <c r="B7138" s="2" t="s">
        <v>238</v>
      </c>
      <c r="C7138" s="2" t="s">
        <v>13524</v>
      </c>
      <c r="D7138" s="2" t="s">
        <v>13525</v>
      </c>
      <c r="E7138" s="2" t="s">
        <v>1190</v>
      </c>
      <c r="F7138" s="2">
        <v>0.0</v>
      </c>
      <c r="G7138" s="2">
        <v>271.0</v>
      </c>
      <c r="H7138" s="3" t="str">
        <f>HYPERLINK("http://www.linkedin.com/pub/juan-antorena/25/9B9/7A2","http://www.linkedin.com/pub/juan-antorena/25/9B9/7A2")</f>
        <v>http://www.linkedin.com/pub/juan-antorena/25/9B9/7A2</v>
      </c>
      <c r="I7138" s="2" t="s">
        <v>77</v>
      </c>
      <c r="J7138" s="2" t="s">
        <v>102</v>
      </c>
      <c r="K7138" s="2" t="s">
        <v>10572</v>
      </c>
    </row>
    <row r="7139" ht="15.75" customHeight="1">
      <c r="A7139" s="2">
        <v>51863.0</v>
      </c>
      <c r="B7139" s="2" t="s">
        <v>5890</v>
      </c>
      <c r="C7139" s="2" t="s">
        <v>10368</v>
      </c>
      <c r="D7139" s="2" t="s">
        <v>13</v>
      </c>
      <c r="E7139" s="2" t="s">
        <v>20</v>
      </c>
      <c r="F7139" s="2">
        <v>0.0</v>
      </c>
      <c r="G7139" s="2">
        <v>500.0</v>
      </c>
      <c r="H7139" s="3" t="str">
        <f>HYPERLINK("http://www.linkedin.com/pub/pablo-daniel-schuster/5/569/622","http://www.linkedin.com/pub/pablo-daniel-schuster/5/569/622")</f>
        <v>http://www.linkedin.com/pub/pablo-daniel-schuster/5/569/622</v>
      </c>
      <c r="I7139" s="2" t="s">
        <v>15</v>
      </c>
      <c r="J7139" s="2" t="s">
        <v>21</v>
      </c>
      <c r="K7139" s="2" t="s">
        <v>13526</v>
      </c>
    </row>
    <row r="7140" ht="15.75" customHeight="1">
      <c r="A7140" s="2">
        <v>51870.0</v>
      </c>
      <c r="B7140" s="2" t="s">
        <v>8390</v>
      </c>
      <c r="C7140" s="2" t="s">
        <v>7805</v>
      </c>
      <c r="D7140" s="2" t="s">
        <v>10094</v>
      </c>
      <c r="E7140" s="2" t="s">
        <v>20</v>
      </c>
      <c r="F7140" s="2">
        <v>2.0</v>
      </c>
      <c r="G7140" s="2">
        <v>180.0</v>
      </c>
      <c r="H7140" s="3" t="str">
        <f>HYPERLINK("http://ar.linkedin.com/pub/marisol-de-la-vega/30/B35/9B4","http://ar.linkedin.com/pub/marisol-de-la-vega/30/B35/9B4")</f>
        <v>http://ar.linkedin.com/pub/marisol-de-la-vega/30/B35/9B4</v>
      </c>
      <c r="I7140" s="2" t="s">
        <v>69</v>
      </c>
      <c r="J7140" s="2" t="s">
        <v>21</v>
      </c>
      <c r="K7140" s="2" t="s">
        <v>10196</v>
      </c>
    </row>
    <row r="7141" ht="15.75" customHeight="1">
      <c r="A7141" s="2">
        <v>51979.0</v>
      </c>
      <c r="B7141" s="2" t="s">
        <v>5732</v>
      </c>
      <c r="C7141" s="2" t="s">
        <v>13527</v>
      </c>
      <c r="D7141" s="2" t="s">
        <v>13528</v>
      </c>
      <c r="E7141" s="2" t="s">
        <v>20</v>
      </c>
      <c r="F7141" s="2" t="s">
        <v>13</v>
      </c>
      <c r="G7141" s="2">
        <v>294.0</v>
      </c>
      <c r="H7141" s="3" t="str">
        <f>HYPERLINK("http://ar.linkedin.com/in/marpon","http://ar.linkedin.com/in/marpon")</f>
        <v>http://ar.linkedin.com/in/marpon</v>
      </c>
      <c r="I7141" s="2" t="s">
        <v>15</v>
      </c>
      <c r="J7141" s="2" t="s">
        <v>21</v>
      </c>
      <c r="K7141" s="2" t="s">
        <v>10206</v>
      </c>
    </row>
    <row r="7142" ht="15.75" customHeight="1">
      <c r="A7142" s="2">
        <v>52019.0</v>
      </c>
      <c r="B7142" s="2" t="s">
        <v>339</v>
      </c>
      <c r="C7142" s="2" t="s">
        <v>3271</v>
      </c>
      <c r="D7142" s="2" t="s">
        <v>13529</v>
      </c>
      <c r="E7142" s="2" t="s">
        <v>1918</v>
      </c>
      <c r="F7142" s="2">
        <v>13.0</v>
      </c>
      <c r="G7142" s="2">
        <v>500.0</v>
      </c>
      <c r="H7142" s="3" t="str">
        <f>HYPERLINK("http://www.linkedin.com/in/jacobconway","http://www.linkedin.com/in/jacobconway")</f>
        <v>http://www.linkedin.com/in/jacobconway</v>
      </c>
      <c r="I7142" s="2" t="s">
        <v>77</v>
      </c>
      <c r="J7142" s="2" t="s">
        <v>102</v>
      </c>
      <c r="K7142" s="2" t="s">
        <v>10245</v>
      </c>
    </row>
    <row r="7143" ht="15.75" customHeight="1">
      <c r="A7143" s="2">
        <v>52044.0</v>
      </c>
      <c r="B7143" s="2" t="s">
        <v>5728</v>
      </c>
      <c r="C7143" s="2" t="s">
        <v>13530</v>
      </c>
      <c r="D7143" s="2" t="s">
        <v>13531</v>
      </c>
      <c r="E7143" s="2" t="s">
        <v>20</v>
      </c>
      <c r="F7143" s="2">
        <v>1.0</v>
      </c>
      <c r="G7143" s="2">
        <v>154.0</v>
      </c>
      <c r="H7143" s="3" t="str">
        <f>HYPERLINK("http://ar.linkedin.com/pub/maximiliano-adad/2A/859/432","http://ar.linkedin.com/pub/maximiliano-adad/2A/859/432")</f>
        <v>http://ar.linkedin.com/pub/maximiliano-adad/2A/859/432</v>
      </c>
      <c r="I7143" s="2" t="s">
        <v>2000</v>
      </c>
      <c r="J7143" s="2" t="s">
        <v>21</v>
      </c>
      <c r="K7143" s="2" t="s">
        <v>10206</v>
      </c>
    </row>
    <row r="7144" ht="15.75" customHeight="1">
      <c r="A7144" s="2">
        <v>52047.0</v>
      </c>
      <c r="B7144" s="2" t="s">
        <v>13532</v>
      </c>
      <c r="C7144" s="2" t="s">
        <v>13533</v>
      </c>
      <c r="D7144" s="2" t="s">
        <v>13534</v>
      </c>
      <c r="E7144" s="2" t="s">
        <v>20</v>
      </c>
      <c r="F7144" s="2">
        <v>6.0</v>
      </c>
      <c r="G7144" s="2">
        <v>500.0</v>
      </c>
      <c r="H7144" s="3" t="str">
        <f>HYPERLINK("https://www.linkedin.com/in/emmanuelsabbatini","https://www.linkedin.com/in/emmanuelsabbatini")</f>
        <v>https://www.linkedin.com/in/emmanuelsabbatini</v>
      </c>
      <c r="I7144" s="2" t="s">
        <v>48</v>
      </c>
      <c r="J7144" s="2" t="s">
        <v>21</v>
      </c>
      <c r="K7144" s="2" t="s">
        <v>10196</v>
      </c>
    </row>
    <row r="7145" ht="15.75" customHeight="1">
      <c r="A7145" s="2">
        <v>52063.0</v>
      </c>
      <c r="B7145" s="2" t="s">
        <v>8385</v>
      </c>
      <c r="C7145" s="2" t="s">
        <v>10378</v>
      </c>
      <c r="D7145" s="2" t="s">
        <v>13535</v>
      </c>
      <c r="E7145" s="2" t="s">
        <v>20</v>
      </c>
      <c r="F7145" s="2" t="s">
        <v>13</v>
      </c>
      <c r="G7145" s="2">
        <v>197.0</v>
      </c>
      <c r="H7145" s="3" t="str">
        <f>HYPERLINK("http://ar.linkedin.com/in/santiagoporta","http://ar.linkedin.com/in/santiagoporta")</f>
        <v>http://ar.linkedin.com/in/santiagoporta</v>
      </c>
      <c r="I7145" s="2" t="s">
        <v>2000</v>
      </c>
      <c r="J7145" s="2" t="s">
        <v>21</v>
      </c>
      <c r="K7145" s="2" t="s">
        <v>10229</v>
      </c>
    </row>
    <row r="7146" ht="15.75" customHeight="1">
      <c r="A7146" s="2">
        <v>52155.0</v>
      </c>
      <c r="B7146" s="2" t="s">
        <v>515</v>
      </c>
      <c r="C7146" s="2" t="s">
        <v>13536</v>
      </c>
      <c r="D7146" s="2" t="s">
        <v>13537</v>
      </c>
      <c r="E7146" s="2" t="s">
        <v>20</v>
      </c>
      <c r="F7146" s="2">
        <v>5.0</v>
      </c>
      <c r="G7146" s="2">
        <v>308.0</v>
      </c>
      <c r="H7146" s="3" t="str">
        <f>HYPERLINK("http://ar.linkedin.com/in/juanignaciogarzon","http://ar.linkedin.com/in/juanignaciogarzon")</f>
        <v>http://ar.linkedin.com/in/juanignaciogarzon</v>
      </c>
      <c r="I7146" s="2" t="s">
        <v>15</v>
      </c>
      <c r="J7146" s="2" t="s">
        <v>21</v>
      </c>
      <c r="K7146" s="2" t="s">
        <v>13538</v>
      </c>
    </row>
    <row r="7147" ht="15.75" customHeight="1">
      <c r="A7147" s="2">
        <v>52184.0</v>
      </c>
      <c r="B7147" s="2" t="s">
        <v>460</v>
      </c>
      <c r="C7147" s="2" t="s">
        <v>9579</v>
      </c>
      <c r="D7147" s="2" t="s">
        <v>13539</v>
      </c>
      <c r="E7147" s="2" t="s">
        <v>5396</v>
      </c>
      <c r="F7147" s="2">
        <v>0.0</v>
      </c>
      <c r="G7147" s="2">
        <v>278.0</v>
      </c>
      <c r="H7147" s="3" t="str">
        <f>HYPERLINK("http://www.linkedin.com/pub/john-sweeney/B/386/BA4","http://www.linkedin.com/pub/john-sweeney/B/386/BA4")</f>
        <v>http://www.linkedin.com/pub/john-sweeney/B/386/BA4</v>
      </c>
      <c r="I7147" s="2" t="s">
        <v>1237</v>
      </c>
      <c r="J7147" s="2" t="s">
        <v>102</v>
      </c>
      <c r="K7147" s="2" t="s">
        <v>10180</v>
      </c>
    </row>
    <row r="7148" ht="15.75" customHeight="1">
      <c r="A7148" s="2">
        <v>52186.0</v>
      </c>
      <c r="B7148" s="2" t="s">
        <v>3550</v>
      </c>
      <c r="C7148" s="2" t="s">
        <v>13540</v>
      </c>
      <c r="D7148" s="2" t="s">
        <v>6260</v>
      </c>
      <c r="E7148" s="2" t="s">
        <v>20</v>
      </c>
      <c r="F7148" s="2">
        <v>2.0</v>
      </c>
      <c r="G7148" s="2">
        <v>136.0</v>
      </c>
      <c r="H7148" s="3" t="str">
        <f>HYPERLINK("http://ar.linkedin.com/pub/nicolas-deledda/14/A4B/639","http://ar.linkedin.com/pub/nicolas-deledda/14/A4B/639")</f>
        <v>http://ar.linkedin.com/pub/nicolas-deledda/14/A4B/639</v>
      </c>
      <c r="I7148" s="2" t="s">
        <v>15</v>
      </c>
      <c r="J7148" s="2" t="s">
        <v>21</v>
      </c>
      <c r="K7148" s="2" t="s">
        <v>10839</v>
      </c>
    </row>
    <row r="7149" ht="15.75" customHeight="1">
      <c r="A7149" s="2">
        <v>52201.0</v>
      </c>
      <c r="B7149" s="2" t="s">
        <v>677</v>
      </c>
      <c r="C7149" s="2" t="s">
        <v>13541</v>
      </c>
      <c r="D7149" s="2" t="s">
        <v>1865</v>
      </c>
      <c r="E7149" s="2" t="s">
        <v>20</v>
      </c>
      <c r="F7149" s="2">
        <v>2.0</v>
      </c>
      <c r="G7149" s="2">
        <v>304.0</v>
      </c>
      <c r="H7149" s="3" t="str">
        <f>HYPERLINK("http://ar.linkedin.com/pub/daniel-caparroz/5/497/B8B","http://ar.linkedin.com/pub/daniel-caparroz/5/497/B8B")</f>
        <v>http://ar.linkedin.com/pub/daniel-caparroz/5/497/B8B</v>
      </c>
      <c r="I7149" s="2" t="s">
        <v>15</v>
      </c>
      <c r="J7149" s="2" t="s">
        <v>21</v>
      </c>
      <c r="K7149" s="2" t="s">
        <v>10180</v>
      </c>
    </row>
    <row r="7150" ht="15.75" customHeight="1">
      <c r="A7150" s="2">
        <v>52279.0</v>
      </c>
      <c r="B7150" s="2" t="s">
        <v>7744</v>
      </c>
      <c r="C7150" s="2" t="s">
        <v>6207</v>
      </c>
      <c r="D7150" s="2" t="s">
        <v>3614</v>
      </c>
      <c r="E7150" s="2" t="s">
        <v>20</v>
      </c>
      <c r="F7150" s="2">
        <v>1.0</v>
      </c>
      <c r="G7150" s="2">
        <v>432.0</v>
      </c>
      <c r="H7150" s="3" t="str">
        <f>HYPERLINK("http://ar.linkedin.com/in/oscaralvarez","http://ar.linkedin.com/in/oscaralvarez")</f>
        <v>http://ar.linkedin.com/in/oscaralvarez</v>
      </c>
      <c r="I7150" s="2" t="s">
        <v>69</v>
      </c>
      <c r="J7150" s="2" t="s">
        <v>21</v>
      </c>
      <c r="K7150" s="2" t="s">
        <v>10224</v>
      </c>
    </row>
    <row r="7151" ht="15.75" customHeight="1">
      <c r="A7151" s="2">
        <v>52280.0</v>
      </c>
      <c r="B7151" s="2" t="s">
        <v>5763</v>
      </c>
      <c r="C7151" s="2" t="s">
        <v>10378</v>
      </c>
      <c r="D7151" s="2" t="s">
        <v>6202</v>
      </c>
      <c r="E7151" s="2" t="s">
        <v>20</v>
      </c>
      <c r="F7151" s="2">
        <v>3.0</v>
      </c>
      <c r="G7151" s="2">
        <v>375.0</v>
      </c>
      <c r="H7151" s="3" t="str">
        <f>HYPERLINK("http://ar.linkedin.com/in/eporta","http://ar.linkedin.com/in/eporta")</f>
        <v>http://ar.linkedin.com/in/eporta</v>
      </c>
      <c r="I7151" s="2" t="s">
        <v>48</v>
      </c>
      <c r="J7151" s="2" t="s">
        <v>21</v>
      </c>
      <c r="K7151" s="2" t="s">
        <v>10196</v>
      </c>
    </row>
    <row r="7152" ht="15.75" customHeight="1">
      <c r="A7152" s="2">
        <v>52317.0</v>
      </c>
      <c r="B7152" s="2" t="s">
        <v>362</v>
      </c>
      <c r="C7152" s="2" t="s">
        <v>7255</v>
      </c>
      <c r="D7152" s="2"/>
      <c r="E7152" s="2" t="s">
        <v>13542</v>
      </c>
      <c r="F7152" s="2">
        <v>11.0</v>
      </c>
      <c r="G7152" s="2">
        <v>500.0</v>
      </c>
      <c r="H7152" s="3" t="str">
        <f>HYPERLINK("http://www.linkedin.com/pub/javier-romeu/3/304/B3A","http://www.linkedin.com/pub/javier-romeu/3/304/B3A")</f>
        <v>http://www.linkedin.com/pub/javier-romeu/3/304/B3A</v>
      </c>
      <c r="I7152" s="2" t="s">
        <v>77</v>
      </c>
      <c r="J7152" s="2" t="s">
        <v>102</v>
      </c>
      <c r="K7152" s="2" t="s">
        <v>10209</v>
      </c>
    </row>
    <row r="7153" ht="15.75" customHeight="1">
      <c r="A7153" s="2">
        <v>52324.0</v>
      </c>
      <c r="B7153" s="2" t="s">
        <v>492</v>
      </c>
      <c r="C7153" s="2" t="s">
        <v>13543</v>
      </c>
      <c r="D7153" s="2"/>
      <c r="E7153" s="2" t="s">
        <v>12475</v>
      </c>
      <c r="F7153" s="2">
        <v>14.0</v>
      </c>
      <c r="G7153" s="2">
        <v>469.0</v>
      </c>
      <c r="H7153" s="3" t="str">
        <f>HYPERLINK("http://www.linkedin.com/pub/sergio-blumer-bastos-neto/0/319/470","http://www.linkedin.com/pub/sergio-blumer-bastos-neto/0/319/470")</f>
        <v>http://www.linkedin.com/pub/sergio-blumer-bastos-neto/0/319/470</v>
      </c>
      <c r="I7153" s="2" t="s">
        <v>15</v>
      </c>
      <c r="J7153" s="2" t="s">
        <v>102</v>
      </c>
      <c r="K7153" s="2" t="s">
        <v>10233</v>
      </c>
    </row>
    <row r="7154" ht="15.75" customHeight="1">
      <c r="A7154" s="2">
        <v>52390.0</v>
      </c>
      <c r="B7154" s="2" t="s">
        <v>13544</v>
      </c>
      <c r="C7154" s="2" t="s">
        <v>13545</v>
      </c>
      <c r="D7154" s="2" t="s">
        <v>13546</v>
      </c>
      <c r="E7154" s="2" t="s">
        <v>13547</v>
      </c>
      <c r="F7154" s="2" t="s">
        <v>13</v>
      </c>
      <c r="G7154" s="2">
        <v>368.0</v>
      </c>
      <c r="H7154" s="3" t="str">
        <f>HYPERLINK("http://www.linkedin.com/pub/chad-k-vogelgesang/9/115/562","http://www.linkedin.com/pub/chad-k-vogelgesang/9/115/562")</f>
        <v>http://www.linkedin.com/pub/chad-k-vogelgesang/9/115/562</v>
      </c>
      <c r="I7154" s="2" t="s">
        <v>2443</v>
      </c>
      <c r="J7154" s="2" t="s">
        <v>102</v>
      </c>
      <c r="K7154" s="2" t="s">
        <v>10187</v>
      </c>
    </row>
    <row r="7155" ht="15.75" customHeight="1">
      <c r="A7155" s="2">
        <v>52398.0</v>
      </c>
      <c r="B7155" s="2" t="s">
        <v>862</v>
      </c>
      <c r="C7155" s="2" t="s">
        <v>13548</v>
      </c>
      <c r="D7155" s="2" t="s">
        <v>1865</v>
      </c>
      <c r="E7155" s="2" t="s">
        <v>20</v>
      </c>
      <c r="F7155" s="2" t="s">
        <v>13</v>
      </c>
      <c r="G7155" s="2">
        <v>254.0</v>
      </c>
      <c r="H7155" s="3" t="str">
        <f>HYPERLINK("http://ar.linkedin.com/pub/gabriel-waldfogiel/8/B22/180","http://ar.linkedin.com/pub/gabriel-waldfogiel/8/B22/180")</f>
        <v>http://ar.linkedin.com/pub/gabriel-waldfogiel/8/B22/180</v>
      </c>
      <c r="I7155" s="2" t="s">
        <v>69</v>
      </c>
      <c r="J7155" s="2" t="s">
        <v>21</v>
      </c>
      <c r="K7155" s="2" t="s">
        <v>10206</v>
      </c>
    </row>
    <row r="7156" ht="15.75" customHeight="1">
      <c r="A7156" s="2">
        <v>52421.0</v>
      </c>
      <c r="B7156" s="2" t="s">
        <v>11788</v>
      </c>
      <c r="C7156" s="2" t="s">
        <v>13549</v>
      </c>
      <c r="D7156" s="2" t="s">
        <v>13</v>
      </c>
      <c r="E7156" s="2" t="s">
        <v>20</v>
      </c>
      <c r="F7156" s="2">
        <v>0.0</v>
      </c>
      <c r="G7156" s="2">
        <v>500.0</v>
      </c>
      <c r="H7156" s="3" t="str">
        <f>HYPERLINK("http://www.linkedin.com/pub/oscar-alberto-vaccaro/28/aab/194","http://www.linkedin.com/pub/oscar-alberto-vaccaro/28/aab/194")</f>
        <v>http://www.linkedin.com/pub/oscar-alberto-vaccaro/28/aab/194</v>
      </c>
      <c r="I7156" s="2" t="s">
        <v>231</v>
      </c>
      <c r="J7156" s="2" t="s">
        <v>21</v>
      </c>
      <c r="K7156" s="2" t="s">
        <v>10173</v>
      </c>
    </row>
    <row r="7157" ht="15.75" customHeight="1">
      <c r="A7157" s="2">
        <v>52422.0</v>
      </c>
      <c r="B7157" s="2" t="s">
        <v>1015</v>
      </c>
      <c r="C7157" s="2" t="s">
        <v>13550</v>
      </c>
      <c r="D7157" s="2" t="s">
        <v>10389</v>
      </c>
      <c r="E7157" s="2" t="s">
        <v>992</v>
      </c>
      <c r="F7157" s="2">
        <v>0.0</v>
      </c>
      <c r="G7157" s="2">
        <v>185.0</v>
      </c>
      <c r="H7157" s="3" t="str">
        <f>HYPERLINK("http://www.linkedin.com/pub/brian-weir/6/243/B6","http://www.linkedin.com/pub/brian-weir/6/243/B6")</f>
        <v>http://www.linkedin.com/pub/brian-weir/6/243/B6</v>
      </c>
      <c r="I7157" s="2" t="s">
        <v>15</v>
      </c>
      <c r="J7157" s="2" t="s">
        <v>102</v>
      </c>
      <c r="K7157" s="2" t="s">
        <v>10263</v>
      </c>
    </row>
    <row r="7158" ht="15.75" customHeight="1">
      <c r="A7158" s="2">
        <v>52481.0</v>
      </c>
      <c r="B7158" s="2" t="s">
        <v>671</v>
      </c>
      <c r="C7158" s="2" t="s">
        <v>13551</v>
      </c>
      <c r="D7158" s="2" t="s">
        <v>13552</v>
      </c>
      <c r="E7158" s="2" t="s">
        <v>1317</v>
      </c>
      <c r="F7158" s="2">
        <v>6.0</v>
      </c>
      <c r="G7158" s="2">
        <v>475.0</v>
      </c>
      <c r="H7158" s="3" t="str">
        <f>HYPERLINK("http://www.linkedin.com/in/mbertozzi","http://www.linkedin.com/in/mbertozzi")</f>
        <v>http://www.linkedin.com/in/mbertozzi</v>
      </c>
      <c r="I7158" s="2" t="s">
        <v>15</v>
      </c>
      <c r="J7158" s="2" t="s">
        <v>102</v>
      </c>
      <c r="K7158" s="2" t="s">
        <v>10184</v>
      </c>
    </row>
    <row r="7159" ht="15.75" customHeight="1">
      <c r="A7159" s="2">
        <v>52511.0</v>
      </c>
      <c r="B7159" s="2" t="s">
        <v>752</v>
      </c>
      <c r="C7159" s="2" t="s">
        <v>13553</v>
      </c>
      <c r="D7159" s="2" t="s">
        <v>13554</v>
      </c>
      <c r="E7159" s="2" t="s">
        <v>628</v>
      </c>
      <c r="F7159" s="2" t="s">
        <v>13</v>
      </c>
      <c r="G7159" s="2">
        <v>158.0</v>
      </c>
      <c r="H7159" s="3" t="str">
        <f>HYPERLINK("http://www.linkedin.com/pub/jim-henson/4/548/124","http://www.linkedin.com/pub/jim-henson/4/548/124")</f>
        <v>http://www.linkedin.com/pub/jim-henson/4/548/124</v>
      </c>
      <c r="I7159" s="2" t="s">
        <v>248</v>
      </c>
      <c r="J7159" s="2" t="s">
        <v>102</v>
      </c>
      <c r="K7159" s="2" t="s">
        <v>10380</v>
      </c>
    </row>
    <row r="7160" ht="15.75" customHeight="1">
      <c r="A7160" s="2">
        <v>52523.0</v>
      </c>
      <c r="B7160" s="2" t="s">
        <v>358</v>
      </c>
      <c r="C7160" s="2" t="s">
        <v>13555</v>
      </c>
      <c r="D7160" s="2" t="s">
        <v>13556</v>
      </c>
      <c r="E7160" s="2" t="s">
        <v>20</v>
      </c>
      <c r="F7160" s="2">
        <v>27.0</v>
      </c>
      <c r="G7160" s="2">
        <v>459.0</v>
      </c>
      <c r="H7160" s="3" t="str">
        <f>HYPERLINK("http://ar.linkedin.com/pub/marcelo-hussein/26/90/173","http://ar.linkedin.com/pub/marcelo-hussein/26/90/173")</f>
        <v>http://ar.linkedin.com/pub/marcelo-hussein/26/90/173</v>
      </c>
      <c r="I7160" s="2" t="s">
        <v>15</v>
      </c>
      <c r="J7160" s="2" t="s">
        <v>21</v>
      </c>
      <c r="K7160" s="2" t="s">
        <v>10196</v>
      </c>
    </row>
    <row r="7161" ht="15.75" customHeight="1">
      <c r="A7161" s="2">
        <v>52714.0</v>
      </c>
      <c r="B7161" s="2" t="s">
        <v>253</v>
      </c>
      <c r="C7161" s="2" t="s">
        <v>13557</v>
      </c>
      <c r="D7161" s="2" t="s">
        <v>13</v>
      </c>
      <c r="E7161" s="2" t="s">
        <v>20</v>
      </c>
      <c r="F7161" s="2">
        <v>0.0</v>
      </c>
      <c r="G7161" s="2">
        <v>67.0</v>
      </c>
      <c r="H7161" s="3" t="str">
        <f>HYPERLINK("http://www.linkedin.com/pub/fernando-montefalcone/5/627/179","http://www.linkedin.com/pub/fernando-montefalcone/5/627/179")</f>
        <v>http://www.linkedin.com/pub/fernando-montefalcone/5/627/179</v>
      </c>
      <c r="I7161" s="2" t="s">
        <v>1679</v>
      </c>
      <c r="J7161" s="2" t="s">
        <v>21</v>
      </c>
      <c r="K7161" s="2" t="s">
        <v>10206</v>
      </c>
    </row>
    <row r="7162" ht="15.75" customHeight="1">
      <c r="A7162" s="2">
        <v>52735.0</v>
      </c>
      <c r="B7162" s="2" t="s">
        <v>3692</v>
      </c>
      <c r="C7162" s="2" t="s">
        <v>7188</v>
      </c>
      <c r="D7162" s="2" t="s">
        <v>13558</v>
      </c>
      <c r="E7162" s="2" t="s">
        <v>20</v>
      </c>
      <c r="F7162" s="2">
        <v>5.0</v>
      </c>
      <c r="G7162" s="2">
        <v>160.0</v>
      </c>
      <c r="H7162" s="3" t="str">
        <f>HYPERLINK("http://ar.linkedin.com/pub/federico-vazquez/19/209/899","http://ar.linkedin.com/pub/federico-vazquez/19/209/899")</f>
        <v>http://ar.linkedin.com/pub/federico-vazquez/19/209/899</v>
      </c>
      <c r="I7162" s="2" t="s">
        <v>15</v>
      </c>
      <c r="J7162" s="2" t="s">
        <v>21</v>
      </c>
      <c r="K7162" s="2" t="s">
        <v>10196</v>
      </c>
    </row>
    <row r="7163" ht="15.75" customHeight="1">
      <c r="A7163" s="2">
        <v>52736.0</v>
      </c>
      <c r="B7163" s="2" t="s">
        <v>13559</v>
      </c>
      <c r="C7163" s="2" t="s">
        <v>13560</v>
      </c>
      <c r="D7163" s="2" t="s">
        <v>13561</v>
      </c>
      <c r="E7163" s="2" t="s">
        <v>101</v>
      </c>
      <c r="F7163" s="2">
        <v>3.0</v>
      </c>
      <c r="G7163" s="2">
        <v>93.0</v>
      </c>
      <c r="H7163" s="3" t="str">
        <f>HYPERLINK("http://www.linkedin.com/pub/javarros-byrd/9/B1B/784","http://www.linkedin.com/pub/javarros-byrd/9/B1B/784")</f>
        <v>http://www.linkedin.com/pub/javarros-byrd/9/B1B/784</v>
      </c>
      <c r="I7163" s="2" t="s">
        <v>458</v>
      </c>
      <c r="J7163" s="2" t="s">
        <v>102</v>
      </c>
      <c r="K7163" s="2" t="s">
        <v>10206</v>
      </c>
    </row>
    <row r="7164" ht="15.75" customHeight="1">
      <c r="A7164" s="2">
        <v>52868.0</v>
      </c>
      <c r="B7164" s="2" t="s">
        <v>605</v>
      </c>
      <c r="C7164" s="2" t="s">
        <v>13518</v>
      </c>
      <c r="D7164" s="2" t="s">
        <v>13562</v>
      </c>
      <c r="E7164" s="2" t="s">
        <v>1190</v>
      </c>
      <c r="F7164" s="2">
        <v>4.0</v>
      </c>
      <c r="G7164" s="2">
        <v>500.0</v>
      </c>
      <c r="H7164" s="3" t="str">
        <f>HYPERLINK("http://www.linkedin.com/pub/roberto-torok/4/4B7/B9A","http://www.linkedin.com/pub/roberto-torok/4/4B7/B9A")</f>
        <v>http://www.linkedin.com/pub/roberto-torok/4/4B7/B9A</v>
      </c>
      <c r="I7164" s="2" t="s">
        <v>279</v>
      </c>
      <c r="J7164" s="2" t="s">
        <v>102</v>
      </c>
      <c r="K7164" s="2" t="s">
        <v>10187</v>
      </c>
    </row>
    <row r="7165" ht="15.75" customHeight="1">
      <c r="A7165" s="2">
        <v>52869.0</v>
      </c>
      <c r="B7165" s="2" t="s">
        <v>5332</v>
      </c>
      <c r="C7165" s="2" t="s">
        <v>13563</v>
      </c>
      <c r="D7165" s="2" t="s">
        <v>13</v>
      </c>
      <c r="E7165" s="2" t="s">
        <v>91</v>
      </c>
      <c r="F7165" s="2">
        <v>0.0</v>
      </c>
      <c r="G7165" s="2">
        <v>156.0</v>
      </c>
      <c r="H7165" s="3" t="str">
        <f>HYPERLINK("http://www.linkedin.com/pub/mercedes-cud%C3%B3s/1a/84/362","http://www.linkedin.com/pub/mercedes-cud%C3%B3s/1a/84/362")</f>
        <v>http://www.linkedin.com/pub/mercedes-cud%C3%B3s/1a/84/362</v>
      </c>
      <c r="I7165" s="2" t="s">
        <v>2046</v>
      </c>
      <c r="J7165" s="2" t="s">
        <v>34</v>
      </c>
      <c r="K7165" s="2" t="s">
        <v>12769</v>
      </c>
    </row>
    <row r="7166" ht="15.75" customHeight="1">
      <c r="A7166" s="2">
        <v>52871.0</v>
      </c>
      <c r="B7166" s="2" t="s">
        <v>7935</v>
      </c>
      <c r="C7166" s="2" t="s">
        <v>3955</v>
      </c>
      <c r="D7166" s="2" t="s">
        <v>498</v>
      </c>
      <c r="E7166" s="2" t="s">
        <v>20</v>
      </c>
      <c r="F7166" s="2">
        <v>8.0</v>
      </c>
      <c r="G7166" s="2">
        <v>500.0</v>
      </c>
      <c r="H7166" s="3" t="str">
        <f>HYPERLINK("http://ar.linkedin.com/pub/charlie-shaw/7/38A/927","http://ar.linkedin.com/pub/charlie-shaw/7/38A/927")</f>
        <v>http://ar.linkedin.com/pub/charlie-shaw/7/38A/927</v>
      </c>
      <c r="I7166" s="2" t="s">
        <v>422</v>
      </c>
      <c r="J7166" s="2" t="s">
        <v>21</v>
      </c>
      <c r="K7166" s="2" t="s">
        <v>12699</v>
      </c>
    </row>
    <row r="7167" ht="15.75" customHeight="1">
      <c r="A7167" s="2">
        <v>52884.0</v>
      </c>
      <c r="B7167" s="2" t="s">
        <v>13564</v>
      </c>
      <c r="C7167" s="2" t="s">
        <v>13565</v>
      </c>
      <c r="D7167" s="2" t="s">
        <v>13</v>
      </c>
      <c r="E7167" s="2" t="s">
        <v>20</v>
      </c>
      <c r="F7167" s="2">
        <v>0.0</v>
      </c>
      <c r="G7167" s="2">
        <v>303.0</v>
      </c>
      <c r="H7167" s="3" t="str">
        <f>HYPERLINK("http://www.linkedin.com/pub/nestor-gabriel-esquivel/12/833/17","http://www.linkedin.com/pub/nestor-gabriel-esquivel/12/833/17")</f>
        <v>http://www.linkedin.com/pub/nestor-gabriel-esquivel/12/833/17</v>
      </c>
      <c r="I7167" s="2" t="s">
        <v>15</v>
      </c>
      <c r="J7167" s="2" t="s">
        <v>21</v>
      </c>
      <c r="K7167" s="2" t="s">
        <v>10196</v>
      </c>
    </row>
    <row r="7168" ht="15.75" customHeight="1">
      <c r="A7168" s="2">
        <v>52917.0</v>
      </c>
      <c r="B7168" s="2" t="s">
        <v>7373</v>
      </c>
      <c r="C7168" s="2" t="s">
        <v>4288</v>
      </c>
      <c r="D7168" s="2" t="s">
        <v>13566</v>
      </c>
      <c r="E7168" s="2" t="s">
        <v>3130</v>
      </c>
      <c r="F7168" s="2" t="s">
        <v>13</v>
      </c>
      <c r="G7168" s="2">
        <v>269.0</v>
      </c>
      <c r="H7168" s="3" t="str">
        <f>HYPERLINK("http://www.linkedin.com/pub/amanda-sewell/19/468/886","http://www.linkedin.com/pub/amanda-sewell/19/468/886")</f>
        <v>http://www.linkedin.com/pub/amanda-sewell/19/468/886</v>
      </c>
      <c r="I7168" s="2" t="s">
        <v>182</v>
      </c>
      <c r="J7168" s="2" t="s">
        <v>102</v>
      </c>
      <c r="K7168" s="2" t="s">
        <v>13567</v>
      </c>
    </row>
    <row r="7169" ht="15.75" customHeight="1">
      <c r="A7169" s="2">
        <v>52920.0</v>
      </c>
      <c r="B7169" s="2" t="s">
        <v>59</v>
      </c>
      <c r="C7169" s="2" t="s">
        <v>13568</v>
      </c>
      <c r="D7169" s="2" t="s">
        <v>13569</v>
      </c>
      <c r="E7169" s="2" t="s">
        <v>20</v>
      </c>
      <c r="F7169" s="2">
        <v>7.0</v>
      </c>
      <c r="G7169" s="2">
        <v>448.0</v>
      </c>
      <c r="H7169" s="3" t="str">
        <f>HYPERLINK("http://ar.linkedin.com/pub/martin-scandroli/24/438/33A","http://ar.linkedin.com/pub/martin-scandroli/24/438/33A")</f>
        <v>http://ar.linkedin.com/pub/martin-scandroli/24/438/33A</v>
      </c>
      <c r="I7169" s="2" t="s">
        <v>15</v>
      </c>
      <c r="J7169" s="2" t="s">
        <v>21</v>
      </c>
      <c r="K7169" s="2" t="s">
        <v>10180</v>
      </c>
    </row>
    <row r="7170" ht="15.75" customHeight="1">
      <c r="A7170" s="2">
        <v>52926.0</v>
      </c>
      <c r="B7170" s="2" t="s">
        <v>45</v>
      </c>
      <c r="C7170" s="2" t="s">
        <v>13570</v>
      </c>
      <c r="D7170" s="2" t="s">
        <v>13571</v>
      </c>
      <c r="E7170" s="2" t="s">
        <v>20</v>
      </c>
      <c r="F7170" s="2">
        <v>2.0</v>
      </c>
      <c r="G7170" s="2">
        <v>164.0</v>
      </c>
      <c r="H7170" s="3" t="str">
        <f>HYPERLINK("http://ar.linkedin.com/pub/carlos-paz-soldan/11/744/62","http://ar.linkedin.com/pub/carlos-paz-soldan/11/744/62")</f>
        <v>http://ar.linkedin.com/pub/carlos-paz-soldan/11/744/62</v>
      </c>
      <c r="I7170" s="2" t="s">
        <v>15</v>
      </c>
      <c r="J7170" s="2" t="s">
        <v>21</v>
      </c>
      <c r="K7170" s="2" t="s">
        <v>10196</v>
      </c>
    </row>
    <row r="7171" ht="15.75" customHeight="1">
      <c r="A7171" s="2">
        <v>52929.0</v>
      </c>
      <c r="B7171" s="2" t="s">
        <v>253</v>
      </c>
      <c r="C7171" s="2" t="s">
        <v>13572</v>
      </c>
      <c r="D7171" s="2" t="s">
        <v>13573</v>
      </c>
      <c r="E7171" s="2" t="s">
        <v>20</v>
      </c>
      <c r="F7171" s="2">
        <v>3.0</v>
      </c>
      <c r="G7171" s="2">
        <v>500.0</v>
      </c>
      <c r="H7171" s="3" t="str">
        <f>HYPERLINK("http://ar.linkedin.com/pub/fernando-scasserra/3/B83/89","http://ar.linkedin.com/pub/fernando-scasserra/3/B83/89")</f>
        <v>http://ar.linkedin.com/pub/fernando-scasserra/3/B83/89</v>
      </c>
      <c r="I7171" s="2" t="s">
        <v>69</v>
      </c>
      <c r="J7171" s="2" t="s">
        <v>21</v>
      </c>
      <c r="K7171" s="2" t="s">
        <v>10196</v>
      </c>
    </row>
    <row r="7172" ht="15.75" customHeight="1">
      <c r="A7172" s="2">
        <v>52946.0</v>
      </c>
      <c r="B7172" s="2" t="s">
        <v>5883</v>
      </c>
      <c r="C7172" s="2" t="s">
        <v>13574</v>
      </c>
      <c r="D7172" s="2" t="s">
        <v>13575</v>
      </c>
      <c r="E7172" s="2" t="s">
        <v>20</v>
      </c>
      <c r="F7172" s="2">
        <v>1.0</v>
      </c>
      <c r="G7172" s="2">
        <v>500.0</v>
      </c>
      <c r="H7172" s="3" t="str">
        <f>HYPERLINK("http://ar.linkedin.com/pub/ariel-gurmandi/4/925/30A","http://ar.linkedin.com/pub/ariel-gurmandi/4/925/30A")</f>
        <v>http://ar.linkedin.com/pub/ariel-gurmandi/4/925/30A</v>
      </c>
      <c r="I7172" s="2" t="s">
        <v>240</v>
      </c>
      <c r="J7172" s="2" t="s">
        <v>21</v>
      </c>
      <c r="K7172" s="2" t="s">
        <v>10371</v>
      </c>
    </row>
    <row r="7173" ht="15.75" customHeight="1">
      <c r="A7173" s="2">
        <v>52949.0</v>
      </c>
      <c r="B7173" s="2" t="s">
        <v>358</v>
      </c>
      <c r="C7173" s="2" t="s">
        <v>8336</v>
      </c>
      <c r="D7173" s="2" t="s">
        <v>8968</v>
      </c>
      <c r="E7173" s="2" t="s">
        <v>20</v>
      </c>
      <c r="F7173" s="2">
        <v>8.0</v>
      </c>
      <c r="G7173" s="2">
        <v>500.0</v>
      </c>
      <c r="H7173" s="3" t="str">
        <f>HYPERLINK("http://ar.linkedin.com/pub/marcelo-rivas/15/41A/456","http://ar.linkedin.com/pub/marcelo-rivas/15/41A/456")</f>
        <v>http://ar.linkedin.com/pub/marcelo-rivas/15/41A/456</v>
      </c>
      <c r="I7173" s="2" t="s">
        <v>15</v>
      </c>
      <c r="J7173" s="2" t="s">
        <v>21</v>
      </c>
      <c r="K7173" s="2" t="s">
        <v>10196</v>
      </c>
    </row>
    <row r="7174" ht="15.75" customHeight="1">
      <c r="A7174" s="2">
        <v>52984.0</v>
      </c>
      <c r="B7174" s="2" t="s">
        <v>6930</v>
      </c>
      <c r="C7174" s="2" t="s">
        <v>13576</v>
      </c>
      <c r="D7174" s="2" t="s">
        <v>13</v>
      </c>
      <c r="E7174" s="2" t="s">
        <v>20</v>
      </c>
      <c r="F7174" s="2">
        <v>0.0</v>
      </c>
      <c r="G7174" s="2">
        <v>352.0</v>
      </c>
      <c r="H7174" s="3" t="str">
        <f>HYPERLINK("http://www.linkedin.com/pub/dario-trane/24/637/b0b","http://www.linkedin.com/pub/dario-trane/24/637/b0b")</f>
        <v>http://www.linkedin.com/pub/dario-trane/24/637/b0b</v>
      </c>
      <c r="I7174" s="2" t="s">
        <v>105</v>
      </c>
      <c r="J7174" s="2" t="s">
        <v>21</v>
      </c>
      <c r="K7174" s="2" t="s">
        <v>10182</v>
      </c>
    </row>
    <row r="7175" ht="15.75" customHeight="1">
      <c r="A7175" s="2">
        <v>52992.0</v>
      </c>
      <c r="B7175" s="2" t="s">
        <v>314</v>
      </c>
      <c r="C7175" s="2" t="s">
        <v>13577</v>
      </c>
      <c r="D7175" s="2" t="s">
        <v>8349</v>
      </c>
      <c r="E7175" s="2" t="s">
        <v>20</v>
      </c>
      <c r="F7175" s="2">
        <v>8.0</v>
      </c>
      <c r="G7175" s="2">
        <v>449.0</v>
      </c>
      <c r="H7175" s="3" t="str">
        <f>HYPERLINK("http://www.linkedin.com/in/tomattimarcos","http://www.linkedin.com/in/tomattimarcos")</f>
        <v>http://www.linkedin.com/in/tomattimarcos</v>
      </c>
      <c r="I7175" s="2" t="s">
        <v>69</v>
      </c>
      <c r="J7175" s="2" t="s">
        <v>21</v>
      </c>
      <c r="K7175" s="2" t="s">
        <v>10196</v>
      </c>
    </row>
    <row r="7176" ht="15.75" customHeight="1">
      <c r="A7176" s="2">
        <v>53028.0</v>
      </c>
      <c r="B7176" s="2" t="s">
        <v>5039</v>
      </c>
      <c r="C7176" s="2" t="s">
        <v>13578</v>
      </c>
      <c r="D7176" s="2" t="s">
        <v>6689</v>
      </c>
      <c r="E7176" s="2" t="s">
        <v>20</v>
      </c>
      <c r="F7176" s="2">
        <v>4.0</v>
      </c>
      <c r="G7176" s="2">
        <v>156.0</v>
      </c>
      <c r="H7176" s="3" t="str">
        <f>HYPERLINK("http://ar.linkedin.com/in/rodolfotala","http://ar.linkedin.com/in/rodolfotala")</f>
        <v>http://ar.linkedin.com/in/rodolfotala</v>
      </c>
      <c r="I7176" s="2" t="s">
        <v>15</v>
      </c>
      <c r="J7176" s="2" t="s">
        <v>21</v>
      </c>
      <c r="K7176" s="2" t="s">
        <v>10196</v>
      </c>
    </row>
    <row r="7177" ht="15.75" customHeight="1">
      <c r="A7177" s="2">
        <v>53031.0</v>
      </c>
      <c r="B7177" s="2" t="s">
        <v>3692</v>
      </c>
      <c r="C7177" s="2" t="s">
        <v>5762</v>
      </c>
      <c r="D7177" s="2" t="s">
        <v>7548</v>
      </c>
      <c r="E7177" s="2" t="s">
        <v>20</v>
      </c>
      <c r="F7177" s="2">
        <v>3.0</v>
      </c>
      <c r="G7177" s="2">
        <v>369.0</v>
      </c>
      <c r="H7177" s="3" t="str">
        <f>HYPERLINK("http://ar.linkedin.com/in/federicosardi","http://ar.linkedin.com/in/federicosardi")</f>
        <v>http://ar.linkedin.com/in/federicosardi</v>
      </c>
      <c r="I7177" s="2" t="s">
        <v>15</v>
      </c>
      <c r="J7177" s="2" t="s">
        <v>21</v>
      </c>
      <c r="K7177" s="2" t="s">
        <v>10196</v>
      </c>
    </row>
    <row r="7178" ht="15.75" customHeight="1">
      <c r="A7178" s="2">
        <v>53052.0</v>
      </c>
      <c r="B7178" s="2" t="s">
        <v>784</v>
      </c>
      <c r="C7178" s="2" t="s">
        <v>13579</v>
      </c>
      <c r="D7178" s="2" t="s">
        <v>2385</v>
      </c>
      <c r="E7178" s="2" t="s">
        <v>136</v>
      </c>
      <c r="F7178" s="2">
        <v>7.0</v>
      </c>
      <c r="G7178" s="2">
        <v>500.0</v>
      </c>
      <c r="H7178" s="3" t="str">
        <f>HYPERLINK("http://www.linkedin.com/in/jeffnokes","http://www.linkedin.com/in/jeffnokes")</f>
        <v>http://www.linkedin.com/in/jeffnokes</v>
      </c>
      <c r="I7178" s="2" t="s">
        <v>48</v>
      </c>
      <c r="J7178" s="2" t="s">
        <v>102</v>
      </c>
      <c r="K7178" s="2" t="s">
        <v>10245</v>
      </c>
    </row>
    <row r="7179" ht="15.75" customHeight="1">
      <c r="A7179" s="2">
        <v>53060.0</v>
      </c>
      <c r="B7179" s="2" t="s">
        <v>3550</v>
      </c>
      <c r="C7179" s="2" t="s">
        <v>13580</v>
      </c>
      <c r="D7179" s="2" t="s">
        <v>13581</v>
      </c>
      <c r="E7179" s="2" t="s">
        <v>20</v>
      </c>
      <c r="F7179" s="2">
        <v>3.0</v>
      </c>
      <c r="G7179" s="2">
        <v>500.0</v>
      </c>
      <c r="H7179" s="3" t="str">
        <f>HYPERLINK("http://ar.linkedin.com/pub/nicolas-martinet/A/796/965","http://ar.linkedin.com/pub/nicolas-martinet/A/796/965")</f>
        <v>http://ar.linkedin.com/pub/nicolas-martinet/A/796/965</v>
      </c>
      <c r="I7179" s="2" t="s">
        <v>15</v>
      </c>
      <c r="J7179" s="2" t="s">
        <v>21</v>
      </c>
      <c r="K7179" s="2" t="s">
        <v>10196</v>
      </c>
    </row>
    <row r="7180" ht="15.75" customHeight="1">
      <c r="A7180" s="2">
        <v>53084.0</v>
      </c>
      <c r="B7180" s="2" t="s">
        <v>523</v>
      </c>
      <c r="C7180" s="2" t="s">
        <v>13582</v>
      </c>
      <c r="D7180" s="2" t="s">
        <v>13583</v>
      </c>
      <c r="E7180" s="2" t="s">
        <v>20</v>
      </c>
      <c r="F7180" s="2" t="s">
        <v>13</v>
      </c>
      <c r="G7180" s="2">
        <v>397.0</v>
      </c>
      <c r="H7180" s="3" t="str">
        <f>HYPERLINK("http://ar.linkedin.com/in/ignaciododero","http://ar.linkedin.com/in/ignaciododero")</f>
        <v>http://ar.linkedin.com/in/ignaciododero</v>
      </c>
      <c r="I7180" s="2" t="s">
        <v>15</v>
      </c>
      <c r="J7180" s="2" t="s">
        <v>21</v>
      </c>
      <c r="K7180" s="2" t="s">
        <v>10224</v>
      </c>
    </row>
    <row r="7181" ht="15.75" customHeight="1">
      <c r="A7181" s="2">
        <v>53095.0</v>
      </c>
      <c r="B7181" s="2" t="s">
        <v>13584</v>
      </c>
      <c r="C7181" s="2" t="s">
        <v>13585</v>
      </c>
      <c r="D7181" s="2" t="s">
        <v>13</v>
      </c>
      <c r="E7181" s="2" t="s">
        <v>20</v>
      </c>
      <c r="F7181" s="2">
        <v>0.0</v>
      </c>
      <c r="G7181" s="2">
        <v>319.0</v>
      </c>
      <c r="H7181" s="3" t="str">
        <f>HYPERLINK("http://www.linkedin.com/pub/mar%C3%ADa-jose-pereyra-lucena/23/5b/9b0","http://www.linkedin.com/pub/mar%C3%ADa-jose-pereyra-lucena/23/5b/9b0")</f>
        <v>http://www.linkedin.com/pub/mar%C3%ADa-jose-pereyra-lucena/23/5b/9b0</v>
      </c>
      <c r="I7181" s="2" t="s">
        <v>15</v>
      </c>
      <c r="J7181" s="2" t="s">
        <v>21</v>
      </c>
      <c r="K7181" s="2" t="s">
        <v>10206</v>
      </c>
    </row>
    <row r="7182" ht="15.75" customHeight="1">
      <c r="A7182" s="2">
        <v>53099.0</v>
      </c>
      <c r="B7182" s="2" t="s">
        <v>59</v>
      </c>
      <c r="C7182" s="2" t="s">
        <v>13586</v>
      </c>
      <c r="D7182" s="2" t="s">
        <v>13</v>
      </c>
      <c r="E7182" s="2" t="s">
        <v>4407</v>
      </c>
      <c r="F7182" s="2">
        <v>0.0</v>
      </c>
      <c r="G7182" s="2">
        <v>500.0</v>
      </c>
      <c r="H7182" s="3" t="str">
        <f>HYPERLINK("https://www.linkedin.com/in/martinbrossman","https://www.linkedin.com/in/martinbrossman")</f>
        <v>https://www.linkedin.com/in/martinbrossman</v>
      </c>
      <c r="I7182" s="2" t="s">
        <v>1390</v>
      </c>
      <c r="J7182" s="2" t="s">
        <v>102</v>
      </c>
      <c r="K7182" s="2" t="s">
        <v>10206</v>
      </c>
    </row>
    <row r="7183" ht="15.75" customHeight="1">
      <c r="A7183" s="2">
        <v>53100.0</v>
      </c>
      <c r="B7183" s="2" t="s">
        <v>13587</v>
      </c>
      <c r="C7183" s="2" t="s">
        <v>13588</v>
      </c>
      <c r="D7183" s="2" t="s">
        <v>6129</v>
      </c>
      <c r="E7183" s="2" t="s">
        <v>20</v>
      </c>
      <c r="F7183" s="2">
        <v>13.0</v>
      </c>
      <c r="G7183" s="2">
        <v>225.0</v>
      </c>
      <c r="H7183" s="3" t="str">
        <f>HYPERLINK("http://www.linkedin.com/in/ceciliabertolo","http://www.linkedin.com/in/ceciliabertolo")</f>
        <v>http://www.linkedin.com/in/ceciliabertolo</v>
      </c>
      <c r="I7183" s="2" t="s">
        <v>2268</v>
      </c>
      <c r="J7183" s="2" t="s">
        <v>21</v>
      </c>
      <c r="K7183" s="2" t="s">
        <v>10196</v>
      </c>
    </row>
    <row r="7184" ht="15.75" customHeight="1">
      <c r="A7184" s="2">
        <v>53102.0</v>
      </c>
      <c r="B7184" s="2" t="s">
        <v>6496</v>
      </c>
      <c r="C7184" s="2" t="s">
        <v>13589</v>
      </c>
      <c r="D7184" s="2" t="s">
        <v>13590</v>
      </c>
      <c r="E7184" s="2" t="s">
        <v>20</v>
      </c>
      <c r="F7184" s="2">
        <v>4.0</v>
      </c>
      <c r="G7184" s="2">
        <v>119.0</v>
      </c>
      <c r="H7184" s="3" t="str">
        <f>HYPERLINK("http://ar.linkedin.com/pub/karina-de-rosa/A/139/422","http://ar.linkedin.com/pub/karina-de-rosa/A/139/422")</f>
        <v>http://ar.linkedin.com/pub/karina-de-rosa/A/139/422</v>
      </c>
      <c r="I7184" s="2" t="s">
        <v>15</v>
      </c>
      <c r="J7184" s="2" t="s">
        <v>21</v>
      </c>
      <c r="K7184" s="2" t="s">
        <v>10196</v>
      </c>
    </row>
    <row r="7185" ht="15.75" customHeight="1">
      <c r="A7185" s="2">
        <v>53129.0</v>
      </c>
      <c r="B7185" s="2" t="s">
        <v>13591</v>
      </c>
      <c r="C7185" s="2" t="s">
        <v>13592</v>
      </c>
      <c r="D7185" s="2"/>
      <c r="E7185" s="2" t="s">
        <v>13593</v>
      </c>
      <c r="F7185" s="2">
        <v>0.0</v>
      </c>
      <c r="G7185" s="2">
        <v>374.0</v>
      </c>
      <c r="H7185" s="3" t="str">
        <f>HYPERLINK("http://www.linkedin.com/pub/federico-adrian-lammel/0/234/80","http://www.linkedin.com/pub/federico-adrian-lammel/0/234/80")</f>
        <v>http://www.linkedin.com/pub/federico-adrian-lammel/0/234/80</v>
      </c>
      <c r="I7185" s="2" t="s">
        <v>77</v>
      </c>
      <c r="J7185" s="2" t="s">
        <v>102</v>
      </c>
      <c r="K7185" s="2" t="s">
        <v>10187</v>
      </c>
    </row>
    <row r="7186" ht="15.75" customHeight="1">
      <c r="A7186" s="2">
        <v>53134.0</v>
      </c>
      <c r="B7186" s="2" t="s">
        <v>5495</v>
      </c>
      <c r="C7186" s="2" t="s">
        <v>13594</v>
      </c>
      <c r="D7186" s="2" t="s">
        <v>13595</v>
      </c>
      <c r="E7186" s="2" t="s">
        <v>1190</v>
      </c>
      <c r="F7186" s="2">
        <v>6.0</v>
      </c>
      <c r="G7186" s="2">
        <v>500.0</v>
      </c>
      <c r="H7186" s="3" t="str">
        <f>HYPERLINK("http://www.linkedin.com/in/commercialre","http://www.linkedin.com/in/commercialre")</f>
        <v>http://www.linkedin.com/in/commercialre</v>
      </c>
      <c r="I7186" s="2" t="s">
        <v>475</v>
      </c>
      <c r="J7186" s="2" t="s">
        <v>102</v>
      </c>
      <c r="K7186" s="2" t="s">
        <v>10206</v>
      </c>
    </row>
    <row r="7187" ht="15.75" customHeight="1">
      <c r="A7187" s="2">
        <v>53142.0</v>
      </c>
      <c r="B7187" s="2" t="s">
        <v>358</v>
      </c>
      <c r="C7187" s="2" t="s">
        <v>13596</v>
      </c>
      <c r="D7187" s="2" t="s">
        <v>13</v>
      </c>
      <c r="E7187" s="2" t="s">
        <v>20</v>
      </c>
      <c r="F7187" s="2">
        <v>4.0</v>
      </c>
      <c r="G7187" s="2">
        <v>500.0</v>
      </c>
      <c r="H7187" s="3" t="str">
        <f>HYPERLINK("http://www.linkedin.com/pub/marcelo-utard/4/968/b64","http://www.linkedin.com/pub/marcelo-utard/4/968/b64")</f>
        <v>http://www.linkedin.com/pub/marcelo-utard/4/968/b64</v>
      </c>
      <c r="I7187" s="2" t="s">
        <v>873</v>
      </c>
      <c r="J7187" s="2" t="s">
        <v>21</v>
      </c>
      <c r="K7187" s="2" t="s">
        <v>10245</v>
      </c>
    </row>
    <row r="7188" ht="15.75" customHeight="1">
      <c r="A7188" s="2">
        <v>53186.0</v>
      </c>
      <c r="B7188" s="2" t="s">
        <v>845</v>
      </c>
      <c r="C7188" s="2" t="s">
        <v>1144</v>
      </c>
      <c r="D7188" s="2" t="s">
        <v>114</v>
      </c>
      <c r="E7188" s="2" t="s">
        <v>457</v>
      </c>
      <c r="F7188" s="2">
        <v>8.0</v>
      </c>
      <c r="G7188" s="2">
        <v>500.0</v>
      </c>
      <c r="H7188" s="3" t="str">
        <f>HYPERLINK("http://www.linkedin.com/pub/david-allen/0/25/81B","http://www.linkedin.com/pub/david-allen/0/25/81B")</f>
        <v>http://www.linkedin.com/pub/david-allen/0/25/81B</v>
      </c>
      <c r="I7188" s="2" t="s">
        <v>248</v>
      </c>
      <c r="J7188" s="2" t="s">
        <v>102</v>
      </c>
      <c r="K7188" s="2" t="s">
        <v>10187</v>
      </c>
    </row>
    <row r="7189" ht="15.75" customHeight="1">
      <c r="A7189" s="2">
        <v>53230.0</v>
      </c>
      <c r="B7189" s="2" t="s">
        <v>6666</v>
      </c>
      <c r="C7189" s="2" t="s">
        <v>13597</v>
      </c>
      <c r="D7189" s="2" t="s">
        <v>13</v>
      </c>
      <c r="E7189" s="2" t="s">
        <v>20</v>
      </c>
      <c r="F7189" s="2">
        <v>2.0</v>
      </c>
      <c r="G7189" s="2">
        <v>198.0</v>
      </c>
      <c r="H7189" s="3" t="str">
        <f>HYPERLINK("http://www.linkedin.com/pub/sebasti%C3%A1n-mayor%C3%A1/a/a77/989","http://www.linkedin.com/pub/sebasti%C3%A1n-mayor%C3%A1/a/a77/989")</f>
        <v>http://www.linkedin.com/pub/sebasti%C3%A1n-mayor%C3%A1/a/a77/989</v>
      </c>
      <c r="I7189" s="2" t="s">
        <v>48</v>
      </c>
      <c r="J7189" s="2" t="s">
        <v>21</v>
      </c>
      <c r="K7189" s="2" t="s">
        <v>10337</v>
      </c>
    </row>
    <row r="7190" ht="15.75" customHeight="1">
      <c r="A7190" s="2">
        <v>53237.0</v>
      </c>
      <c r="B7190" s="2" t="s">
        <v>940</v>
      </c>
      <c r="C7190" s="2" t="s">
        <v>13598</v>
      </c>
      <c r="D7190" s="2" t="s">
        <v>13599</v>
      </c>
      <c r="E7190" s="2" t="s">
        <v>136</v>
      </c>
      <c r="F7190" s="2" t="s">
        <v>13</v>
      </c>
      <c r="G7190" s="2">
        <v>500.0</v>
      </c>
      <c r="H7190" s="3" t="str">
        <f>HYPERLINK("http://www.linkedin.com/pub/bob-crandles/16/971/125","http://www.linkedin.com/pub/bob-crandles/16/971/125")</f>
        <v>http://www.linkedin.com/pub/bob-crandles/16/971/125</v>
      </c>
      <c r="I7190" s="2" t="s">
        <v>248</v>
      </c>
      <c r="J7190" s="2" t="s">
        <v>102</v>
      </c>
      <c r="K7190" s="2" t="s">
        <v>10206</v>
      </c>
    </row>
    <row r="7191" ht="15.75" customHeight="1">
      <c r="A7191" s="2">
        <v>53276.0</v>
      </c>
      <c r="B7191" s="2" t="s">
        <v>839</v>
      </c>
      <c r="C7191" s="2" t="s">
        <v>13600</v>
      </c>
      <c r="D7191" s="2" t="s">
        <v>8485</v>
      </c>
      <c r="E7191" s="2" t="s">
        <v>136</v>
      </c>
      <c r="F7191" s="2">
        <v>52.0</v>
      </c>
      <c r="G7191" s="2">
        <v>500.0</v>
      </c>
      <c r="H7191" s="3" t="str">
        <f>HYPERLINK("http://www.linkedin.com/in/davemcclure","http://www.linkedin.com/in/davemcclure")</f>
        <v>http://www.linkedin.com/in/davemcclure</v>
      </c>
      <c r="I7191" s="2" t="s">
        <v>69</v>
      </c>
      <c r="J7191" s="2" t="s">
        <v>102</v>
      </c>
      <c r="K7191" s="2" t="s">
        <v>10245</v>
      </c>
    </row>
    <row r="7192" ht="15.75" customHeight="1">
      <c r="A7192" s="2">
        <v>53281.0</v>
      </c>
      <c r="B7192" s="2" t="s">
        <v>4304</v>
      </c>
      <c r="C7192" s="2" t="s">
        <v>13601</v>
      </c>
      <c r="D7192" s="2" t="s">
        <v>13602</v>
      </c>
      <c r="E7192" s="2" t="s">
        <v>20</v>
      </c>
      <c r="F7192" s="2">
        <v>11.0</v>
      </c>
      <c r="G7192" s="2">
        <v>500.0</v>
      </c>
      <c r="H7192" s="3" t="str">
        <f>HYPERLINK("http://ar.linkedin.com/in/leandrogaleano","http://ar.linkedin.com/in/leandrogaleano")</f>
        <v>http://ar.linkedin.com/in/leandrogaleano</v>
      </c>
      <c r="I7192" s="2" t="s">
        <v>69</v>
      </c>
      <c r="J7192" s="2" t="s">
        <v>21</v>
      </c>
      <c r="K7192" s="2" t="s">
        <v>10263</v>
      </c>
    </row>
    <row r="7193" ht="15.75" customHeight="1">
      <c r="A7193" s="2">
        <v>53291.0</v>
      </c>
      <c r="B7193" s="2" t="s">
        <v>3449</v>
      </c>
      <c r="C7193" s="2" t="s">
        <v>13603</v>
      </c>
      <c r="D7193" s="2" t="s">
        <v>13604</v>
      </c>
      <c r="E7193" s="2" t="s">
        <v>136</v>
      </c>
      <c r="F7193" s="2">
        <v>8.0</v>
      </c>
      <c r="G7193" s="2">
        <v>500.0</v>
      </c>
      <c r="H7193" s="3" t="str">
        <f>HYPERLINK("http://www.linkedin.com/in/kayluo","http://www.linkedin.com/in/kayluo")</f>
        <v>http://www.linkedin.com/in/kayluo</v>
      </c>
      <c r="I7193" s="2" t="s">
        <v>69</v>
      </c>
      <c r="J7193" s="2" t="s">
        <v>102</v>
      </c>
      <c r="K7193" s="2" t="s">
        <v>13605</v>
      </c>
    </row>
    <row r="7194" ht="15.75" customHeight="1">
      <c r="A7194" s="2">
        <v>53311.0</v>
      </c>
      <c r="B7194" s="2" t="s">
        <v>4390</v>
      </c>
      <c r="C7194" s="2" t="s">
        <v>13606</v>
      </c>
      <c r="D7194" s="2" t="s">
        <v>13607</v>
      </c>
      <c r="E7194" s="2" t="s">
        <v>136</v>
      </c>
      <c r="F7194" s="2">
        <v>13.0</v>
      </c>
      <c r="G7194" s="2">
        <v>500.0</v>
      </c>
      <c r="H7194" s="3" t="str">
        <f>HYPERLINK("http://www.linkedin.com/in/jakekaldenbaugh","http://www.linkedin.com/in/jakekaldenbaugh")</f>
        <v>http://www.linkedin.com/in/jakekaldenbaugh</v>
      </c>
      <c r="I7194" s="2" t="s">
        <v>48</v>
      </c>
      <c r="J7194" s="2" t="s">
        <v>102</v>
      </c>
      <c r="K7194" s="2" t="s">
        <v>10245</v>
      </c>
    </row>
    <row r="7195" ht="15.75" customHeight="1">
      <c r="A7195" s="2">
        <v>53324.0</v>
      </c>
      <c r="B7195" s="2" t="s">
        <v>3175</v>
      </c>
      <c r="C7195" s="2" t="s">
        <v>9968</v>
      </c>
      <c r="D7195" s="2" t="s">
        <v>13608</v>
      </c>
      <c r="E7195" s="2" t="s">
        <v>1190</v>
      </c>
      <c r="F7195" s="2">
        <v>3.0</v>
      </c>
      <c r="G7195" s="2">
        <v>438.0</v>
      </c>
      <c r="H7195" s="3" t="str">
        <f>HYPERLINK("http://www.linkedin.com/pub/daniela-rosa/4/7B3/184","http://www.linkedin.com/pub/daniela-rosa/4/7B3/184")</f>
        <v>http://www.linkedin.com/pub/daniela-rosa/4/7B3/184</v>
      </c>
      <c r="I7195" s="2" t="s">
        <v>48</v>
      </c>
      <c r="J7195" s="2" t="s">
        <v>102</v>
      </c>
      <c r="K7195" s="2" t="s">
        <v>10233</v>
      </c>
    </row>
    <row r="7196" ht="15.75" customHeight="1">
      <c r="A7196" s="2">
        <v>53325.0</v>
      </c>
      <c r="B7196" s="2" t="s">
        <v>1185</v>
      </c>
      <c r="C7196" s="2" t="s">
        <v>13609</v>
      </c>
      <c r="D7196" s="2" t="s">
        <v>13610</v>
      </c>
      <c r="E7196" s="2" t="s">
        <v>255</v>
      </c>
      <c r="F7196" s="2">
        <v>43.0</v>
      </c>
      <c r="G7196" s="2">
        <v>500.0</v>
      </c>
      <c r="H7196" s="3" t="str">
        <f>HYPERLINK("http://www.linkedin.com/in/xaviermantilla","http://www.linkedin.com/in/xaviermantilla")</f>
        <v>http://www.linkedin.com/in/xaviermantilla</v>
      </c>
      <c r="I7196" s="2" t="s">
        <v>105</v>
      </c>
      <c r="J7196" s="2" t="s">
        <v>102</v>
      </c>
      <c r="K7196" s="2" t="s">
        <v>10209</v>
      </c>
    </row>
    <row r="7197" ht="15.75" customHeight="1">
      <c r="A7197" s="2">
        <v>53341.0</v>
      </c>
      <c r="B7197" s="2" t="s">
        <v>947</v>
      </c>
      <c r="C7197" s="2" t="s">
        <v>13611</v>
      </c>
      <c r="D7197" s="2" t="s">
        <v>400</v>
      </c>
      <c r="E7197" s="2" t="s">
        <v>713</v>
      </c>
      <c r="F7197" s="2">
        <v>39.0</v>
      </c>
      <c r="G7197" s="2">
        <v>500.0</v>
      </c>
      <c r="H7197" s="3" t="str">
        <f>HYPERLINK("http://www.linkedin.com/in/gutmach","http://www.linkedin.com/in/gutmach")</f>
        <v>http://www.linkedin.com/in/gutmach</v>
      </c>
      <c r="I7197" s="2" t="s">
        <v>15</v>
      </c>
      <c r="J7197" s="2" t="s">
        <v>102</v>
      </c>
      <c r="K7197" s="2" t="s">
        <v>10184</v>
      </c>
    </row>
    <row r="7198" ht="15.75" customHeight="1">
      <c r="A7198" s="2">
        <v>53344.0</v>
      </c>
      <c r="B7198" s="2" t="s">
        <v>1173</v>
      </c>
      <c r="C7198" s="2" t="s">
        <v>13612</v>
      </c>
      <c r="D7198" s="2" t="s">
        <v>841</v>
      </c>
      <c r="E7198" s="2" t="s">
        <v>1190</v>
      </c>
      <c r="F7198" s="2">
        <v>6.0</v>
      </c>
      <c r="G7198" s="2">
        <v>500.0</v>
      </c>
      <c r="H7198" s="3" t="str">
        <f>HYPERLINK("http://www.linkedin.com/in/stevehouck","http://www.linkedin.com/in/stevehouck")</f>
        <v>http://www.linkedin.com/in/stevehouck</v>
      </c>
      <c r="I7198" s="2" t="s">
        <v>48</v>
      </c>
      <c r="J7198" s="2" t="s">
        <v>102</v>
      </c>
      <c r="K7198" s="2" t="s">
        <v>10799</v>
      </c>
    </row>
    <row r="7199" ht="15.75" customHeight="1">
      <c r="A7199" s="2">
        <v>53346.0</v>
      </c>
      <c r="B7199" s="2" t="s">
        <v>45</v>
      </c>
      <c r="C7199" s="2" t="s">
        <v>7289</v>
      </c>
      <c r="D7199" s="2" t="s">
        <v>347</v>
      </c>
      <c r="E7199" s="2" t="s">
        <v>20</v>
      </c>
      <c r="F7199" s="2">
        <v>1.0</v>
      </c>
      <c r="G7199" s="2">
        <v>500.0</v>
      </c>
      <c r="H7199" s="3" t="str">
        <f>HYPERLINK("http://ar.linkedin.com/pub/carlos-chavero/6/342/640","http://ar.linkedin.com/pub/carlos-chavero/6/342/640")</f>
        <v>http://ar.linkedin.com/pub/carlos-chavero/6/342/640</v>
      </c>
      <c r="I7199" s="2" t="s">
        <v>15</v>
      </c>
      <c r="J7199" s="2" t="s">
        <v>21</v>
      </c>
      <c r="K7199" s="2" t="s">
        <v>10180</v>
      </c>
    </row>
    <row r="7200" ht="15.75" customHeight="1">
      <c r="A7200" s="2">
        <v>53350.0</v>
      </c>
      <c r="B7200" s="2" t="s">
        <v>1575</v>
      </c>
      <c r="C7200" s="2" t="s">
        <v>13613</v>
      </c>
      <c r="D7200" s="2" t="s">
        <v>13614</v>
      </c>
      <c r="E7200" s="2" t="s">
        <v>1041</v>
      </c>
      <c r="F7200" s="2">
        <v>28.0</v>
      </c>
      <c r="G7200" s="2">
        <v>500.0</v>
      </c>
      <c r="H7200" s="3" t="str">
        <f>HYPERLINK("http://www.linkedin.com/in/bernardburney","http://www.linkedin.com/in/bernardburney")</f>
        <v>http://www.linkedin.com/in/bernardburney</v>
      </c>
      <c r="I7200" s="2" t="s">
        <v>248</v>
      </c>
      <c r="J7200" s="2" t="s">
        <v>102</v>
      </c>
      <c r="K7200" s="2" t="s">
        <v>10187</v>
      </c>
    </row>
    <row r="7201" ht="15.75" customHeight="1">
      <c r="A7201" s="2">
        <v>53351.0</v>
      </c>
      <c r="B7201" s="2" t="s">
        <v>13615</v>
      </c>
      <c r="C7201" s="2" t="s">
        <v>13616</v>
      </c>
      <c r="D7201" s="2" t="s">
        <v>13617</v>
      </c>
      <c r="E7201" s="2" t="s">
        <v>1190</v>
      </c>
      <c r="F7201" s="2">
        <v>1.0</v>
      </c>
      <c r="G7201" s="2">
        <v>500.0</v>
      </c>
      <c r="H7201" s="3" t="str">
        <f>HYPERLINK("http://www.linkedin.com/in/vilmar","http://www.linkedin.com/in/vilmar")</f>
        <v>http://www.linkedin.com/in/vilmar</v>
      </c>
      <c r="I7201" s="2" t="s">
        <v>48</v>
      </c>
      <c r="J7201" s="2" t="s">
        <v>102</v>
      </c>
      <c r="K7201" s="2" t="s">
        <v>13618</v>
      </c>
    </row>
    <row r="7202" ht="15.75" customHeight="1">
      <c r="A7202" s="2">
        <v>53365.0</v>
      </c>
      <c r="B7202" s="2" t="s">
        <v>671</v>
      </c>
      <c r="C7202" s="2" t="s">
        <v>13619</v>
      </c>
      <c r="D7202" s="2" t="s">
        <v>13620</v>
      </c>
      <c r="E7202" s="2" t="s">
        <v>20</v>
      </c>
      <c r="F7202" s="2">
        <v>4.0</v>
      </c>
      <c r="G7202" s="2">
        <v>500.0</v>
      </c>
      <c r="H7202" s="3" t="str">
        <f>HYPERLINK("http://ar.linkedin.com/in/marianaverderame","http://ar.linkedin.com/in/marianaverderame")</f>
        <v>http://ar.linkedin.com/in/marianaverderame</v>
      </c>
      <c r="I7202" s="2" t="s">
        <v>69</v>
      </c>
      <c r="J7202" s="2" t="s">
        <v>21</v>
      </c>
      <c r="K7202" s="2" t="s">
        <v>10196</v>
      </c>
    </row>
    <row r="7203" ht="15.75" customHeight="1">
      <c r="A7203" s="2">
        <v>53368.0</v>
      </c>
      <c r="B7203" s="2" t="s">
        <v>307</v>
      </c>
      <c r="C7203" s="2" t="s">
        <v>13621</v>
      </c>
      <c r="D7203" s="2"/>
      <c r="E7203" s="2" t="s">
        <v>181</v>
      </c>
      <c r="F7203" s="2">
        <v>11.0</v>
      </c>
      <c r="G7203" s="2">
        <v>500.0</v>
      </c>
      <c r="H7203" s="3" t="str">
        <f>HYPERLINK("http://www.linkedin.com/pub/reena-bhatt/1/A8B/535","http://www.linkedin.com/pub/reena-bhatt/1/A8B/535")</f>
        <v>http://www.linkedin.com/pub/reena-bhatt/1/A8B/535</v>
      </c>
      <c r="I7203" s="2" t="s">
        <v>15</v>
      </c>
      <c r="J7203" s="2" t="s">
        <v>102</v>
      </c>
      <c r="K7203" s="2" t="s">
        <v>10184</v>
      </c>
    </row>
    <row r="7204" ht="15.75" customHeight="1">
      <c r="A7204" s="2">
        <v>53448.0</v>
      </c>
      <c r="B7204" s="2" t="s">
        <v>511</v>
      </c>
      <c r="C7204" s="2" t="s">
        <v>13622</v>
      </c>
      <c r="D7204" s="2" t="s">
        <v>13623</v>
      </c>
      <c r="E7204" s="2" t="s">
        <v>12165</v>
      </c>
      <c r="F7204" s="2">
        <v>39.0</v>
      </c>
      <c r="G7204" s="2">
        <v>500.0</v>
      </c>
      <c r="H7204" s="3" t="str">
        <f>HYPERLINK("http://www.linkedin.com/pub/mike-fesler/0/381/7A7","http://www.linkedin.com/pub/mike-fesler/0/381/7A7")</f>
        <v>http://www.linkedin.com/pub/mike-fesler/0/381/7A7</v>
      </c>
      <c r="I7204" s="2" t="s">
        <v>709</v>
      </c>
      <c r="J7204" s="2" t="s">
        <v>102</v>
      </c>
      <c r="K7204" s="2" t="s">
        <v>10206</v>
      </c>
    </row>
    <row r="7205" ht="15.75" customHeight="1">
      <c r="A7205" s="2">
        <v>53462.0</v>
      </c>
      <c r="B7205" s="2" t="s">
        <v>7373</v>
      </c>
      <c r="C7205" s="2" t="s">
        <v>11320</v>
      </c>
      <c r="D7205" s="2" t="s">
        <v>656</v>
      </c>
      <c r="E7205" s="2" t="s">
        <v>5354</v>
      </c>
      <c r="F7205" s="2" t="s">
        <v>13</v>
      </c>
      <c r="G7205" s="2">
        <v>500.0</v>
      </c>
      <c r="H7205" s="3" t="str">
        <f>HYPERLINK("http://www.linkedin.com/pub/amanda-ortega/9/625/723","http://www.linkedin.com/pub/amanda-ortega/9/625/723")</f>
        <v>http://www.linkedin.com/pub/amanda-ortega/9/625/723</v>
      </c>
      <c r="I7205" s="2" t="s">
        <v>910</v>
      </c>
      <c r="J7205" s="2" t="s">
        <v>102</v>
      </c>
      <c r="K7205" s="2" t="s">
        <v>10482</v>
      </c>
    </row>
    <row r="7206" ht="15.75" customHeight="1">
      <c r="A7206" s="2">
        <v>53463.0</v>
      </c>
      <c r="B7206" s="2" t="s">
        <v>358</v>
      </c>
      <c r="C7206" s="2" t="s">
        <v>13624</v>
      </c>
      <c r="D7206" s="2" t="s">
        <v>13625</v>
      </c>
      <c r="E7206" s="2" t="s">
        <v>20</v>
      </c>
      <c r="F7206" s="2">
        <v>2.0</v>
      </c>
      <c r="G7206" s="2">
        <v>500.0</v>
      </c>
      <c r="H7206" s="3" t="str">
        <f>HYPERLINK("http://ar.linkedin.com/pub/marcelo-dos-reis/6/A41/41","http://ar.linkedin.com/pub/marcelo-dos-reis/6/A41/41")</f>
        <v>http://ar.linkedin.com/pub/marcelo-dos-reis/6/A41/41</v>
      </c>
      <c r="I7206" s="2" t="s">
        <v>15</v>
      </c>
      <c r="J7206" s="2" t="s">
        <v>21</v>
      </c>
      <c r="K7206" s="2" t="s">
        <v>10180</v>
      </c>
    </row>
    <row r="7207" ht="15.75" customHeight="1">
      <c r="A7207" s="2">
        <v>53473.0</v>
      </c>
      <c r="B7207" s="2" t="s">
        <v>59</v>
      </c>
      <c r="C7207" s="2" t="s">
        <v>13626</v>
      </c>
      <c r="D7207" s="2" t="s">
        <v>13627</v>
      </c>
      <c r="E7207" s="2" t="s">
        <v>5837</v>
      </c>
      <c r="F7207" s="2">
        <v>7.0</v>
      </c>
      <c r="G7207" s="2">
        <v>500.0</v>
      </c>
      <c r="H7207" s="3" t="str">
        <f>HYPERLINK("http://www.linkedin.com/pub/martin-ortells/2/219/357","http://www.linkedin.com/pub/martin-ortells/2/219/357")</f>
        <v>http://www.linkedin.com/pub/martin-ortells/2/219/357</v>
      </c>
      <c r="I7207" s="2" t="s">
        <v>105</v>
      </c>
      <c r="J7207" s="2" t="s">
        <v>34</v>
      </c>
      <c r="K7207" s="2" t="s">
        <v>10206</v>
      </c>
    </row>
    <row r="7208" ht="15.75" customHeight="1">
      <c r="A7208" s="2">
        <v>53498.0</v>
      </c>
      <c r="B7208" s="2" t="s">
        <v>70</v>
      </c>
      <c r="C7208" s="2" t="s">
        <v>13628</v>
      </c>
      <c r="D7208" s="2" t="s">
        <v>13629</v>
      </c>
      <c r="E7208" s="2" t="s">
        <v>882</v>
      </c>
      <c r="F7208" s="2">
        <v>14.0</v>
      </c>
      <c r="G7208" s="2">
        <v>271.0</v>
      </c>
      <c r="H7208" s="3" t="str">
        <f>HYPERLINK("http://www.linkedin.com/in/gustavocanalis","http://www.linkedin.com/in/gustavocanalis")</f>
        <v>http://www.linkedin.com/in/gustavocanalis</v>
      </c>
      <c r="I7208" s="2" t="s">
        <v>15</v>
      </c>
      <c r="J7208" s="2" t="s">
        <v>102</v>
      </c>
      <c r="K7208" s="2" t="s">
        <v>10202</v>
      </c>
    </row>
    <row r="7209" ht="15.75" customHeight="1">
      <c r="A7209" s="2">
        <v>53504.0</v>
      </c>
      <c r="B7209" s="2" t="s">
        <v>9497</v>
      </c>
      <c r="C7209" s="2" t="s">
        <v>7018</v>
      </c>
      <c r="D7209" s="2" t="s">
        <v>13630</v>
      </c>
      <c r="E7209" s="2" t="s">
        <v>1190</v>
      </c>
      <c r="F7209" s="2">
        <v>3.0</v>
      </c>
      <c r="G7209" s="2">
        <v>280.0</v>
      </c>
      <c r="H7209" s="3" t="str">
        <f>HYPERLINK("http://www.linkedin.com/pub/manolo-morales/0/217/203","http://www.linkedin.com/pub/manolo-morales/0/217/203")</f>
        <v>http://www.linkedin.com/pub/manolo-morales/0/217/203</v>
      </c>
      <c r="I7209" s="2" t="s">
        <v>669</v>
      </c>
      <c r="J7209" s="2" t="s">
        <v>102</v>
      </c>
      <c r="K7209" s="2" t="s">
        <v>10209</v>
      </c>
    </row>
    <row r="7210" ht="15.75" customHeight="1">
      <c r="A7210" s="2">
        <v>53563.0</v>
      </c>
      <c r="B7210" s="2" t="s">
        <v>6219</v>
      </c>
      <c r="C7210" s="2" t="s">
        <v>13631</v>
      </c>
      <c r="D7210" s="2" t="s">
        <v>6098</v>
      </c>
      <c r="E7210" s="2" t="s">
        <v>20</v>
      </c>
      <c r="F7210" s="2">
        <v>4.0</v>
      </c>
      <c r="G7210" s="2">
        <v>296.0</v>
      </c>
      <c r="H7210" s="3" t="str">
        <f>HYPERLINK("http://ar.linkedin.com/pub/hugo-baiz%C3%A1n/7/851/74A","http://ar.linkedin.com/pub/hugo-baiz%C3%A1n/7/851/74A")</f>
        <v>http://ar.linkedin.com/pub/hugo-baiz%C3%A1n/7/851/74A</v>
      </c>
      <c r="I7210" s="2" t="s">
        <v>15</v>
      </c>
      <c r="J7210" s="2" t="s">
        <v>21</v>
      </c>
      <c r="K7210" s="2" t="s">
        <v>10196</v>
      </c>
    </row>
    <row r="7211" ht="15.75" customHeight="1">
      <c r="A7211" s="2">
        <v>53564.0</v>
      </c>
      <c r="B7211" s="2" t="s">
        <v>2469</v>
      </c>
      <c r="C7211" s="2" t="s">
        <v>13632</v>
      </c>
      <c r="D7211" s="2" t="s">
        <v>13</v>
      </c>
      <c r="E7211" s="2" t="s">
        <v>1190</v>
      </c>
      <c r="F7211" s="2">
        <v>17.0</v>
      </c>
      <c r="G7211" s="2">
        <v>500.0</v>
      </c>
      <c r="H7211" s="3" t="str">
        <f>HYPERLINK("http://www.linkedin.com/pub/camila-casale/4/787/696","http://www.linkedin.com/pub/camila-casale/4/787/696")</f>
        <v>http://www.linkedin.com/pub/camila-casale/4/787/696</v>
      </c>
      <c r="I7211" s="2" t="s">
        <v>2046</v>
      </c>
      <c r="J7211" s="2" t="s">
        <v>102</v>
      </c>
      <c r="K7211" s="2" t="s">
        <v>10371</v>
      </c>
    </row>
    <row r="7212" ht="15.75" customHeight="1">
      <c r="A7212" s="2">
        <v>53568.0</v>
      </c>
      <c r="B7212" s="2" t="s">
        <v>6666</v>
      </c>
      <c r="C7212" s="2" t="s">
        <v>13633</v>
      </c>
      <c r="D7212" s="2" t="s">
        <v>13</v>
      </c>
      <c r="E7212" s="2" t="s">
        <v>20</v>
      </c>
      <c r="F7212" s="2">
        <v>3.0</v>
      </c>
      <c r="G7212" s="2">
        <v>500.0</v>
      </c>
      <c r="H7212" s="3" t="str">
        <f>HYPERLINK("http://www.linkedin.com/pub/sebasti%C3%A1n-stenico/13/609/466","http://www.linkedin.com/pub/sebasti%C3%A1n-stenico/13/609/466")</f>
        <v>http://www.linkedin.com/pub/sebasti%C3%A1n-stenico/13/609/466</v>
      </c>
      <c r="I7212" s="2" t="s">
        <v>15</v>
      </c>
      <c r="J7212" s="2" t="s">
        <v>21</v>
      </c>
      <c r="K7212" s="2" t="s">
        <v>10196</v>
      </c>
    </row>
    <row r="7213" ht="15.75" customHeight="1">
      <c r="A7213" s="2">
        <v>53585.0</v>
      </c>
      <c r="B7213" s="2" t="s">
        <v>8920</v>
      </c>
      <c r="C7213" s="2" t="s">
        <v>8171</v>
      </c>
      <c r="D7213" s="2" t="s">
        <v>2861</v>
      </c>
      <c r="E7213" s="2" t="s">
        <v>20</v>
      </c>
      <c r="F7213" s="2" t="s">
        <v>13</v>
      </c>
      <c r="G7213" s="2">
        <v>500.0</v>
      </c>
      <c r="H7213" s="3" t="str">
        <f>HYPERLINK("http://ar.linkedin.com/pub/delfina-villanueva/31/105/47A","http://ar.linkedin.com/pub/delfina-villanueva/31/105/47A")</f>
        <v>http://ar.linkedin.com/pub/delfina-villanueva/31/105/47A</v>
      </c>
      <c r="I7213" s="2" t="s">
        <v>69</v>
      </c>
      <c r="J7213" s="2" t="s">
        <v>21</v>
      </c>
      <c r="K7213" s="2" t="s">
        <v>10173</v>
      </c>
    </row>
    <row r="7214" ht="15.75" customHeight="1">
      <c r="A7214" s="2">
        <v>53611.0</v>
      </c>
      <c r="B7214" s="2" t="s">
        <v>13634</v>
      </c>
      <c r="C7214" s="2" t="s">
        <v>13635</v>
      </c>
      <c r="D7214" s="2" t="s">
        <v>10774</v>
      </c>
      <c r="E7214" s="2" t="s">
        <v>20</v>
      </c>
      <c r="F7214" s="2">
        <v>7.0</v>
      </c>
      <c r="G7214" s="2">
        <v>500.0</v>
      </c>
      <c r="H7214" s="3" t="str">
        <f>HYPERLINK("http://ar.linkedin.com/in/rubenalejandrolorenzo","http://ar.linkedin.com/in/rubenalejandrolorenzo")</f>
        <v>http://ar.linkedin.com/in/rubenalejandrolorenzo</v>
      </c>
      <c r="I7214" s="2" t="s">
        <v>15</v>
      </c>
      <c r="J7214" s="2" t="s">
        <v>21</v>
      </c>
      <c r="K7214" s="2" t="s">
        <v>11246</v>
      </c>
    </row>
    <row r="7215" ht="15.75" customHeight="1">
      <c r="A7215" s="2">
        <v>53651.0</v>
      </c>
      <c r="B7215" s="2" t="s">
        <v>6083</v>
      </c>
      <c r="C7215" s="2" t="s">
        <v>13636</v>
      </c>
      <c r="D7215" s="2" t="s">
        <v>13637</v>
      </c>
      <c r="E7215" s="2" t="s">
        <v>20</v>
      </c>
      <c r="F7215" s="2">
        <v>8.0</v>
      </c>
      <c r="G7215" s="2">
        <v>500.0</v>
      </c>
      <c r="H7215" s="3" t="str">
        <f>HYPERLINK("http://ar.linkedin.com/in/marielasandroni","http://ar.linkedin.com/in/marielasandroni")</f>
        <v>http://ar.linkedin.com/in/marielasandroni</v>
      </c>
      <c r="I7215" s="2" t="s">
        <v>69</v>
      </c>
      <c r="J7215" s="2" t="s">
        <v>21</v>
      </c>
      <c r="K7215" s="2" t="s">
        <v>10180</v>
      </c>
    </row>
    <row r="7216" ht="15.75" customHeight="1">
      <c r="A7216" s="2">
        <v>53653.0</v>
      </c>
      <c r="B7216" s="2" t="s">
        <v>6064</v>
      </c>
      <c r="C7216" s="2" t="s">
        <v>6304</v>
      </c>
      <c r="D7216" s="2" t="s">
        <v>6098</v>
      </c>
      <c r="E7216" s="2" t="s">
        <v>20</v>
      </c>
      <c r="F7216" s="2">
        <v>2.0</v>
      </c>
      <c r="G7216" s="2">
        <v>294.0</v>
      </c>
      <c r="H7216" s="3" t="str">
        <f>HYPERLINK("http://ar.linkedin.com/in/rominapalmieri","http://ar.linkedin.com/in/rominapalmieri")</f>
        <v>http://ar.linkedin.com/in/rominapalmieri</v>
      </c>
      <c r="I7216" s="2" t="s">
        <v>15</v>
      </c>
      <c r="J7216" s="2" t="s">
        <v>21</v>
      </c>
      <c r="K7216" s="2" t="s">
        <v>10196</v>
      </c>
    </row>
    <row r="7217" ht="15.75" customHeight="1">
      <c r="A7217" s="2">
        <v>53721.0</v>
      </c>
      <c r="B7217" s="2" t="s">
        <v>5078</v>
      </c>
      <c r="C7217" s="2" t="s">
        <v>13638</v>
      </c>
      <c r="D7217" s="2" t="s">
        <v>13639</v>
      </c>
      <c r="E7217" s="2" t="s">
        <v>20</v>
      </c>
      <c r="F7217" s="2">
        <v>25.0</v>
      </c>
      <c r="G7217" s="2">
        <v>500.0</v>
      </c>
      <c r="H7217" s="3" t="str">
        <f>HYPERLINK("http://ar.linkedin.com/in/diegonoriega","http://ar.linkedin.com/in/diegonoriega")</f>
        <v>http://ar.linkedin.com/in/diegonoriega</v>
      </c>
      <c r="I7217" s="2" t="s">
        <v>69</v>
      </c>
      <c r="J7217" s="2" t="s">
        <v>21</v>
      </c>
      <c r="K7217" s="2" t="s">
        <v>10180</v>
      </c>
    </row>
    <row r="7218" ht="15.75" customHeight="1">
      <c r="A7218" s="2">
        <v>53745.0</v>
      </c>
      <c r="B7218" s="2" t="s">
        <v>1310</v>
      </c>
      <c r="C7218" s="2" t="s">
        <v>13640</v>
      </c>
      <c r="D7218" s="2"/>
      <c r="E7218" s="2" t="s">
        <v>101</v>
      </c>
      <c r="F7218" s="2">
        <v>0.0</v>
      </c>
      <c r="G7218" s="2">
        <v>500.0</v>
      </c>
      <c r="H7218" s="3" t="str">
        <f>HYPERLINK("http://www.linkedin.com/pub/angel-zambrano/0/B25/359","http://www.linkedin.com/pub/angel-zambrano/0/B25/359")</f>
        <v>http://www.linkedin.com/pub/angel-zambrano/0/B25/359</v>
      </c>
      <c r="I7218" s="2" t="s">
        <v>195</v>
      </c>
      <c r="J7218" s="2" t="s">
        <v>102</v>
      </c>
      <c r="K7218" s="2" t="s">
        <v>10206</v>
      </c>
    </row>
    <row r="7219" ht="15.75" customHeight="1">
      <c r="A7219" s="2">
        <v>53770.0</v>
      </c>
      <c r="B7219" s="2" t="s">
        <v>3268</v>
      </c>
      <c r="C7219" s="2" t="s">
        <v>13641</v>
      </c>
      <c r="D7219" s="2" t="s">
        <v>13642</v>
      </c>
      <c r="E7219" s="2" t="s">
        <v>1190</v>
      </c>
      <c r="F7219" s="2">
        <v>0.0</v>
      </c>
      <c r="G7219" s="2">
        <v>500.0</v>
      </c>
      <c r="H7219" s="3" t="str">
        <f>HYPERLINK("http://www.linkedin.com/pub/patricia-jasin/0/25A/BA0","http://www.linkedin.com/pub/patricia-jasin/0/25A/BA0")</f>
        <v>http://www.linkedin.com/pub/patricia-jasin/0/25A/BA0</v>
      </c>
      <c r="I7219" s="2" t="s">
        <v>195</v>
      </c>
      <c r="J7219" s="2" t="s">
        <v>102</v>
      </c>
      <c r="K7219" s="2" t="s">
        <v>11127</v>
      </c>
    </row>
    <row r="7220" ht="15.75" customHeight="1">
      <c r="A7220" s="2">
        <v>53834.0</v>
      </c>
      <c r="B7220" s="2" t="s">
        <v>5888</v>
      </c>
      <c r="C7220" s="2" t="s">
        <v>13643</v>
      </c>
      <c r="D7220" s="2" t="s">
        <v>13</v>
      </c>
      <c r="E7220" s="2" t="s">
        <v>20</v>
      </c>
      <c r="F7220" s="2">
        <v>1.0</v>
      </c>
      <c r="G7220" s="2">
        <v>100.0</v>
      </c>
      <c r="H7220" s="3" t="str">
        <f>HYPERLINK("http://www.linkedin.com/pub/gast%C3%B3n-lethimonier/3/93b/9ba","http://www.linkedin.com/pub/gast%C3%B3n-lethimonier/3/93b/9ba")</f>
        <v>http://www.linkedin.com/pub/gast%C3%B3n-lethimonier/3/93b/9ba</v>
      </c>
      <c r="I7220" s="2" t="s">
        <v>15</v>
      </c>
      <c r="J7220" s="2" t="s">
        <v>21</v>
      </c>
      <c r="K7220" s="2" t="s">
        <v>10180</v>
      </c>
    </row>
    <row r="7221" ht="15.75" customHeight="1">
      <c r="A7221" s="2">
        <v>53864.0</v>
      </c>
      <c r="B7221" s="2" t="s">
        <v>3178</v>
      </c>
      <c r="C7221" s="2" t="s">
        <v>13644</v>
      </c>
      <c r="D7221" s="2" t="s">
        <v>3590</v>
      </c>
      <c r="E7221" s="2" t="s">
        <v>20</v>
      </c>
      <c r="F7221" s="2">
        <v>9.0</v>
      </c>
      <c r="G7221" s="2">
        <v>367.0</v>
      </c>
      <c r="H7221" s="3" t="str">
        <f>HYPERLINK("http://ar.linkedin.com/in/lucaswall","http://ar.linkedin.com/in/lucaswall")</f>
        <v>http://ar.linkedin.com/in/lucaswall</v>
      </c>
      <c r="I7221" s="2" t="s">
        <v>143</v>
      </c>
      <c r="J7221" s="2" t="s">
        <v>21</v>
      </c>
      <c r="K7221" s="2" t="s">
        <v>10196</v>
      </c>
    </row>
    <row r="7222" ht="15.75" customHeight="1">
      <c r="A7222" s="2">
        <v>53869.0</v>
      </c>
      <c r="B7222" s="2" t="s">
        <v>1380</v>
      </c>
      <c r="C7222" s="2" t="s">
        <v>6561</v>
      </c>
      <c r="D7222" s="2" t="s">
        <v>13645</v>
      </c>
      <c r="E7222" s="2" t="s">
        <v>1547</v>
      </c>
      <c r="F7222" s="2">
        <v>47.0</v>
      </c>
      <c r="G7222" s="2">
        <v>500.0</v>
      </c>
      <c r="H7222" s="3" t="str">
        <f>HYPERLINK("https://www.linkedin.com/in/randyhaines","https://www.linkedin.com/in/randyhaines")</f>
        <v>https://www.linkedin.com/in/randyhaines</v>
      </c>
      <c r="I7222" s="2" t="s">
        <v>48</v>
      </c>
      <c r="J7222" s="2" t="s">
        <v>102</v>
      </c>
      <c r="K7222" s="2" t="s">
        <v>10245</v>
      </c>
    </row>
    <row r="7223" ht="15.75" customHeight="1">
      <c r="A7223" s="2">
        <v>53880.0</v>
      </c>
      <c r="B7223" s="2" t="s">
        <v>5332</v>
      </c>
      <c r="C7223" s="2" t="s">
        <v>45</v>
      </c>
      <c r="D7223" s="2" t="s">
        <v>13646</v>
      </c>
      <c r="E7223" s="2" t="s">
        <v>20</v>
      </c>
      <c r="F7223" s="2">
        <v>10.0</v>
      </c>
      <c r="G7223" s="2">
        <v>400.0</v>
      </c>
      <c r="H7223" s="3" t="str">
        <f>HYPERLINK("http://ar.linkedin.com/pub/mercedes-carlos/A/356/593","http://ar.linkedin.com/pub/mercedes-carlos/A/356/593")</f>
        <v>http://ar.linkedin.com/pub/mercedes-carlos/A/356/593</v>
      </c>
      <c r="I7223" s="2" t="s">
        <v>15</v>
      </c>
      <c r="J7223" s="2" t="s">
        <v>21</v>
      </c>
      <c r="K7223" s="2" t="s">
        <v>10196</v>
      </c>
    </row>
    <row r="7224" ht="15.75" customHeight="1">
      <c r="A7224" s="2">
        <v>53897.0</v>
      </c>
      <c r="B7224" s="2" t="s">
        <v>3891</v>
      </c>
      <c r="C7224" s="2" t="s">
        <v>13647</v>
      </c>
      <c r="D7224" s="2" t="s">
        <v>13648</v>
      </c>
      <c r="E7224" s="2" t="s">
        <v>1190</v>
      </c>
      <c r="F7224" s="2">
        <v>23.0</v>
      </c>
      <c r="G7224" s="2">
        <v>500.0</v>
      </c>
      <c r="H7224" s="3" t="str">
        <f>HYPERLINK("http://www.linkedin.com/pub/veronica-korbenfeld/1/7BA/474","http://www.linkedin.com/pub/veronica-korbenfeld/1/7BA/474")</f>
        <v>http://www.linkedin.com/pub/veronica-korbenfeld/1/7BA/474</v>
      </c>
      <c r="I7224" s="2" t="s">
        <v>105</v>
      </c>
      <c r="J7224" s="2" t="s">
        <v>102</v>
      </c>
      <c r="K7224" s="2" t="s">
        <v>10209</v>
      </c>
    </row>
    <row r="7225" ht="15.75" customHeight="1">
      <c r="A7225" s="2">
        <v>53937.0</v>
      </c>
      <c r="B7225" s="2" t="s">
        <v>540</v>
      </c>
      <c r="C7225" s="2" t="s">
        <v>13649</v>
      </c>
      <c r="D7225" s="2" t="s">
        <v>13650</v>
      </c>
      <c r="E7225" s="2" t="s">
        <v>20</v>
      </c>
      <c r="F7225" s="2">
        <v>2.0</v>
      </c>
      <c r="G7225" s="2">
        <v>195.0</v>
      </c>
      <c r="H7225" s="3" t="str">
        <f>HYPERLINK("http://ar.linkedin.com/in/christianirschick","http://ar.linkedin.com/in/christianirschick")</f>
        <v>http://ar.linkedin.com/in/christianirschick</v>
      </c>
      <c r="I7225" s="2" t="s">
        <v>48</v>
      </c>
      <c r="J7225" s="2" t="s">
        <v>21</v>
      </c>
      <c r="K7225" s="2" t="s">
        <v>10340</v>
      </c>
    </row>
    <row r="7226" ht="15.75" customHeight="1">
      <c r="A7226" s="2">
        <v>53967.0</v>
      </c>
      <c r="B7226" s="2" t="s">
        <v>13651</v>
      </c>
      <c r="C7226" s="2" t="s">
        <v>13652</v>
      </c>
      <c r="D7226" s="2" t="s">
        <v>75</v>
      </c>
      <c r="E7226" s="2" t="s">
        <v>301</v>
      </c>
      <c r="F7226" s="2">
        <v>8.0</v>
      </c>
      <c r="G7226" s="2">
        <v>500.0</v>
      </c>
      <c r="H7226" s="3" t="str">
        <f>HYPERLINK("http://www.linkedin.com/in/lindsayeraso","http://www.linkedin.com/in/lindsayeraso")</f>
        <v>http://www.linkedin.com/in/lindsayeraso</v>
      </c>
      <c r="I7226" s="2" t="s">
        <v>248</v>
      </c>
      <c r="J7226" s="2" t="s">
        <v>102</v>
      </c>
      <c r="K7226" s="2" t="s">
        <v>10286</v>
      </c>
    </row>
    <row r="7227" ht="15.75" customHeight="1">
      <c r="A7227" s="2">
        <v>53987.0</v>
      </c>
      <c r="B7227" s="2" t="s">
        <v>506</v>
      </c>
      <c r="C7227" s="2" t="s">
        <v>13653</v>
      </c>
      <c r="D7227" s="2" t="s">
        <v>13</v>
      </c>
      <c r="E7227" s="2" t="s">
        <v>20</v>
      </c>
      <c r="F7227" s="2">
        <v>0.0</v>
      </c>
      <c r="G7227" s="2">
        <v>500.0</v>
      </c>
      <c r="H7227" s="3" t="str">
        <f>HYPERLINK("http://www.linkedin.com/pub/jose-minich/5/270/623","http://www.linkedin.com/pub/jose-minich/5/270/623")</f>
        <v>http://www.linkedin.com/pub/jose-minich/5/270/623</v>
      </c>
      <c r="I7227" s="2" t="s">
        <v>69</v>
      </c>
      <c r="J7227" s="2" t="s">
        <v>21</v>
      </c>
      <c r="K7227" s="2" t="s">
        <v>10799</v>
      </c>
    </row>
    <row r="7228" ht="15.75" customHeight="1">
      <c r="A7228" s="2">
        <v>53988.0</v>
      </c>
      <c r="B7228" s="2" t="s">
        <v>6555</v>
      </c>
      <c r="C7228" s="2" t="s">
        <v>206</v>
      </c>
      <c r="D7228" s="2" t="s">
        <v>517</v>
      </c>
      <c r="E7228" s="2" t="s">
        <v>20</v>
      </c>
      <c r="F7228" s="2">
        <v>5.0</v>
      </c>
      <c r="G7228" s="2">
        <v>500.0</v>
      </c>
      <c r="H7228" s="3" t="str">
        <f>HYPERLINK("http://ar.linkedin.com/in/garciagabriel","http://ar.linkedin.com/in/garciagabriel")</f>
        <v>http://ar.linkedin.com/in/garciagabriel</v>
      </c>
      <c r="I7228" s="2" t="s">
        <v>1679</v>
      </c>
      <c r="J7228" s="2" t="s">
        <v>21</v>
      </c>
      <c r="K7228" s="2" t="s">
        <v>10176</v>
      </c>
    </row>
    <row r="7229" ht="15.75" customHeight="1">
      <c r="A7229" s="2">
        <v>54017.0</v>
      </c>
      <c r="B7229" s="2" t="s">
        <v>2117</v>
      </c>
      <c r="C7229" s="2" t="s">
        <v>2092</v>
      </c>
      <c r="D7229" s="2" t="s">
        <v>13654</v>
      </c>
      <c r="E7229" s="2" t="s">
        <v>457</v>
      </c>
      <c r="F7229" s="2">
        <v>1.0</v>
      </c>
      <c r="G7229" s="2">
        <v>266.0</v>
      </c>
      <c r="H7229" s="3" t="str">
        <f>HYPERLINK("http://www.linkedin.com/pub/cheryl-levy/1/122/33B","http://www.linkedin.com/pub/cheryl-levy/1/122/33B")</f>
        <v>http://www.linkedin.com/pub/cheryl-levy/1/122/33B</v>
      </c>
      <c r="I7229" s="2" t="s">
        <v>458</v>
      </c>
      <c r="J7229" s="2" t="s">
        <v>102</v>
      </c>
      <c r="K7229" s="2" t="s">
        <v>10187</v>
      </c>
    </row>
    <row r="7230" ht="15.75" customHeight="1">
      <c r="A7230" s="2">
        <v>54057.0</v>
      </c>
      <c r="B7230" s="2" t="s">
        <v>13655</v>
      </c>
      <c r="C7230" s="2" t="s">
        <v>13656</v>
      </c>
      <c r="D7230" s="2" t="s">
        <v>13</v>
      </c>
      <c r="E7230" s="2" t="s">
        <v>20</v>
      </c>
      <c r="F7230" s="2">
        <v>3.0</v>
      </c>
      <c r="G7230" s="2">
        <v>453.0</v>
      </c>
      <c r="H7230" s="3" t="str">
        <f>HYPERLINK("http://www.linkedin.com/pub/sebastian-francisco-poblete/15/b13/858","http://www.linkedin.com/pub/sebastian-francisco-poblete/15/b13/858")</f>
        <v>http://www.linkedin.com/pub/sebastian-francisco-poblete/15/b13/858</v>
      </c>
      <c r="I7230" s="2" t="s">
        <v>2000</v>
      </c>
      <c r="J7230" s="2" t="s">
        <v>21</v>
      </c>
      <c r="K7230" s="2" t="s">
        <v>10196</v>
      </c>
    </row>
    <row r="7231" ht="15.75" customHeight="1">
      <c r="A7231" s="2">
        <v>54100.0</v>
      </c>
      <c r="B7231" s="2" t="s">
        <v>13657</v>
      </c>
      <c r="C7231" s="2" t="s">
        <v>13658</v>
      </c>
      <c r="D7231" s="2" t="s">
        <v>13659</v>
      </c>
      <c r="E7231" s="2" t="s">
        <v>1190</v>
      </c>
      <c r="F7231" s="2">
        <v>30.0</v>
      </c>
      <c r="G7231" s="2">
        <v>500.0</v>
      </c>
      <c r="H7231" s="3" t="str">
        <f>HYPERLINK("http://www.linkedin.com/in/joseantoniobotto","http://www.linkedin.com/in/joseantoniobotto")</f>
        <v>http://www.linkedin.com/in/joseantoniobotto</v>
      </c>
      <c r="I7231" s="2" t="s">
        <v>15</v>
      </c>
      <c r="J7231" s="2" t="s">
        <v>102</v>
      </c>
      <c r="K7231" s="2" t="s">
        <v>10727</v>
      </c>
    </row>
    <row r="7232" ht="15.75" customHeight="1">
      <c r="A7232" s="2">
        <v>54107.0</v>
      </c>
      <c r="B7232" s="2" t="s">
        <v>3692</v>
      </c>
      <c r="C7232" s="2" t="s">
        <v>13660</v>
      </c>
      <c r="D7232" s="2" t="s">
        <v>13661</v>
      </c>
      <c r="E7232" s="2" t="s">
        <v>20</v>
      </c>
      <c r="F7232" s="2">
        <v>1.0</v>
      </c>
      <c r="G7232" s="2">
        <v>224.0</v>
      </c>
      <c r="H7232" s="3" t="str">
        <f>HYPERLINK("http://ar.linkedin.com/pub/federico-kalos/25/824/7A5","http://ar.linkedin.com/pub/federico-kalos/25/824/7A5")</f>
        <v>http://ar.linkedin.com/pub/federico-kalos/25/824/7A5</v>
      </c>
      <c r="I7232" s="2" t="s">
        <v>105</v>
      </c>
      <c r="J7232" s="2" t="s">
        <v>21</v>
      </c>
      <c r="K7232" s="2" t="s">
        <v>10229</v>
      </c>
    </row>
    <row r="7233" ht="15.75" customHeight="1">
      <c r="A7233" s="2">
        <v>54115.0</v>
      </c>
      <c r="B7233" s="2" t="s">
        <v>146</v>
      </c>
      <c r="C7233" s="2" t="s">
        <v>13662</v>
      </c>
      <c r="D7233" s="2" t="s">
        <v>13663</v>
      </c>
      <c r="E7233" s="2" t="s">
        <v>20</v>
      </c>
      <c r="F7233" s="2">
        <v>0.0</v>
      </c>
      <c r="G7233" s="2">
        <v>500.0</v>
      </c>
      <c r="H7233" s="3" t="str">
        <f>HYPERLINK("http://www.linkedin.com/in/ealgorta","http://www.linkedin.com/in/ealgorta")</f>
        <v>http://www.linkedin.com/in/ealgorta</v>
      </c>
      <c r="I7233" s="2" t="s">
        <v>279</v>
      </c>
      <c r="J7233" s="2" t="s">
        <v>21</v>
      </c>
      <c r="K7233" s="2" t="s">
        <v>10229</v>
      </c>
    </row>
    <row r="7234" ht="15.75" customHeight="1">
      <c r="A7234" s="2">
        <v>54117.0</v>
      </c>
      <c r="B7234" s="2" t="s">
        <v>423</v>
      </c>
      <c r="C7234" s="2" t="s">
        <v>13664</v>
      </c>
      <c r="D7234" s="2" t="s">
        <v>8326</v>
      </c>
      <c r="E7234" s="2" t="s">
        <v>20</v>
      </c>
      <c r="F7234" s="2" t="s">
        <v>13</v>
      </c>
      <c r="G7234" s="2">
        <v>500.0</v>
      </c>
      <c r="H7234" s="3" t="str">
        <f>HYPERLINK("http://ar.linkedin.com/in/psicoestudio","http://ar.linkedin.com/in/psicoestudio")</f>
        <v>http://ar.linkedin.com/in/psicoestudio</v>
      </c>
      <c r="I7234" s="2" t="s">
        <v>458</v>
      </c>
      <c r="J7234" s="2" t="s">
        <v>21</v>
      </c>
      <c r="K7234" s="2" t="s">
        <v>10229</v>
      </c>
    </row>
    <row r="7235" ht="15.75" customHeight="1">
      <c r="A7235" s="2">
        <v>54170.0</v>
      </c>
      <c r="B7235" s="2" t="s">
        <v>6930</v>
      </c>
      <c r="C7235" s="2" t="s">
        <v>13665</v>
      </c>
      <c r="D7235" s="2" t="s">
        <v>13</v>
      </c>
      <c r="E7235" s="2" t="s">
        <v>20</v>
      </c>
      <c r="F7235" s="2">
        <v>0.0</v>
      </c>
      <c r="G7235" s="2">
        <v>500.0</v>
      </c>
      <c r="H7235" s="3" t="str">
        <f>HYPERLINK("http://www.linkedin.com/pub/dario-kalik/12/612/910","http://www.linkedin.com/pub/dario-kalik/12/612/910")</f>
        <v>http://www.linkedin.com/pub/dario-kalik/12/612/910</v>
      </c>
      <c r="I7235" s="2" t="s">
        <v>105</v>
      </c>
      <c r="J7235" s="2" t="s">
        <v>21</v>
      </c>
      <c r="K7235" s="2" t="s">
        <v>10176</v>
      </c>
    </row>
    <row r="7236" ht="15.75" customHeight="1">
      <c r="A7236" s="2">
        <v>54211.0</v>
      </c>
      <c r="B7236" s="2" t="s">
        <v>13666</v>
      </c>
      <c r="C7236" s="2" t="s">
        <v>13667</v>
      </c>
      <c r="D7236" s="2" t="s">
        <v>13668</v>
      </c>
      <c r="E7236" s="2" t="s">
        <v>13208</v>
      </c>
      <c r="F7236" s="2" t="s">
        <v>13</v>
      </c>
      <c r="G7236" s="2">
        <v>455.0</v>
      </c>
      <c r="H7236" s="3" t="str">
        <f>HYPERLINK("http://www.linkedin.com/pub/ismaily-piedra/9/796/7B7","http://www.linkedin.com/pub/ismaily-piedra/9/796/7B7")</f>
        <v>http://www.linkedin.com/pub/ismaily-piedra/9/796/7B7</v>
      </c>
      <c r="I7236" s="2" t="s">
        <v>612</v>
      </c>
      <c r="J7236" s="2" t="s">
        <v>102</v>
      </c>
      <c r="K7236" s="2" t="s">
        <v>10187</v>
      </c>
    </row>
    <row r="7237" ht="15.75" customHeight="1">
      <c r="A7237" s="2">
        <v>54229.0</v>
      </c>
      <c r="B7237" s="2" t="s">
        <v>5681</v>
      </c>
      <c r="C7237" s="2" t="s">
        <v>13669</v>
      </c>
      <c r="D7237" s="2" t="s">
        <v>13670</v>
      </c>
      <c r="E7237" s="2" t="s">
        <v>20</v>
      </c>
      <c r="F7237" s="2">
        <v>2.0</v>
      </c>
      <c r="G7237" s="2">
        <v>101.0</v>
      </c>
      <c r="H7237" s="3" t="str">
        <f>HYPERLINK("http://ar.linkedin.com/in/damiancantone","http://ar.linkedin.com/in/damiancantone")</f>
        <v>http://ar.linkedin.com/in/damiancantone</v>
      </c>
      <c r="I7237" s="2" t="s">
        <v>48</v>
      </c>
      <c r="J7237" s="2" t="s">
        <v>21</v>
      </c>
      <c r="K7237" s="2" t="s">
        <v>10196</v>
      </c>
    </row>
    <row r="7238" ht="15.75" customHeight="1">
      <c r="A7238" s="2">
        <v>54271.0</v>
      </c>
      <c r="B7238" s="2" t="s">
        <v>9634</v>
      </c>
      <c r="C7238" s="2" t="s">
        <v>13671</v>
      </c>
      <c r="D7238" s="2" t="s">
        <v>380</v>
      </c>
      <c r="E7238" s="2" t="s">
        <v>20</v>
      </c>
      <c r="F7238" s="2">
        <v>5.0</v>
      </c>
      <c r="G7238" s="2">
        <v>500.0</v>
      </c>
      <c r="H7238" s="3" t="str">
        <f>HYPERLINK("http://ar.linkedin.com/in/analiakandel","http://ar.linkedin.com/in/analiakandel")</f>
        <v>http://ar.linkedin.com/in/analiakandel</v>
      </c>
      <c r="I7238" s="2" t="s">
        <v>240</v>
      </c>
      <c r="J7238" s="2" t="s">
        <v>21</v>
      </c>
      <c r="K7238" s="2" t="s">
        <v>10605</v>
      </c>
    </row>
    <row r="7239" ht="15.75" customHeight="1">
      <c r="A7239" s="2">
        <v>54325.0</v>
      </c>
      <c r="B7239" s="2" t="s">
        <v>5808</v>
      </c>
      <c r="C7239" s="2" t="s">
        <v>13672</v>
      </c>
      <c r="D7239" s="2" t="s">
        <v>13</v>
      </c>
      <c r="E7239" s="2" t="s">
        <v>20</v>
      </c>
      <c r="F7239" s="2">
        <v>14.0</v>
      </c>
      <c r="G7239" s="2">
        <v>500.0</v>
      </c>
      <c r="H7239" s="3" t="str">
        <f>HYPERLINK("http://www.linkedin.com/in/matiasokeefe","http://www.linkedin.com/in/matiasokeefe")</f>
        <v>http://www.linkedin.com/in/matiasokeefe</v>
      </c>
      <c r="I7239" s="2" t="s">
        <v>69</v>
      </c>
      <c r="J7239" s="2" t="s">
        <v>21</v>
      </c>
      <c r="K7239" s="2" t="s">
        <v>10196</v>
      </c>
    </row>
    <row r="7240" ht="15.75" customHeight="1">
      <c r="A7240" s="2">
        <v>54331.0</v>
      </c>
      <c r="B7240" s="2" t="s">
        <v>511</v>
      </c>
      <c r="C7240" s="2" t="s">
        <v>10624</v>
      </c>
      <c r="D7240" s="2"/>
      <c r="E7240" s="2" t="s">
        <v>2058</v>
      </c>
      <c r="F7240" s="2">
        <v>5.0</v>
      </c>
      <c r="G7240" s="2">
        <v>361.0</v>
      </c>
      <c r="H7240" s="3" t="str">
        <f>HYPERLINK("http://www.linkedin.com/pub/mike-parra/0/315/792","http://www.linkedin.com/pub/mike-parra/0/315/792")</f>
        <v>http://www.linkedin.com/pub/mike-parra/0/315/792</v>
      </c>
      <c r="I7240" s="2" t="s">
        <v>160</v>
      </c>
      <c r="J7240" s="2" t="s">
        <v>102</v>
      </c>
      <c r="K7240" s="2" t="s">
        <v>10209</v>
      </c>
    </row>
    <row r="7241" ht="15.75" customHeight="1">
      <c r="A7241" s="2">
        <v>54365.0</v>
      </c>
      <c r="B7241" s="2" t="s">
        <v>13673</v>
      </c>
      <c r="C7241" s="2" t="s">
        <v>13674</v>
      </c>
      <c r="D7241" s="2" t="s">
        <v>13675</v>
      </c>
      <c r="E7241" s="2" t="s">
        <v>13676</v>
      </c>
      <c r="F7241" s="2" t="s">
        <v>13</v>
      </c>
      <c r="G7241" s="2">
        <v>309.0</v>
      </c>
      <c r="H7241" s="3" t="str">
        <f>HYPERLINK("http://www.linkedin.com/pub/shaull-aviram/1/235/B78","http://www.linkedin.com/pub/shaull-aviram/1/235/B78")</f>
        <v>http://www.linkedin.com/pub/shaull-aviram/1/235/B78</v>
      </c>
      <c r="I7241" s="2" t="s">
        <v>119</v>
      </c>
      <c r="J7241" s="2" t="s">
        <v>102</v>
      </c>
      <c r="K7241" s="2" t="s">
        <v>10187</v>
      </c>
    </row>
    <row r="7242" ht="15.75" customHeight="1">
      <c r="A7242" s="2">
        <v>54465.0</v>
      </c>
      <c r="B7242" s="2" t="s">
        <v>13677</v>
      </c>
      <c r="C7242" s="2" t="s">
        <v>13678</v>
      </c>
      <c r="D7242" s="2" t="s">
        <v>13679</v>
      </c>
      <c r="E7242" s="2" t="s">
        <v>122</v>
      </c>
      <c r="F7242" s="2">
        <v>15.0</v>
      </c>
      <c r="G7242" s="2">
        <v>500.0</v>
      </c>
      <c r="H7242" s="3" t="str">
        <f>HYPERLINK("http://www.linkedin.com/in/isymacadar","http://www.linkedin.com/in/isymacadar")</f>
        <v>http://www.linkedin.com/in/isymacadar</v>
      </c>
      <c r="I7242" s="2" t="s">
        <v>15</v>
      </c>
      <c r="J7242" s="2" t="s">
        <v>53</v>
      </c>
      <c r="K7242" s="2" t="s">
        <v>10187</v>
      </c>
    </row>
    <row r="7243" ht="15.75" customHeight="1">
      <c r="A7243" s="2">
        <v>54486.0</v>
      </c>
      <c r="B7243" s="2" t="s">
        <v>193</v>
      </c>
      <c r="C7243" s="2" t="s">
        <v>13680</v>
      </c>
      <c r="D7243" s="2" t="s">
        <v>13681</v>
      </c>
      <c r="E7243" s="2" t="s">
        <v>20</v>
      </c>
      <c r="F7243" s="2">
        <v>6.0</v>
      </c>
      <c r="G7243" s="2">
        <v>251.0</v>
      </c>
      <c r="H7243" s="3" t="str">
        <f>HYPERLINK("http://ar.linkedin.com/pub/guillermo-rodriguez-ortega/9/AB8/A3B","http://ar.linkedin.com/pub/guillermo-rodriguez-ortega/9/AB8/A3B")</f>
        <v>http://ar.linkedin.com/pub/guillermo-rodriguez-ortega/9/AB8/A3B</v>
      </c>
      <c r="I7243" s="2" t="s">
        <v>15</v>
      </c>
      <c r="J7243" s="2" t="s">
        <v>21</v>
      </c>
      <c r="K7243" s="2" t="s">
        <v>10180</v>
      </c>
    </row>
    <row r="7244" ht="15.75" customHeight="1">
      <c r="A7244" s="2">
        <v>54489.0</v>
      </c>
      <c r="B7244" s="2" t="s">
        <v>152</v>
      </c>
      <c r="C7244" s="2" t="s">
        <v>13682</v>
      </c>
      <c r="D7244" s="2" t="s">
        <v>8968</v>
      </c>
      <c r="E7244" s="2" t="s">
        <v>20</v>
      </c>
      <c r="F7244" s="2" t="s">
        <v>13</v>
      </c>
      <c r="G7244" s="2">
        <v>500.0</v>
      </c>
      <c r="H7244" s="3" t="str">
        <f>HYPERLINK("http://ar.linkedin.com/pub/eduardo-guichou/29/6A1/166","http://ar.linkedin.com/pub/eduardo-guichou/29/6A1/166")</f>
        <v>http://ar.linkedin.com/pub/eduardo-guichou/29/6A1/166</v>
      </c>
      <c r="I7244" s="2" t="s">
        <v>105</v>
      </c>
      <c r="J7244" s="2" t="s">
        <v>21</v>
      </c>
      <c r="K7244" s="2" t="s">
        <v>10184</v>
      </c>
    </row>
    <row r="7245" ht="15.75" customHeight="1">
      <c r="A7245" s="2">
        <v>54493.0</v>
      </c>
      <c r="B7245" s="2" t="s">
        <v>845</v>
      </c>
      <c r="C7245" s="2" t="s">
        <v>13683</v>
      </c>
      <c r="D7245" s="2" t="s">
        <v>13</v>
      </c>
      <c r="E7245" s="2" t="s">
        <v>13684</v>
      </c>
      <c r="F7245" s="2">
        <v>0.0</v>
      </c>
      <c r="G7245" s="2">
        <v>500.0</v>
      </c>
      <c r="H7245" s="3" t="str">
        <f>HYPERLINK("http://www.linkedin.com/in/davidraffinengo","http://www.linkedin.com/in/davidraffinengo")</f>
        <v>http://www.linkedin.com/in/davidraffinengo</v>
      </c>
      <c r="I7245" s="2" t="s">
        <v>475</v>
      </c>
      <c r="J7245" s="2" t="s">
        <v>102</v>
      </c>
      <c r="K7245" s="2" t="s">
        <v>10209</v>
      </c>
    </row>
    <row r="7246" ht="15.75" customHeight="1">
      <c r="A7246" s="2">
        <v>54496.0</v>
      </c>
      <c r="B7246" s="2" t="s">
        <v>3299</v>
      </c>
      <c r="C7246" s="2" t="s">
        <v>1336</v>
      </c>
      <c r="D7246" s="2" t="s">
        <v>13685</v>
      </c>
      <c r="E7246" s="2" t="s">
        <v>1190</v>
      </c>
      <c r="F7246" s="2">
        <v>2.0</v>
      </c>
      <c r="G7246" s="2">
        <v>500.0</v>
      </c>
      <c r="H7246" s="3" t="str">
        <f>HYPERLINK("http://www.linkedin.com/in/fabianfigueroa","http://www.linkedin.com/in/fabianfigueroa")</f>
        <v>http://www.linkedin.com/in/fabianfigueroa</v>
      </c>
      <c r="I7246" s="2" t="s">
        <v>48</v>
      </c>
      <c r="J7246" s="2" t="s">
        <v>102</v>
      </c>
      <c r="K7246" s="2" t="s">
        <v>10343</v>
      </c>
    </row>
    <row r="7247" ht="15.75" customHeight="1">
      <c r="A7247" s="2">
        <v>54500.0</v>
      </c>
      <c r="B7247" s="2" t="s">
        <v>353</v>
      </c>
      <c r="C7247" s="2" t="s">
        <v>12344</v>
      </c>
      <c r="D7247" s="2" t="s">
        <v>13686</v>
      </c>
      <c r="E7247" s="2" t="s">
        <v>1190</v>
      </c>
      <c r="F7247" s="2">
        <v>3.0</v>
      </c>
      <c r="G7247" s="2">
        <v>500.0</v>
      </c>
      <c r="H7247" s="3" t="str">
        <f>HYPERLINK("http://www.linkedin.com/pub/alejandro-silvestre/0/10A/6BB","http://www.linkedin.com/pub/alejandro-silvestre/0/10A/6BB")</f>
        <v>http://www.linkedin.com/pub/alejandro-silvestre/0/10A/6BB</v>
      </c>
      <c r="I7247" s="2" t="s">
        <v>77</v>
      </c>
      <c r="J7247" s="2" t="s">
        <v>102</v>
      </c>
      <c r="K7247" s="2" t="s">
        <v>10674</v>
      </c>
    </row>
    <row r="7248" ht="15.75" customHeight="1">
      <c r="A7248" s="2">
        <v>54510.0</v>
      </c>
      <c r="B7248" s="2" t="s">
        <v>9414</v>
      </c>
      <c r="C7248" s="2" t="s">
        <v>13687</v>
      </c>
      <c r="D7248" s="2" t="s">
        <v>13688</v>
      </c>
      <c r="E7248" s="2" t="s">
        <v>882</v>
      </c>
      <c r="F7248" s="2">
        <v>3.0</v>
      </c>
      <c r="G7248" s="2">
        <v>500.0</v>
      </c>
      <c r="H7248" s="3" t="str">
        <f>HYPERLINK("http://www.linkedin.com/in/dianadaniels","http://www.linkedin.com/in/dianadaniels")</f>
        <v>http://www.linkedin.com/in/dianadaniels</v>
      </c>
      <c r="I7248" s="2" t="s">
        <v>77</v>
      </c>
      <c r="J7248" s="2" t="s">
        <v>102</v>
      </c>
      <c r="K7248" s="2" t="s">
        <v>10209</v>
      </c>
    </row>
    <row r="7249" ht="15.75" customHeight="1">
      <c r="A7249" s="2">
        <v>54518.0</v>
      </c>
      <c r="B7249" s="2" t="s">
        <v>6339</v>
      </c>
      <c r="C7249" s="2" t="s">
        <v>13689</v>
      </c>
      <c r="D7249" s="2" t="s">
        <v>13</v>
      </c>
      <c r="E7249" s="2" t="s">
        <v>10454</v>
      </c>
      <c r="F7249" s="2">
        <v>4.0</v>
      </c>
      <c r="G7249" s="2">
        <v>500.0</v>
      </c>
      <c r="H7249" s="3" t="str">
        <f>HYPERLINK("http://www.linkedin.com/in/estebankozak","http://www.linkedin.com/in/estebankozak")</f>
        <v>http://www.linkedin.com/in/estebankozak</v>
      </c>
      <c r="I7249" s="2" t="s">
        <v>69</v>
      </c>
      <c r="J7249" s="2" t="s">
        <v>102</v>
      </c>
      <c r="K7249" s="2" t="s">
        <v>10245</v>
      </c>
    </row>
    <row r="7250" ht="15.75" customHeight="1">
      <c r="A7250" s="2">
        <v>54558.0</v>
      </c>
      <c r="B7250" s="2" t="s">
        <v>13690</v>
      </c>
      <c r="C7250" s="2" t="s">
        <v>6896</v>
      </c>
      <c r="D7250" s="2" t="s">
        <v>13</v>
      </c>
      <c r="E7250" s="2" t="s">
        <v>20</v>
      </c>
      <c r="F7250" s="2">
        <v>4.0</v>
      </c>
      <c r="G7250" s="2">
        <v>500.0</v>
      </c>
      <c r="H7250" s="3" t="str">
        <f>HYPERLINK("http://www.linkedin.com/pub/carlos-raul-castro/3/6b8/52","http://www.linkedin.com/pub/carlos-raul-castro/3/6b8/52")</f>
        <v>http://www.linkedin.com/pub/carlos-raul-castro/3/6b8/52</v>
      </c>
      <c r="I7250" s="2" t="s">
        <v>612</v>
      </c>
      <c r="J7250" s="2" t="s">
        <v>21</v>
      </c>
      <c r="K7250" s="2" t="s">
        <v>10229</v>
      </c>
    </row>
    <row r="7251" ht="15.75" customHeight="1">
      <c r="A7251" s="2">
        <v>54567.0</v>
      </c>
      <c r="B7251" s="2" t="s">
        <v>70</v>
      </c>
      <c r="C7251" s="2" t="s">
        <v>13691</v>
      </c>
      <c r="D7251" s="2" t="s">
        <v>13692</v>
      </c>
      <c r="E7251" s="2" t="s">
        <v>1190</v>
      </c>
      <c r="F7251" s="2">
        <v>4.0</v>
      </c>
      <c r="G7251" s="2">
        <v>500.0</v>
      </c>
      <c r="H7251" s="3" t="str">
        <f>HYPERLINK("http://www.linkedin.com/in/gustavorios","http://www.linkedin.com/in/gustavorios")</f>
        <v>http://www.linkedin.com/in/gustavorios</v>
      </c>
      <c r="I7251" s="2" t="s">
        <v>15</v>
      </c>
      <c r="J7251" s="2" t="s">
        <v>102</v>
      </c>
      <c r="K7251" s="2" t="s">
        <v>13693</v>
      </c>
    </row>
    <row r="7252" ht="15.75" customHeight="1">
      <c r="A7252" s="2">
        <v>54584.0</v>
      </c>
      <c r="B7252" s="2" t="s">
        <v>13694</v>
      </c>
      <c r="C7252" s="2" t="s">
        <v>13695</v>
      </c>
      <c r="D7252" s="2" t="s">
        <v>13696</v>
      </c>
      <c r="E7252" s="2" t="s">
        <v>1190</v>
      </c>
      <c r="F7252" s="2">
        <v>7.0</v>
      </c>
      <c r="G7252" s="2">
        <v>194.0</v>
      </c>
      <c r="H7252" s="3" t="str">
        <f>HYPERLINK("http://www.linkedin.com/pub/fabiana-berrozpe/3/602/992","http://www.linkedin.com/pub/fabiana-berrozpe/3/602/992")</f>
        <v>http://www.linkedin.com/pub/fabiana-berrozpe/3/602/992</v>
      </c>
      <c r="I7252" s="2" t="s">
        <v>15</v>
      </c>
      <c r="J7252" s="2" t="s">
        <v>102</v>
      </c>
      <c r="K7252" s="2" t="s">
        <v>10184</v>
      </c>
    </row>
    <row r="7253" ht="15.75" customHeight="1">
      <c r="A7253" s="2">
        <v>54652.0</v>
      </c>
      <c r="B7253" s="2" t="s">
        <v>3072</v>
      </c>
      <c r="C7253" s="2" t="s">
        <v>13697</v>
      </c>
      <c r="D7253" s="2" t="s">
        <v>13698</v>
      </c>
      <c r="E7253" s="2" t="s">
        <v>1190</v>
      </c>
      <c r="F7253" s="2">
        <v>7.0</v>
      </c>
      <c r="G7253" s="2">
        <v>500.0</v>
      </c>
      <c r="H7253" s="3" t="str">
        <f>HYPERLINK("http://www.linkedin.com/pub/luis-guisasola/0/675/B72","http://www.linkedin.com/pub/luis-guisasola/0/675/B72")</f>
        <v>http://www.linkedin.com/pub/luis-guisasola/0/675/B72</v>
      </c>
      <c r="I7253" s="2" t="s">
        <v>48</v>
      </c>
      <c r="J7253" s="2" t="s">
        <v>102</v>
      </c>
      <c r="K7253" s="2" t="s">
        <v>10184</v>
      </c>
    </row>
    <row r="7254" ht="15.75" customHeight="1">
      <c r="A7254" s="2">
        <v>54694.0</v>
      </c>
      <c r="B7254" s="2" t="s">
        <v>146</v>
      </c>
      <c r="C7254" s="2" t="s">
        <v>59</v>
      </c>
      <c r="D7254" s="2"/>
      <c r="E7254" s="2" t="s">
        <v>1190</v>
      </c>
      <c r="F7254" s="2">
        <v>1.0</v>
      </c>
      <c r="G7254" s="2">
        <v>500.0</v>
      </c>
      <c r="H7254" s="3" t="str">
        <f>HYPERLINK("http://www.linkedin.com/pub/enrique-martin/0/656/349","http://www.linkedin.com/pub/enrique-martin/0/656/349")</f>
        <v>http://www.linkedin.com/pub/enrique-martin/0/656/349</v>
      </c>
      <c r="I7254" s="2" t="s">
        <v>873</v>
      </c>
      <c r="J7254" s="2" t="s">
        <v>102</v>
      </c>
      <c r="K7254" s="2" t="s">
        <v>10187</v>
      </c>
    </row>
    <row r="7255" ht="15.75" customHeight="1">
      <c r="A7255" s="2">
        <v>54725.0</v>
      </c>
      <c r="B7255" s="2" t="s">
        <v>59</v>
      </c>
      <c r="C7255" s="2" t="s">
        <v>13699</v>
      </c>
      <c r="D7255" s="2" t="s">
        <v>6010</v>
      </c>
      <c r="E7255" s="2" t="s">
        <v>20</v>
      </c>
      <c r="F7255" s="2">
        <v>6.0</v>
      </c>
      <c r="G7255" s="2">
        <v>178.0</v>
      </c>
      <c r="H7255" s="3" t="str">
        <f>HYPERLINK("http://www.linkedin.com/pub/martin-fitzner/7/B40/870","http://www.linkedin.com/pub/martin-fitzner/7/B40/870")</f>
        <v>http://www.linkedin.com/pub/martin-fitzner/7/B40/870</v>
      </c>
      <c r="I7255" s="2" t="s">
        <v>15</v>
      </c>
      <c r="J7255" s="2" t="s">
        <v>21</v>
      </c>
      <c r="K7255" s="2" t="s">
        <v>10196</v>
      </c>
    </row>
    <row r="7256" ht="15.75" customHeight="1">
      <c r="A7256" s="2">
        <v>54778.0</v>
      </c>
      <c r="B7256" s="2" t="s">
        <v>13700</v>
      </c>
      <c r="C7256" s="2" t="s">
        <v>13701</v>
      </c>
      <c r="D7256" s="2" t="s">
        <v>13702</v>
      </c>
      <c r="E7256" s="2" t="s">
        <v>20</v>
      </c>
      <c r="F7256" s="2">
        <v>4.0</v>
      </c>
      <c r="G7256" s="2">
        <v>150.0</v>
      </c>
      <c r="H7256" s="3" t="str">
        <f>HYPERLINK("http://ar.linkedin.com/in/bergallomauricio","http://ar.linkedin.com/in/bergallomauricio")</f>
        <v>http://ar.linkedin.com/in/bergallomauricio</v>
      </c>
      <c r="I7256" s="2" t="s">
        <v>15</v>
      </c>
      <c r="J7256" s="2" t="s">
        <v>21</v>
      </c>
      <c r="K7256" s="2" t="s">
        <v>10196</v>
      </c>
    </row>
    <row r="7257" ht="15.75" customHeight="1">
      <c r="A7257" s="2">
        <v>54837.0</v>
      </c>
      <c r="B7257" s="2" t="s">
        <v>329</v>
      </c>
      <c r="C7257" s="2" t="s">
        <v>13703</v>
      </c>
      <c r="D7257" s="2" t="s">
        <v>13704</v>
      </c>
      <c r="E7257" s="2" t="s">
        <v>1190</v>
      </c>
      <c r="F7257" s="2">
        <v>9.0</v>
      </c>
      <c r="G7257" s="2">
        <v>247.0</v>
      </c>
      <c r="H7257" s="3" t="str">
        <f>HYPERLINK("http://www.linkedin.com/in/jpcheret","http://www.linkedin.com/in/jpcheret")</f>
        <v>http://www.linkedin.com/in/jpcheret</v>
      </c>
      <c r="I7257" s="2" t="s">
        <v>48</v>
      </c>
      <c r="J7257" s="2" t="s">
        <v>102</v>
      </c>
      <c r="K7257" s="2" t="s">
        <v>10263</v>
      </c>
    </row>
    <row r="7258" ht="15.75" customHeight="1">
      <c r="A7258" s="2">
        <v>54861.0</v>
      </c>
      <c r="B7258" s="2" t="s">
        <v>13705</v>
      </c>
      <c r="C7258" s="2" t="s">
        <v>13706</v>
      </c>
      <c r="D7258" s="2" t="s">
        <v>5749</v>
      </c>
      <c r="E7258" s="2" t="s">
        <v>5354</v>
      </c>
      <c r="F7258" s="2" t="s">
        <v>13</v>
      </c>
      <c r="G7258" s="2">
        <v>160.0</v>
      </c>
      <c r="H7258" s="3" t="str">
        <f>HYPERLINK("http://www.linkedin.com/in/hakimbenzit","http://www.linkedin.com/in/hakimbenzit")</f>
        <v>http://www.linkedin.com/in/hakimbenzit</v>
      </c>
      <c r="I7258" s="2" t="s">
        <v>48</v>
      </c>
      <c r="J7258" s="2" t="s">
        <v>102</v>
      </c>
      <c r="K7258" s="2" t="s">
        <v>10233</v>
      </c>
    </row>
    <row r="7259" ht="15.75" customHeight="1">
      <c r="A7259" s="2">
        <v>54959.0</v>
      </c>
      <c r="B7259" s="2" t="s">
        <v>3305</v>
      </c>
      <c r="C7259" s="2" t="s">
        <v>13707</v>
      </c>
      <c r="D7259" s="2" t="s">
        <v>13</v>
      </c>
      <c r="E7259" s="2" t="s">
        <v>542</v>
      </c>
      <c r="F7259" s="2">
        <v>0.0</v>
      </c>
      <c r="G7259" s="2">
        <v>393.0</v>
      </c>
      <c r="H7259" s="3" t="str">
        <f>HYPERLINK("http://www.linkedin.com/in/anafxfz","http://www.linkedin.com/in/anafxfz")</f>
        <v>http://www.linkedin.com/in/anafxfz</v>
      </c>
      <c r="I7259" s="2" t="s">
        <v>2081</v>
      </c>
      <c r="J7259" s="2" t="s">
        <v>102</v>
      </c>
      <c r="K7259" s="2" t="s">
        <v>10182</v>
      </c>
    </row>
    <row r="7260" ht="15.75" customHeight="1">
      <c r="A7260" s="2">
        <v>54968.0</v>
      </c>
      <c r="B7260" s="2" t="s">
        <v>671</v>
      </c>
      <c r="C7260" s="2" t="s">
        <v>13708</v>
      </c>
      <c r="D7260" s="2" t="s">
        <v>13709</v>
      </c>
      <c r="E7260" s="2" t="s">
        <v>20</v>
      </c>
      <c r="F7260" s="2" t="s">
        <v>13</v>
      </c>
      <c r="G7260" s="2">
        <v>157.0</v>
      </c>
      <c r="H7260" s="3" t="str">
        <f>HYPERLINK("http://ar.linkedin.com/in/marianaameri","http://ar.linkedin.com/in/marianaameri")</f>
        <v>http://ar.linkedin.com/in/marianaameri</v>
      </c>
      <c r="I7260" s="2" t="s">
        <v>105</v>
      </c>
      <c r="J7260" s="2" t="s">
        <v>21</v>
      </c>
      <c r="K7260" s="2" t="s">
        <v>10184</v>
      </c>
    </row>
    <row r="7261" ht="15.75" customHeight="1">
      <c r="A7261" s="2">
        <v>54978.0</v>
      </c>
      <c r="B7261" s="2" t="s">
        <v>677</v>
      </c>
      <c r="C7261" s="2" t="s">
        <v>4233</v>
      </c>
      <c r="D7261" s="2" t="s">
        <v>13</v>
      </c>
      <c r="E7261" s="2" t="s">
        <v>3516</v>
      </c>
      <c r="F7261" s="2">
        <v>0.0</v>
      </c>
      <c r="G7261" s="2">
        <v>500.0</v>
      </c>
      <c r="H7261" s="3" t="str">
        <f>HYPERLINK("http://www.linkedin.com/pub/daniel-gonzalez/0/29B/B15","http://www.linkedin.com/pub/daniel-gonzalez/0/29B/B15")</f>
        <v>http://www.linkedin.com/pub/daniel-gonzalez/0/29B/B15</v>
      </c>
      <c r="I7261" s="2" t="s">
        <v>15</v>
      </c>
      <c r="J7261" s="2" t="s">
        <v>102</v>
      </c>
      <c r="K7261" s="2" t="s">
        <v>10176</v>
      </c>
    </row>
    <row r="7262" ht="15.75" customHeight="1">
      <c r="A7262" s="2">
        <v>55042.0</v>
      </c>
      <c r="B7262" s="2" t="s">
        <v>5803</v>
      </c>
      <c r="C7262" s="2" t="s">
        <v>13710</v>
      </c>
      <c r="D7262" s="2" t="s">
        <v>13711</v>
      </c>
      <c r="E7262" s="2" t="s">
        <v>20</v>
      </c>
      <c r="F7262" s="2">
        <v>5.0</v>
      </c>
      <c r="G7262" s="2">
        <v>500.0</v>
      </c>
      <c r="H7262" s="3" t="str">
        <f>HYPERLINK("http://www.linkedin.com/pub/mariano-utin/9/538/617","http://www.linkedin.com/pub/mariano-utin/9/538/617")</f>
        <v>http://www.linkedin.com/pub/mariano-utin/9/538/617</v>
      </c>
      <c r="I7262" s="2" t="s">
        <v>2046</v>
      </c>
      <c r="J7262" s="2" t="s">
        <v>21</v>
      </c>
      <c r="K7262" s="2" t="s">
        <v>10187</v>
      </c>
    </row>
    <row r="7263" ht="15.75" customHeight="1">
      <c r="A7263" s="2">
        <v>55051.0</v>
      </c>
      <c r="B7263" s="2" t="s">
        <v>6025</v>
      </c>
      <c r="C7263" s="2" t="s">
        <v>13712</v>
      </c>
      <c r="D7263" s="2" t="s">
        <v>13713</v>
      </c>
      <c r="E7263" s="2" t="s">
        <v>20</v>
      </c>
      <c r="F7263" s="2">
        <v>0.0</v>
      </c>
      <c r="G7263" s="2">
        <v>500.0</v>
      </c>
      <c r="H7263" s="3" t="str">
        <f>HYPERLINK("http://www.linkedin.com/pub/hernan-feder/9/4b3/195","http://www.linkedin.com/pub/hernan-feder/9/4b3/195")</f>
        <v>http://www.linkedin.com/pub/hernan-feder/9/4b3/195</v>
      </c>
      <c r="I7263" s="2" t="s">
        <v>15</v>
      </c>
      <c r="J7263" s="2" t="s">
        <v>21</v>
      </c>
      <c r="K7263" s="2" t="s">
        <v>10206</v>
      </c>
    </row>
    <row r="7264" ht="15.75" customHeight="1">
      <c r="A7264" s="2">
        <v>55055.0</v>
      </c>
      <c r="B7264" s="2" t="s">
        <v>13714</v>
      </c>
      <c r="C7264" s="2" t="s">
        <v>13715</v>
      </c>
      <c r="D7264" s="2" t="s">
        <v>13</v>
      </c>
      <c r="E7264" s="2" t="s">
        <v>20</v>
      </c>
      <c r="F7264" s="2">
        <v>0.0</v>
      </c>
      <c r="G7264" s="2">
        <v>260.0</v>
      </c>
      <c r="H7264" s="3" t="str">
        <f>HYPERLINK("http://www.linkedin.com/pub/maria-valeria-dunayevich/14/6a1/801","http://www.linkedin.com/pub/maria-valeria-dunayevich/14/6a1/801")</f>
        <v>http://www.linkedin.com/pub/maria-valeria-dunayevich/14/6a1/801</v>
      </c>
      <c r="I7264" s="2" t="s">
        <v>15</v>
      </c>
      <c r="J7264" s="2" t="s">
        <v>21</v>
      </c>
      <c r="K7264" s="2" t="s">
        <v>10173</v>
      </c>
    </row>
    <row r="7265" ht="15.75" customHeight="1">
      <c r="A7265" s="2">
        <v>55071.0</v>
      </c>
      <c r="B7265" s="2" t="s">
        <v>264</v>
      </c>
      <c r="C7265" s="2" t="s">
        <v>13716</v>
      </c>
      <c r="D7265" s="2" t="s">
        <v>13</v>
      </c>
      <c r="E7265" s="2" t="s">
        <v>20</v>
      </c>
      <c r="F7265" s="2">
        <v>0.0</v>
      </c>
      <c r="G7265" s="2">
        <v>500.0</v>
      </c>
      <c r="H7265" s="3" t="str">
        <f>HYPERLINK("http://www.linkedin.com/pub/andres-watle/25/726/43a","http://www.linkedin.com/pub/andres-watle/25/726/43a")</f>
        <v>http://www.linkedin.com/pub/andres-watle/25/726/43a</v>
      </c>
      <c r="I7265" s="2" t="s">
        <v>69</v>
      </c>
      <c r="J7265" s="2" t="s">
        <v>21</v>
      </c>
      <c r="K7265" s="2" t="s">
        <v>10187</v>
      </c>
    </row>
    <row r="7266" ht="15.75" customHeight="1">
      <c r="A7266" s="2">
        <v>55138.0</v>
      </c>
      <c r="B7266" s="2" t="s">
        <v>227</v>
      </c>
      <c r="C7266" s="2" t="s">
        <v>13717</v>
      </c>
      <c r="D7266" s="2" t="s">
        <v>13718</v>
      </c>
      <c r="E7266" s="2" t="s">
        <v>136</v>
      </c>
      <c r="F7266" s="2">
        <v>36.0</v>
      </c>
      <c r="G7266" s="2">
        <v>500.0</v>
      </c>
      <c r="H7266" s="3" t="str">
        <f>HYPERLINK("http://www.linkedin.com/in/jorgezavala","http://www.linkedin.com/in/jorgezavala")</f>
        <v>http://www.linkedin.com/in/jorgezavala</v>
      </c>
      <c r="I7266" s="2" t="s">
        <v>15</v>
      </c>
      <c r="J7266" s="2" t="s">
        <v>102</v>
      </c>
      <c r="K7266" s="2" t="s">
        <v>10176</v>
      </c>
    </row>
    <row r="7267" ht="15.75" customHeight="1">
      <c r="A7267" s="2">
        <v>55214.0</v>
      </c>
      <c r="B7267" s="2" t="s">
        <v>5849</v>
      </c>
      <c r="C7267" s="2" t="s">
        <v>7390</v>
      </c>
      <c r="D7267" s="2" t="s">
        <v>7238</v>
      </c>
      <c r="E7267" s="2" t="s">
        <v>20</v>
      </c>
      <c r="F7267" s="2">
        <v>1.0</v>
      </c>
      <c r="G7267" s="2">
        <v>500.0</v>
      </c>
      <c r="H7267" s="3" t="str">
        <f>HYPERLINK("http://ar.linkedin.com/pub/facundo-guzman/6/713/7A1","http://ar.linkedin.com/pub/facundo-guzman/6/713/7A1")</f>
        <v>http://ar.linkedin.com/pub/facundo-guzman/6/713/7A1</v>
      </c>
      <c r="I7267" s="2" t="s">
        <v>69</v>
      </c>
      <c r="J7267" s="2" t="s">
        <v>21</v>
      </c>
      <c r="K7267" s="2" t="s">
        <v>12192</v>
      </c>
    </row>
    <row r="7268" ht="15.75" customHeight="1">
      <c r="A7268" s="2">
        <v>55253.0</v>
      </c>
      <c r="B7268" s="2" t="s">
        <v>13157</v>
      </c>
      <c r="C7268" s="2" t="s">
        <v>6956</v>
      </c>
      <c r="D7268" s="2" t="s">
        <v>13719</v>
      </c>
      <c r="E7268" s="2" t="s">
        <v>1190</v>
      </c>
      <c r="F7268" s="2" t="s">
        <v>13</v>
      </c>
      <c r="G7268" s="2">
        <v>173.0</v>
      </c>
      <c r="H7268" s="3" t="str">
        <f>HYPERLINK("http://www.linkedin.com/pub/vicky-arce/6/B6/6A2","http://www.linkedin.com/pub/vicky-arce/6/B6/6A2")</f>
        <v>http://www.linkedin.com/pub/vicky-arce/6/B6/6A2</v>
      </c>
      <c r="I7268" s="2" t="s">
        <v>669</v>
      </c>
      <c r="J7268" s="2" t="s">
        <v>102</v>
      </c>
      <c r="K7268" s="2" t="s">
        <v>10209</v>
      </c>
    </row>
    <row r="7269" ht="15.75" customHeight="1">
      <c r="A7269" s="2">
        <v>55277.0</v>
      </c>
      <c r="B7269" s="2" t="s">
        <v>6417</v>
      </c>
      <c r="C7269" s="2" t="s">
        <v>13193</v>
      </c>
      <c r="D7269" s="2" t="s">
        <v>47</v>
      </c>
      <c r="E7269" s="2" t="s">
        <v>20</v>
      </c>
      <c r="F7269" s="2" t="s">
        <v>13</v>
      </c>
      <c r="G7269" s="2">
        <v>359.0</v>
      </c>
      <c r="H7269" s="3" t="str">
        <f>HYPERLINK("http://ar.linkedin.com/in/alfamdq","http://ar.linkedin.com/in/alfamdq")</f>
        <v>http://ar.linkedin.com/in/alfamdq</v>
      </c>
      <c r="I7269" s="2" t="s">
        <v>2023</v>
      </c>
      <c r="J7269" s="2" t="s">
        <v>21</v>
      </c>
      <c r="K7269" s="2" t="s">
        <v>10176</v>
      </c>
    </row>
    <row r="7270" ht="15.75" customHeight="1">
      <c r="A7270" s="2">
        <v>55316.0</v>
      </c>
      <c r="B7270" s="2" t="s">
        <v>13720</v>
      </c>
      <c r="C7270" s="2" t="s">
        <v>13721</v>
      </c>
      <c r="D7270" s="2" t="s">
        <v>13</v>
      </c>
      <c r="E7270" s="2" t="s">
        <v>20</v>
      </c>
      <c r="F7270" s="2">
        <v>0.0</v>
      </c>
      <c r="G7270" s="2">
        <v>43.0</v>
      </c>
      <c r="H7270" s="3" t="str">
        <f>HYPERLINK("http://www.linkedin.com/pub/german-nahuel-barrera/9/667/a09","http://www.linkedin.com/pub/german-nahuel-barrera/9/667/a09")</f>
        <v>http://www.linkedin.com/pub/german-nahuel-barrera/9/667/a09</v>
      </c>
      <c r="I7270" s="2" t="s">
        <v>15</v>
      </c>
      <c r="J7270" s="2" t="s">
        <v>21</v>
      </c>
      <c r="K7270" s="2" t="s">
        <v>13722</v>
      </c>
    </row>
    <row r="7271" ht="15.75" customHeight="1">
      <c r="A7271" s="2">
        <v>55318.0</v>
      </c>
      <c r="B7271" s="2" t="s">
        <v>6073</v>
      </c>
      <c r="C7271" s="2" t="s">
        <v>1499</v>
      </c>
      <c r="D7271" s="2" t="s">
        <v>13723</v>
      </c>
      <c r="E7271" s="2" t="s">
        <v>1190</v>
      </c>
      <c r="F7271" s="2">
        <v>0.0</v>
      </c>
      <c r="G7271" s="2">
        <v>500.0</v>
      </c>
      <c r="H7271" s="3" t="str">
        <f>HYPERLINK("http://www.linkedin.com/pub/fortunato-adrian/1/232/81A","http://www.linkedin.com/pub/fortunato-adrian/1/232/81A")</f>
        <v>http://www.linkedin.com/pub/fortunato-adrian/1/232/81A</v>
      </c>
      <c r="I7271" s="2" t="s">
        <v>48</v>
      </c>
      <c r="J7271" s="2" t="s">
        <v>102</v>
      </c>
      <c r="K7271" s="2" t="s">
        <v>10233</v>
      </c>
    </row>
    <row r="7272" ht="15.75" customHeight="1">
      <c r="A7272" s="2">
        <v>55329.0</v>
      </c>
      <c r="B7272" s="2" t="s">
        <v>3432</v>
      </c>
      <c r="C7272" s="2" t="s">
        <v>13724</v>
      </c>
      <c r="D7272" s="2" t="s">
        <v>13725</v>
      </c>
      <c r="E7272" s="2" t="s">
        <v>1190</v>
      </c>
      <c r="F7272" s="2">
        <v>7.0</v>
      </c>
      <c r="G7272" s="2">
        <v>470.0</v>
      </c>
      <c r="H7272" s="3" t="str">
        <f>HYPERLINK("http://www.linkedin.com/pub/joseph-bouhadana/0/107/266","http://www.linkedin.com/pub/joseph-bouhadana/0/107/266")</f>
        <v>http://www.linkedin.com/pub/joseph-bouhadana/0/107/266</v>
      </c>
      <c r="I7272" s="2" t="s">
        <v>119</v>
      </c>
      <c r="J7272" s="2" t="s">
        <v>102</v>
      </c>
      <c r="K7272" s="2" t="s">
        <v>10209</v>
      </c>
    </row>
    <row r="7273" ht="15.75" customHeight="1">
      <c r="A7273" s="2">
        <v>55334.0</v>
      </c>
      <c r="B7273" s="2" t="s">
        <v>13726</v>
      </c>
      <c r="C7273" s="2" t="s">
        <v>9934</v>
      </c>
      <c r="D7273" s="2" t="s">
        <v>13727</v>
      </c>
      <c r="E7273" s="2" t="s">
        <v>1190</v>
      </c>
      <c r="F7273" s="2">
        <v>4.0</v>
      </c>
      <c r="G7273" s="2">
        <v>470.0</v>
      </c>
      <c r="H7273" s="3" t="str">
        <f>HYPERLINK("http://www.linkedin.com/pub/ana-maria-vela/5/133/5B7","http://www.linkedin.com/pub/ana-maria-vela/5/133/5B7")</f>
        <v>http://www.linkedin.com/pub/ana-maria-vela/5/133/5B7</v>
      </c>
      <c r="I7273" s="2" t="s">
        <v>48</v>
      </c>
      <c r="J7273" s="2" t="s">
        <v>102</v>
      </c>
      <c r="K7273" s="2" t="s">
        <v>10263</v>
      </c>
    </row>
    <row r="7274" ht="15.75" customHeight="1">
      <c r="A7274" s="2">
        <v>55344.0</v>
      </c>
      <c r="B7274" s="2" t="s">
        <v>13728</v>
      </c>
      <c r="C7274" s="2" t="s">
        <v>13729</v>
      </c>
      <c r="D7274" s="2" t="s">
        <v>13730</v>
      </c>
      <c r="E7274" s="2" t="s">
        <v>255</v>
      </c>
      <c r="F7274" s="2">
        <v>4.0</v>
      </c>
      <c r="G7274" s="2">
        <v>223.0</v>
      </c>
      <c r="H7274" s="3" t="str">
        <f>HYPERLINK("http://www.linkedin.com/pub/milagros-morantes/12/186/640","http://www.linkedin.com/pub/milagros-morantes/12/186/640")</f>
        <v>http://www.linkedin.com/pub/milagros-morantes/12/186/640</v>
      </c>
      <c r="I7274" s="2" t="s">
        <v>15</v>
      </c>
      <c r="J7274" s="2" t="s">
        <v>102</v>
      </c>
      <c r="K7274" s="2" t="s">
        <v>10176</v>
      </c>
    </row>
    <row r="7275" ht="15.75" customHeight="1">
      <c r="A7275" s="2">
        <v>55392.0</v>
      </c>
      <c r="B7275" s="2" t="s">
        <v>1230</v>
      </c>
      <c r="C7275" s="2" t="s">
        <v>13731</v>
      </c>
      <c r="D7275" s="2"/>
      <c r="E7275" s="2" t="s">
        <v>1190</v>
      </c>
      <c r="F7275" s="2">
        <v>0.0</v>
      </c>
      <c r="G7275" s="2">
        <v>500.0</v>
      </c>
      <c r="H7275" s="3" t="str">
        <f>HYPERLINK("http://www.linkedin.com/pub/alberto-chacin/0/1A8/A0A","http://www.linkedin.com/pub/alberto-chacin/0/1A8/A0A")</f>
        <v>http://www.linkedin.com/pub/alberto-chacin/0/1A8/A0A</v>
      </c>
      <c r="I7275" s="2" t="s">
        <v>15</v>
      </c>
      <c r="J7275" s="2" t="s">
        <v>102</v>
      </c>
      <c r="K7275" s="2" t="s">
        <v>10184</v>
      </c>
    </row>
    <row r="7276" ht="15.75" customHeight="1">
      <c r="A7276" s="2">
        <v>55398.0</v>
      </c>
      <c r="B7276" s="2" t="s">
        <v>824</v>
      </c>
      <c r="C7276" s="2" t="s">
        <v>13732</v>
      </c>
      <c r="D7276" s="2"/>
      <c r="E7276" s="2" t="s">
        <v>136</v>
      </c>
      <c r="F7276" s="2">
        <v>5.0</v>
      </c>
      <c r="G7276" s="2">
        <v>487.0</v>
      </c>
      <c r="H7276" s="3" t="str">
        <f>HYPERLINK("http://www.linkedin.com/pub/nancy-escoto/0/678/654","http://www.linkedin.com/pub/nancy-escoto/0/678/654")</f>
        <v>http://www.linkedin.com/pub/nancy-escoto/0/678/654</v>
      </c>
      <c r="I7276" s="2" t="s">
        <v>279</v>
      </c>
      <c r="J7276" s="2" t="s">
        <v>102</v>
      </c>
      <c r="K7276" s="2" t="s">
        <v>10206</v>
      </c>
    </row>
    <row r="7277" ht="15.75" customHeight="1">
      <c r="A7277" s="2">
        <v>55402.0</v>
      </c>
      <c r="B7277" s="2" t="s">
        <v>6032</v>
      </c>
      <c r="C7277" s="2" t="s">
        <v>13733</v>
      </c>
      <c r="D7277" s="2" t="s">
        <v>125</v>
      </c>
      <c r="E7277" s="2" t="s">
        <v>20</v>
      </c>
      <c r="F7277" s="2">
        <v>2.0</v>
      </c>
      <c r="G7277" s="2">
        <v>315.0</v>
      </c>
      <c r="H7277" s="3" t="str">
        <f>HYPERLINK("http://ar.linkedin.com/pub/victoria-morchon/13/B7/20","http://ar.linkedin.com/pub/victoria-morchon/13/B7/20")</f>
        <v>http://ar.linkedin.com/pub/victoria-morchon/13/B7/20</v>
      </c>
      <c r="I7277" s="2" t="s">
        <v>69</v>
      </c>
      <c r="J7277" s="2" t="s">
        <v>21</v>
      </c>
      <c r="K7277" s="2" t="s">
        <v>10180</v>
      </c>
    </row>
    <row r="7278" ht="15.75" customHeight="1">
      <c r="A7278" s="2">
        <v>55404.0</v>
      </c>
      <c r="B7278" s="2" t="s">
        <v>862</v>
      </c>
      <c r="C7278" s="2" t="s">
        <v>13734</v>
      </c>
      <c r="D7278" s="2" t="s">
        <v>100</v>
      </c>
      <c r="E7278" s="2" t="s">
        <v>20</v>
      </c>
      <c r="F7278" s="2" t="s">
        <v>13</v>
      </c>
      <c r="G7278" s="2">
        <v>500.0</v>
      </c>
      <c r="H7278" s="3" t="str">
        <f>HYPERLINK("http://ar.linkedin.com/pub/gabriel-deak/7/968/B48","http://ar.linkedin.com/pub/gabriel-deak/7/968/B48")</f>
        <v>http://ar.linkedin.com/pub/gabriel-deak/7/968/B48</v>
      </c>
      <c r="I7278" s="2" t="s">
        <v>458</v>
      </c>
      <c r="J7278" s="2" t="s">
        <v>21</v>
      </c>
      <c r="K7278" s="2" t="s">
        <v>10187</v>
      </c>
    </row>
    <row r="7279" ht="15.75" customHeight="1">
      <c r="A7279" s="2">
        <v>55415.0</v>
      </c>
      <c r="B7279" s="2" t="s">
        <v>45</v>
      </c>
      <c r="C7279" s="2" t="s">
        <v>6032</v>
      </c>
      <c r="D7279" s="2" t="s">
        <v>13735</v>
      </c>
      <c r="E7279" s="2" t="s">
        <v>1190</v>
      </c>
      <c r="F7279" s="2">
        <v>5.0</v>
      </c>
      <c r="G7279" s="2">
        <v>500.0</v>
      </c>
      <c r="H7279" s="3" t="str">
        <f>HYPERLINK("http://www.linkedin.com/in/carlosvictoria","http://www.linkedin.com/in/carlosvictoria")</f>
        <v>http://www.linkedin.com/in/carlosvictoria</v>
      </c>
      <c r="I7279" s="2" t="s">
        <v>48</v>
      </c>
      <c r="J7279" s="2" t="s">
        <v>102</v>
      </c>
      <c r="K7279" s="2" t="s">
        <v>10184</v>
      </c>
    </row>
    <row r="7280" ht="15.75" customHeight="1">
      <c r="A7280" s="2">
        <v>55434.0</v>
      </c>
      <c r="B7280" s="2" t="s">
        <v>8117</v>
      </c>
      <c r="C7280" s="2" t="s">
        <v>13736</v>
      </c>
      <c r="D7280" s="2"/>
      <c r="E7280" s="2" t="s">
        <v>1190</v>
      </c>
      <c r="F7280" s="2">
        <v>3.0</v>
      </c>
      <c r="G7280" s="2">
        <v>500.0</v>
      </c>
      <c r="H7280" s="3" t="str">
        <f>HYPERLINK("http://www.linkedin.com/pub/leticia-hartmann/0/1B/92","http://www.linkedin.com/pub/leticia-hartmann/0/1B/92")</f>
        <v>http://www.linkedin.com/pub/leticia-hartmann/0/1B/92</v>
      </c>
      <c r="I7280" s="2" t="s">
        <v>15</v>
      </c>
      <c r="J7280" s="2" t="s">
        <v>102</v>
      </c>
      <c r="K7280" s="2" t="s">
        <v>10184</v>
      </c>
    </row>
    <row r="7281" ht="15.75" customHeight="1">
      <c r="A7281" s="2">
        <v>55441.0</v>
      </c>
      <c r="B7281" s="2" t="s">
        <v>418</v>
      </c>
      <c r="C7281" s="2" t="s">
        <v>6480</v>
      </c>
      <c r="D7281" s="2" t="s">
        <v>950</v>
      </c>
      <c r="E7281" s="2" t="s">
        <v>1190</v>
      </c>
      <c r="F7281" s="2">
        <v>2.0</v>
      </c>
      <c r="G7281" s="2">
        <v>428.0</v>
      </c>
      <c r="H7281" s="3" t="str">
        <f>HYPERLINK("http://www.linkedin.com/in/ivanvaldes","http://www.linkedin.com/in/ivanvaldes")</f>
        <v>http://www.linkedin.com/in/ivanvaldes</v>
      </c>
      <c r="I7281" s="2" t="s">
        <v>48</v>
      </c>
      <c r="J7281" s="2" t="s">
        <v>102</v>
      </c>
      <c r="K7281" s="2" t="s">
        <v>10233</v>
      </c>
    </row>
    <row r="7282" ht="15.75" customHeight="1">
      <c r="A7282" s="2">
        <v>55446.0</v>
      </c>
      <c r="B7282" s="2" t="s">
        <v>6252</v>
      </c>
      <c r="C7282" s="2" t="s">
        <v>13737</v>
      </c>
      <c r="D7282" s="2" t="s">
        <v>13738</v>
      </c>
      <c r="E7282" s="2" t="s">
        <v>1190</v>
      </c>
      <c r="F7282" s="2">
        <v>6.0</v>
      </c>
      <c r="G7282" s="2">
        <v>500.0</v>
      </c>
      <c r="H7282" s="3" t="str">
        <f>HYPERLINK("http://www.linkedin.com/pub/santiago-mendoza/0/224/917","http://www.linkedin.com/pub/santiago-mendoza/0/224/917")</f>
        <v>http://www.linkedin.com/pub/santiago-mendoza/0/224/917</v>
      </c>
      <c r="I7282" s="2" t="s">
        <v>48</v>
      </c>
      <c r="J7282" s="2" t="s">
        <v>102</v>
      </c>
      <c r="K7282" s="2" t="s">
        <v>10233</v>
      </c>
    </row>
    <row r="7283" ht="15.75" customHeight="1">
      <c r="A7283" s="2">
        <v>55459.0</v>
      </c>
      <c r="B7283" s="2" t="s">
        <v>362</v>
      </c>
      <c r="C7283" s="2" t="s">
        <v>13739</v>
      </c>
      <c r="D7283" s="2"/>
      <c r="E7283" s="2" t="s">
        <v>1190</v>
      </c>
      <c r="F7283" s="2">
        <v>10.0</v>
      </c>
      <c r="G7283" s="2">
        <v>500.0</v>
      </c>
      <c r="H7283" s="3" t="str">
        <f>HYPERLINK("http://www.linkedin.com/pub/javier-cuellar/0/327/790","http://www.linkedin.com/pub/javier-cuellar/0/327/790")</f>
        <v>http://www.linkedin.com/pub/javier-cuellar/0/327/790</v>
      </c>
      <c r="I7283" s="2" t="s">
        <v>48</v>
      </c>
      <c r="J7283" s="2" t="s">
        <v>102</v>
      </c>
      <c r="K7283" s="2" t="s">
        <v>10184</v>
      </c>
    </row>
    <row r="7284" ht="15.75" customHeight="1">
      <c r="A7284" s="2">
        <v>55471.0</v>
      </c>
      <c r="B7284" s="2" t="s">
        <v>6622</v>
      </c>
      <c r="C7284" s="2" t="s">
        <v>13740</v>
      </c>
      <c r="D7284" s="2" t="s">
        <v>13741</v>
      </c>
      <c r="E7284" s="2" t="s">
        <v>20</v>
      </c>
      <c r="F7284" s="2" t="s">
        <v>13</v>
      </c>
      <c r="G7284" s="2">
        <v>492.0</v>
      </c>
      <c r="H7284" s="3" t="str">
        <f>HYPERLINK("http://ar.linkedin.com/pub/patricio-garcia-bazarra/B/698/B6B","http://ar.linkedin.com/pub/patricio-garcia-bazarra/B/698/B6B")</f>
        <v>http://ar.linkedin.com/pub/patricio-garcia-bazarra/B/698/B6B</v>
      </c>
      <c r="I7284" s="2" t="s">
        <v>77</v>
      </c>
      <c r="J7284" s="2" t="s">
        <v>21</v>
      </c>
      <c r="K7284" s="2" t="s">
        <v>10176</v>
      </c>
    </row>
    <row r="7285" ht="15.75" customHeight="1">
      <c r="A7285" s="2">
        <v>55486.0</v>
      </c>
      <c r="B7285" s="2" t="s">
        <v>3190</v>
      </c>
      <c r="C7285" s="2" t="s">
        <v>13742</v>
      </c>
      <c r="D7285" s="2"/>
      <c r="E7285" s="2" t="s">
        <v>181</v>
      </c>
      <c r="F7285" s="2">
        <v>0.0</v>
      </c>
      <c r="G7285" s="2">
        <v>500.0</v>
      </c>
      <c r="H7285" s="3" t="str">
        <f>HYPERLINK("http://www.linkedin.com/pub/henry-hudson/2/927/11","http://www.linkedin.com/pub/henry-hudson/2/927/11")</f>
        <v>http://www.linkedin.com/pub/henry-hudson/2/927/11</v>
      </c>
      <c r="I7285" s="2" t="s">
        <v>15</v>
      </c>
      <c r="J7285" s="2" t="s">
        <v>102</v>
      </c>
      <c r="K7285" s="2" t="s">
        <v>10184</v>
      </c>
    </row>
    <row r="7286" ht="15.75" customHeight="1">
      <c r="A7286" s="2">
        <v>55502.0</v>
      </c>
      <c r="B7286" s="2" t="s">
        <v>6531</v>
      </c>
      <c r="C7286" s="2" t="s">
        <v>13743</v>
      </c>
      <c r="D7286" s="2" t="s">
        <v>13</v>
      </c>
      <c r="E7286" s="2" t="s">
        <v>122</v>
      </c>
      <c r="F7286" s="2">
        <v>4.0</v>
      </c>
      <c r="G7286" s="2">
        <v>336.0</v>
      </c>
      <c r="H7286" s="3" t="str">
        <f>HYPERLINK("http://www.linkedin.com/pub/gerardo-bartoli/a/b33/419","http://www.linkedin.com/pub/gerardo-bartoli/a/b33/419")</f>
        <v>http://www.linkedin.com/pub/gerardo-bartoli/a/b33/419</v>
      </c>
      <c r="I7286" s="2" t="s">
        <v>48</v>
      </c>
      <c r="J7286" s="2" t="s">
        <v>53</v>
      </c>
      <c r="K7286" s="2" t="s">
        <v>10180</v>
      </c>
    </row>
    <row r="7287" ht="15.75" customHeight="1">
      <c r="A7287" s="2">
        <v>55593.0</v>
      </c>
      <c r="B7287" s="2" t="s">
        <v>133</v>
      </c>
      <c r="C7287" s="2" t="s">
        <v>288</v>
      </c>
      <c r="D7287" s="2" t="s">
        <v>13744</v>
      </c>
      <c r="E7287" s="2" t="s">
        <v>101</v>
      </c>
      <c r="F7287" s="2">
        <v>29.0</v>
      </c>
      <c r="G7287" s="2">
        <v>500.0</v>
      </c>
      <c r="H7287" s="3" t="str">
        <f>HYPERLINK("http://www.linkedin.com/in/michaeljohndavis777","http://www.linkedin.com/in/michaeljohndavis777")</f>
        <v>http://www.linkedin.com/in/michaeljohndavis777</v>
      </c>
      <c r="I7287" s="2" t="s">
        <v>57</v>
      </c>
      <c r="J7287" s="2" t="s">
        <v>102</v>
      </c>
      <c r="K7287" s="2" t="s">
        <v>10482</v>
      </c>
    </row>
    <row r="7288" ht="15.75" customHeight="1">
      <c r="A7288" s="2">
        <v>55676.0</v>
      </c>
      <c r="B7288" s="2" t="s">
        <v>13745</v>
      </c>
      <c r="C7288" s="2" t="s">
        <v>6148</v>
      </c>
      <c r="D7288" s="2" t="s">
        <v>13746</v>
      </c>
      <c r="E7288" s="2" t="s">
        <v>20</v>
      </c>
      <c r="F7288" s="2">
        <v>2.0</v>
      </c>
      <c r="G7288" s="2">
        <v>500.0</v>
      </c>
      <c r="H7288" s="3" t="str">
        <f>HYPERLINK("http://ar.linkedin.com/in/braddyromero","http://ar.linkedin.com/in/braddyromero")</f>
        <v>http://ar.linkedin.com/in/braddyromero</v>
      </c>
      <c r="I7288" s="2" t="s">
        <v>15</v>
      </c>
      <c r="J7288" s="2" t="s">
        <v>21</v>
      </c>
      <c r="K7288" s="2" t="s">
        <v>10196</v>
      </c>
    </row>
    <row r="7289" ht="15.75" customHeight="1">
      <c r="A7289" s="2">
        <v>55685.0</v>
      </c>
      <c r="B7289" s="2" t="s">
        <v>358</v>
      </c>
      <c r="C7289" s="2" t="s">
        <v>8332</v>
      </c>
      <c r="D7289" s="2" t="s">
        <v>13747</v>
      </c>
      <c r="E7289" s="2" t="s">
        <v>20</v>
      </c>
      <c r="F7289" s="2">
        <v>3.0</v>
      </c>
      <c r="G7289" s="2">
        <v>500.0</v>
      </c>
      <c r="H7289" s="3" t="str">
        <f>HYPERLINK("http://www.linkedin.com/pub/marcelo-morales-rins/14/872/322","http://www.linkedin.com/pub/marcelo-morales-rins/14/872/322")</f>
        <v>http://www.linkedin.com/pub/marcelo-morales-rins/14/872/322</v>
      </c>
      <c r="I7289" s="2" t="s">
        <v>48</v>
      </c>
      <c r="J7289" s="2" t="s">
        <v>21</v>
      </c>
      <c r="K7289" s="2" t="s">
        <v>10196</v>
      </c>
    </row>
    <row r="7290" ht="15.75" customHeight="1">
      <c r="A7290" s="2">
        <v>55716.0</v>
      </c>
      <c r="B7290" s="2" t="s">
        <v>146</v>
      </c>
      <c r="C7290" s="2" t="s">
        <v>13748</v>
      </c>
      <c r="D7290" s="2"/>
      <c r="E7290" s="2" t="s">
        <v>1547</v>
      </c>
      <c r="F7290" s="2">
        <v>18.0</v>
      </c>
      <c r="G7290" s="2">
        <v>500.0</v>
      </c>
      <c r="H7290" s="3" t="str">
        <f>HYPERLINK("http://www.linkedin.com/pub/enrique-nunez-ruiz/0/777/902","http://www.linkedin.com/pub/enrique-nunez-ruiz/0/777/902")</f>
        <v>http://www.linkedin.com/pub/enrique-nunez-ruiz/0/777/902</v>
      </c>
      <c r="I7290" s="2" t="s">
        <v>48</v>
      </c>
      <c r="J7290" s="2" t="s">
        <v>102</v>
      </c>
      <c r="K7290" s="2" t="s">
        <v>10184</v>
      </c>
    </row>
    <row r="7291" ht="15.75" customHeight="1">
      <c r="A7291" s="2">
        <v>55753.0</v>
      </c>
      <c r="B7291" s="2" t="s">
        <v>238</v>
      </c>
      <c r="C7291" s="2" t="s">
        <v>13749</v>
      </c>
      <c r="D7291" s="2" t="s">
        <v>7149</v>
      </c>
      <c r="E7291" s="2" t="s">
        <v>882</v>
      </c>
      <c r="F7291" s="2">
        <v>5.0</v>
      </c>
      <c r="G7291" s="2">
        <v>500.0</v>
      </c>
      <c r="H7291" s="3" t="str">
        <f>HYPERLINK("http://www.linkedin.com/in/juanfiguera","http://www.linkedin.com/in/juanfiguera")</f>
        <v>http://www.linkedin.com/in/juanfiguera</v>
      </c>
      <c r="I7291" s="2" t="s">
        <v>69</v>
      </c>
      <c r="J7291" s="2" t="s">
        <v>102</v>
      </c>
      <c r="K7291" s="2" t="s">
        <v>10206</v>
      </c>
    </row>
    <row r="7292" ht="15.75" customHeight="1">
      <c r="A7292" s="2">
        <v>55799.0</v>
      </c>
      <c r="B7292" s="2" t="s">
        <v>6432</v>
      </c>
      <c r="C7292" s="2" t="s">
        <v>11419</v>
      </c>
      <c r="D7292" s="2" t="s">
        <v>7554</v>
      </c>
      <c r="E7292" s="2" t="s">
        <v>20</v>
      </c>
      <c r="F7292" s="2" t="s">
        <v>13</v>
      </c>
      <c r="G7292" s="2">
        <v>148.0</v>
      </c>
      <c r="H7292" s="3" t="str">
        <f>HYPERLINK("http://ar.linkedin.com/pub/marcela-calderon/4/B41/132","http://ar.linkedin.com/pub/marcela-calderon/4/B41/132")</f>
        <v>http://ar.linkedin.com/pub/marcela-calderon/4/B41/132</v>
      </c>
      <c r="I7292" s="2" t="s">
        <v>15</v>
      </c>
      <c r="J7292" s="2" t="s">
        <v>21</v>
      </c>
      <c r="K7292" s="2" t="s">
        <v>10337</v>
      </c>
    </row>
    <row r="7293" ht="15.75" customHeight="1">
      <c r="A7293" s="2">
        <v>55838.0</v>
      </c>
      <c r="B7293" s="2" t="s">
        <v>5883</v>
      </c>
      <c r="C7293" s="2" t="s">
        <v>13750</v>
      </c>
      <c r="D7293" s="2" t="s">
        <v>13751</v>
      </c>
      <c r="E7293" s="2" t="s">
        <v>20</v>
      </c>
      <c r="F7293" s="2">
        <v>10.0</v>
      </c>
      <c r="G7293" s="2">
        <v>500.0</v>
      </c>
      <c r="H7293" s="3" t="str">
        <f>HYPERLINK("http://ar.linkedin.com/in/arielmartire","http://ar.linkedin.com/in/arielmartire")</f>
        <v>http://ar.linkedin.com/in/arielmartire</v>
      </c>
      <c r="I7293" s="2" t="s">
        <v>15</v>
      </c>
      <c r="J7293" s="2" t="s">
        <v>21</v>
      </c>
      <c r="K7293" s="2" t="s">
        <v>10187</v>
      </c>
    </row>
    <row r="7294" ht="15.75" customHeight="1">
      <c r="A7294" s="2">
        <v>55846.0</v>
      </c>
      <c r="B7294" s="2" t="s">
        <v>329</v>
      </c>
      <c r="C7294" s="2" t="s">
        <v>13752</v>
      </c>
      <c r="D7294" s="2" t="s">
        <v>13</v>
      </c>
      <c r="E7294" s="2" t="s">
        <v>20</v>
      </c>
      <c r="F7294" s="2">
        <v>0.0</v>
      </c>
      <c r="G7294" s="2">
        <v>147.0</v>
      </c>
      <c r="H7294" s="3" t="str">
        <f>HYPERLINK("http://www.linkedin.com/pub/juan-pablo-gerbi/15/973/b43","http://www.linkedin.com/pub/juan-pablo-gerbi/15/973/b43")</f>
        <v>http://www.linkedin.com/pub/juan-pablo-gerbi/15/973/b43</v>
      </c>
      <c r="I7294" s="2" t="s">
        <v>15</v>
      </c>
      <c r="J7294" s="2" t="s">
        <v>21</v>
      </c>
      <c r="K7294" s="2" t="s">
        <v>10263</v>
      </c>
    </row>
    <row r="7295" ht="15.75" customHeight="1">
      <c r="A7295" s="2">
        <v>55848.0</v>
      </c>
      <c r="B7295" s="2" t="s">
        <v>11377</v>
      </c>
      <c r="C7295" s="2" t="s">
        <v>13753</v>
      </c>
      <c r="D7295" s="2" t="s">
        <v>13754</v>
      </c>
      <c r="E7295" s="2" t="s">
        <v>1041</v>
      </c>
      <c r="F7295" s="2">
        <v>4.0</v>
      </c>
      <c r="G7295" s="2">
        <v>364.0</v>
      </c>
      <c r="H7295" s="3" t="str">
        <f>HYPERLINK("http://www.linkedin.com/in/kerncampbell","http://www.linkedin.com/in/kerncampbell")</f>
        <v>http://www.linkedin.com/in/kerncampbell</v>
      </c>
      <c r="I7295" s="2" t="s">
        <v>279</v>
      </c>
      <c r="J7295" s="2" t="s">
        <v>102</v>
      </c>
      <c r="K7295" s="2" t="s">
        <v>10206</v>
      </c>
    </row>
    <row r="7296" ht="15.75" customHeight="1">
      <c r="A7296" s="2">
        <v>55856.0</v>
      </c>
      <c r="B7296" s="2" t="s">
        <v>1405</v>
      </c>
      <c r="C7296" s="2" t="s">
        <v>13755</v>
      </c>
      <c r="D7296" s="2" t="s">
        <v>13756</v>
      </c>
      <c r="E7296" s="2" t="s">
        <v>136</v>
      </c>
      <c r="F7296" s="2">
        <v>10.0</v>
      </c>
      <c r="G7296" s="2">
        <v>500.0</v>
      </c>
      <c r="H7296" s="3" t="str">
        <f>HYPERLINK("http://www.linkedin.com/in/ronacker","http://www.linkedin.com/in/ronacker")</f>
        <v>http://www.linkedin.com/in/ronacker</v>
      </c>
      <c r="I7296" s="2" t="s">
        <v>69</v>
      </c>
      <c r="J7296" s="2" t="s">
        <v>102</v>
      </c>
      <c r="K7296" s="2" t="s">
        <v>10245</v>
      </c>
    </row>
    <row r="7297" ht="15.75" customHeight="1">
      <c r="A7297" s="2">
        <v>55925.0</v>
      </c>
      <c r="B7297" s="2" t="s">
        <v>6089</v>
      </c>
      <c r="C7297" s="2" t="s">
        <v>13757</v>
      </c>
      <c r="D7297" s="2" t="s">
        <v>11436</v>
      </c>
      <c r="E7297" s="2" t="s">
        <v>20</v>
      </c>
      <c r="F7297" s="2" t="s">
        <v>13</v>
      </c>
      <c r="G7297" s="2">
        <v>500.0</v>
      </c>
      <c r="H7297" s="3" t="str">
        <f>HYPERLINK("http://ar.linkedin.com/pub/alicia-huerta/12/710/166","http://ar.linkedin.com/pub/alicia-huerta/12/710/166")</f>
        <v>http://ar.linkedin.com/pub/alicia-huerta/12/710/166</v>
      </c>
      <c r="I7297" s="2" t="s">
        <v>105</v>
      </c>
      <c r="J7297" s="2" t="s">
        <v>21</v>
      </c>
      <c r="K7297" s="2" t="s">
        <v>10184</v>
      </c>
    </row>
    <row r="7298" ht="15.75" customHeight="1">
      <c r="A7298" s="2">
        <v>55939.0</v>
      </c>
      <c r="B7298" s="2" t="s">
        <v>7663</v>
      </c>
      <c r="C7298" s="2" t="s">
        <v>13758</v>
      </c>
      <c r="D7298" s="2"/>
      <c r="E7298" s="2" t="s">
        <v>1190</v>
      </c>
      <c r="F7298" s="2">
        <v>0.0</v>
      </c>
      <c r="G7298" s="2">
        <v>500.0</v>
      </c>
      <c r="H7298" s="3" t="str">
        <f>HYPERLINK("http://www.linkedin.com/pub/leon-taiman/0/458/930","http://www.linkedin.com/pub/leon-taiman/0/458/930")</f>
        <v>http://www.linkedin.com/pub/leon-taiman/0/458/930</v>
      </c>
      <c r="I7298" s="2" t="s">
        <v>15</v>
      </c>
      <c r="J7298" s="2" t="s">
        <v>102</v>
      </c>
      <c r="K7298" s="2" t="s">
        <v>10184</v>
      </c>
    </row>
    <row r="7299" ht="15.75" customHeight="1">
      <c r="A7299" s="2">
        <v>55940.0</v>
      </c>
      <c r="B7299" s="2" t="s">
        <v>3201</v>
      </c>
      <c r="C7299" s="2" t="s">
        <v>7545</v>
      </c>
      <c r="D7299" s="2" t="s">
        <v>13759</v>
      </c>
      <c r="E7299" s="2" t="s">
        <v>1190</v>
      </c>
      <c r="F7299" s="2">
        <v>25.0</v>
      </c>
      <c r="G7299" s="2">
        <v>500.0</v>
      </c>
      <c r="H7299" s="3" t="str">
        <f>HYPERLINK("http://www.linkedin.com/in/sebastianiglesias","http://www.linkedin.com/in/sebastianiglesias")</f>
        <v>http://www.linkedin.com/in/sebastianiglesias</v>
      </c>
      <c r="I7299" s="2" t="s">
        <v>48</v>
      </c>
      <c r="J7299" s="2" t="s">
        <v>102</v>
      </c>
      <c r="K7299" s="2" t="s">
        <v>10298</v>
      </c>
    </row>
    <row r="7300" ht="15.75" customHeight="1">
      <c r="A7300" s="2">
        <v>56036.0</v>
      </c>
      <c r="B7300" s="2" t="s">
        <v>8413</v>
      </c>
      <c r="C7300" s="2" t="s">
        <v>13760</v>
      </c>
      <c r="D7300" s="2" t="s">
        <v>13761</v>
      </c>
      <c r="E7300" s="2" t="s">
        <v>20</v>
      </c>
      <c r="F7300" s="2">
        <v>7.0</v>
      </c>
      <c r="G7300" s="2">
        <v>472.0</v>
      </c>
      <c r="H7300" s="3" t="str">
        <f>HYPERLINK("http://ar.linkedin.com/pub/enzo-colorio/28/495/B71","http://ar.linkedin.com/pub/enzo-colorio/28/495/B71")</f>
        <v>http://ar.linkedin.com/pub/enzo-colorio/28/495/B71</v>
      </c>
      <c r="I7300" s="2" t="s">
        <v>48</v>
      </c>
      <c r="J7300" s="2" t="s">
        <v>21</v>
      </c>
      <c r="K7300" s="2" t="s">
        <v>10196</v>
      </c>
    </row>
    <row r="7301" ht="15.75" customHeight="1">
      <c r="A7301" s="2">
        <v>56102.0</v>
      </c>
      <c r="B7301" s="2" t="s">
        <v>3268</v>
      </c>
      <c r="C7301" s="2" t="s">
        <v>13762</v>
      </c>
      <c r="D7301" s="2" t="s">
        <v>13</v>
      </c>
      <c r="E7301" s="2" t="s">
        <v>20</v>
      </c>
      <c r="F7301" s="2">
        <v>0.0</v>
      </c>
      <c r="G7301" s="2">
        <v>305.0</v>
      </c>
      <c r="H7301" s="3" t="str">
        <f>HYPERLINK("http://www.linkedin.com/pub/patricia-megide/10/606/128","http://www.linkedin.com/pub/patricia-megide/10/606/128")</f>
        <v>http://www.linkedin.com/pub/patricia-megide/10/606/128</v>
      </c>
      <c r="I7301" s="2" t="s">
        <v>48</v>
      </c>
      <c r="J7301" s="2" t="s">
        <v>21</v>
      </c>
      <c r="K7301" s="2" t="s">
        <v>10196</v>
      </c>
    </row>
    <row r="7302" ht="15.75" customHeight="1">
      <c r="A7302" s="2">
        <v>56116.0</v>
      </c>
      <c r="B7302" s="2" t="s">
        <v>1173</v>
      </c>
      <c r="C7302" s="2" t="s">
        <v>13763</v>
      </c>
      <c r="D7302" s="2" t="s">
        <v>3989</v>
      </c>
      <c r="E7302" s="2" t="s">
        <v>628</v>
      </c>
      <c r="F7302" s="2">
        <v>7.0</v>
      </c>
      <c r="G7302" s="2">
        <v>500.0</v>
      </c>
      <c r="H7302" s="3" t="str">
        <f>HYPERLINK("http://www.linkedin.com/in/steveschildwachter","http://www.linkedin.com/in/steveschildwachter")</f>
        <v>http://www.linkedin.com/in/steveschildwachter</v>
      </c>
      <c r="I7302" s="2" t="s">
        <v>105</v>
      </c>
      <c r="J7302" s="2" t="s">
        <v>102</v>
      </c>
      <c r="K7302" s="2" t="s">
        <v>10209</v>
      </c>
    </row>
    <row r="7303" ht="15.75" customHeight="1">
      <c r="A7303" s="2">
        <v>56173.0</v>
      </c>
      <c r="B7303" s="2" t="s">
        <v>1932</v>
      </c>
      <c r="C7303" s="2" t="s">
        <v>13764</v>
      </c>
      <c r="D7303" s="2" t="s">
        <v>13</v>
      </c>
      <c r="E7303" s="2" t="s">
        <v>20</v>
      </c>
      <c r="F7303" s="2">
        <v>0.0</v>
      </c>
      <c r="G7303" s="2">
        <v>500.0</v>
      </c>
      <c r="H7303" s="3" t="str">
        <f>HYPERLINK("http://ar.linkedin.com/pub/michelle-wasserman/A/58A/918","http://ar.linkedin.com/pub/michelle-wasserman/A/58A/918")</f>
        <v>http://ar.linkedin.com/pub/michelle-wasserman/A/58A/918</v>
      </c>
      <c r="I7303" s="2" t="s">
        <v>195</v>
      </c>
      <c r="J7303" s="2" t="s">
        <v>21</v>
      </c>
      <c r="K7303" s="2" t="s">
        <v>10176</v>
      </c>
    </row>
    <row r="7304" ht="15.75" customHeight="1">
      <c r="A7304" s="2">
        <v>56281.0</v>
      </c>
      <c r="B7304" s="2" t="s">
        <v>13765</v>
      </c>
      <c r="C7304" s="2" t="s">
        <v>13766</v>
      </c>
      <c r="D7304" s="2" t="s">
        <v>13767</v>
      </c>
      <c r="E7304" s="2" t="s">
        <v>20</v>
      </c>
      <c r="F7304" s="2">
        <v>6.0</v>
      </c>
      <c r="G7304" s="2">
        <v>221.0</v>
      </c>
      <c r="H7304" s="3" t="str">
        <f>HYPERLINK("http://ar.linkedin.com/in/dariolucas","http://ar.linkedin.com/in/dariolucas")</f>
        <v>http://ar.linkedin.com/in/dariolucas</v>
      </c>
      <c r="I7304" s="2" t="s">
        <v>15</v>
      </c>
      <c r="J7304" s="2" t="s">
        <v>21</v>
      </c>
      <c r="K7304" s="2" t="s">
        <v>10196</v>
      </c>
    </row>
    <row r="7305" ht="15.75" customHeight="1">
      <c r="A7305" s="2">
        <v>56319.0</v>
      </c>
      <c r="B7305" s="2" t="s">
        <v>845</v>
      </c>
      <c r="C7305" s="2" t="s">
        <v>13768</v>
      </c>
      <c r="D7305" s="2"/>
      <c r="E7305" s="2" t="s">
        <v>11161</v>
      </c>
      <c r="F7305" s="2">
        <v>8.0</v>
      </c>
      <c r="G7305" s="2">
        <v>257.0</v>
      </c>
      <c r="H7305" s="3" t="str">
        <f>HYPERLINK("http://uk.linkedin.com/pub/david-creedon/0/396/769","http://uk.linkedin.com/pub/david-creedon/0/396/769")</f>
        <v>http://uk.linkedin.com/pub/david-creedon/0/396/769</v>
      </c>
      <c r="I7305" s="2" t="s">
        <v>15</v>
      </c>
      <c r="J7305" s="2" t="s">
        <v>53</v>
      </c>
      <c r="K7305" s="2" t="s">
        <v>10187</v>
      </c>
    </row>
    <row r="7306" ht="15.75" customHeight="1">
      <c r="A7306" s="2">
        <v>56339.0</v>
      </c>
      <c r="B7306" s="2" t="s">
        <v>13769</v>
      </c>
      <c r="C7306" s="2" t="s">
        <v>13770</v>
      </c>
      <c r="D7306" s="2" t="s">
        <v>13</v>
      </c>
      <c r="E7306" s="2" t="s">
        <v>1605</v>
      </c>
      <c r="F7306" s="2">
        <v>0.0</v>
      </c>
      <c r="G7306" s="2">
        <v>500.0</v>
      </c>
      <c r="H7306" s="3" t="str">
        <f>HYPERLINK("http://www.linkedin.com/pub/emilia-lerzo/20/153/464","http://www.linkedin.com/pub/emilia-lerzo/20/153/464")</f>
        <v>http://www.linkedin.com/pub/emilia-lerzo/20/153/464</v>
      </c>
      <c r="I7306" s="2" t="s">
        <v>105</v>
      </c>
      <c r="J7306" s="2" t="s">
        <v>44</v>
      </c>
      <c r="K7306" s="2" t="s">
        <v>10312</v>
      </c>
    </row>
    <row r="7307" ht="15.75" customHeight="1">
      <c r="A7307" s="2">
        <v>56359.0</v>
      </c>
      <c r="B7307" s="2" t="s">
        <v>227</v>
      </c>
      <c r="C7307" s="2" t="s">
        <v>13771</v>
      </c>
      <c r="D7307" s="2" t="s">
        <v>13772</v>
      </c>
      <c r="E7307" s="2" t="s">
        <v>1190</v>
      </c>
      <c r="F7307" s="2">
        <v>3.0</v>
      </c>
      <c r="G7307" s="2">
        <v>500.0</v>
      </c>
      <c r="H7307" s="3" t="str">
        <f>HYPERLINK("http://www.linkedin.com/pub/jorge-vizcaino/A/24A/8A","http://www.linkedin.com/pub/jorge-vizcaino/A/24A/8A")</f>
        <v>http://www.linkedin.com/pub/jorge-vizcaino/A/24A/8A</v>
      </c>
      <c r="I7307" s="2" t="s">
        <v>48</v>
      </c>
      <c r="J7307" s="2" t="s">
        <v>102</v>
      </c>
      <c r="K7307" s="2" t="s">
        <v>10233</v>
      </c>
    </row>
    <row r="7308" ht="15.75" customHeight="1">
      <c r="A7308" s="2">
        <v>56362.0</v>
      </c>
      <c r="B7308" s="2" t="s">
        <v>238</v>
      </c>
      <c r="C7308" s="2" t="s">
        <v>13773</v>
      </c>
      <c r="D7308" s="2" t="s">
        <v>13774</v>
      </c>
      <c r="E7308" s="2" t="s">
        <v>20</v>
      </c>
      <c r="F7308" s="2">
        <v>3.0</v>
      </c>
      <c r="G7308" s="2">
        <v>185.0</v>
      </c>
      <c r="H7308" s="3" t="str">
        <f>HYPERLINK("http://ar.linkedin.com/in/juanbrunatti","http://ar.linkedin.com/in/juanbrunatti")</f>
        <v>http://ar.linkedin.com/in/juanbrunatti</v>
      </c>
      <c r="I7308" s="2" t="s">
        <v>15</v>
      </c>
      <c r="J7308" s="2" t="s">
        <v>21</v>
      </c>
      <c r="K7308" s="2" t="s">
        <v>10196</v>
      </c>
    </row>
    <row r="7309" ht="15.75" customHeight="1">
      <c r="A7309" s="2">
        <v>56428.0</v>
      </c>
      <c r="B7309" s="2" t="s">
        <v>6856</v>
      </c>
      <c r="C7309" s="2" t="s">
        <v>889</v>
      </c>
      <c r="D7309" s="2" t="s">
        <v>47</v>
      </c>
      <c r="E7309" s="2" t="s">
        <v>20</v>
      </c>
      <c r="F7309" s="2">
        <v>10.0</v>
      </c>
      <c r="G7309" s="2">
        <v>500.0</v>
      </c>
      <c r="H7309" s="3" t="str">
        <f>HYPERLINK("http://ar.linkedin.com/in/grdata","http://ar.linkedin.com/in/grdata")</f>
        <v>http://ar.linkedin.com/in/grdata</v>
      </c>
      <c r="I7309" s="2" t="s">
        <v>231</v>
      </c>
      <c r="J7309" s="2" t="s">
        <v>21</v>
      </c>
      <c r="K7309" s="2" t="s">
        <v>10799</v>
      </c>
    </row>
    <row r="7310" ht="15.75" customHeight="1">
      <c r="A7310" s="2">
        <v>56449.0</v>
      </c>
      <c r="B7310" s="2" t="s">
        <v>13775</v>
      </c>
      <c r="C7310" s="2" t="s">
        <v>13776</v>
      </c>
      <c r="D7310" s="2" t="s">
        <v>8326</v>
      </c>
      <c r="E7310" s="2" t="s">
        <v>20</v>
      </c>
      <c r="F7310" s="2" t="s">
        <v>13</v>
      </c>
      <c r="G7310" s="2">
        <v>256.0</v>
      </c>
      <c r="H7310" s="3" t="str">
        <f>HYPERLINK("http://ar.linkedin.com/pub/evelyn-guerino/19/35A/A8A","http://ar.linkedin.com/pub/evelyn-guerino/19/35A/A8A")</f>
        <v>http://ar.linkedin.com/pub/evelyn-guerino/19/35A/A8A</v>
      </c>
      <c r="I7310" s="2" t="s">
        <v>105</v>
      </c>
      <c r="J7310" s="2" t="s">
        <v>21</v>
      </c>
      <c r="K7310" s="2" t="s">
        <v>10184</v>
      </c>
    </row>
    <row r="7311" ht="15.75" customHeight="1">
      <c r="A7311" s="2">
        <v>56474.0</v>
      </c>
      <c r="B7311" s="2" t="s">
        <v>6252</v>
      </c>
      <c r="C7311" s="2" t="s">
        <v>9786</v>
      </c>
      <c r="D7311" s="2" t="s">
        <v>3614</v>
      </c>
      <c r="E7311" s="2" t="s">
        <v>20</v>
      </c>
      <c r="F7311" s="2" t="s">
        <v>13</v>
      </c>
      <c r="G7311" s="2">
        <v>500.0</v>
      </c>
      <c r="H7311" s="3" t="str">
        <f>HYPERLINK("http://ar.linkedin.com/in/santiagocapurro","http://ar.linkedin.com/in/santiagocapurro")</f>
        <v>http://ar.linkedin.com/in/santiagocapurro</v>
      </c>
      <c r="I7311" s="2" t="s">
        <v>69</v>
      </c>
      <c r="J7311" s="2" t="s">
        <v>21</v>
      </c>
      <c r="K7311" s="2" t="s">
        <v>10224</v>
      </c>
    </row>
    <row r="7312" ht="15.75" customHeight="1">
      <c r="A7312" s="2">
        <v>56475.0</v>
      </c>
      <c r="B7312" s="2" t="s">
        <v>13777</v>
      </c>
      <c r="C7312" s="2" t="s">
        <v>13778</v>
      </c>
      <c r="D7312" s="2" t="s">
        <v>13779</v>
      </c>
      <c r="E7312" s="2" t="s">
        <v>5396</v>
      </c>
      <c r="F7312" s="2">
        <v>10.0</v>
      </c>
      <c r="G7312" s="2">
        <v>500.0</v>
      </c>
      <c r="H7312" s="3" t="str">
        <f>HYPERLINK("http://www.linkedin.com/in/avangelo","http://www.linkedin.com/in/avangelo")</f>
        <v>http://www.linkedin.com/in/avangelo</v>
      </c>
      <c r="I7312" s="2" t="s">
        <v>15</v>
      </c>
      <c r="J7312" s="2" t="s">
        <v>102</v>
      </c>
      <c r="K7312" s="2" t="s">
        <v>10233</v>
      </c>
    </row>
    <row r="7313" ht="15.75" customHeight="1">
      <c r="A7313" s="2">
        <v>56532.0</v>
      </c>
      <c r="B7313" s="2" t="s">
        <v>10795</v>
      </c>
      <c r="C7313" s="2" t="s">
        <v>13780</v>
      </c>
      <c r="D7313" s="2" t="s">
        <v>13</v>
      </c>
      <c r="E7313" s="2" t="s">
        <v>2090</v>
      </c>
      <c r="F7313" s="2">
        <v>0.0</v>
      </c>
      <c r="G7313" s="2">
        <v>344.0</v>
      </c>
      <c r="H7313" s="3" t="str">
        <f>HYPERLINK("http://www.linkedin.com/in/olgabrouckova","http://www.linkedin.com/in/olgabrouckova")</f>
        <v>http://www.linkedin.com/in/olgabrouckova</v>
      </c>
      <c r="I7313" s="2" t="s">
        <v>57</v>
      </c>
      <c r="J7313" s="2" t="s">
        <v>44</v>
      </c>
      <c r="K7313" s="2" t="s">
        <v>10312</v>
      </c>
    </row>
    <row r="7314" ht="15.75" customHeight="1">
      <c r="A7314" s="2">
        <v>56546.0</v>
      </c>
      <c r="B7314" s="2" t="s">
        <v>492</v>
      </c>
      <c r="C7314" s="2" t="s">
        <v>13781</v>
      </c>
      <c r="D7314" s="2" t="s">
        <v>13782</v>
      </c>
      <c r="E7314" s="2" t="s">
        <v>20</v>
      </c>
      <c r="F7314" s="2">
        <v>1.0</v>
      </c>
      <c r="G7314" s="2">
        <v>500.0</v>
      </c>
      <c r="H7314" s="3" t="str">
        <f>HYPERLINK("http://ar.linkedin.com/in/sergioszwarcberg","http://ar.linkedin.com/in/sergioszwarcberg")</f>
        <v>http://ar.linkedin.com/in/sergioszwarcberg</v>
      </c>
      <c r="I7314" s="2" t="s">
        <v>105</v>
      </c>
      <c r="J7314" s="2" t="s">
        <v>21</v>
      </c>
      <c r="K7314" s="2" t="s">
        <v>10229</v>
      </c>
    </row>
    <row r="7315" ht="15.75" customHeight="1">
      <c r="A7315" s="2">
        <v>56636.0</v>
      </c>
      <c r="B7315" s="2" t="s">
        <v>13783</v>
      </c>
      <c r="C7315" s="2" t="s">
        <v>4486</v>
      </c>
      <c r="D7315" s="2"/>
      <c r="E7315" s="2" t="s">
        <v>301</v>
      </c>
      <c r="F7315" s="2">
        <v>5.0</v>
      </c>
      <c r="G7315" s="2">
        <v>488.0</v>
      </c>
      <c r="H7315" s="3" t="str">
        <f>HYPERLINK("http://www.linkedin.com/pub/juan-p-fernandez/2/573/568","http://www.linkedin.com/pub/juan-p-fernandez/2/573/568")</f>
        <v>http://www.linkedin.com/pub/juan-p-fernandez/2/573/568</v>
      </c>
      <c r="I7315" s="2" t="s">
        <v>2000</v>
      </c>
      <c r="J7315" s="2" t="s">
        <v>102</v>
      </c>
      <c r="K7315" s="2" t="s">
        <v>10206</v>
      </c>
    </row>
    <row r="7316" ht="15.75" customHeight="1">
      <c r="A7316" s="2">
        <v>56649.0</v>
      </c>
      <c r="B7316" s="2" t="s">
        <v>13784</v>
      </c>
      <c r="C7316" s="2" t="s">
        <v>13785</v>
      </c>
      <c r="D7316" s="2" t="s">
        <v>47</v>
      </c>
      <c r="E7316" s="2" t="s">
        <v>1190</v>
      </c>
      <c r="F7316" s="2">
        <v>2.0</v>
      </c>
      <c r="G7316" s="2">
        <v>500.0</v>
      </c>
      <c r="H7316" s="3" t="str">
        <f>HYPERLINK("http://www.linkedin.com/pub/layna-fischer/0/317/3B0","http://www.linkedin.com/pub/layna-fischer/0/317/3B0")</f>
        <v>http://www.linkedin.com/pub/layna-fischer/0/317/3B0</v>
      </c>
      <c r="I7316" s="2" t="s">
        <v>560</v>
      </c>
      <c r="J7316" s="2" t="s">
        <v>102</v>
      </c>
      <c r="K7316" s="2" t="s">
        <v>10482</v>
      </c>
    </row>
    <row r="7317" ht="15.75" customHeight="1">
      <c r="A7317" s="2">
        <v>56654.0</v>
      </c>
      <c r="B7317" s="2" t="s">
        <v>2148</v>
      </c>
      <c r="C7317" s="2" t="s">
        <v>13786</v>
      </c>
      <c r="D7317" s="2" t="s">
        <v>400</v>
      </c>
      <c r="E7317" s="2" t="s">
        <v>20</v>
      </c>
      <c r="F7317" s="2" t="s">
        <v>13</v>
      </c>
      <c r="G7317" s="2">
        <v>500.0</v>
      </c>
      <c r="H7317" s="3" t="str">
        <f>HYPERLINK("http://ar.linkedin.com/in/nelsonfuentes","http://ar.linkedin.com/in/nelsonfuentes")</f>
        <v>http://ar.linkedin.com/in/nelsonfuentes</v>
      </c>
      <c r="I7317" s="2" t="s">
        <v>1094</v>
      </c>
      <c r="J7317" s="2" t="s">
        <v>21</v>
      </c>
      <c r="K7317" s="2" t="s">
        <v>10187</v>
      </c>
    </row>
    <row r="7318" ht="15.75" customHeight="1">
      <c r="A7318" s="2">
        <v>56687.0</v>
      </c>
      <c r="B7318" s="2" t="s">
        <v>341</v>
      </c>
      <c r="C7318" s="2" t="s">
        <v>13787</v>
      </c>
      <c r="D7318" s="2" t="s">
        <v>289</v>
      </c>
      <c r="E7318" s="2" t="s">
        <v>20</v>
      </c>
      <c r="F7318" s="2">
        <v>1.0</v>
      </c>
      <c r="G7318" s="2">
        <v>500.0</v>
      </c>
      <c r="H7318" s="3" t="str">
        <f>HYPERLINK("https://www.linkedin.com/in/kevingoreglad","https://www.linkedin.com/in/kevingoreglad")</f>
        <v>https://www.linkedin.com/in/kevingoreglad</v>
      </c>
      <c r="I7318" s="2" t="s">
        <v>105</v>
      </c>
      <c r="J7318" s="2" t="s">
        <v>21</v>
      </c>
      <c r="K7318" s="2" t="s">
        <v>10182</v>
      </c>
    </row>
    <row r="7319" ht="15.75" customHeight="1">
      <c r="A7319" s="2">
        <v>56796.0</v>
      </c>
      <c r="B7319" s="2" t="s">
        <v>13788</v>
      </c>
      <c r="C7319" s="2" t="s">
        <v>13789</v>
      </c>
      <c r="D7319" s="2" t="s">
        <v>13</v>
      </c>
      <c r="E7319" s="2" t="s">
        <v>20</v>
      </c>
      <c r="F7319" s="2">
        <v>0.0</v>
      </c>
      <c r="G7319" s="2">
        <v>500.0</v>
      </c>
      <c r="H7319" s="3" t="str">
        <f>HYPERLINK("http://www.linkedin.com/pub/miguel-angel-boggiano/0/a83/986","http://www.linkedin.com/pub/miguel-angel-boggiano/0/a83/986")</f>
        <v>http://www.linkedin.com/pub/miguel-angel-boggiano/0/a83/986</v>
      </c>
      <c r="I7319" s="2" t="s">
        <v>115</v>
      </c>
      <c r="J7319" s="2" t="s">
        <v>21</v>
      </c>
      <c r="K7319" s="2" t="s">
        <v>10229</v>
      </c>
    </row>
    <row r="7320" ht="15.75" customHeight="1">
      <c r="A7320" s="2">
        <v>56866.0</v>
      </c>
      <c r="B7320" s="2" t="s">
        <v>13790</v>
      </c>
      <c r="C7320" s="2" t="s">
        <v>13</v>
      </c>
      <c r="D7320" s="2" t="s">
        <v>13</v>
      </c>
      <c r="E7320" s="2" t="s">
        <v>20</v>
      </c>
      <c r="F7320" s="2">
        <v>0.0</v>
      </c>
      <c r="G7320" s="2">
        <v>500.0</v>
      </c>
      <c r="H7320" s="3" t="str">
        <f>HYPERLINK("http://www.linkedin.com/pub/maitena-de-amorrortu/4/841/207","http://www.linkedin.com/pub/maitena-de-amorrortu/4/841/207")</f>
        <v>http://www.linkedin.com/pub/maitena-de-amorrortu/4/841/207</v>
      </c>
      <c r="I7320" s="2" t="s">
        <v>910</v>
      </c>
      <c r="J7320" s="2" t="s">
        <v>21</v>
      </c>
      <c r="K7320" s="2" t="s">
        <v>10229</v>
      </c>
    </row>
    <row r="7321" ht="15.75" customHeight="1">
      <c r="A7321" s="2">
        <v>56882.0</v>
      </c>
      <c r="B7321" s="2" t="s">
        <v>13791</v>
      </c>
      <c r="C7321" s="2" t="s">
        <v>13792</v>
      </c>
      <c r="D7321" s="2" t="s">
        <v>10506</v>
      </c>
      <c r="E7321" s="2" t="s">
        <v>3508</v>
      </c>
      <c r="F7321" s="2">
        <v>1.0</v>
      </c>
      <c r="G7321" s="2">
        <v>183.0</v>
      </c>
      <c r="H7321" s="3" t="str">
        <f>HYPERLINK("http://www.linkedin.com/pub/bronson-duerden/22/52B/A4","http://www.linkedin.com/pub/bronson-duerden/22/52B/A4")</f>
        <v>http://www.linkedin.com/pub/bronson-duerden/22/52B/A4</v>
      </c>
      <c r="I7321" s="2" t="s">
        <v>1452</v>
      </c>
      <c r="J7321" s="2" t="s">
        <v>102</v>
      </c>
      <c r="K7321" s="2" t="s">
        <v>12192</v>
      </c>
    </row>
    <row r="7322" ht="15.75" customHeight="1">
      <c r="A7322" s="2">
        <v>56896.0</v>
      </c>
      <c r="B7322" s="2" t="s">
        <v>637</v>
      </c>
      <c r="C7322" s="2" t="s">
        <v>13793</v>
      </c>
      <c r="D7322" s="2" t="s">
        <v>13</v>
      </c>
      <c r="E7322" s="2" t="s">
        <v>20</v>
      </c>
      <c r="F7322" s="2">
        <v>0.0</v>
      </c>
      <c r="G7322" s="2">
        <v>500.0</v>
      </c>
      <c r="H7322" s="3" t="str">
        <f>HYPERLINK("http://www.linkedin.com/pub/leonardo-stallocca/9/b63/823","http://www.linkedin.com/pub/leonardo-stallocca/9/b63/823")</f>
        <v>http://www.linkedin.com/pub/leonardo-stallocca/9/b63/823</v>
      </c>
      <c r="I7322" s="2" t="s">
        <v>105</v>
      </c>
      <c r="J7322" s="2" t="s">
        <v>21</v>
      </c>
      <c r="K7322" s="2" t="s">
        <v>10229</v>
      </c>
    </row>
    <row r="7323" ht="15.75" customHeight="1">
      <c r="A7323" s="2">
        <v>56919.0</v>
      </c>
      <c r="B7323" s="2" t="s">
        <v>1405</v>
      </c>
      <c r="C7323" s="2" t="s">
        <v>13794</v>
      </c>
      <c r="D7323" s="2" t="s">
        <v>13795</v>
      </c>
      <c r="E7323" s="2" t="s">
        <v>301</v>
      </c>
      <c r="F7323" s="2" t="s">
        <v>13</v>
      </c>
      <c r="G7323" s="2">
        <v>53.0</v>
      </c>
      <c r="H7323" s="3" t="str">
        <f>HYPERLINK("http://www.linkedin.com/in/ronaldfurman","http://www.linkedin.com/in/ronaldfurman")</f>
        <v>http://www.linkedin.com/in/ronaldfurman</v>
      </c>
      <c r="I7323" s="2" t="s">
        <v>57</v>
      </c>
      <c r="J7323" s="2" t="s">
        <v>102</v>
      </c>
      <c r="K7323" s="2" t="s">
        <v>10187</v>
      </c>
    </row>
    <row r="7324" ht="15.75" customHeight="1">
      <c r="A7324" s="2">
        <v>57019.0</v>
      </c>
      <c r="B7324" s="2" t="s">
        <v>193</v>
      </c>
      <c r="C7324" s="2" t="s">
        <v>13796</v>
      </c>
      <c r="D7324" s="2" t="s">
        <v>1620</v>
      </c>
      <c r="E7324" s="2" t="s">
        <v>20</v>
      </c>
      <c r="F7324" s="2" t="s">
        <v>13</v>
      </c>
      <c r="G7324" s="2">
        <v>500.0</v>
      </c>
      <c r="H7324" s="3" t="str">
        <f>HYPERLINK("http://ar.linkedin.com/pub/guillermo-santangelo/2B/124/B01","http://ar.linkedin.com/pub/guillermo-santangelo/2B/124/B01")</f>
        <v>http://ar.linkedin.com/pub/guillermo-santangelo/2B/124/B01</v>
      </c>
      <c r="I7324" s="2" t="s">
        <v>15</v>
      </c>
      <c r="J7324" s="2" t="s">
        <v>21</v>
      </c>
      <c r="K7324" s="2" t="s">
        <v>10206</v>
      </c>
    </row>
    <row r="7325" ht="15.75" customHeight="1">
      <c r="A7325" s="2">
        <v>57120.0</v>
      </c>
      <c r="B7325" s="2" t="s">
        <v>3305</v>
      </c>
      <c r="C7325" s="2" t="s">
        <v>13797</v>
      </c>
      <c r="D7325" s="2" t="s">
        <v>125</v>
      </c>
      <c r="E7325" s="2" t="s">
        <v>20</v>
      </c>
      <c r="F7325" s="2">
        <v>4.0</v>
      </c>
      <c r="G7325" s="2">
        <v>500.0</v>
      </c>
      <c r="H7325" s="3" t="str">
        <f>HYPERLINK("http://ar.linkedin.com/pub/ana-schuvab/9/576/885","http://ar.linkedin.com/pub/ana-schuvab/9/576/885")</f>
        <v>http://ar.linkedin.com/pub/ana-schuvab/9/576/885</v>
      </c>
      <c r="I7325" s="2" t="s">
        <v>69</v>
      </c>
      <c r="J7325" s="2" t="s">
        <v>21</v>
      </c>
      <c r="K7325" s="2" t="s">
        <v>10180</v>
      </c>
    </row>
    <row r="7326" ht="15.75" customHeight="1">
      <c r="A7326" s="2">
        <v>57231.0</v>
      </c>
      <c r="B7326" s="2" t="s">
        <v>6870</v>
      </c>
      <c r="C7326" s="2" t="s">
        <v>11716</v>
      </c>
      <c r="D7326" s="2" t="s">
        <v>9504</v>
      </c>
      <c r="E7326" s="2" t="s">
        <v>20</v>
      </c>
      <c r="F7326" s="2">
        <v>2.0</v>
      </c>
      <c r="G7326" s="2">
        <v>283.0</v>
      </c>
      <c r="H7326" s="3" t="str">
        <f>HYPERLINK("http://ar.linkedin.com/pub/melina-rosales/B/A56/91","http://ar.linkedin.com/pub/melina-rosales/B/A56/91")</f>
        <v>http://ar.linkedin.com/pub/melina-rosales/B/A56/91</v>
      </c>
      <c r="I7326" s="2" t="s">
        <v>48</v>
      </c>
      <c r="J7326" s="2" t="s">
        <v>21</v>
      </c>
      <c r="K7326" s="2" t="s">
        <v>10196</v>
      </c>
    </row>
    <row r="7327" ht="15.75" customHeight="1">
      <c r="A7327" s="2">
        <v>57277.0</v>
      </c>
      <c r="B7327" s="2" t="s">
        <v>5803</v>
      </c>
      <c r="C7327" s="2" t="s">
        <v>13798</v>
      </c>
      <c r="D7327" s="2" t="s">
        <v>42</v>
      </c>
      <c r="E7327" s="2" t="s">
        <v>20</v>
      </c>
      <c r="F7327" s="2" t="s">
        <v>13</v>
      </c>
      <c r="G7327" s="2">
        <v>500.0</v>
      </c>
      <c r="H7327" s="3" t="str">
        <f>HYPERLINK("http://ar.linkedin.com/pub/mariano-arriola/1B/7A3/8A1","http://ar.linkedin.com/pub/mariano-arriola/1B/7A3/8A1")</f>
        <v>http://ar.linkedin.com/pub/mariano-arriola/1B/7A3/8A1</v>
      </c>
      <c r="I7327" s="2" t="s">
        <v>105</v>
      </c>
      <c r="J7327" s="2" t="s">
        <v>21</v>
      </c>
      <c r="K7327" s="2" t="s">
        <v>10371</v>
      </c>
    </row>
    <row r="7328" ht="15.75" customHeight="1">
      <c r="A7328" s="2">
        <v>57377.0</v>
      </c>
      <c r="B7328" s="2" t="s">
        <v>358</v>
      </c>
      <c r="C7328" s="2" t="s">
        <v>13799</v>
      </c>
      <c r="D7328" s="2" t="s">
        <v>13800</v>
      </c>
      <c r="E7328" s="2" t="s">
        <v>1190</v>
      </c>
      <c r="F7328" s="2">
        <v>2.0</v>
      </c>
      <c r="G7328" s="2">
        <v>413.0</v>
      </c>
      <c r="H7328" s="3" t="str">
        <f>HYPERLINK("http://www.linkedin.com/pub/marcelo-fiore/17/219/173","http://www.linkedin.com/pub/marcelo-fiore/17/219/173")</f>
        <v>http://www.linkedin.com/pub/marcelo-fiore/17/219/173</v>
      </c>
      <c r="I7328" s="2" t="s">
        <v>910</v>
      </c>
      <c r="J7328" s="2" t="s">
        <v>102</v>
      </c>
      <c r="K7328" s="2" t="s">
        <v>10371</v>
      </c>
    </row>
    <row r="7329" ht="15.75" customHeight="1">
      <c r="A7329" s="2">
        <v>57426.0</v>
      </c>
      <c r="B7329" s="2" t="s">
        <v>358</v>
      </c>
      <c r="C7329" s="2" t="s">
        <v>13801</v>
      </c>
      <c r="D7329" s="2" t="s">
        <v>2274</v>
      </c>
      <c r="E7329" s="2" t="s">
        <v>1190</v>
      </c>
      <c r="F7329" s="2" t="s">
        <v>13</v>
      </c>
      <c r="G7329" s="2">
        <v>500.0</v>
      </c>
      <c r="H7329" s="3" t="str">
        <f>HYPERLINK("http://www.linkedin.com/in/msalup","http://www.linkedin.com/in/msalup")</f>
        <v>http://www.linkedin.com/in/msalup</v>
      </c>
      <c r="I7329" s="2" t="s">
        <v>105</v>
      </c>
      <c r="J7329" s="2" t="s">
        <v>102</v>
      </c>
      <c r="K7329" s="2" t="s">
        <v>10209</v>
      </c>
    </row>
    <row r="7330" ht="15.75" customHeight="1">
      <c r="A7330" s="2">
        <v>57566.0</v>
      </c>
      <c r="B7330" s="2" t="s">
        <v>1230</v>
      </c>
      <c r="C7330" s="2" t="s">
        <v>13802</v>
      </c>
      <c r="D7330" s="2" t="s">
        <v>100</v>
      </c>
      <c r="E7330" s="2" t="s">
        <v>20</v>
      </c>
      <c r="F7330" s="2" t="s">
        <v>13</v>
      </c>
      <c r="G7330" s="2">
        <v>500.0</v>
      </c>
      <c r="H7330" s="3" t="str">
        <f>HYPERLINK("http://ar.linkedin.com/pub/alberto-armoni/21/A48/763","http://ar.linkedin.com/pub/alberto-armoni/21/A48/763")</f>
        <v>http://ar.linkedin.com/pub/alberto-armoni/21/A48/763</v>
      </c>
      <c r="I7330" s="2" t="s">
        <v>458</v>
      </c>
      <c r="J7330" s="2" t="s">
        <v>21</v>
      </c>
      <c r="K7330" s="2" t="s">
        <v>10187</v>
      </c>
    </row>
    <row r="7331" ht="15.75" customHeight="1">
      <c r="A7331" s="2">
        <v>57595.0</v>
      </c>
      <c r="B7331" s="2" t="s">
        <v>5389</v>
      </c>
      <c r="C7331" s="2" t="s">
        <v>13803</v>
      </c>
      <c r="D7331" s="2" t="s">
        <v>289</v>
      </c>
      <c r="E7331" s="2" t="s">
        <v>20</v>
      </c>
      <c r="F7331" s="2">
        <v>8.0</v>
      </c>
      <c r="G7331" s="2">
        <v>397.0</v>
      </c>
      <c r="H7331" s="3" t="str">
        <f>HYPERLINK("http://ar.linkedin.com/in/paulaguagliardi","http://ar.linkedin.com/in/paulaguagliardi")</f>
        <v>http://ar.linkedin.com/in/paulaguagliardi</v>
      </c>
      <c r="I7331" s="2" t="s">
        <v>69</v>
      </c>
      <c r="J7331" s="2" t="s">
        <v>21</v>
      </c>
      <c r="K7331" s="2" t="s">
        <v>10482</v>
      </c>
    </row>
    <row r="7332" ht="15.75" customHeight="1">
      <c r="A7332" s="2">
        <v>57620.0</v>
      </c>
      <c r="B7332" s="2" t="s">
        <v>3223</v>
      </c>
      <c r="C7332" s="2" t="s">
        <v>13804</v>
      </c>
      <c r="D7332" s="2"/>
      <c r="E7332" s="2" t="s">
        <v>1407</v>
      </c>
      <c r="F7332" s="2">
        <v>3.0</v>
      </c>
      <c r="G7332" s="2">
        <v>354.0</v>
      </c>
      <c r="H7332" s="3" t="str">
        <f>HYPERLINK("http://www.linkedin.com/pub/laura-ling/3/241/B51","http://www.linkedin.com/pub/laura-ling/3/241/B51")</f>
        <v>http://www.linkedin.com/pub/laura-ling/3/241/B51</v>
      </c>
      <c r="I7332" s="2" t="s">
        <v>15</v>
      </c>
      <c r="J7332" s="2" t="s">
        <v>102</v>
      </c>
      <c r="K7332" s="2" t="s">
        <v>10184</v>
      </c>
    </row>
    <row r="7333" ht="15.75" customHeight="1">
      <c r="A7333" s="2">
        <v>57699.0</v>
      </c>
      <c r="B7333" s="2" t="s">
        <v>13805</v>
      </c>
      <c r="C7333" s="2" t="s">
        <v>13</v>
      </c>
      <c r="D7333" s="2" t="s">
        <v>13</v>
      </c>
      <c r="E7333" s="2" t="s">
        <v>20</v>
      </c>
      <c r="F7333" s="2">
        <v>0.0</v>
      </c>
      <c r="G7333" s="2">
        <v>193.0</v>
      </c>
      <c r="H7333" s="3" t="str">
        <f>HYPERLINK("http://www.linkedin.com/pub/carlos-federico-gonzalez-stautz/22/a42/9ab","http://www.linkedin.com/pub/carlos-federico-gonzalez-stautz/22/a42/9ab")</f>
        <v>http://www.linkedin.com/pub/carlos-federico-gonzalez-stautz/22/a42/9ab</v>
      </c>
      <c r="I7333" s="2" t="s">
        <v>231</v>
      </c>
      <c r="J7333" s="2" t="s">
        <v>21</v>
      </c>
      <c r="K7333" s="2" t="s">
        <v>10187</v>
      </c>
    </row>
    <row r="7334" ht="15.75" customHeight="1">
      <c r="A7334" s="2">
        <v>57713.0</v>
      </c>
      <c r="B7334" s="2" t="s">
        <v>1479</v>
      </c>
      <c r="C7334" s="2" t="s">
        <v>3775</v>
      </c>
      <c r="D7334" s="2" t="s">
        <v>773</v>
      </c>
      <c r="E7334" s="2" t="s">
        <v>2058</v>
      </c>
      <c r="F7334" s="2">
        <v>1.0</v>
      </c>
      <c r="G7334" s="2">
        <v>500.0</v>
      </c>
      <c r="H7334" s="3" t="str">
        <f>HYPERLINK("http://www.linkedin.com/in/frankmorrison","http://www.linkedin.com/in/frankmorrison")</f>
        <v>http://www.linkedin.com/in/frankmorrison</v>
      </c>
      <c r="I7334" s="2" t="s">
        <v>15</v>
      </c>
      <c r="J7334" s="2" t="s">
        <v>102</v>
      </c>
      <c r="K7334" s="2" t="s">
        <v>10184</v>
      </c>
    </row>
    <row r="7335" ht="15.75" customHeight="1">
      <c r="A7335" s="2">
        <v>57753.0</v>
      </c>
      <c r="B7335" s="2" t="s">
        <v>4304</v>
      </c>
      <c r="C7335" s="2" t="s">
        <v>13806</v>
      </c>
      <c r="D7335" s="2" t="s">
        <v>8968</v>
      </c>
      <c r="E7335" s="2" t="s">
        <v>20</v>
      </c>
      <c r="F7335" s="2">
        <v>2.0</v>
      </c>
      <c r="G7335" s="2">
        <v>424.0</v>
      </c>
      <c r="H7335" s="3" t="str">
        <f>HYPERLINK("http://ar.linkedin.com/pub/leandro-scavella/6/B02/377","http://ar.linkedin.com/pub/leandro-scavella/6/B02/377")</f>
        <v>http://ar.linkedin.com/pub/leandro-scavella/6/B02/377</v>
      </c>
      <c r="I7335" s="2" t="s">
        <v>15</v>
      </c>
      <c r="J7335" s="2" t="s">
        <v>21</v>
      </c>
      <c r="K7335" s="2" t="s">
        <v>10196</v>
      </c>
    </row>
    <row r="7336" ht="15.75" customHeight="1">
      <c r="A7336" s="2">
        <v>57776.0</v>
      </c>
      <c r="B7336" s="2" t="s">
        <v>6012</v>
      </c>
      <c r="C7336" s="2" t="s">
        <v>13807</v>
      </c>
      <c r="D7336" s="2" t="s">
        <v>289</v>
      </c>
      <c r="E7336" s="2" t="s">
        <v>325</v>
      </c>
      <c r="F7336" s="2">
        <v>0.0</v>
      </c>
      <c r="G7336" s="2">
        <v>97.0</v>
      </c>
      <c r="H7336" s="3" t="str">
        <f>HYPERLINK("http://www.linkedin.com/pub/hern%C3%A1n-oscaris/9/386/722","http://www.linkedin.com/pub/hern%C3%A1n-oscaris/9/386/722")</f>
        <v>http://www.linkedin.com/pub/hern%C3%A1n-oscaris/9/386/722</v>
      </c>
      <c r="I7336" s="2" t="s">
        <v>560</v>
      </c>
      <c r="J7336" s="2" t="s">
        <v>102</v>
      </c>
      <c r="K7336" s="2" t="s">
        <v>10940</v>
      </c>
    </row>
    <row r="7337" ht="15.75" customHeight="1">
      <c r="A7337" s="2">
        <v>57786.0</v>
      </c>
      <c r="B7337" s="2" t="s">
        <v>845</v>
      </c>
      <c r="C7337" s="2" t="s">
        <v>13808</v>
      </c>
      <c r="D7337" s="2"/>
      <c r="E7337" s="2" t="s">
        <v>136</v>
      </c>
      <c r="F7337" s="2">
        <v>19.0</v>
      </c>
      <c r="G7337" s="2">
        <v>500.0</v>
      </c>
      <c r="H7337" s="3" t="str">
        <f>HYPERLINK("http://www.linkedin.com/pub/david-markus/0/58/428","http://www.linkedin.com/pub/david-markus/0/58/428")</f>
        <v>http://www.linkedin.com/pub/david-markus/0/58/428</v>
      </c>
      <c r="I7337" s="2" t="s">
        <v>248</v>
      </c>
      <c r="J7337" s="2" t="s">
        <v>102</v>
      </c>
      <c r="K7337" s="2" t="s">
        <v>10187</v>
      </c>
    </row>
    <row r="7338" ht="15.75" customHeight="1">
      <c r="A7338" s="2">
        <v>57800.0</v>
      </c>
      <c r="B7338" s="2" t="s">
        <v>5173</v>
      </c>
      <c r="C7338" s="2" t="s">
        <v>13809</v>
      </c>
      <c r="D7338" s="2" t="s">
        <v>42</v>
      </c>
      <c r="E7338" s="2" t="s">
        <v>7844</v>
      </c>
      <c r="F7338" s="2">
        <v>16.0</v>
      </c>
      <c r="G7338" s="2">
        <v>500.0</v>
      </c>
      <c r="H7338" s="3" t="str">
        <f>HYPERLINK("http://www.linkedin.com/in/richfiene","http://www.linkedin.com/in/richfiene")</f>
        <v>http://www.linkedin.com/in/richfiene</v>
      </c>
      <c r="I7338" s="2" t="s">
        <v>446</v>
      </c>
      <c r="J7338" s="2" t="s">
        <v>102</v>
      </c>
      <c r="K7338" s="2" t="s">
        <v>10187</v>
      </c>
    </row>
    <row r="7339" ht="15.75" customHeight="1">
      <c r="A7339" s="2">
        <v>57814.0</v>
      </c>
      <c r="B7339" s="2" t="s">
        <v>2667</v>
      </c>
      <c r="C7339" s="2" t="s">
        <v>13810</v>
      </c>
      <c r="D7339" s="2" t="s">
        <v>13</v>
      </c>
      <c r="E7339" s="2" t="s">
        <v>325</v>
      </c>
      <c r="F7339" s="2">
        <v>0.0</v>
      </c>
      <c r="G7339" s="2">
        <v>500.0</v>
      </c>
      <c r="H7339" s="3" t="str">
        <f>HYPERLINK("http://www.linkedin.com/in/gerardyanuzzi/","http://www.linkedin.com/in/gerardyanuzzi/")</f>
        <v>http://www.linkedin.com/in/gerardyanuzzi/</v>
      </c>
      <c r="I7339" s="2" t="s">
        <v>2443</v>
      </c>
      <c r="J7339" s="2" t="s">
        <v>102</v>
      </c>
      <c r="K7339" s="2" t="s">
        <v>10206</v>
      </c>
    </row>
    <row r="7340" ht="15.75" customHeight="1">
      <c r="A7340" s="2">
        <v>57825.0</v>
      </c>
      <c r="B7340" s="2" t="s">
        <v>13811</v>
      </c>
      <c r="C7340" s="2" t="s">
        <v>13812</v>
      </c>
      <c r="D7340" s="2" t="s">
        <v>13813</v>
      </c>
      <c r="E7340" s="2" t="s">
        <v>20</v>
      </c>
      <c r="F7340" s="2">
        <v>3.0</v>
      </c>
      <c r="G7340" s="2">
        <v>51.0</v>
      </c>
      <c r="H7340" s="3" t="str">
        <f>HYPERLINK("http://ar.linkedin.com/in/lagrestaagustin","http://ar.linkedin.com/in/lagrestaagustin")</f>
        <v>http://ar.linkedin.com/in/lagrestaagustin</v>
      </c>
      <c r="I7340" s="2" t="s">
        <v>15</v>
      </c>
      <c r="J7340" s="2" t="s">
        <v>21</v>
      </c>
      <c r="K7340" s="2" t="s">
        <v>10196</v>
      </c>
    </row>
    <row r="7341" ht="15.75" customHeight="1">
      <c r="A7341" s="2">
        <v>57833.0</v>
      </c>
      <c r="B7341" s="2" t="s">
        <v>752</v>
      </c>
      <c r="C7341" s="2" t="s">
        <v>2490</v>
      </c>
      <c r="D7341" s="2" t="s">
        <v>13814</v>
      </c>
      <c r="E7341" s="2" t="s">
        <v>101</v>
      </c>
      <c r="F7341" s="2">
        <v>278.0</v>
      </c>
      <c r="G7341" s="2">
        <v>500.0</v>
      </c>
      <c r="H7341" s="3" t="str">
        <f>HYPERLINK("http://www.linkedin.com/in/jimbrowning","http://www.linkedin.com/in/jimbrowning")</f>
        <v>http://www.linkedin.com/in/jimbrowning</v>
      </c>
      <c r="I7341" s="2" t="s">
        <v>382</v>
      </c>
      <c r="J7341" s="2" t="s">
        <v>102</v>
      </c>
      <c r="K7341" s="2" t="s">
        <v>10312</v>
      </c>
    </row>
    <row r="7342" ht="15.75" customHeight="1">
      <c r="A7342" s="2">
        <v>57835.0</v>
      </c>
      <c r="B7342" s="2" t="s">
        <v>6018</v>
      </c>
      <c r="C7342" s="2" t="s">
        <v>4486</v>
      </c>
      <c r="D7342" s="2" t="s">
        <v>12346</v>
      </c>
      <c r="E7342" s="2" t="s">
        <v>20</v>
      </c>
      <c r="F7342" s="2">
        <v>2.0</v>
      </c>
      <c r="G7342" s="2">
        <v>234.0</v>
      </c>
      <c r="H7342" s="3" t="str">
        <f>HYPERLINK("http://ar.linkedin.com/pub/lucio-fernandez/25/A80/B46","http://ar.linkedin.com/pub/lucio-fernandez/25/A80/B46")</f>
        <v>http://ar.linkedin.com/pub/lucio-fernandez/25/A80/B46</v>
      </c>
      <c r="I7342" s="2" t="s">
        <v>15</v>
      </c>
      <c r="J7342" s="2" t="s">
        <v>21</v>
      </c>
      <c r="K7342" s="2" t="s">
        <v>10196</v>
      </c>
    </row>
    <row r="7343" ht="15.75" customHeight="1">
      <c r="A7343" s="2">
        <v>57883.0</v>
      </c>
      <c r="B7343" s="2" t="s">
        <v>13815</v>
      </c>
      <c r="C7343" s="2" t="s">
        <v>13</v>
      </c>
      <c r="D7343" s="2" t="s">
        <v>13</v>
      </c>
      <c r="E7343" s="2" t="s">
        <v>20</v>
      </c>
      <c r="F7343" s="2">
        <v>0.0</v>
      </c>
      <c r="G7343" s="2">
        <v>439.0</v>
      </c>
      <c r="H7343" s="3" t="str">
        <f>HYPERLINK("http://www.linkedin.com/pub/mart%C3%ADn-gsponer/8/537/b20","http://www.linkedin.com/pub/mart%C3%ADn-gsponer/8/537/b20")</f>
        <v>http://www.linkedin.com/pub/mart%C3%ADn-gsponer/8/537/b20</v>
      </c>
      <c r="I7343" s="2" t="s">
        <v>15</v>
      </c>
      <c r="J7343" s="2" t="s">
        <v>21</v>
      </c>
      <c r="K7343" s="2" t="s">
        <v>10173</v>
      </c>
    </row>
    <row r="7344" ht="15.75" customHeight="1">
      <c r="A7344" s="2">
        <v>57889.0</v>
      </c>
      <c r="B7344" s="2" t="s">
        <v>8212</v>
      </c>
      <c r="C7344" s="2" t="s">
        <v>13816</v>
      </c>
      <c r="D7344" s="2"/>
      <c r="E7344" s="2" t="s">
        <v>1190</v>
      </c>
      <c r="F7344" s="2">
        <v>31.0</v>
      </c>
      <c r="G7344" s="2">
        <v>500.0</v>
      </c>
      <c r="H7344" s="3" t="str">
        <f>HYPERLINK("http://www.linkedin.com/in/jesusluzardo","http://www.linkedin.com/in/jesusluzardo")</f>
        <v>http://www.linkedin.com/in/jesusluzardo</v>
      </c>
      <c r="I7344" s="2" t="s">
        <v>77</v>
      </c>
      <c r="J7344" s="2" t="s">
        <v>102</v>
      </c>
      <c r="K7344" s="2" t="s">
        <v>10229</v>
      </c>
    </row>
    <row r="7345" ht="15.75" customHeight="1">
      <c r="A7345" s="2">
        <v>57908.0</v>
      </c>
      <c r="B7345" s="2" t="s">
        <v>3223</v>
      </c>
      <c r="C7345" s="2" t="s">
        <v>13817</v>
      </c>
      <c r="D7345" s="2" t="s">
        <v>114</v>
      </c>
      <c r="E7345" s="2" t="s">
        <v>1190</v>
      </c>
      <c r="F7345" s="2">
        <v>0.0</v>
      </c>
      <c r="G7345" s="2">
        <v>2.0</v>
      </c>
      <c r="H7345" s="3" t="str">
        <f>HYPERLINK("http://www.linkedin.com/pub/laura-lona/13/738/56","http://www.linkedin.com/pub/laura-lona/13/738/56")</f>
        <v>http://www.linkedin.com/pub/laura-lona/13/738/56</v>
      </c>
      <c r="I7345" s="2" t="s">
        <v>910</v>
      </c>
      <c r="J7345" s="2" t="s">
        <v>102</v>
      </c>
      <c r="K7345" s="2" t="s">
        <v>10482</v>
      </c>
    </row>
    <row r="7346" ht="15.75" customHeight="1">
      <c r="A7346" s="2">
        <v>57922.0</v>
      </c>
      <c r="B7346" s="2" t="s">
        <v>11138</v>
      </c>
      <c r="C7346" s="2" t="s">
        <v>13818</v>
      </c>
      <c r="D7346" s="2" t="s">
        <v>13</v>
      </c>
      <c r="E7346" s="2" t="s">
        <v>1547</v>
      </c>
      <c r="F7346" s="2">
        <v>0.0</v>
      </c>
      <c r="G7346" s="2">
        <v>500.0</v>
      </c>
      <c r="H7346" s="3" t="str">
        <f>HYPERLINK("http://www.linkedin.com/in/nealschaffer","http://www.linkedin.com/in/nealschaffer")</f>
        <v>http://www.linkedin.com/in/nealschaffer</v>
      </c>
      <c r="I7346" s="2" t="s">
        <v>105</v>
      </c>
      <c r="J7346" s="2" t="s">
        <v>102</v>
      </c>
      <c r="K7346" s="2" t="s">
        <v>13819</v>
      </c>
    </row>
    <row r="7347" ht="15.75" customHeight="1">
      <c r="A7347" s="2">
        <v>57944.0</v>
      </c>
      <c r="B7347" s="2" t="s">
        <v>253</v>
      </c>
      <c r="C7347" s="2" t="s">
        <v>13820</v>
      </c>
      <c r="D7347" s="2" t="s">
        <v>13821</v>
      </c>
      <c r="E7347" s="2" t="s">
        <v>255</v>
      </c>
      <c r="F7347" s="2">
        <v>6.0</v>
      </c>
      <c r="G7347" s="2">
        <v>500.0</v>
      </c>
      <c r="H7347" s="3" t="str">
        <f>HYPERLINK("http://www.linkedin.com/in/fpafumi","http://www.linkedin.com/in/fpafumi")</f>
        <v>http://www.linkedin.com/in/fpafumi</v>
      </c>
      <c r="I7347" s="2" t="s">
        <v>1012</v>
      </c>
      <c r="J7347" s="2" t="s">
        <v>102</v>
      </c>
      <c r="K7347" s="2" t="s">
        <v>13822</v>
      </c>
    </row>
    <row r="7348" ht="15.75" customHeight="1">
      <c r="A7348" s="2">
        <v>57945.0</v>
      </c>
      <c r="B7348" s="2" t="s">
        <v>3847</v>
      </c>
      <c r="C7348" s="2" t="s">
        <v>13823</v>
      </c>
      <c r="D7348" s="2" t="s">
        <v>13824</v>
      </c>
      <c r="E7348" s="2" t="s">
        <v>1190</v>
      </c>
      <c r="F7348" s="2" t="s">
        <v>13</v>
      </c>
      <c r="G7348" s="2">
        <v>500.0</v>
      </c>
      <c r="H7348" s="3" t="str">
        <f>HYPERLINK("http://www.linkedin.com/pub/victor-aimi/19/193/2B7","http://www.linkedin.com/pub/victor-aimi/19/193/2B7")</f>
        <v>http://www.linkedin.com/pub/victor-aimi/19/193/2B7</v>
      </c>
      <c r="I7348" s="2" t="s">
        <v>48</v>
      </c>
      <c r="J7348" s="2" t="s">
        <v>102</v>
      </c>
      <c r="K7348" s="2" t="s">
        <v>10233</v>
      </c>
    </row>
    <row r="7349" ht="15.75" customHeight="1">
      <c r="A7349" s="2">
        <v>57954.0</v>
      </c>
      <c r="B7349" s="2" t="s">
        <v>238</v>
      </c>
      <c r="C7349" s="2" t="s">
        <v>13825</v>
      </c>
      <c r="D7349" s="2" t="s">
        <v>13</v>
      </c>
      <c r="E7349" s="2" t="s">
        <v>136</v>
      </c>
      <c r="F7349" s="2">
        <v>0.0</v>
      </c>
      <c r="G7349" s="2">
        <v>500.0</v>
      </c>
      <c r="H7349" s="3" t="str">
        <f>HYPERLINK("http://www.linkedin.com/pub/juan-cuadros/0/38/910","http://www.linkedin.com/pub/juan-cuadros/0/38/910")</f>
        <v>http://www.linkedin.com/pub/juan-cuadros/0/38/910</v>
      </c>
      <c r="I7349" s="2" t="s">
        <v>48</v>
      </c>
      <c r="J7349" s="2" t="s">
        <v>102</v>
      </c>
      <c r="K7349" s="2" t="s">
        <v>10176</v>
      </c>
    </row>
    <row r="7350" ht="15.75" customHeight="1">
      <c r="A7350" s="2">
        <v>57956.0</v>
      </c>
      <c r="B7350" s="2" t="s">
        <v>13826</v>
      </c>
      <c r="C7350" s="2" t="s">
        <v>6105</v>
      </c>
      <c r="D7350" s="2" t="s">
        <v>13</v>
      </c>
      <c r="E7350" s="2" t="s">
        <v>20</v>
      </c>
      <c r="F7350" s="2">
        <v>0.0</v>
      </c>
      <c r="G7350" s="2">
        <v>225.0</v>
      </c>
      <c r="H7350" s="3" t="str">
        <f>HYPERLINK("http://www.linkedin.com/pub/gustavo-ariel-aguirre/12/b47/b67","http://www.linkedin.com/pub/gustavo-ariel-aguirre/12/b47/b67")</f>
        <v>http://www.linkedin.com/pub/gustavo-ariel-aguirre/12/b47/b67</v>
      </c>
      <c r="I7350" s="2" t="s">
        <v>2000</v>
      </c>
      <c r="J7350" s="2" t="s">
        <v>21</v>
      </c>
      <c r="K7350" s="2" t="s">
        <v>10173</v>
      </c>
    </row>
    <row r="7351" ht="15.75" customHeight="1">
      <c r="A7351" s="2">
        <v>57962.0</v>
      </c>
      <c r="B7351" s="2" t="s">
        <v>5922</v>
      </c>
      <c r="C7351" s="2" t="s">
        <v>5850</v>
      </c>
      <c r="D7351" s="2"/>
      <c r="E7351" s="2" t="s">
        <v>1190</v>
      </c>
      <c r="F7351" s="2">
        <v>0.0</v>
      </c>
      <c r="G7351" s="2">
        <v>488.0</v>
      </c>
      <c r="H7351" s="3" t="str">
        <f>HYPERLINK("http://uk.linkedin.com/pub/gabriela-baez/2/B4A/B29","http://uk.linkedin.com/pub/gabriela-baez/2/B4A/B29")</f>
        <v>http://uk.linkedin.com/pub/gabriela-baez/2/B4A/B29</v>
      </c>
      <c r="I7351" s="2" t="s">
        <v>57</v>
      </c>
      <c r="J7351" s="2" t="s">
        <v>102</v>
      </c>
      <c r="K7351" s="2" t="s">
        <v>10209</v>
      </c>
    </row>
    <row r="7352" ht="15.75" customHeight="1">
      <c r="A7352" s="2">
        <v>57968.0</v>
      </c>
      <c r="B7352" s="2" t="s">
        <v>412</v>
      </c>
      <c r="C7352" s="2" t="s">
        <v>13827</v>
      </c>
      <c r="D7352" s="2" t="s">
        <v>13828</v>
      </c>
      <c r="E7352" s="2" t="s">
        <v>13829</v>
      </c>
      <c r="F7352" s="2">
        <v>22.0</v>
      </c>
      <c r="G7352" s="2">
        <v>500.0</v>
      </c>
      <c r="H7352" s="3" t="str">
        <f>HYPERLINK("http://www.linkedin.com/pub/robert-massoudi/0/6A/468","http://www.linkedin.com/pub/robert-massoudi/0/6A/468")</f>
        <v>http://www.linkedin.com/pub/robert-massoudi/0/6A/468</v>
      </c>
      <c r="I7352" s="2" t="s">
        <v>69</v>
      </c>
      <c r="J7352" s="2" t="s">
        <v>102</v>
      </c>
      <c r="K7352" s="2" t="s">
        <v>10176</v>
      </c>
    </row>
    <row r="7353" ht="15.75" customHeight="1">
      <c r="A7353" s="2">
        <v>57991.0</v>
      </c>
      <c r="B7353" s="2" t="s">
        <v>193</v>
      </c>
      <c r="C7353" s="2" t="s">
        <v>10586</v>
      </c>
      <c r="D7353" s="2" t="s">
        <v>8678</v>
      </c>
      <c r="E7353" s="2" t="s">
        <v>20</v>
      </c>
      <c r="F7353" s="2">
        <v>22.0</v>
      </c>
      <c r="G7353" s="2">
        <v>500.0</v>
      </c>
      <c r="H7353" s="3" t="str">
        <f>HYPERLINK("http://ar.linkedin.com/in/gpalacios","http://ar.linkedin.com/in/gpalacios")</f>
        <v>http://ar.linkedin.com/in/gpalacios</v>
      </c>
      <c r="I7353" s="2" t="s">
        <v>15</v>
      </c>
      <c r="J7353" s="2" t="s">
        <v>21</v>
      </c>
      <c r="K7353" s="2" t="s">
        <v>10196</v>
      </c>
    </row>
    <row r="7354" ht="15.75" customHeight="1">
      <c r="A7354" s="2">
        <v>58006.0</v>
      </c>
      <c r="B7354" s="2" t="s">
        <v>6061</v>
      </c>
      <c r="C7354" s="2" t="s">
        <v>4729</v>
      </c>
      <c r="D7354" s="2" t="s">
        <v>13830</v>
      </c>
      <c r="E7354" s="2" t="s">
        <v>20</v>
      </c>
      <c r="F7354" s="2">
        <v>16.0</v>
      </c>
      <c r="G7354" s="2">
        <v>414.0</v>
      </c>
      <c r="H7354" s="3" t="str">
        <f>HYPERLINK("http://ar.linkedin.com/pub/agustin-perez/9/9A4/601","http://ar.linkedin.com/pub/agustin-perez/9/9A4/601")</f>
        <v>http://ar.linkedin.com/pub/agustin-perez/9/9A4/601</v>
      </c>
      <c r="I7354" s="2" t="s">
        <v>15</v>
      </c>
      <c r="J7354" s="2" t="s">
        <v>21</v>
      </c>
      <c r="K7354" s="2" t="s">
        <v>10196</v>
      </c>
    </row>
    <row r="7355" ht="15.75" customHeight="1">
      <c r="A7355" s="2">
        <v>58016.0</v>
      </c>
      <c r="B7355" s="2" t="s">
        <v>2436</v>
      </c>
      <c r="C7355" s="2" t="s">
        <v>13831</v>
      </c>
      <c r="D7355" s="2" t="s">
        <v>13832</v>
      </c>
      <c r="E7355" s="2" t="s">
        <v>1190</v>
      </c>
      <c r="F7355" s="2">
        <v>39.0</v>
      </c>
      <c r="G7355" s="2">
        <v>389.0</v>
      </c>
      <c r="H7355" s="3" t="str">
        <f>HYPERLINK("http://www.linkedin.com/in/shappley","http://www.linkedin.com/in/shappley")</f>
        <v>http://www.linkedin.com/in/shappley</v>
      </c>
      <c r="I7355" s="2" t="s">
        <v>77</v>
      </c>
      <c r="J7355" s="2" t="s">
        <v>102</v>
      </c>
      <c r="K7355" s="2" t="s">
        <v>12356</v>
      </c>
    </row>
    <row r="7356" ht="15.75" customHeight="1">
      <c r="A7356" s="2">
        <v>58029.0</v>
      </c>
      <c r="B7356" s="2" t="s">
        <v>146</v>
      </c>
      <c r="C7356" s="2" t="s">
        <v>12336</v>
      </c>
      <c r="D7356" s="2" t="s">
        <v>13833</v>
      </c>
      <c r="E7356" s="2" t="s">
        <v>20</v>
      </c>
      <c r="F7356" s="2">
        <v>4.0</v>
      </c>
      <c r="G7356" s="2">
        <v>93.0</v>
      </c>
      <c r="H7356" s="3" t="str">
        <f>HYPERLINK("http://ar.linkedin.com/in/pachu","http://ar.linkedin.com/in/pachu")</f>
        <v>http://ar.linkedin.com/in/pachu</v>
      </c>
      <c r="I7356" s="2" t="s">
        <v>15</v>
      </c>
      <c r="J7356" s="2" t="s">
        <v>21</v>
      </c>
      <c r="K7356" s="2" t="s">
        <v>10196</v>
      </c>
    </row>
    <row r="7357" ht="15.75" customHeight="1">
      <c r="A7357" s="2">
        <v>58040.0</v>
      </c>
      <c r="B7357" s="2" t="s">
        <v>3201</v>
      </c>
      <c r="C7357" s="2" t="s">
        <v>13834</v>
      </c>
      <c r="D7357" s="2" t="s">
        <v>13835</v>
      </c>
      <c r="E7357" s="2" t="s">
        <v>20</v>
      </c>
      <c r="F7357" s="2">
        <v>3.0</v>
      </c>
      <c r="G7357" s="2">
        <v>151.0</v>
      </c>
      <c r="H7357" s="3" t="str">
        <f>HYPERLINK("http://ar.linkedin.com/pub/sebastian-serantes/7/B96/321","http://ar.linkedin.com/pub/sebastian-serantes/7/B96/321")</f>
        <v>http://ar.linkedin.com/pub/sebastian-serantes/7/B96/321</v>
      </c>
      <c r="I7357" s="2" t="s">
        <v>15</v>
      </c>
      <c r="J7357" s="2" t="s">
        <v>21</v>
      </c>
      <c r="K7357" s="2" t="s">
        <v>10196</v>
      </c>
    </row>
    <row r="7358" ht="15.75" customHeight="1">
      <c r="A7358" s="2">
        <v>58095.0</v>
      </c>
      <c r="B7358" s="2" t="s">
        <v>6004</v>
      </c>
      <c r="C7358" s="2" t="s">
        <v>4391</v>
      </c>
      <c r="D7358" s="2" t="s">
        <v>13836</v>
      </c>
      <c r="E7358" s="2" t="s">
        <v>20</v>
      </c>
      <c r="F7358" s="2">
        <v>2.0</v>
      </c>
      <c r="G7358" s="2">
        <v>483.0</v>
      </c>
      <c r="H7358" s="3" t="str">
        <f>HYPERLINK("http://www.linkedin.com/in/juanmanuelvillarreal","http://www.linkedin.com/in/juanmanuelvillarreal")</f>
        <v>http://www.linkedin.com/in/juanmanuelvillarreal</v>
      </c>
      <c r="I7358" s="2" t="s">
        <v>15</v>
      </c>
      <c r="J7358" s="2" t="s">
        <v>21</v>
      </c>
      <c r="K7358" s="2" t="s">
        <v>10196</v>
      </c>
    </row>
    <row r="7359" ht="15.75" customHeight="1">
      <c r="A7359" s="2">
        <v>58129.0</v>
      </c>
      <c r="B7359" s="2" t="s">
        <v>13837</v>
      </c>
      <c r="C7359" s="2" t="s">
        <v>13838</v>
      </c>
      <c r="D7359" s="2" t="s">
        <v>13839</v>
      </c>
      <c r="E7359" s="2" t="s">
        <v>1001</v>
      </c>
      <c r="F7359" s="2">
        <v>11.0</v>
      </c>
      <c r="G7359" s="2">
        <v>500.0</v>
      </c>
      <c r="H7359" s="3" t="str">
        <f>HYPERLINK("http://www.linkedin.com/in/amidror","http://www.linkedin.com/in/amidror")</f>
        <v>http://www.linkedin.com/in/amidror</v>
      </c>
      <c r="I7359" s="2" t="s">
        <v>910</v>
      </c>
      <c r="J7359" s="2" t="s">
        <v>1898</v>
      </c>
      <c r="K7359" s="2" t="s">
        <v>10206</v>
      </c>
    </row>
    <row r="7360" ht="15.75" customHeight="1">
      <c r="A7360" s="2">
        <v>58136.0</v>
      </c>
      <c r="B7360" s="2" t="s">
        <v>7598</v>
      </c>
      <c r="C7360" s="2" t="s">
        <v>6148</v>
      </c>
      <c r="D7360" s="2" t="s">
        <v>13840</v>
      </c>
      <c r="E7360" s="2" t="s">
        <v>20</v>
      </c>
      <c r="F7360" s="2">
        <v>4.0</v>
      </c>
      <c r="G7360" s="2">
        <v>500.0</v>
      </c>
      <c r="H7360" s="3" t="str">
        <f>HYPERLINK("http://ar.linkedin.com/pub/ver-nica-romero/12/7B9/5","http://ar.linkedin.com/pub/ver-nica-romero/12/7B9/5")</f>
        <v>http://ar.linkedin.com/pub/ver-nica-romero/12/7B9/5</v>
      </c>
      <c r="I7360" s="2" t="s">
        <v>15</v>
      </c>
      <c r="J7360" s="2" t="s">
        <v>21</v>
      </c>
      <c r="K7360" s="2" t="s">
        <v>10196</v>
      </c>
    </row>
    <row r="7361" ht="15.75" customHeight="1">
      <c r="A7361" s="2">
        <v>58150.0</v>
      </c>
      <c r="B7361" s="2" t="s">
        <v>193</v>
      </c>
      <c r="C7361" s="2" t="s">
        <v>13841</v>
      </c>
      <c r="D7361" s="2" t="s">
        <v>13842</v>
      </c>
      <c r="E7361" s="2" t="s">
        <v>20</v>
      </c>
      <c r="F7361" s="2" t="s">
        <v>13</v>
      </c>
      <c r="G7361" s="2">
        <v>258.0</v>
      </c>
      <c r="H7361" s="3" t="str">
        <f>HYPERLINK("http://ar.linkedin.com/in/manzato","http://ar.linkedin.com/in/manzato")</f>
        <v>http://ar.linkedin.com/in/manzato</v>
      </c>
      <c r="I7361" s="2" t="s">
        <v>15</v>
      </c>
      <c r="J7361" s="2" t="s">
        <v>21</v>
      </c>
      <c r="K7361" s="2" t="s">
        <v>10173</v>
      </c>
    </row>
    <row r="7362" ht="15.75" customHeight="1">
      <c r="A7362" s="2">
        <v>58185.0</v>
      </c>
      <c r="B7362" s="2" t="s">
        <v>3851</v>
      </c>
      <c r="C7362" s="2" t="s">
        <v>13843</v>
      </c>
      <c r="D7362" s="2" t="s">
        <v>8338</v>
      </c>
      <c r="E7362" s="2" t="s">
        <v>12156</v>
      </c>
      <c r="F7362" s="2">
        <v>14.0</v>
      </c>
      <c r="G7362" s="2">
        <v>500.0</v>
      </c>
      <c r="H7362" s="3" t="str">
        <f>HYPERLINK("http://www.linkedin.com/pub/wayne-millheim/26/5BB/365","http://www.linkedin.com/pub/wayne-millheim/26/5BB/365")</f>
        <v>http://www.linkedin.com/pub/wayne-millheim/26/5BB/365</v>
      </c>
      <c r="I7362" s="2" t="s">
        <v>2362</v>
      </c>
      <c r="J7362" s="2" t="s">
        <v>102</v>
      </c>
      <c r="K7362" s="2" t="s">
        <v>10206</v>
      </c>
    </row>
    <row r="7363" ht="15.75" customHeight="1">
      <c r="A7363" s="2">
        <v>58189.0</v>
      </c>
      <c r="B7363" s="2" t="s">
        <v>13844</v>
      </c>
      <c r="C7363" s="2" t="s">
        <v>13845</v>
      </c>
      <c r="D7363" s="2" t="s">
        <v>13846</v>
      </c>
      <c r="E7363" s="2" t="s">
        <v>20</v>
      </c>
      <c r="F7363" s="2">
        <v>5.0</v>
      </c>
      <c r="G7363" s="2">
        <v>500.0</v>
      </c>
      <c r="H7363" s="3" t="str">
        <f>HYPERLINK("http://ar.linkedin.com/in/joseprassolo","http://ar.linkedin.com/in/joseprassolo")</f>
        <v>http://ar.linkedin.com/in/joseprassolo</v>
      </c>
      <c r="I7363" s="2" t="s">
        <v>15</v>
      </c>
      <c r="J7363" s="2" t="s">
        <v>21</v>
      </c>
      <c r="K7363" s="2" t="s">
        <v>10196</v>
      </c>
    </row>
    <row r="7364" ht="15.75" customHeight="1">
      <c r="A7364" s="2">
        <v>58205.0</v>
      </c>
      <c r="B7364" s="2" t="s">
        <v>13847</v>
      </c>
      <c r="C7364" s="2" t="s">
        <v>13848</v>
      </c>
      <c r="D7364" s="2" t="s">
        <v>3587</v>
      </c>
      <c r="E7364" s="2" t="s">
        <v>628</v>
      </c>
      <c r="F7364" s="2">
        <v>22.0</v>
      </c>
      <c r="G7364" s="2">
        <v>500.0</v>
      </c>
      <c r="H7364" s="3" t="str">
        <f>HYPERLINK("http://www.linkedin.com/in/kathleenmarini","http://www.linkedin.com/in/kathleenmarini")</f>
        <v>http://www.linkedin.com/in/kathleenmarini</v>
      </c>
      <c r="I7364" s="2" t="s">
        <v>873</v>
      </c>
      <c r="J7364" s="2" t="s">
        <v>102</v>
      </c>
      <c r="K7364" s="2" t="s">
        <v>10187</v>
      </c>
    </row>
    <row r="7365" ht="15.75" customHeight="1">
      <c r="A7365" s="2">
        <v>58217.0</v>
      </c>
      <c r="B7365" s="2" t="s">
        <v>540</v>
      </c>
      <c r="C7365" s="2" t="s">
        <v>740</v>
      </c>
      <c r="D7365" s="2" t="s">
        <v>13849</v>
      </c>
      <c r="E7365" s="2" t="s">
        <v>20</v>
      </c>
      <c r="F7365" s="2">
        <v>6.0</v>
      </c>
      <c r="G7365" s="2">
        <v>449.0</v>
      </c>
      <c r="H7365" s="3" t="str">
        <f>HYPERLINK("http://ar.linkedin.com/in/christianosilva","http://ar.linkedin.com/in/christianosilva")</f>
        <v>http://ar.linkedin.com/in/christianosilva</v>
      </c>
      <c r="I7365" s="2" t="s">
        <v>15</v>
      </c>
      <c r="J7365" s="2" t="s">
        <v>21</v>
      </c>
      <c r="K7365" s="2" t="s">
        <v>10196</v>
      </c>
    </row>
    <row r="7366" ht="15.75" customHeight="1">
      <c r="A7366" s="2">
        <v>58273.0</v>
      </c>
      <c r="B7366" s="2" t="s">
        <v>5803</v>
      </c>
      <c r="C7366" s="2" t="s">
        <v>13850</v>
      </c>
      <c r="D7366" s="2" t="s">
        <v>13851</v>
      </c>
      <c r="E7366" s="2" t="s">
        <v>20</v>
      </c>
      <c r="F7366" s="2" t="s">
        <v>13</v>
      </c>
      <c r="G7366" s="2">
        <v>318.0</v>
      </c>
      <c r="H7366" s="3" t="str">
        <f>HYPERLINK("http://ar.linkedin.com/in/marianoesterlus","http://ar.linkedin.com/in/marianoesterlus")</f>
        <v>http://ar.linkedin.com/in/marianoesterlus</v>
      </c>
      <c r="I7366" s="2" t="s">
        <v>15</v>
      </c>
      <c r="J7366" s="2" t="s">
        <v>21</v>
      </c>
      <c r="K7366" s="2" t="s">
        <v>10173</v>
      </c>
    </row>
    <row r="7367" ht="15.75" customHeight="1">
      <c r="A7367" s="2">
        <v>58279.0</v>
      </c>
      <c r="B7367" s="2" t="s">
        <v>4157</v>
      </c>
      <c r="C7367" s="2" t="s">
        <v>13852</v>
      </c>
      <c r="D7367" s="2" t="s">
        <v>8720</v>
      </c>
      <c r="E7367" s="2" t="s">
        <v>13853</v>
      </c>
      <c r="F7367" s="2">
        <v>3.0</v>
      </c>
      <c r="G7367" s="2">
        <v>500.0</v>
      </c>
      <c r="H7367" s="3" t="str">
        <f>HYPERLINK("http://www.linkedin.com/in/maryleeds","http://www.linkedin.com/in/maryleeds")</f>
        <v>http://www.linkedin.com/in/maryleeds</v>
      </c>
      <c r="I7367" s="2" t="s">
        <v>248</v>
      </c>
      <c r="J7367" s="2" t="s">
        <v>102</v>
      </c>
      <c r="K7367" s="2" t="s">
        <v>10380</v>
      </c>
    </row>
    <row r="7368" ht="15.75" customHeight="1">
      <c r="A7368" s="2">
        <v>58381.0</v>
      </c>
      <c r="B7368" s="2" t="s">
        <v>13854</v>
      </c>
      <c r="C7368" s="2" t="s">
        <v>13855</v>
      </c>
      <c r="D7368" s="2" t="s">
        <v>13856</v>
      </c>
      <c r="E7368" s="2" t="s">
        <v>11375</v>
      </c>
      <c r="F7368" s="2">
        <v>4.0</v>
      </c>
      <c r="G7368" s="2">
        <v>274.0</v>
      </c>
      <c r="H7368" s="3" t="str">
        <f>HYPERLINK("http://www.linkedin.com/pub/arianna-pages/28/BA5/173","http://www.linkedin.com/pub/arianna-pages/28/BA5/173")</f>
        <v>http://www.linkedin.com/pub/arianna-pages/28/BA5/173</v>
      </c>
      <c r="I7368" s="2" t="s">
        <v>48</v>
      </c>
      <c r="J7368" s="2" t="s">
        <v>220</v>
      </c>
      <c r="K7368" s="2" t="s">
        <v>10173</v>
      </c>
    </row>
    <row r="7369" ht="15.75" customHeight="1">
      <c r="A7369" s="2">
        <v>58387.0</v>
      </c>
      <c r="B7369" s="2" t="s">
        <v>13788</v>
      </c>
      <c r="C7369" s="2" t="s">
        <v>13857</v>
      </c>
      <c r="D7369" s="2" t="s">
        <v>13</v>
      </c>
      <c r="E7369" s="2" t="s">
        <v>20</v>
      </c>
      <c r="F7369" s="2">
        <v>0.0</v>
      </c>
      <c r="G7369" s="2">
        <v>397.0</v>
      </c>
      <c r="H7369" s="3" t="str">
        <f>HYPERLINK("http://www.linkedin.com/pub/miguel-angel-guzzo/6/546/a89","http://www.linkedin.com/pub/miguel-angel-guzzo/6/546/a89")</f>
        <v>http://www.linkedin.com/pub/miguel-angel-guzzo/6/546/a89</v>
      </c>
      <c r="I7369" s="2" t="s">
        <v>48</v>
      </c>
      <c r="J7369" s="2" t="s">
        <v>21</v>
      </c>
      <c r="K7369" s="2" t="s">
        <v>10196</v>
      </c>
    </row>
    <row r="7370" ht="15.75" customHeight="1">
      <c r="A7370" s="2">
        <v>58429.0</v>
      </c>
      <c r="B7370" s="2" t="s">
        <v>8966</v>
      </c>
      <c r="C7370" s="2" t="s">
        <v>6900</v>
      </c>
      <c r="D7370" s="2" t="s">
        <v>13</v>
      </c>
      <c r="E7370" s="2" t="s">
        <v>20</v>
      </c>
      <c r="F7370" s="2">
        <v>0.0</v>
      </c>
      <c r="G7370" s="2">
        <v>158.0</v>
      </c>
      <c r="H7370" s="3" t="str">
        <f>HYPERLINK("http://www.linkedin.com/pub/carina-maggi/8/246/4ba?trk=pub-pbmap","http://www.linkedin.com/pub/carina-maggi/8/246/4ba?trk=pub-pbmap")</f>
        <v>http://www.linkedin.com/pub/carina-maggi/8/246/4ba?trk=pub-pbmap</v>
      </c>
      <c r="I7370" s="2" t="s">
        <v>48</v>
      </c>
      <c r="J7370" s="2" t="s">
        <v>21</v>
      </c>
      <c r="K7370" s="2" t="s">
        <v>10173</v>
      </c>
    </row>
    <row r="7371" ht="15.75" customHeight="1">
      <c r="A7371" s="2">
        <v>58479.0</v>
      </c>
      <c r="B7371" s="2" t="s">
        <v>1232</v>
      </c>
      <c r="C7371" s="2" t="s">
        <v>13858</v>
      </c>
      <c r="D7371" s="2" t="s">
        <v>13</v>
      </c>
      <c r="E7371" s="2" t="s">
        <v>13859</v>
      </c>
      <c r="F7371" s="2">
        <v>7.0</v>
      </c>
      <c r="G7371" s="2">
        <v>500.0</v>
      </c>
      <c r="H7371" s="3" t="str">
        <f>HYPERLINK("http://www.linkedin.com/pub/roger-espert/13/774/44","http://www.linkedin.com/pub/roger-espert/13/774/44")</f>
        <v>http://www.linkedin.com/pub/roger-espert/13/774/44</v>
      </c>
      <c r="I7371" s="2" t="s">
        <v>669</v>
      </c>
      <c r="J7371" s="2" t="s">
        <v>102</v>
      </c>
      <c r="K7371" s="2" t="s">
        <v>10209</v>
      </c>
    </row>
    <row r="7372" ht="15.75" customHeight="1">
      <c r="A7372" s="2">
        <v>58495.0</v>
      </c>
      <c r="B7372" s="2" t="s">
        <v>13860</v>
      </c>
      <c r="C7372" s="2" t="s">
        <v>1231</v>
      </c>
      <c r="D7372" s="2" t="s">
        <v>1750</v>
      </c>
      <c r="E7372" s="2" t="s">
        <v>1190</v>
      </c>
      <c r="F7372" s="2">
        <v>17.0</v>
      </c>
      <c r="G7372" s="2">
        <v>500.0</v>
      </c>
      <c r="H7372" s="3" t="str">
        <f>HYPERLINK("http://www.linkedin.com/in/ferminp","http://www.linkedin.com/in/ferminp")</f>
        <v>http://www.linkedin.com/in/ferminp</v>
      </c>
      <c r="I7372" s="2" t="s">
        <v>15</v>
      </c>
      <c r="J7372" s="2" t="s">
        <v>102</v>
      </c>
      <c r="K7372" s="2" t="s">
        <v>10263</v>
      </c>
    </row>
    <row r="7373" ht="15.75" customHeight="1">
      <c r="A7373" s="2">
        <v>58522.0</v>
      </c>
      <c r="B7373" s="2" t="s">
        <v>3201</v>
      </c>
      <c r="C7373" s="2" t="s">
        <v>5988</v>
      </c>
      <c r="D7373" s="2" t="s">
        <v>5746</v>
      </c>
      <c r="E7373" s="2" t="s">
        <v>1190</v>
      </c>
      <c r="F7373" s="2">
        <v>1.0</v>
      </c>
      <c r="G7373" s="2">
        <v>331.0</v>
      </c>
      <c r="H7373" s="3" t="str">
        <f>HYPERLINK("http://ar.linkedin.com/in/vegasebastian","http://ar.linkedin.com/in/vegasebastian")</f>
        <v>http://ar.linkedin.com/in/vegasebastian</v>
      </c>
      <c r="I7373" s="2" t="s">
        <v>1728</v>
      </c>
      <c r="J7373" s="2" t="s">
        <v>102</v>
      </c>
      <c r="K7373" s="2" t="s">
        <v>10209</v>
      </c>
    </row>
    <row r="7374" ht="15.75" customHeight="1">
      <c r="A7374" s="2">
        <v>58524.0</v>
      </c>
      <c r="B7374" s="2" t="s">
        <v>389</v>
      </c>
      <c r="C7374" s="2" t="s">
        <v>675</v>
      </c>
      <c r="D7374" s="2" t="s">
        <v>289</v>
      </c>
      <c r="E7374" s="2" t="s">
        <v>20</v>
      </c>
      <c r="F7374" s="2">
        <v>1.0</v>
      </c>
      <c r="G7374" s="2">
        <v>229.0</v>
      </c>
      <c r="H7374" s="3" t="str">
        <f>HYPERLINK("http://ar.linkedin.com/pub/jos%C3%A9-torres/17/160/86B","http://ar.linkedin.com/pub/jos%C3%A9-torres/17/160/86B")</f>
        <v>http://ar.linkedin.com/pub/jos%C3%A9-torres/17/160/86B</v>
      </c>
      <c r="I7374" s="2" t="s">
        <v>2081</v>
      </c>
      <c r="J7374" s="2" t="s">
        <v>21</v>
      </c>
      <c r="K7374" s="2" t="s">
        <v>10229</v>
      </c>
    </row>
    <row r="7375" ht="15.75" customHeight="1">
      <c r="A7375" s="2">
        <v>58538.0</v>
      </c>
      <c r="B7375" s="2" t="s">
        <v>2335</v>
      </c>
      <c r="C7375" s="2" t="s">
        <v>13861</v>
      </c>
      <c r="D7375" s="2" t="s">
        <v>47</v>
      </c>
      <c r="E7375" s="2" t="s">
        <v>20</v>
      </c>
      <c r="F7375" s="2" t="s">
        <v>13</v>
      </c>
      <c r="G7375" s="2">
        <v>109.0</v>
      </c>
      <c r="H7375" s="3" t="str">
        <f>HYPERLINK("http://ar.linkedin.com/pub/bruno-arougueti/13/8A/455","http://ar.linkedin.com/pub/bruno-arougueti/13/8A/455")</f>
        <v>http://ar.linkedin.com/pub/bruno-arougueti/13/8A/455</v>
      </c>
      <c r="I7375" s="2" t="s">
        <v>188</v>
      </c>
      <c r="J7375" s="2" t="s">
        <v>21</v>
      </c>
      <c r="K7375" s="2" t="s">
        <v>10176</v>
      </c>
    </row>
    <row r="7376" ht="15.75" customHeight="1">
      <c r="A7376" s="2">
        <v>58543.0</v>
      </c>
      <c r="B7376" s="2" t="s">
        <v>9548</v>
      </c>
      <c r="C7376" s="2" t="s">
        <v>13862</v>
      </c>
      <c r="D7376" s="2" t="s">
        <v>10271</v>
      </c>
      <c r="E7376" s="2" t="s">
        <v>20</v>
      </c>
      <c r="F7376" s="2">
        <v>2.0</v>
      </c>
      <c r="G7376" s="2">
        <v>267.0</v>
      </c>
      <c r="H7376" s="3" t="str">
        <f>HYPERLINK("http://ar.linkedin.com/in/juanandresabsi","http://ar.linkedin.com/in/juanandresabsi")</f>
        <v>http://ar.linkedin.com/in/juanandresabsi</v>
      </c>
      <c r="I7376" s="2" t="s">
        <v>15</v>
      </c>
      <c r="J7376" s="2" t="s">
        <v>21</v>
      </c>
      <c r="K7376" s="2" t="s">
        <v>10196</v>
      </c>
    </row>
    <row r="7377" ht="15.75" customHeight="1">
      <c r="A7377" s="2">
        <v>58545.0</v>
      </c>
      <c r="B7377" s="2" t="s">
        <v>13863</v>
      </c>
      <c r="C7377" s="2" t="s">
        <v>13864</v>
      </c>
      <c r="D7377" s="2" t="s">
        <v>13</v>
      </c>
      <c r="E7377" s="2" t="s">
        <v>1190</v>
      </c>
      <c r="F7377" s="2">
        <v>4.0</v>
      </c>
      <c r="G7377" s="2">
        <v>500.0</v>
      </c>
      <c r="H7377" s="3" t="str">
        <f>HYPERLINK("http://www.linkedin.com/pub/i%C3%B1aki-domaica/3/A74/99A","http://www.linkedin.com/pub/i%C3%B1aki-domaica/3/A74/99A")</f>
        <v>http://www.linkedin.com/pub/i%C3%B1aki-domaica/3/A74/99A</v>
      </c>
      <c r="I7377" s="2" t="s">
        <v>48</v>
      </c>
      <c r="J7377" s="2" t="s">
        <v>102</v>
      </c>
      <c r="K7377" s="2" t="s">
        <v>10343</v>
      </c>
    </row>
    <row r="7378" ht="15.75" customHeight="1">
      <c r="A7378" s="2">
        <v>58550.0</v>
      </c>
      <c r="B7378" s="2" t="s">
        <v>13865</v>
      </c>
      <c r="C7378" s="2" t="s">
        <v>13866</v>
      </c>
      <c r="D7378" s="2" t="s">
        <v>13867</v>
      </c>
      <c r="E7378" s="2" t="s">
        <v>20</v>
      </c>
      <c r="F7378" s="2">
        <v>2.0</v>
      </c>
      <c r="G7378" s="2">
        <v>115.0</v>
      </c>
      <c r="H7378" s="3" t="str">
        <f>HYPERLINK("http://ar.linkedin.com/in/miguelur","http://ar.linkedin.com/in/miguelur")</f>
        <v>http://ar.linkedin.com/in/miguelur</v>
      </c>
      <c r="I7378" s="2" t="s">
        <v>69</v>
      </c>
      <c r="J7378" s="2" t="s">
        <v>21</v>
      </c>
      <c r="K7378" s="2" t="s">
        <v>10196</v>
      </c>
    </row>
    <row r="7379" ht="15.75" customHeight="1">
      <c r="A7379" s="2">
        <v>58574.0</v>
      </c>
      <c r="B7379" s="2" t="s">
        <v>13868</v>
      </c>
      <c r="C7379" s="2" t="s">
        <v>13869</v>
      </c>
      <c r="D7379" s="2" t="s">
        <v>13</v>
      </c>
      <c r="E7379" s="2" t="s">
        <v>20</v>
      </c>
      <c r="F7379" s="2">
        <v>1.0</v>
      </c>
      <c r="G7379" s="2">
        <v>277.0</v>
      </c>
      <c r="H7379" s="3" t="str">
        <f>HYPERLINK("http://www.linkedin.com/pub/santiago-alejandro-ag%C3%BCero/23/a16/b58","http://www.linkedin.com/pub/santiago-alejandro-ag%C3%BCero/23/a16/b58")</f>
        <v>http://www.linkedin.com/pub/santiago-alejandro-ag%C3%BCero/23/a16/b58</v>
      </c>
      <c r="I7379" s="2" t="s">
        <v>2000</v>
      </c>
      <c r="J7379" s="2" t="s">
        <v>21</v>
      </c>
      <c r="K7379" s="2" t="s">
        <v>10206</v>
      </c>
    </row>
    <row r="7380" ht="15.75" customHeight="1">
      <c r="A7380" s="2">
        <v>58578.0</v>
      </c>
      <c r="B7380" s="2" t="s">
        <v>3223</v>
      </c>
      <c r="C7380" s="2" t="s">
        <v>13870</v>
      </c>
      <c r="D7380" s="2" t="s">
        <v>13871</v>
      </c>
      <c r="E7380" s="2" t="s">
        <v>20</v>
      </c>
      <c r="F7380" s="2" t="s">
        <v>13</v>
      </c>
      <c r="G7380" s="2">
        <v>441.0</v>
      </c>
      <c r="H7380" s="3" t="str">
        <f>HYPERLINK("http://ar.linkedin.com/pub/laura-jotimliansky/2/3AB/596","http://ar.linkedin.com/pub/laura-jotimliansky/2/3AB/596")</f>
        <v>http://ar.linkedin.com/pub/laura-jotimliansky/2/3AB/596</v>
      </c>
      <c r="I7380" s="2" t="s">
        <v>374</v>
      </c>
      <c r="J7380" s="2" t="s">
        <v>21</v>
      </c>
      <c r="K7380" s="2" t="s">
        <v>10187</v>
      </c>
    </row>
    <row r="7381" ht="15.75" customHeight="1">
      <c r="A7381" s="2">
        <v>58606.0</v>
      </c>
      <c r="B7381" s="2" t="s">
        <v>511</v>
      </c>
      <c r="C7381" s="2" t="s">
        <v>13872</v>
      </c>
      <c r="D7381" s="2" t="s">
        <v>13873</v>
      </c>
      <c r="E7381" s="2" t="s">
        <v>1407</v>
      </c>
      <c r="F7381" s="2">
        <v>16.0</v>
      </c>
      <c r="G7381" s="2">
        <v>500.0</v>
      </c>
      <c r="H7381" s="3" t="str">
        <f>HYPERLINK("http://www.linkedin.com/in/mikescaglione","http://www.linkedin.com/in/mikescaglione")</f>
        <v>http://www.linkedin.com/in/mikescaglione</v>
      </c>
      <c r="I7381" s="2" t="s">
        <v>2936</v>
      </c>
      <c r="J7381" s="2" t="s">
        <v>102</v>
      </c>
      <c r="K7381" s="2" t="s">
        <v>10187</v>
      </c>
    </row>
    <row r="7382" ht="15.75" customHeight="1">
      <c r="A7382" s="2">
        <v>58623.0</v>
      </c>
      <c r="B7382" s="2" t="s">
        <v>5915</v>
      </c>
      <c r="C7382" s="2" t="s">
        <v>13874</v>
      </c>
      <c r="D7382" s="2" t="s">
        <v>13875</v>
      </c>
      <c r="E7382" s="2" t="s">
        <v>20</v>
      </c>
      <c r="F7382" s="2">
        <v>2.0</v>
      </c>
      <c r="G7382" s="2">
        <v>217.0</v>
      </c>
      <c r="H7382" s="3" t="str">
        <f>HYPERLINK("http://ar.linkedin.com/pub/cecilia-cort%C3%A9s/11/400/8B7","http://ar.linkedin.com/pub/cecilia-cort%C3%A9s/11/400/8B7")</f>
        <v>http://ar.linkedin.com/pub/cecilia-cort%C3%A9s/11/400/8B7</v>
      </c>
      <c r="I7382" s="2" t="s">
        <v>15</v>
      </c>
      <c r="J7382" s="2" t="s">
        <v>21</v>
      </c>
      <c r="K7382" s="2" t="s">
        <v>10340</v>
      </c>
    </row>
    <row r="7383" ht="15.75" customHeight="1">
      <c r="A7383" s="2">
        <v>58630.0</v>
      </c>
      <c r="B7383" s="2" t="s">
        <v>671</v>
      </c>
      <c r="C7383" s="2" t="s">
        <v>13876</v>
      </c>
      <c r="D7383" s="2" t="s">
        <v>13</v>
      </c>
      <c r="E7383" s="2" t="s">
        <v>20</v>
      </c>
      <c r="F7383" s="2">
        <v>10.0</v>
      </c>
      <c r="G7383" s="2">
        <v>500.0</v>
      </c>
      <c r="H7383" s="3" t="str">
        <f>HYPERLINK("http://www.linkedin.com/pub/mariana-gonzalez-ericsson/4/432/640","http://www.linkedin.com/pub/mariana-gonzalez-ericsson/4/432/640")</f>
        <v>http://www.linkedin.com/pub/mariana-gonzalez-ericsson/4/432/640</v>
      </c>
      <c r="I7383" s="2" t="s">
        <v>105</v>
      </c>
      <c r="J7383" s="2" t="s">
        <v>21</v>
      </c>
      <c r="K7383" s="2" t="s">
        <v>10173</v>
      </c>
    </row>
    <row r="7384" ht="15.75" customHeight="1">
      <c r="A7384" s="2">
        <v>58632.0</v>
      </c>
      <c r="B7384" s="2" t="s">
        <v>13877</v>
      </c>
      <c r="C7384" s="2" t="s">
        <v>13878</v>
      </c>
      <c r="D7384" s="2" t="s">
        <v>13</v>
      </c>
      <c r="E7384" s="2" t="s">
        <v>20</v>
      </c>
      <c r="F7384" s="2">
        <v>0.0</v>
      </c>
      <c r="G7384" s="2">
        <v>500.0</v>
      </c>
      <c r="H7384" s="3" t="str">
        <f>HYPERLINK("http://www.linkedin.com/pub/salvador-luis-ventriglia/9/4a5/760","http://www.linkedin.com/pub/salvador-luis-ventriglia/9/4a5/760")</f>
        <v>http://www.linkedin.com/pub/salvador-luis-ventriglia/9/4a5/760</v>
      </c>
      <c r="I7384" s="2" t="s">
        <v>458</v>
      </c>
      <c r="J7384" s="2" t="s">
        <v>21</v>
      </c>
      <c r="K7384" s="2" t="s">
        <v>10577</v>
      </c>
    </row>
    <row r="7385" ht="15.75" customHeight="1">
      <c r="A7385" s="2">
        <v>58633.0</v>
      </c>
      <c r="B7385" s="2" t="s">
        <v>492</v>
      </c>
      <c r="C7385" s="2" t="s">
        <v>6068</v>
      </c>
      <c r="D7385" s="2" t="s">
        <v>42</v>
      </c>
      <c r="E7385" s="2" t="s">
        <v>20</v>
      </c>
      <c r="F7385" s="2" t="s">
        <v>13</v>
      </c>
      <c r="G7385" s="2">
        <v>179.0</v>
      </c>
      <c r="H7385" s="3" t="str">
        <f>HYPERLINK("http://ar.linkedin.com/pub/sergio-quinteros/A/941/938","http://ar.linkedin.com/pub/sergio-quinteros/A/941/938")</f>
        <v>http://ar.linkedin.com/pub/sergio-quinteros/A/941/938</v>
      </c>
      <c r="I7385" s="2" t="s">
        <v>225</v>
      </c>
      <c r="J7385" s="2" t="s">
        <v>21</v>
      </c>
      <c r="K7385" s="2" t="s">
        <v>10176</v>
      </c>
    </row>
    <row r="7386" ht="15.75" customHeight="1">
      <c r="A7386" s="2">
        <v>58694.0</v>
      </c>
      <c r="B7386" s="2" t="s">
        <v>13879</v>
      </c>
      <c r="C7386" s="2" t="s">
        <v>10360</v>
      </c>
      <c r="D7386" s="2" t="s">
        <v>13880</v>
      </c>
      <c r="E7386" s="2" t="s">
        <v>1190</v>
      </c>
      <c r="F7386" s="2">
        <v>7.0</v>
      </c>
      <c r="G7386" s="2">
        <v>500.0</v>
      </c>
      <c r="H7386" s="3" t="str">
        <f>HYPERLINK("http://www.linkedin.com/in/yisellhernandez","http://www.linkedin.com/in/yisellhernandez")</f>
        <v>http://www.linkedin.com/in/yisellhernandez</v>
      </c>
      <c r="I7386" s="2" t="s">
        <v>119</v>
      </c>
      <c r="J7386" s="2" t="s">
        <v>102</v>
      </c>
      <c r="K7386" s="2" t="s">
        <v>10988</v>
      </c>
    </row>
    <row r="7387" ht="15.75" customHeight="1">
      <c r="A7387" s="2">
        <v>58749.0</v>
      </c>
      <c r="B7387" s="2" t="s">
        <v>1004</v>
      </c>
      <c r="C7387" s="2" t="s">
        <v>5173</v>
      </c>
      <c r="D7387" s="2"/>
      <c r="E7387" s="2" t="s">
        <v>13881</v>
      </c>
      <c r="F7387" s="2">
        <v>2.0</v>
      </c>
      <c r="G7387" s="2">
        <v>500.0</v>
      </c>
      <c r="H7387" s="3" t="str">
        <f>HYPERLINK("http://www.linkedin.com/pub/scott-rich/0/BAA/4A8","http://www.linkedin.com/pub/scott-rich/0/BAA/4A8")</f>
        <v>http://www.linkedin.com/pub/scott-rich/0/BAA/4A8</v>
      </c>
      <c r="I7387" s="2" t="s">
        <v>48</v>
      </c>
      <c r="J7387" s="2" t="s">
        <v>102</v>
      </c>
      <c r="K7387" s="2" t="s">
        <v>10184</v>
      </c>
    </row>
    <row r="7388" ht="15.75" customHeight="1">
      <c r="A7388" s="2">
        <v>58795.0</v>
      </c>
      <c r="B7388" s="2" t="s">
        <v>460</v>
      </c>
      <c r="C7388" s="2" t="s">
        <v>13882</v>
      </c>
      <c r="D7388" s="2" t="s">
        <v>5394</v>
      </c>
      <c r="E7388" s="2" t="s">
        <v>713</v>
      </c>
      <c r="F7388" s="2">
        <v>17.0</v>
      </c>
      <c r="G7388" s="2">
        <v>500.0</v>
      </c>
      <c r="H7388" s="3" t="str">
        <f>HYPERLINK("http://www.linkedin.com/in/bornholdt","http://www.linkedin.com/in/bornholdt")</f>
        <v>http://www.linkedin.com/in/bornholdt</v>
      </c>
      <c r="I7388" s="2" t="s">
        <v>865</v>
      </c>
      <c r="J7388" s="2" t="s">
        <v>102</v>
      </c>
      <c r="K7388" s="2" t="s">
        <v>10187</v>
      </c>
    </row>
    <row r="7389" ht="15.75" customHeight="1">
      <c r="A7389" s="2">
        <v>58808.0</v>
      </c>
      <c r="B7389" s="2" t="s">
        <v>1653</v>
      </c>
      <c r="C7389" s="2" t="s">
        <v>13883</v>
      </c>
      <c r="D7389" s="2" t="s">
        <v>13884</v>
      </c>
      <c r="E7389" s="2" t="s">
        <v>1918</v>
      </c>
      <c r="F7389" s="2">
        <v>6.0</v>
      </c>
      <c r="G7389" s="2">
        <v>500.0</v>
      </c>
      <c r="H7389" s="3" t="str">
        <f>HYPERLINK("http://www.linkedin.com/pub/doug-dittrich/2/383/720","http://www.linkedin.com/pub/doug-dittrich/2/383/720")</f>
        <v>http://www.linkedin.com/pub/doug-dittrich/2/383/720</v>
      </c>
      <c r="I7389" s="2" t="s">
        <v>48</v>
      </c>
      <c r="J7389" s="2" t="s">
        <v>102</v>
      </c>
      <c r="K7389" s="2" t="s">
        <v>10184</v>
      </c>
    </row>
    <row r="7390" ht="15.75" customHeight="1">
      <c r="A7390" s="2">
        <v>58815.0</v>
      </c>
      <c r="B7390" s="2" t="s">
        <v>5389</v>
      </c>
      <c r="C7390" s="2" t="s">
        <v>13885</v>
      </c>
      <c r="D7390" s="2" t="s">
        <v>13886</v>
      </c>
      <c r="E7390" s="2" t="s">
        <v>381</v>
      </c>
      <c r="F7390" s="2">
        <v>69.0</v>
      </c>
      <c r="G7390" s="2">
        <v>500.0</v>
      </c>
      <c r="H7390" s="3" t="str">
        <f>HYPERLINK("http://www.linkedin.com/in/paularutledge","http://www.linkedin.com/in/paularutledge")</f>
        <v>http://www.linkedin.com/in/paularutledge</v>
      </c>
      <c r="I7390" s="2" t="s">
        <v>248</v>
      </c>
      <c r="J7390" s="2" t="s">
        <v>102</v>
      </c>
      <c r="K7390" s="2" t="s">
        <v>10619</v>
      </c>
    </row>
    <row r="7391" ht="15.75" customHeight="1">
      <c r="A7391" s="2">
        <v>58834.0</v>
      </c>
      <c r="B7391" s="2" t="s">
        <v>329</v>
      </c>
      <c r="C7391" s="2" t="s">
        <v>13887</v>
      </c>
      <c r="D7391" s="2" t="s">
        <v>13</v>
      </c>
      <c r="E7391" s="2" t="s">
        <v>20</v>
      </c>
      <c r="F7391" s="2">
        <v>0.0</v>
      </c>
      <c r="G7391" s="2">
        <v>500.0</v>
      </c>
      <c r="H7391" s="3" t="str">
        <f>HYPERLINK("http://ar.linkedin.com/pub/juan-pablo-himitian/17/871/950","http://ar.linkedin.com/pub/juan-pablo-himitian/17/871/950")</f>
        <v>http://ar.linkedin.com/pub/juan-pablo-himitian/17/871/950</v>
      </c>
      <c r="I7391" s="2" t="s">
        <v>15</v>
      </c>
      <c r="J7391" s="2" t="s">
        <v>21</v>
      </c>
      <c r="K7391" s="2" t="s">
        <v>10371</v>
      </c>
    </row>
    <row r="7392" ht="15.75" customHeight="1">
      <c r="A7392" s="2">
        <v>58851.0</v>
      </c>
      <c r="B7392" s="2" t="s">
        <v>1617</v>
      </c>
      <c r="C7392" s="2" t="s">
        <v>13888</v>
      </c>
      <c r="D7392" s="2" t="s">
        <v>8962</v>
      </c>
      <c r="E7392" s="2" t="s">
        <v>214</v>
      </c>
      <c r="F7392" s="2">
        <v>6.0</v>
      </c>
      <c r="G7392" s="2">
        <v>500.0</v>
      </c>
      <c r="H7392" s="3" t="str">
        <f>HYPERLINK("http://www.linkedin.com/in/ryanmapes","http://www.linkedin.com/in/ryanmapes")</f>
        <v>http://www.linkedin.com/in/ryanmapes</v>
      </c>
      <c r="I7392" s="2" t="s">
        <v>326</v>
      </c>
      <c r="J7392" s="2" t="s">
        <v>102</v>
      </c>
      <c r="K7392" s="2" t="s">
        <v>10209</v>
      </c>
    </row>
    <row r="7393" ht="15.75" customHeight="1">
      <c r="A7393" s="2">
        <v>58859.0</v>
      </c>
      <c r="B7393" s="2" t="s">
        <v>4033</v>
      </c>
      <c r="C7393" s="2" t="s">
        <v>13889</v>
      </c>
      <c r="D7393" s="2"/>
      <c r="E7393" s="2" t="s">
        <v>136</v>
      </c>
      <c r="F7393" s="2">
        <v>1.0</v>
      </c>
      <c r="G7393" s="2">
        <v>500.0</v>
      </c>
      <c r="H7393" s="3" t="str">
        <f>HYPERLINK("http://www.linkedin.com/in/yanma","http://www.linkedin.com/in/yanma")</f>
        <v>http://www.linkedin.com/in/yanma</v>
      </c>
      <c r="I7393" s="2" t="s">
        <v>2561</v>
      </c>
      <c r="J7393" s="2" t="s">
        <v>102</v>
      </c>
      <c r="K7393" s="2" t="s">
        <v>10173</v>
      </c>
    </row>
    <row r="7394" ht="15.75" customHeight="1">
      <c r="A7394" s="2">
        <v>58869.0</v>
      </c>
      <c r="B7394" s="2" t="s">
        <v>353</v>
      </c>
      <c r="C7394" s="2" t="s">
        <v>5804</v>
      </c>
      <c r="D7394" s="2" t="s">
        <v>6260</v>
      </c>
      <c r="E7394" s="2" t="s">
        <v>20</v>
      </c>
      <c r="F7394" s="2">
        <v>1.0</v>
      </c>
      <c r="G7394" s="2">
        <v>482.0</v>
      </c>
      <c r="H7394" s="3" t="str">
        <f>HYPERLINK("http://ar.linkedin.com/pub/alejandro-sosa/13/A85/2BA","http://ar.linkedin.com/pub/alejandro-sosa/13/A85/2BA")</f>
        <v>http://ar.linkedin.com/pub/alejandro-sosa/13/A85/2BA</v>
      </c>
      <c r="I7394" s="2" t="s">
        <v>2000</v>
      </c>
      <c r="J7394" s="2" t="s">
        <v>21</v>
      </c>
      <c r="K7394" s="2" t="s">
        <v>10206</v>
      </c>
    </row>
    <row r="7395" ht="15.75" customHeight="1">
      <c r="A7395" s="2">
        <v>58884.0</v>
      </c>
      <c r="B7395" s="2" t="s">
        <v>13890</v>
      </c>
      <c r="C7395" s="2" t="s">
        <v>13891</v>
      </c>
      <c r="D7395" s="2"/>
      <c r="E7395" s="2" t="s">
        <v>101</v>
      </c>
      <c r="F7395" s="2">
        <v>12.0</v>
      </c>
      <c r="G7395" s="2">
        <v>500.0</v>
      </c>
      <c r="H7395" s="3" t="str">
        <f>HYPERLINK("http://www.linkedin.com/pub/staci-king-marcus-/0/23/B1","http://www.linkedin.com/pub/staci-king-marcus-/0/23/B1")</f>
        <v>http://www.linkedin.com/pub/staci-king-marcus-/0/23/B1</v>
      </c>
      <c r="I7395" s="2" t="s">
        <v>248</v>
      </c>
      <c r="J7395" s="2" t="s">
        <v>102</v>
      </c>
      <c r="K7395" s="2" t="s">
        <v>10187</v>
      </c>
    </row>
    <row r="7396" ht="15.75" customHeight="1">
      <c r="A7396" s="2">
        <v>58894.0</v>
      </c>
      <c r="B7396" s="2" t="s">
        <v>3441</v>
      </c>
      <c r="C7396" s="2" t="s">
        <v>1314</v>
      </c>
      <c r="D7396" s="2"/>
      <c r="E7396" s="2" t="s">
        <v>1321</v>
      </c>
      <c r="F7396" s="2">
        <v>5.0</v>
      </c>
      <c r="G7396" s="2">
        <v>500.0</v>
      </c>
      <c r="H7396" s="3" t="str">
        <f>HYPERLINK("http://www.linkedin.com/in/elizabethsheridan","http://www.linkedin.com/in/elizabethsheridan")</f>
        <v>http://www.linkedin.com/in/elizabethsheridan</v>
      </c>
      <c r="I7396" s="2" t="s">
        <v>248</v>
      </c>
      <c r="J7396" s="2" t="s">
        <v>102</v>
      </c>
      <c r="K7396" s="2" t="s">
        <v>10187</v>
      </c>
    </row>
    <row r="7397" ht="15.75" customHeight="1">
      <c r="A7397" s="2">
        <v>58904.0</v>
      </c>
      <c r="B7397" s="2" t="s">
        <v>13451</v>
      </c>
      <c r="C7397" s="2" t="s">
        <v>13892</v>
      </c>
      <c r="D7397" s="2" t="s">
        <v>13893</v>
      </c>
      <c r="E7397" s="2" t="s">
        <v>713</v>
      </c>
      <c r="F7397" s="2" t="s">
        <v>13</v>
      </c>
      <c r="G7397" s="2">
        <v>500.0</v>
      </c>
      <c r="H7397" s="3" t="str">
        <f>HYPERLINK("http://www.linkedin.com/in/meghanmaher","http://www.linkedin.com/in/meghanmaher")</f>
        <v>http://www.linkedin.com/in/meghanmaher</v>
      </c>
      <c r="I7397" s="2" t="s">
        <v>709</v>
      </c>
      <c r="J7397" s="2" t="s">
        <v>102</v>
      </c>
      <c r="K7397" s="2" t="s">
        <v>10187</v>
      </c>
    </row>
    <row r="7398" ht="15.75" customHeight="1">
      <c r="A7398" s="2">
        <v>58918.0</v>
      </c>
      <c r="B7398" s="2" t="s">
        <v>4319</v>
      </c>
      <c r="C7398" s="2" t="s">
        <v>13894</v>
      </c>
      <c r="D7398" s="2" t="s">
        <v>13895</v>
      </c>
      <c r="E7398" s="2" t="s">
        <v>20</v>
      </c>
      <c r="F7398" s="2">
        <v>5.0</v>
      </c>
      <c r="G7398" s="2">
        <v>344.0</v>
      </c>
      <c r="H7398" s="3" t="str">
        <f>HYPERLINK("http://ar.linkedin.com/in/pollylerma","http://ar.linkedin.com/in/pollylerma")</f>
        <v>http://ar.linkedin.com/in/pollylerma</v>
      </c>
      <c r="I7398" s="2" t="s">
        <v>69</v>
      </c>
      <c r="J7398" s="2" t="s">
        <v>21</v>
      </c>
      <c r="K7398" s="2" t="s">
        <v>10187</v>
      </c>
    </row>
    <row r="7399" ht="15.75" customHeight="1">
      <c r="A7399" s="2">
        <v>58947.0</v>
      </c>
      <c r="B7399" s="2" t="s">
        <v>634</v>
      </c>
      <c r="C7399" s="2" t="s">
        <v>8412</v>
      </c>
      <c r="D7399" s="2" t="s">
        <v>498</v>
      </c>
      <c r="E7399" s="2" t="s">
        <v>7794</v>
      </c>
      <c r="F7399" s="2">
        <v>0.0</v>
      </c>
      <c r="G7399" s="2">
        <v>500.0</v>
      </c>
      <c r="H7399" s="3" t="str">
        <f>HYPERLINK("http://www.linkedin.com/in/flaviocardoso","http://www.linkedin.com/in/flaviocardoso")</f>
        <v>http://www.linkedin.com/in/flaviocardoso</v>
      </c>
      <c r="I7399" s="2" t="s">
        <v>77</v>
      </c>
      <c r="J7399" s="2" t="s">
        <v>34</v>
      </c>
      <c r="K7399" s="2" t="s">
        <v>10572</v>
      </c>
    </row>
    <row r="7400" ht="15.75" customHeight="1">
      <c r="A7400" s="2">
        <v>58989.0</v>
      </c>
      <c r="B7400" s="2" t="s">
        <v>752</v>
      </c>
      <c r="C7400" s="2" t="s">
        <v>13896</v>
      </c>
      <c r="D7400" s="2" t="s">
        <v>13897</v>
      </c>
      <c r="E7400" s="2" t="s">
        <v>13898</v>
      </c>
      <c r="F7400" s="2">
        <v>11.0</v>
      </c>
      <c r="G7400" s="2">
        <v>500.0</v>
      </c>
      <c r="H7400" s="3" t="str">
        <f>HYPERLINK("http://www.linkedin.com/in/jimteeter","http://www.linkedin.com/in/jimteeter")</f>
        <v>http://www.linkedin.com/in/jimteeter</v>
      </c>
      <c r="I7400" s="2" t="s">
        <v>48</v>
      </c>
      <c r="J7400" s="2" t="s">
        <v>102</v>
      </c>
      <c r="K7400" s="2" t="s">
        <v>10245</v>
      </c>
    </row>
    <row r="7401" ht="15.75" customHeight="1">
      <c r="A7401" s="2">
        <v>59012.0</v>
      </c>
      <c r="B7401" s="2" t="s">
        <v>1071</v>
      </c>
      <c r="C7401" s="2" t="s">
        <v>13899</v>
      </c>
      <c r="D7401" s="2" t="s">
        <v>13900</v>
      </c>
      <c r="E7401" s="2" t="s">
        <v>101</v>
      </c>
      <c r="F7401" s="2">
        <v>18.0</v>
      </c>
      <c r="G7401" s="2">
        <v>500.0</v>
      </c>
      <c r="H7401" s="3" t="str">
        <f>HYPERLINK("http://www.linkedin.com/in/jaquith","http://www.linkedin.com/in/jaquith")</f>
        <v>http://www.linkedin.com/in/jaquith</v>
      </c>
      <c r="I7401" s="2" t="s">
        <v>458</v>
      </c>
      <c r="J7401" s="2" t="s">
        <v>102</v>
      </c>
      <c r="K7401" s="2" t="s">
        <v>10206</v>
      </c>
    </row>
    <row r="7402" ht="15.75" customHeight="1">
      <c r="A7402" s="2">
        <v>59019.0</v>
      </c>
      <c r="B7402" s="2" t="s">
        <v>13901</v>
      </c>
      <c r="C7402" s="2" t="s">
        <v>13902</v>
      </c>
      <c r="D7402" s="2" t="s">
        <v>13903</v>
      </c>
      <c r="E7402" s="2" t="s">
        <v>1407</v>
      </c>
      <c r="F7402" s="2">
        <v>21.0</v>
      </c>
      <c r="G7402" s="2">
        <v>500.0</v>
      </c>
      <c r="H7402" s="3" t="str">
        <f>HYPERLINK("http://www.linkedin.com/in/lockealderson","http://www.linkedin.com/in/lockealderson")</f>
        <v>http://www.linkedin.com/in/lockealderson</v>
      </c>
      <c r="I7402" s="2" t="s">
        <v>48</v>
      </c>
      <c r="J7402" s="2" t="s">
        <v>102</v>
      </c>
      <c r="K7402" s="2" t="s">
        <v>10184</v>
      </c>
    </row>
    <row r="7403" ht="15.75" customHeight="1">
      <c r="A7403" s="2">
        <v>59053.0</v>
      </c>
      <c r="B7403" s="2" t="s">
        <v>8726</v>
      </c>
      <c r="C7403" s="2" t="s">
        <v>13904</v>
      </c>
      <c r="D7403" s="2" t="s">
        <v>13</v>
      </c>
      <c r="E7403" s="2" t="s">
        <v>20</v>
      </c>
      <c r="F7403" s="2">
        <v>0.0</v>
      </c>
      <c r="G7403" s="2">
        <v>500.0</v>
      </c>
      <c r="H7403" s="3" t="str">
        <f>HYPERLINK("http://www.linkedin.com/pub/graciela-kort/4/464/113","http://www.linkedin.com/pub/graciela-kort/4/464/113")</f>
        <v>http://www.linkedin.com/pub/graciela-kort/4/464/113</v>
      </c>
      <c r="I7403" s="2" t="s">
        <v>1094</v>
      </c>
      <c r="J7403" s="2" t="s">
        <v>21</v>
      </c>
      <c r="K7403" s="2" t="s">
        <v>10187</v>
      </c>
    </row>
    <row r="7404" ht="15.75" customHeight="1">
      <c r="A7404" s="2">
        <v>59061.0</v>
      </c>
      <c r="B7404" s="2" t="s">
        <v>245</v>
      </c>
      <c r="C7404" s="2" t="s">
        <v>13905</v>
      </c>
      <c r="D7404" s="2" t="s">
        <v>114</v>
      </c>
      <c r="E7404" s="2" t="s">
        <v>181</v>
      </c>
      <c r="F7404" s="2">
        <v>20.0</v>
      </c>
      <c r="G7404" s="2">
        <v>500.0</v>
      </c>
      <c r="H7404" s="3" t="str">
        <f>HYPERLINK("http://www.linkedin.com/in/stevenlevymd","http://www.linkedin.com/in/stevenlevymd")</f>
        <v>http://www.linkedin.com/in/stevenlevymd</v>
      </c>
      <c r="I7404" s="2" t="s">
        <v>172</v>
      </c>
      <c r="J7404" s="2" t="s">
        <v>102</v>
      </c>
      <c r="K7404" s="2" t="s">
        <v>10312</v>
      </c>
    </row>
    <row r="7405" ht="15.75" customHeight="1">
      <c r="A7405" s="2">
        <v>59067.0</v>
      </c>
      <c r="B7405" s="2" t="s">
        <v>13906</v>
      </c>
      <c r="C7405" s="2" t="s">
        <v>13907</v>
      </c>
      <c r="D7405" s="2" t="s">
        <v>13908</v>
      </c>
      <c r="E7405" s="2" t="s">
        <v>20</v>
      </c>
      <c r="F7405" s="2">
        <v>5.0</v>
      </c>
      <c r="G7405" s="2">
        <v>251.0</v>
      </c>
      <c r="H7405" s="3" t="str">
        <f>HYPERLINK("http://ar.linkedin.com/in/pikyvalicente","http://ar.linkedin.com/in/pikyvalicente")</f>
        <v>http://ar.linkedin.com/in/pikyvalicente</v>
      </c>
      <c r="I7405" s="2" t="s">
        <v>579</v>
      </c>
      <c r="J7405" s="2" t="s">
        <v>21</v>
      </c>
      <c r="K7405" s="2" t="s">
        <v>10940</v>
      </c>
    </row>
    <row r="7406" ht="15.75" customHeight="1">
      <c r="A7406" s="2">
        <v>59095.0</v>
      </c>
      <c r="B7406" s="2" t="s">
        <v>70</v>
      </c>
      <c r="C7406" s="2" t="s">
        <v>13909</v>
      </c>
      <c r="D7406" s="2" t="s">
        <v>7229</v>
      </c>
      <c r="E7406" s="2" t="s">
        <v>20</v>
      </c>
      <c r="F7406" s="2">
        <v>2.0</v>
      </c>
      <c r="G7406" s="2">
        <v>94.0</v>
      </c>
      <c r="H7406" s="3" t="str">
        <f>HYPERLINK("http://ar.linkedin.com/pub/gustavo-moya/24/606/23","http://ar.linkedin.com/pub/gustavo-moya/24/606/23")</f>
        <v>http://ar.linkedin.com/pub/gustavo-moya/24/606/23</v>
      </c>
      <c r="I7406" s="2" t="s">
        <v>15</v>
      </c>
      <c r="J7406" s="2" t="s">
        <v>21</v>
      </c>
      <c r="K7406" s="2" t="s">
        <v>10196</v>
      </c>
    </row>
    <row r="7407" ht="15.75" customHeight="1">
      <c r="A7407" s="2">
        <v>59124.0</v>
      </c>
      <c r="B7407" s="2" t="s">
        <v>275</v>
      </c>
      <c r="C7407" s="2" t="s">
        <v>13910</v>
      </c>
      <c r="D7407" s="2" t="s">
        <v>841</v>
      </c>
      <c r="E7407" s="2" t="s">
        <v>13911</v>
      </c>
      <c r="F7407" s="2">
        <v>68.0</v>
      </c>
      <c r="G7407" s="2">
        <v>500.0</v>
      </c>
      <c r="H7407" s="3" t="str">
        <f>HYPERLINK("http://www.linkedin.com/in/markhamade","http://www.linkedin.com/in/markhamade")</f>
        <v>http://www.linkedin.com/in/markhamade</v>
      </c>
      <c r="I7407" s="2" t="s">
        <v>1012</v>
      </c>
      <c r="J7407" s="2" t="s">
        <v>102</v>
      </c>
      <c r="K7407" s="2" t="s">
        <v>10206</v>
      </c>
    </row>
    <row r="7408" ht="15.75" customHeight="1">
      <c r="A7408" s="2">
        <v>59133.0</v>
      </c>
      <c r="B7408" s="2" t="s">
        <v>13912</v>
      </c>
      <c r="C7408" s="2" t="s">
        <v>3943</v>
      </c>
      <c r="D7408" s="2" t="s">
        <v>13</v>
      </c>
      <c r="E7408" s="2" t="s">
        <v>20</v>
      </c>
      <c r="F7408" s="2">
        <v>0.0</v>
      </c>
      <c r="G7408" s="2">
        <v>288.0</v>
      </c>
      <c r="H7408" s="3" t="str">
        <f>HYPERLINK("http://www.linkedin.com/pub/fabian-victor-rodriguez/15/461/5ab","http://www.linkedin.com/pub/fabian-victor-rodriguez/15/461/5ab")</f>
        <v>http://www.linkedin.com/pub/fabian-victor-rodriguez/15/461/5ab</v>
      </c>
      <c r="I7408" s="2" t="s">
        <v>15</v>
      </c>
      <c r="J7408" s="2" t="s">
        <v>21</v>
      </c>
      <c r="K7408" s="2" t="s">
        <v>10609</v>
      </c>
    </row>
    <row r="7409" ht="15.75" customHeight="1">
      <c r="A7409" s="2">
        <v>59148.0</v>
      </c>
      <c r="B7409" s="2" t="s">
        <v>13913</v>
      </c>
      <c r="C7409" s="2" t="s">
        <v>13914</v>
      </c>
      <c r="D7409" s="2" t="s">
        <v>13915</v>
      </c>
      <c r="E7409" s="2" t="s">
        <v>8142</v>
      </c>
      <c r="F7409" s="2">
        <v>5.0</v>
      </c>
      <c r="G7409" s="2">
        <v>500.0</v>
      </c>
      <c r="H7409" s="3" t="str">
        <f>HYPERLINK("http://ca.linkedin.com/in/helmuthager","http://ca.linkedin.com/in/helmuthager")</f>
        <v>http://ca.linkedin.com/in/helmuthager</v>
      </c>
      <c r="I7409" s="2" t="s">
        <v>15</v>
      </c>
      <c r="J7409" s="2" t="s">
        <v>44</v>
      </c>
      <c r="K7409" s="2" t="s">
        <v>13916</v>
      </c>
    </row>
    <row r="7410" ht="15.75" customHeight="1">
      <c r="A7410" s="2">
        <v>59151.0</v>
      </c>
      <c r="B7410" s="2" t="s">
        <v>13917</v>
      </c>
      <c r="C7410" s="2" t="s">
        <v>1077</v>
      </c>
      <c r="D7410" s="2" t="s">
        <v>13918</v>
      </c>
      <c r="E7410" s="2" t="s">
        <v>13919</v>
      </c>
      <c r="F7410" s="2">
        <v>5.0</v>
      </c>
      <c r="G7410" s="2">
        <v>500.0</v>
      </c>
      <c r="H7410" s="3" t="str">
        <f>HYPERLINK("http://www.linkedin.com/in/jonahmanning","http://www.linkedin.com/in/jonahmanning")</f>
        <v>http://www.linkedin.com/in/jonahmanning</v>
      </c>
      <c r="I7410" s="2" t="s">
        <v>57</v>
      </c>
      <c r="J7410" s="2" t="s">
        <v>102</v>
      </c>
      <c r="K7410" s="2" t="s">
        <v>10182</v>
      </c>
    </row>
    <row r="7411" ht="15.75" customHeight="1">
      <c r="A7411" s="2">
        <v>59219.0</v>
      </c>
      <c r="B7411" s="2" t="s">
        <v>13920</v>
      </c>
      <c r="C7411" s="2" t="s">
        <v>13921</v>
      </c>
      <c r="D7411" s="2" t="s">
        <v>6260</v>
      </c>
      <c r="E7411" s="2" t="s">
        <v>20</v>
      </c>
      <c r="F7411" s="2">
        <v>1.0</v>
      </c>
      <c r="G7411" s="2">
        <v>343.0</v>
      </c>
      <c r="H7411" s="3" t="str">
        <f>HYPERLINK("http://www.linkedin.com/pub/guillermo-gabriel-cavalieri/25/6a3/29b","http://www.linkedin.com/pub/guillermo-gabriel-cavalieri/25/6a3/29b")</f>
        <v>http://www.linkedin.com/pub/guillermo-gabriel-cavalieri/25/6a3/29b</v>
      </c>
      <c r="I7411" s="2" t="s">
        <v>15</v>
      </c>
      <c r="J7411" s="2" t="s">
        <v>21</v>
      </c>
      <c r="K7411" s="2" t="s">
        <v>10173</v>
      </c>
    </row>
    <row r="7412" ht="15.75" customHeight="1">
      <c r="A7412" s="2">
        <v>59227.0</v>
      </c>
      <c r="B7412" s="2" t="s">
        <v>253</v>
      </c>
      <c r="C7412" s="2" t="s">
        <v>9596</v>
      </c>
      <c r="D7412" s="2" t="s">
        <v>13922</v>
      </c>
      <c r="E7412" s="2" t="s">
        <v>301</v>
      </c>
      <c r="F7412" s="2">
        <v>1.0</v>
      </c>
      <c r="G7412" s="2">
        <v>500.0</v>
      </c>
      <c r="H7412" s="3" t="str">
        <f>HYPERLINK("http://www.linkedin.com/pub/fernando-calvo/8/78B/837","http://www.linkedin.com/pub/fernando-calvo/8/78B/837")</f>
        <v>http://www.linkedin.com/pub/fernando-calvo/8/78B/837</v>
      </c>
      <c r="I7412" s="2" t="s">
        <v>458</v>
      </c>
      <c r="J7412" s="2" t="s">
        <v>102</v>
      </c>
      <c r="K7412" s="2" t="s">
        <v>10187</v>
      </c>
    </row>
    <row r="7413" ht="15.75" customHeight="1">
      <c r="A7413" s="2">
        <v>59231.0</v>
      </c>
      <c r="B7413" s="2" t="s">
        <v>845</v>
      </c>
      <c r="C7413" s="2" t="s">
        <v>13923</v>
      </c>
      <c r="D7413" s="2" t="s">
        <v>13</v>
      </c>
      <c r="E7413" s="2" t="s">
        <v>20</v>
      </c>
      <c r="F7413" s="2">
        <v>0.0</v>
      </c>
      <c r="G7413" s="2">
        <v>376.0</v>
      </c>
      <c r="H7413" s="3" t="str">
        <f>HYPERLINK("http://www.linkedin.com/pub/david-vuelta/30/753/29","http://www.linkedin.com/pub/david-vuelta/30/753/29")</f>
        <v>http://www.linkedin.com/pub/david-vuelta/30/753/29</v>
      </c>
      <c r="I7413" s="2" t="s">
        <v>48</v>
      </c>
      <c r="J7413" s="2" t="s">
        <v>21</v>
      </c>
      <c r="K7413" s="2" t="s">
        <v>10206</v>
      </c>
    </row>
    <row r="7414" ht="15.75" customHeight="1">
      <c r="A7414" s="2">
        <v>59232.0</v>
      </c>
      <c r="B7414" s="2" t="s">
        <v>13924</v>
      </c>
      <c r="C7414" s="2" t="s">
        <v>13925</v>
      </c>
      <c r="D7414" s="2"/>
      <c r="E7414" s="2" t="s">
        <v>407</v>
      </c>
      <c r="F7414" s="2">
        <v>18.0</v>
      </c>
      <c r="G7414" s="2">
        <v>363.0</v>
      </c>
      <c r="H7414" s="3" t="str">
        <f>HYPERLINK("http://www.linkedin.com/pub/tammy-marks-pmp/0/212/399","http://www.linkedin.com/pub/tammy-marks-pmp/0/212/399")</f>
        <v>http://www.linkedin.com/pub/tammy-marks-pmp/0/212/399</v>
      </c>
      <c r="I7414" s="2" t="s">
        <v>15</v>
      </c>
      <c r="J7414" s="2" t="s">
        <v>102</v>
      </c>
      <c r="K7414" s="2" t="s">
        <v>10176</v>
      </c>
    </row>
    <row r="7415" ht="15.75" customHeight="1">
      <c r="A7415" s="2">
        <v>59238.0</v>
      </c>
      <c r="B7415" s="2" t="s">
        <v>18</v>
      </c>
      <c r="C7415" s="2" t="s">
        <v>13926</v>
      </c>
      <c r="D7415" s="2" t="s">
        <v>13927</v>
      </c>
      <c r="E7415" s="2" t="s">
        <v>1190</v>
      </c>
      <c r="F7415" s="2">
        <v>13.0</v>
      </c>
      <c r="G7415" s="2">
        <v>500.0</v>
      </c>
      <c r="H7415" s="3" t="str">
        <f>HYPERLINK("http://www.linkedin.com/pub/mauricio-temporin/0/142/38B","http://www.linkedin.com/pub/mauricio-temporin/0/142/38B")</f>
        <v>http://www.linkedin.com/pub/mauricio-temporin/0/142/38B</v>
      </c>
      <c r="I7415" s="2" t="s">
        <v>77</v>
      </c>
      <c r="J7415" s="2" t="s">
        <v>102</v>
      </c>
      <c r="K7415" s="2" t="s">
        <v>13928</v>
      </c>
    </row>
    <row r="7416" ht="15.75" customHeight="1">
      <c r="A7416" s="2">
        <v>59246.0</v>
      </c>
      <c r="B7416" s="2" t="s">
        <v>3679</v>
      </c>
      <c r="C7416" s="2" t="s">
        <v>13929</v>
      </c>
      <c r="D7416" s="2" t="s">
        <v>13930</v>
      </c>
      <c r="E7416" s="2" t="s">
        <v>1190</v>
      </c>
      <c r="F7416" s="2">
        <v>4.0</v>
      </c>
      <c r="G7416" s="2">
        <v>357.0</v>
      </c>
      <c r="H7416" s="3" t="str">
        <f>HYPERLINK("http://www.linkedin.com/pub/edwin-marcano/9/771/204","http://www.linkedin.com/pub/edwin-marcano/9/771/204")</f>
        <v>http://www.linkedin.com/pub/edwin-marcano/9/771/204</v>
      </c>
      <c r="I7416" s="2" t="s">
        <v>579</v>
      </c>
      <c r="J7416" s="2" t="s">
        <v>102</v>
      </c>
      <c r="K7416" s="2" t="s">
        <v>10394</v>
      </c>
    </row>
    <row r="7417" ht="15.75" customHeight="1">
      <c r="A7417" s="2">
        <v>59255.0</v>
      </c>
      <c r="B7417" s="2" t="s">
        <v>13931</v>
      </c>
      <c r="C7417" s="2" t="s">
        <v>13932</v>
      </c>
      <c r="D7417" s="2" t="s">
        <v>13</v>
      </c>
      <c r="E7417" s="2" t="s">
        <v>20</v>
      </c>
      <c r="F7417" s="2">
        <v>2.0</v>
      </c>
      <c r="G7417" s="2">
        <v>283.0</v>
      </c>
      <c r="H7417" s="3" t="str">
        <f>HYPERLINK("http://www.linkedin.com/pub/alejandro-esteban-aric%C3%B3/14/190/a64","http://www.linkedin.com/pub/alejandro-esteban-aric%C3%B3/14/190/a64")</f>
        <v>http://www.linkedin.com/pub/alejandro-esteban-aric%C3%B3/14/190/a64</v>
      </c>
      <c r="I7417" s="2" t="s">
        <v>15</v>
      </c>
      <c r="J7417" s="2" t="s">
        <v>21</v>
      </c>
      <c r="K7417" s="2" t="s">
        <v>10196</v>
      </c>
    </row>
    <row r="7418" ht="15.75" customHeight="1">
      <c r="A7418" s="2">
        <v>59276.0</v>
      </c>
      <c r="B7418" s="2" t="s">
        <v>13933</v>
      </c>
      <c r="C7418" s="2" t="s">
        <v>13934</v>
      </c>
      <c r="D7418" s="2" t="s">
        <v>13</v>
      </c>
      <c r="E7418" s="2" t="s">
        <v>20</v>
      </c>
      <c r="F7418" s="2">
        <v>0.0</v>
      </c>
      <c r="G7418" s="2">
        <v>310.0</v>
      </c>
      <c r="H7418" s="3" t="str">
        <f>HYPERLINK("http://www.linkedin.com/pub/andrea-alejandra-ibaceta/5/395/bb7","http://www.linkedin.com/pub/andrea-alejandra-ibaceta/5/395/bb7")</f>
        <v>http://www.linkedin.com/pub/andrea-alejandra-ibaceta/5/395/bb7</v>
      </c>
      <c r="I7418" s="2" t="s">
        <v>873</v>
      </c>
      <c r="J7418" s="2" t="s">
        <v>21</v>
      </c>
      <c r="K7418" s="2" t="s">
        <v>10180</v>
      </c>
    </row>
    <row r="7419" ht="15.75" customHeight="1">
      <c r="A7419" s="2">
        <v>59283.0</v>
      </c>
      <c r="B7419" s="2" t="s">
        <v>5794</v>
      </c>
      <c r="C7419" s="2" t="s">
        <v>9108</v>
      </c>
      <c r="D7419" s="2" t="s">
        <v>5968</v>
      </c>
      <c r="E7419" s="2" t="s">
        <v>20</v>
      </c>
      <c r="F7419" s="2">
        <v>8.0</v>
      </c>
      <c r="G7419" s="2">
        <v>273.0</v>
      </c>
      <c r="H7419" s="3" t="str">
        <f>HYPERLINK("http://ar.linkedin.com/pub/silvina-almonacid/B/B0B/126","http://ar.linkedin.com/pub/silvina-almonacid/B/B0B/126")</f>
        <v>http://ar.linkedin.com/pub/silvina-almonacid/B/B0B/126</v>
      </c>
      <c r="I7419" s="2" t="s">
        <v>15</v>
      </c>
      <c r="J7419" s="2" t="s">
        <v>21</v>
      </c>
      <c r="K7419" s="2" t="s">
        <v>10340</v>
      </c>
    </row>
    <row r="7420" ht="15.75" customHeight="1">
      <c r="A7420" s="2">
        <v>59285.0</v>
      </c>
      <c r="B7420" s="2" t="s">
        <v>3165</v>
      </c>
      <c r="C7420" s="2" t="s">
        <v>467</v>
      </c>
      <c r="D7420" s="2" t="s">
        <v>8962</v>
      </c>
      <c r="E7420" s="2" t="s">
        <v>235</v>
      </c>
      <c r="F7420" s="2" t="s">
        <v>13</v>
      </c>
      <c r="G7420" s="2">
        <v>360.0</v>
      </c>
      <c r="H7420" s="3" t="str">
        <f>HYPERLINK("http://www.linkedin.com/pub/luciana-zanata/0/12A/B1B","http://www.linkedin.com/pub/luciana-zanata/0/12A/B1B")</f>
        <v>http://www.linkedin.com/pub/luciana-zanata/0/12A/B1B</v>
      </c>
      <c r="I7420" s="2" t="s">
        <v>172</v>
      </c>
      <c r="J7420" s="2" t="s">
        <v>102</v>
      </c>
      <c r="K7420" s="2" t="s">
        <v>10187</v>
      </c>
    </row>
    <row r="7421" ht="15.75" customHeight="1">
      <c r="A7421" s="2">
        <v>59289.0</v>
      </c>
      <c r="B7421" s="2" t="s">
        <v>6225</v>
      </c>
      <c r="C7421" s="2" t="s">
        <v>13935</v>
      </c>
      <c r="D7421" s="2" t="s">
        <v>13936</v>
      </c>
      <c r="E7421" s="2" t="s">
        <v>20</v>
      </c>
      <c r="F7421" s="2">
        <v>20.0</v>
      </c>
      <c r="G7421" s="2">
        <v>500.0</v>
      </c>
      <c r="H7421" s="3" t="str">
        <f>HYPERLINK("http://ar.linkedin.com/in/psluongo","http://ar.linkedin.com/in/psluongo")</f>
        <v>http://ar.linkedin.com/in/psluongo</v>
      </c>
      <c r="I7421" s="2" t="s">
        <v>15</v>
      </c>
      <c r="J7421" s="2" t="s">
        <v>21</v>
      </c>
      <c r="K7421" s="2" t="s">
        <v>10196</v>
      </c>
    </row>
    <row r="7422" ht="15.75" customHeight="1">
      <c r="A7422" s="2">
        <v>59305.0</v>
      </c>
      <c r="B7422" s="2" t="s">
        <v>152</v>
      </c>
      <c r="C7422" s="2" t="s">
        <v>13937</v>
      </c>
      <c r="D7422" s="2" t="s">
        <v>13938</v>
      </c>
      <c r="E7422" s="2" t="s">
        <v>628</v>
      </c>
      <c r="F7422" s="2">
        <v>14.0</v>
      </c>
      <c r="G7422" s="2">
        <v>500.0</v>
      </c>
      <c r="H7422" s="3" t="str">
        <f>HYPERLINK("http://www.linkedin.com/in/eduardobcocozza","http://www.linkedin.com/in/eduardobcocozza")</f>
        <v>http://www.linkedin.com/in/eduardobcocozza</v>
      </c>
      <c r="I7422" s="2" t="s">
        <v>1728</v>
      </c>
      <c r="J7422" s="2" t="s">
        <v>102</v>
      </c>
      <c r="K7422" s="2" t="s">
        <v>10209</v>
      </c>
    </row>
    <row r="7423" ht="15.75" customHeight="1">
      <c r="A7423" s="2">
        <v>59333.0</v>
      </c>
      <c r="B7423" s="2" t="s">
        <v>7946</v>
      </c>
      <c r="C7423" s="2" t="s">
        <v>13939</v>
      </c>
      <c r="D7423" s="2" t="s">
        <v>13</v>
      </c>
      <c r="E7423" s="2" t="s">
        <v>20</v>
      </c>
      <c r="F7423" s="2">
        <v>3.0</v>
      </c>
      <c r="G7423" s="2">
        <v>289.0</v>
      </c>
      <c r="H7423" s="3" t="str">
        <f>HYPERLINK("http://www.linkedin.com/pub/debora-freidkes/17/a9/61b","http://www.linkedin.com/pub/debora-freidkes/17/a9/61b")</f>
        <v>http://www.linkedin.com/pub/debora-freidkes/17/a9/61b</v>
      </c>
      <c r="I7423" s="2" t="s">
        <v>248</v>
      </c>
      <c r="J7423" s="2" t="s">
        <v>21</v>
      </c>
      <c r="K7423" s="2" t="s">
        <v>13940</v>
      </c>
    </row>
    <row r="7424" ht="15.75" customHeight="1">
      <c r="A7424" s="2">
        <v>59342.0</v>
      </c>
      <c r="B7424" s="2" t="s">
        <v>7592</v>
      </c>
      <c r="C7424" s="2" t="s">
        <v>13941</v>
      </c>
      <c r="D7424" s="2" t="s">
        <v>13</v>
      </c>
      <c r="E7424" s="2" t="s">
        <v>20</v>
      </c>
      <c r="F7424" s="2">
        <v>0.0</v>
      </c>
      <c r="G7424" s="2">
        <v>500.0</v>
      </c>
      <c r="H7424" s="3" t="str">
        <f>HYPERLINK("http://www.linkedin.com/pub/maximo-cingolani/15/879/949","http://www.linkedin.com/pub/maximo-cingolani/15/879/949")</f>
        <v>http://www.linkedin.com/pub/maximo-cingolani/15/879/949</v>
      </c>
      <c r="I7424" s="2" t="s">
        <v>57</v>
      </c>
      <c r="J7424" s="2" t="s">
        <v>21</v>
      </c>
      <c r="K7424" s="2" t="s">
        <v>10196</v>
      </c>
    </row>
    <row r="7425" ht="15.75" customHeight="1">
      <c r="A7425" s="2">
        <v>59414.0</v>
      </c>
      <c r="B7425" s="2" t="s">
        <v>5723</v>
      </c>
      <c r="C7425" s="2" t="s">
        <v>13942</v>
      </c>
      <c r="D7425" s="2" t="s">
        <v>13</v>
      </c>
      <c r="E7425" s="2" t="s">
        <v>20</v>
      </c>
      <c r="F7425" s="2">
        <v>0.0</v>
      </c>
      <c r="G7425" s="2">
        <v>321.0</v>
      </c>
      <c r="H7425" s="3" t="str">
        <f>HYPERLINK("http://www.linkedin.com/pub/pablo-sinisgalli/9/378/44b","http://www.linkedin.com/pub/pablo-sinisgalli/9/378/44b")</f>
        <v>http://www.linkedin.com/pub/pablo-sinisgalli/9/378/44b</v>
      </c>
      <c r="I7425" s="2" t="s">
        <v>48</v>
      </c>
      <c r="J7425" s="2" t="s">
        <v>21</v>
      </c>
      <c r="K7425" s="2" t="s">
        <v>13943</v>
      </c>
    </row>
    <row r="7426" ht="15.75" customHeight="1">
      <c r="A7426" s="2">
        <v>59417.0</v>
      </c>
      <c r="B7426" s="2" t="s">
        <v>5915</v>
      </c>
      <c r="C7426" s="2" t="s">
        <v>13944</v>
      </c>
      <c r="D7426" s="2" t="s">
        <v>13945</v>
      </c>
      <c r="E7426" s="2" t="s">
        <v>20</v>
      </c>
      <c r="F7426" s="2">
        <v>2.0</v>
      </c>
      <c r="G7426" s="2">
        <v>273.0</v>
      </c>
      <c r="H7426" s="3" t="str">
        <f>HYPERLINK("http://ar.linkedin.com/in/ceciliabulfe","http://ar.linkedin.com/in/ceciliabulfe")</f>
        <v>http://ar.linkedin.com/in/ceciliabulfe</v>
      </c>
      <c r="I7426" s="2" t="s">
        <v>48</v>
      </c>
      <c r="J7426" s="2" t="s">
        <v>21</v>
      </c>
      <c r="K7426" s="2" t="s">
        <v>10196</v>
      </c>
    </row>
    <row r="7427" ht="15.75" customHeight="1">
      <c r="A7427" s="2">
        <v>59435.0</v>
      </c>
      <c r="B7427" s="2" t="s">
        <v>13946</v>
      </c>
      <c r="C7427" s="2" t="s">
        <v>13947</v>
      </c>
      <c r="D7427" s="2" t="s">
        <v>13948</v>
      </c>
      <c r="E7427" s="2" t="s">
        <v>1407</v>
      </c>
      <c r="F7427" s="2">
        <v>0.0</v>
      </c>
      <c r="G7427" s="2">
        <v>68.0</v>
      </c>
      <c r="H7427" s="3" t="str">
        <f>HYPERLINK("http://www.linkedin.com/pub/shailender-gunnala/7/6B0/9","http://www.linkedin.com/pub/shailender-gunnala/7/6B0/9")</f>
        <v>http://www.linkedin.com/pub/shailender-gunnala/7/6B0/9</v>
      </c>
      <c r="I7427" s="2" t="s">
        <v>374</v>
      </c>
      <c r="J7427" s="2" t="s">
        <v>102</v>
      </c>
      <c r="K7427" s="2" t="s">
        <v>10187</v>
      </c>
    </row>
    <row r="7428" ht="15.75" customHeight="1">
      <c r="A7428" s="2">
        <v>59436.0</v>
      </c>
      <c r="B7428" s="2" t="s">
        <v>5728</v>
      </c>
      <c r="C7428" s="2" t="s">
        <v>13949</v>
      </c>
      <c r="D7428" s="2" t="s">
        <v>13950</v>
      </c>
      <c r="E7428" s="2" t="s">
        <v>20</v>
      </c>
      <c r="F7428" s="2">
        <v>5.0</v>
      </c>
      <c r="G7428" s="2">
        <v>337.0</v>
      </c>
      <c r="H7428" s="3" t="str">
        <f>HYPERLINK("http://ar.linkedin.com/in/dimarcomaximiliano","http://ar.linkedin.com/in/dimarcomaximiliano")</f>
        <v>http://ar.linkedin.com/in/dimarcomaximiliano</v>
      </c>
      <c r="I7428" s="2" t="s">
        <v>15</v>
      </c>
      <c r="J7428" s="2" t="s">
        <v>21</v>
      </c>
      <c r="K7428" s="2" t="s">
        <v>10196</v>
      </c>
    </row>
    <row r="7429" ht="15.75" customHeight="1">
      <c r="A7429" s="2">
        <v>59534.0</v>
      </c>
      <c r="B7429" s="2" t="s">
        <v>1163</v>
      </c>
      <c r="C7429" s="2" t="s">
        <v>13951</v>
      </c>
      <c r="D7429" s="2" t="s">
        <v>13952</v>
      </c>
      <c r="E7429" s="2" t="s">
        <v>20</v>
      </c>
      <c r="F7429" s="2">
        <v>1.0</v>
      </c>
      <c r="G7429" s="2">
        <v>287.0</v>
      </c>
      <c r="H7429" s="3" t="str">
        <f>HYPERLINK("http://ar.linkedin.com/pub/maria-caravello/23/45A/B0","http://ar.linkedin.com/pub/maria-caravello/23/45A/B0")</f>
        <v>http://ar.linkedin.com/pub/maria-caravello/23/45A/B0</v>
      </c>
      <c r="I7429" s="2" t="s">
        <v>252</v>
      </c>
      <c r="J7429" s="2" t="s">
        <v>21</v>
      </c>
      <c r="K7429" s="2" t="s">
        <v>10229</v>
      </c>
    </row>
    <row r="7430" ht="15.75" customHeight="1">
      <c r="A7430" s="2">
        <v>59573.0</v>
      </c>
      <c r="B7430" s="2" t="s">
        <v>7744</v>
      </c>
      <c r="C7430" s="2" t="s">
        <v>9035</v>
      </c>
      <c r="D7430" s="2" t="s">
        <v>304</v>
      </c>
      <c r="E7430" s="2" t="s">
        <v>1190</v>
      </c>
      <c r="F7430" s="2" t="s">
        <v>13</v>
      </c>
      <c r="G7430" s="2">
        <v>431.0</v>
      </c>
      <c r="H7430" s="3" t="str">
        <f>HYPERLINK("http://www.linkedin.com/pub/oscar-mazza/5/A04/51","http://www.linkedin.com/pub/oscar-mazza/5/A04/51")</f>
        <v>http://www.linkedin.com/pub/oscar-mazza/5/A04/51</v>
      </c>
      <c r="I7430" s="2" t="s">
        <v>279</v>
      </c>
      <c r="J7430" s="2" t="s">
        <v>102</v>
      </c>
      <c r="K7430" s="2" t="s">
        <v>10187</v>
      </c>
    </row>
    <row r="7431" ht="15.75" customHeight="1">
      <c r="A7431" s="2">
        <v>59578.0</v>
      </c>
      <c r="B7431" s="2" t="s">
        <v>637</v>
      </c>
      <c r="C7431" s="2" t="s">
        <v>8540</v>
      </c>
      <c r="D7431" s="2" t="s">
        <v>13953</v>
      </c>
      <c r="E7431" s="2" t="s">
        <v>1190</v>
      </c>
      <c r="F7431" s="2" t="s">
        <v>13</v>
      </c>
      <c r="G7431" s="2">
        <v>500.0</v>
      </c>
      <c r="H7431" s="3" t="str">
        <f>HYPERLINK("http://www.linkedin.com/pub/leonardo-gazzo/4/352/B08","http://www.linkedin.com/pub/leonardo-gazzo/4/352/B08")</f>
        <v>http://www.linkedin.com/pub/leonardo-gazzo/4/352/B08</v>
      </c>
      <c r="I7431" s="2" t="s">
        <v>279</v>
      </c>
      <c r="J7431" s="2" t="s">
        <v>102</v>
      </c>
      <c r="K7431" s="2" t="s">
        <v>10229</v>
      </c>
    </row>
    <row r="7432" ht="15.75" customHeight="1">
      <c r="A7432" s="2">
        <v>59582.0</v>
      </c>
      <c r="B7432" s="2" t="s">
        <v>13954</v>
      </c>
      <c r="C7432" s="2" t="s">
        <v>13955</v>
      </c>
      <c r="D7432" s="2" t="s">
        <v>13956</v>
      </c>
      <c r="E7432" s="2" t="s">
        <v>255</v>
      </c>
      <c r="F7432" s="2" t="s">
        <v>13</v>
      </c>
      <c r="G7432" s="2">
        <v>274.0</v>
      </c>
      <c r="H7432" s="3" t="str">
        <f>HYPERLINK("http://www.linkedin.com/pub/daniella-quintero/6/463/764","http://www.linkedin.com/pub/daniella-quintero/6/463/764")</f>
        <v>http://www.linkedin.com/pub/daniella-quintero/6/463/764</v>
      </c>
      <c r="I7432" s="2" t="s">
        <v>279</v>
      </c>
      <c r="J7432" s="2" t="s">
        <v>102</v>
      </c>
      <c r="K7432" s="2" t="s">
        <v>10187</v>
      </c>
    </row>
    <row r="7433" ht="15.75" customHeight="1">
      <c r="A7433" s="2">
        <v>59630.0</v>
      </c>
      <c r="B7433" s="2" t="s">
        <v>5723</v>
      </c>
      <c r="C7433" s="2" t="s">
        <v>13957</v>
      </c>
      <c r="D7433" s="2" t="s">
        <v>13</v>
      </c>
      <c r="E7433" s="2" t="s">
        <v>20</v>
      </c>
      <c r="F7433" s="2">
        <v>0.0</v>
      </c>
      <c r="G7433" s="2">
        <v>500.0</v>
      </c>
      <c r="H7433" s="3" t="str">
        <f>HYPERLINK("http://www.linkedin.com/pub/pablo-patroncini/a/398/657","http://www.linkedin.com/pub/pablo-patroncini/a/398/657")</f>
        <v>http://www.linkedin.com/pub/pablo-patroncini/a/398/657</v>
      </c>
      <c r="I7433" s="2" t="s">
        <v>15</v>
      </c>
      <c r="J7433" s="2" t="s">
        <v>21</v>
      </c>
      <c r="K7433" s="2" t="s">
        <v>10196</v>
      </c>
    </row>
    <row r="7434" ht="15.75" customHeight="1">
      <c r="A7434" s="2">
        <v>59643.0</v>
      </c>
      <c r="B7434" s="2" t="s">
        <v>13958</v>
      </c>
      <c r="C7434" s="2" t="s">
        <v>3943</v>
      </c>
      <c r="D7434" s="2" t="s">
        <v>13</v>
      </c>
      <c r="E7434" s="2" t="s">
        <v>20</v>
      </c>
      <c r="F7434" s="2">
        <v>0.0</v>
      </c>
      <c r="G7434" s="2">
        <v>371.0</v>
      </c>
      <c r="H7434" s="3" t="str">
        <f>HYPERLINK("http://www.linkedin.com/pub/maria-belen-rodriguez/28/a28/685?trk=pub-pbmap","http://www.linkedin.com/pub/maria-belen-rodriguez/28/a28/685?trk=pub-pbmap")</f>
        <v>http://www.linkedin.com/pub/maria-belen-rodriguez/28/a28/685?trk=pub-pbmap</v>
      </c>
      <c r="I7434" s="2" t="s">
        <v>15</v>
      </c>
      <c r="J7434" s="2" t="s">
        <v>21</v>
      </c>
      <c r="K7434" s="2" t="s">
        <v>10173</v>
      </c>
    </row>
    <row r="7435" ht="15.75" customHeight="1">
      <c r="A7435" s="2">
        <v>59647.0</v>
      </c>
      <c r="B7435" s="2" t="s">
        <v>238</v>
      </c>
      <c r="C7435" s="2" t="s">
        <v>13959</v>
      </c>
      <c r="D7435" s="2" t="s">
        <v>13960</v>
      </c>
      <c r="E7435" s="2" t="s">
        <v>1190</v>
      </c>
      <c r="F7435" s="2">
        <v>3.0</v>
      </c>
      <c r="G7435" s="2">
        <v>500.0</v>
      </c>
      <c r="H7435" s="3" t="str">
        <f>HYPERLINK("http://www.linkedin.com/pub/juan-muzzio/0/1A9/269","http://www.linkedin.com/pub/juan-muzzio/0/1A9/269")</f>
        <v>http://www.linkedin.com/pub/juan-muzzio/0/1A9/269</v>
      </c>
      <c r="I7435" s="2" t="s">
        <v>15</v>
      </c>
      <c r="J7435" s="2" t="s">
        <v>102</v>
      </c>
      <c r="K7435" s="2" t="s">
        <v>10184</v>
      </c>
    </row>
    <row r="7436" ht="15.75" customHeight="1">
      <c r="A7436" s="2">
        <v>59674.0</v>
      </c>
      <c r="B7436" s="2" t="s">
        <v>3072</v>
      </c>
      <c r="C7436" s="2" t="s">
        <v>13961</v>
      </c>
      <c r="D7436" s="2" t="s">
        <v>13962</v>
      </c>
      <c r="E7436" s="2" t="s">
        <v>20</v>
      </c>
      <c r="F7436" s="2">
        <v>2.0</v>
      </c>
      <c r="G7436" s="2">
        <v>175.0</v>
      </c>
      <c r="H7436" s="3" t="str">
        <f>HYPERLINK("http://ar.linkedin.com/pub/luis-garcia-castellanos/23/4B8/698","http://ar.linkedin.com/pub/luis-garcia-castellanos/23/4B8/698")</f>
        <v>http://ar.linkedin.com/pub/luis-garcia-castellanos/23/4B8/698</v>
      </c>
      <c r="I7436" s="2" t="s">
        <v>15</v>
      </c>
      <c r="J7436" s="2" t="s">
        <v>21</v>
      </c>
      <c r="K7436" s="2" t="s">
        <v>10196</v>
      </c>
    </row>
    <row r="7437" ht="15.75" customHeight="1">
      <c r="A7437" s="2">
        <v>59685.0</v>
      </c>
      <c r="B7437" s="2" t="s">
        <v>59</v>
      </c>
      <c r="C7437" s="2" t="s">
        <v>4350</v>
      </c>
      <c r="D7437" s="2" t="s">
        <v>13963</v>
      </c>
      <c r="E7437" s="2" t="s">
        <v>20</v>
      </c>
      <c r="F7437" s="2">
        <v>4.0</v>
      </c>
      <c r="G7437" s="2">
        <v>353.0</v>
      </c>
      <c r="H7437" s="3" t="str">
        <f>HYPERLINK("http://ar.linkedin.com/in/martinibrahim","http://ar.linkedin.com/in/martinibrahim")</f>
        <v>http://ar.linkedin.com/in/martinibrahim</v>
      </c>
      <c r="I7437" s="2" t="s">
        <v>15</v>
      </c>
      <c r="J7437" s="2" t="s">
        <v>21</v>
      </c>
      <c r="K7437" s="2" t="s">
        <v>10196</v>
      </c>
    </row>
    <row r="7438" ht="15.75" customHeight="1">
      <c r="A7438" s="2">
        <v>59718.0</v>
      </c>
      <c r="B7438" s="2" t="s">
        <v>13964</v>
      </c>
      <c r="C7438" s="2" t="s">
        <v>13965</v>
      </c>
      <c r="D7438" s="2" t="s">
        <v>13</v>
      </c>
      <c r="E7438" s="2" t="s">
        <v>7035</v>
      </c>
      <c r="F7438" s="2">
        <v>0.0</v>
      </c>
      <c r="G7438" s="2">
        <v>500.0</v>
      </c>
      <c r="H7438" s="3" t="str">
        <f>HYPERLINK("http://www.linkedin.com/pub/tommy-campbell-supervielle/9/a53/83","http://www.linkedin.com/pub/tommy-campbell-supervielle/9/a53/83")</f>
        <v>http://www.linkedin.com/pub/tommy-campbell-supervielle/9/a53/83</v>
      </c>
      <c r="I7438" s="2" t="s">
        <v>1679</v>
      </c>
      <c r="J7438" s="2" t="s">
        <v>102</v>
      </c>
      <c r="K7438" s="2" t="s">
        <v>10206</v>
      </c>
    </row>
    <row r="7439" ht="15.75" customHeight="1">
      <c r="A7439" s="2">
        <v>59755.0</v>
      </c>
      <c r="B7439" s="2" t="s">
        <v>5803</v>
      </c>
      <c r="C7439" s="2" t="s">
        <v>13966</v>
      </c>
      <c r="D7439" s="2" t="s">
        <v>13</v>
      </c>
      <c r="E7439" s="2" t="s">
        <v>20</v>
      </c>
      <c r="F7439" s="2">
        <v>0.0</v>
      </c>
      <c r="G7439" s="2">
        <v>500.0</v>
      </c>
      <c r="H7439" s="3" t="str">
        <f>HYPERLINK("http://www.linkedin.com/in/mariano","http://www.linkedin.com/in/mariano")</f>
        <v>http://www.linkedin.com/in/mariano</v>
      </c>
      <c r="I7439" s="2" t="s">
        <v>709</v>
      </c>
      <c r="J7439" s="2" t="s">
        <v>21</v>
      </c>
      <c r="K7439" s="2" t="s">
        <v>13967</v>
      </c>
    </row>
    <row r="7440" ht="15.75" customHeight="1">
      <c r="A7440" s="2">
        <v>59763.0</v>
      </c>
      <c r="B7440" s="2" t="s">
        <v>9706</v>
      </c>
      <c r="C7440" s="2" t="s">
        <v>9015</v>
      </c>
      <c r="D7440" s="2" t="s">
        <v>13</v>
      </c>
      <c r="E7440" s="2" t="s">
        <v>20</v>
      </c>
      <c r="F7440" s="2">
        <v>0.0</v>
      </c>
      <c r="G7440" s="2">
        <v>500.0</v>
      </c>
      <c r="H7440" s="3" t="str">
        <f>HYPERLINK("http://ar.linkedin.com/in/fabianmonzon","http://ar.linkedin.com/in/fabianmonzon")</f>
        <v>http://ar.linkedin.com/in/fabianmonzon</v>
      </c>
      <c r="I7440" s="2" t="s">
        <v>15</v>
      </c>
      <c r="J7440" s="2" t="s">
        <v>21</v>
      </c>
      <c r="K7440" s="2" t="s">
        <v>10196</v>
      </c>
    </row>
    <row r="7441" ht="15.75" customHeight="1">
      <c r="A7441" s="2">
        <v>59764.0</v>
      </c>
      <c r="B7441" s="2" t="s">
        <v>1499</v>
      </c>
      <c r="C7441" s="2" t="s">
        <v>13968</v>
      </c>
      <c r="D7441" s="2" t="s">
        <v>10222</v>
      </c>
      <c r="E7441" s="2" t="s">
        <v>20</v>
      </c>
      <c r="F7441" s="2" t="s">
        <v>13</v>
      </c>
      <c r="G7441" s="2">
        <v>480.0</v>
      </c>
      <c r="H7441" s="3" t="str">
        <f>HYPERLINK("http://www.linkedin.com/pub/adrian-lisenberg/2/627/328","http://www.linkedin.com/pub/adrian-lisenberg/2/627/328")</f>
        <v>http://www.linkedin.com/pub/adrian-lisenberg/2/627/328</v>
      </c>
      <c r="I7441" s="2" t="s">
        <v>15</v>
      </c>
      <c r="J7441" s="2" t="s">
        <v>21</v>
      </c>
      <c r="K7441" s="2" t="s">
        <v>10206</v>
      </c>
    </row>
    <row r="7442" ht="15.75" customHeight="1">
      <c r="A7442" s="2">
        <v>59909.0</v>
      </c>
      <c r="B7442" s="2" t="s">
        <v>5723</v>
      </c>
      <c r="C7442" s="2" t="s">
        <v>666</v>
      </c>
      <c r="D7442" s="2" t="s">
        <v>289</v>
      </c>
      <c r="E7442" s="2" t="s">
        <v>20</v>
      </c>
      <c r="F7442" s="2" t="s">
        <v>13</v>
      </c>
      <c r="G7442" s="2">
        <v>461.0</v>
      </c>
      <c r="H7442" s="3" t="str">
        <f>HYPERLINK("http://ar.linkedin.com/pub/pablo-ferreira/8/796/645","http://ar.linkedin.com/pub/pablo-ferreira/8/796/645")</f>
        <v>http://ar.linkedin.com/pub/pablo-ferreira/8/796/645</v>
      </c>
      <c r="I7442" s="2" t="s">
        <v>279</v>
      </c>
      <c r="J7442" s="2" t="s">
        <v>21</v>
      </c>
      <c r="K7442" s="2" t="s">
        <v>10229</v>
      </c>
    </row>
    <row r="7443" ht="15.75" customHeight="1">
      <c r="A7443" s="2">
        <v>59947.0</v>
      </c>
      <c r="B7443" s="2" t="s">
        <v>6793</v>
      </c>
      <c r="C7443" s="2" t="s">
        <v>8748</v>
      </c>
      <c r="D7443" s="2" t="s">
        <v>517</v>
      </c>
      <c r="E7443" s="2" t="s">
        <v>20</v>
      </c>
      <c r="F7443" s="2" t="s">
        <v>13</v>
      </c>
      <c r="G7443" s="2">
        <v>305.0</v>
      </c>
      <c r="H7443" s="3" t="str">
        <f>HYPERLINK("http://ar.linkedin.com/pub/augusto-remondino/17/702/49","http://ar.linkedin.com/pub/augusto-remondino/17/702/49")</f>
        <v>http://ar.linkedin.com/pub/augusto-remondino/17/702/49</v>
      </c>
      <c r="I7443" s="2" t="s">
        <v>326</v>
      </c>
      <c r="J7443" s="2" t="s">
        <v>21</v>
      </c>
      <c r="K7443" s="2" t="s">
        <v>10229</v>
      </c>
    </row>
    <row r="7444" ht="15.75" customHeight="1">
      <c r="A7444" s="2">
        <v>59999.0</v>
      </c>
      <c r="B7444" s="2" t="s">
        <v>5824</v>
      </c>
      <c r="C7444" s="2" t="s">
        <v>3392</v>
      </c>
      <c r="D7444" s="2" t="s">
        <v>13969</v>
      </c>
      <c r="E7444" s="2" t="s">
        <v>1190</v>
      </c>
      <c r="F7444" s="2">
        <v>0.0</v>
      </c>
      <c r="G7444" s="2">
        <v>414.0</v>
      </c>
      <c r="H7444" s="3" t="str">
        <f>HYPERLINK("http://www.linkedin.com/pub/alejandra-lopez/12/9AB/514","http://www.linkedin.com/pub/alejandra-lopez/12/9AB/514")</f>
        <v>http://www.linkedin.com/pub/alejandra-lopez/12/9AB/514</v>
      </c>
      <c r="I7444" s="2" t="s">
        <v>1421</v>
      </c>
      <c r="J7444" s="2" t="s">
        <v>102</v>
      </c>
      <c r="K7444" s="2" t="s">
        <v>10209</v>
      </c>
    </row>
    <row r="7445" ht="15.75" customHeight="1">
      <c r="A7445" s="2">
        <v>60019.0</v>
      </c>
      <c r="B7445" s="2" t="s">
        <v>13970</v>
      </c>
      <c r="C7445" s="2" t="s">
        <v>3714</v>
      </c>
      <c r="D7445" s="2" t="s">
        <v>13</v>
      </c>
      <c r="E7445" s="2" t="s">
        <v>20</v>
      </c>
      <c r="F7445" s="2">
        <v>0.0</v>
      </c>
      <c r="G7445" s="2">
        <v>500.0</v>
      </c>
      <c r="H7445" s="3" t="str">
        <f>HYPERLINK("http://www.linkedin.com/pub/jonathan-ezequiel-diaz/20/761/292","http://www.linkedin.com/pub/jonathan-ezequiel-diaz/20/761/292")</f>
        <v>http://www.linkedin.com/pub/jonathan-ezequiel-diaz/20/761/292</v>
      </c>
      <c r="I7445" s="2" t="s">
        <v>105</v>
      </c>
      <c r="J7445" s="2" t="s">
        <v>21</v>
      </c>
      <c r="K7445" s="2" t="s">
        <v>10206</v>
      </c>
    </row>
    <row r="7446" ht="15.75" customHeight="1">
      <c r="A7446" s="2">
        <v>60053.0</v>
      </c>
      <c r="B7446" s="2" t="s">
        <v>6339</v>
      </c>
      <c r="C7446" s="2" t="s">
        <v>13971</v>
      </c>
      <c r="D7446" s="2" t="s">
        <v>347</v>
      </c>
      <c r="E7446" s="2" t="s">
        <v>325</v>
      </c>
      <c r="F7446" s="2">
        <v>1.0</v>
      </c>
      <c r="G7446" s="2">
        <v>56.0</v>
      </c>
      <c r="H7446" s="3" t="str">
        <f>HYPERLINK("http://www.linkedin.com/pub/esteban-denovi/1A/493/838","http://www.linkedin.com/pub/esteban-denovi/1A/493/838")</f>
        <v>http://www.linkedin.com/pub/esteban-denovi/1A/493/838</v>
      </c>
      <c r="I7446" s="2" t="s">
        <v>77</v>
      </c>
      <c r="J7446" s="2" t="s">
        <v>102</v>
      </c>
      <c r="K7446" s="2" t="s">
        <v>10988</v>
      </c>
    </row>
    <row r="7447" ht="15.75" customHeight="1">
      <c r="A7447" s="2">
        <v>60093.0</v>
      </c>
      <c r="B7447" s="2" t="s">
        <v>6474</v>
      </c>
      <c r="C7447" s="2" t="s">
        <v>3581</v>
      </c>
      <c r="D7447" s="2" t="s">
        <v>8326</v>
      </c>
      <c r="E7447" s="2" t="s">
        <v>20</v>
      </c>
      <c r="F7447" s="2" t="s">
        <v>13</v>
      </c>
      <c r="G7447" s="2">
        <v>500.0</v>
      </c>
      <c r="H7447" s="3" t="str">
        <f>HYPERLINK("http://ar.linkedin.com/pub/liliana-gentile/19/0/615","http://ar.linkedin.com/pub/liliana-gentile/19/0/615")</f>
        <v>http://ar.linkedin.com/pub/liliana-gentile/19/0/615</v>
      </c>
      <c r="I7447" s="2" t="s">
        <v>458</v>
      </c>
      <c r="J7447" s="2" t="s">
        <v>21</v>
      </c>
      <c r="K7447" s="2" t="s">
        <v>10229</v>
      </c>
    </row>
    <row r="7448" ht="15.75" customHeight="1">
      <c r="A7448" s="2">
        <v>60097.0</v>
      </c>
      <c r="B7448" s="2" t="s">
        <v>13972</v>
      </c>
      <c r="C7448" s="2" t="s">
        <v>13973</v>
      </c>
      <c r="D7448" s="2" t="s">
        <v>13974</v>
      </c>
      <c r="E7448" s="2" t="s">
        <v>20</v>
      </c>
      <c r="F7448" s="2">
        <v>18.0</v>
      </c>
      <c r="G7448" s="2">
        <v>500.0</v>
      </c>
      <c r="H7448" s="3" t="str">
        <f>HYPERLINK("http://ar.linkedin.com/in/angelessimal","http://ar.linkedin.com/in/angelessimal")</f>
        <v>http://ar.linkedin.com/in/angelessimal</v>
      </c>
      <c r="I7448" s="2" t="s">
        <v>15</v>
      </c>
      <c r="J7448" s="2" t="s">
        <v>21</v>
      </c>
      <c r="K7448" s="2" t="s">
        <v>10196</v>
      </c>
    </row>
    <row r="7449" ht="15.75" customHeight="1">
      <c r="A7449" s="2">
        <v>60121.0</v>
      </c>
      <c r="B7449" s="2" t="s">
        <v>13975</v>
      </c>
      <c r="C7449" s="2" t="s">
        <v>13976</v>
      </c>
      <c r="D7449" s="2" t="s">
        <v>13</v>
      </c>
      <c r="E7449" s="2" t="s">
        <v>20</v>
      </c>
      <c r="F7449" s="2">
        <v>0.0</v>
      </c>
      <c r="G7449" s="2">
        <v>473.0</v>
      </c>
      <c r="H7449" s="3" t="str">
        <f>HYPERLINK("http://www.linkedin.com/pub/fedra-piloni/8/957/871","http://www.linkedin.com/pub/fedra-piloni/8/957/871")</f>
        <v>http://www.linkedin.com/pub/fedra-piloni/8/957/871</v>
      </c>
      <c r="I7449" s="2" t="s">
        <v>458</v>
      </c>
      <c r="J7449" s="2" t="s">
        <v>21</v>
      </c>
      <c r="K7449" s="2" t="s">
        <v>10847</v>
      </c>
    </row>
    <row r="7450" ht="15.75" customHeight="1">
      <c r="A7450" s="2">
        <v>60155.0</v>
      </c>
      <c r="B7450" s="2" t="s">
        <v>5681</v>
      </c>
      <c r="C7450" s="2" t="s">
        <v>13977</v>
      </c>
      <c r="D7450" s="2" t="s">
        <v>13</v>
      </c>
      <c r="E7450" s="2" t="s">
        <v>20</v>
      </c>
      <c r="F7450" s="2">
        <v>0.0</v>
      </c>
      <c r="G7450" s="2">
        <v>58.0</v>
      </c>
      <c r="H7450" s="3" t="str">
        <f>HYPERLINK("http://www.linkedin.com/pub/damian-durigon/7/7aa/312","http://www.linkedin.com/pub/damian-durigon/7/7aa/312")</f>
        <v>http://www.linkedin.com/pub/damian-durigon/7/7aa/312</v>
      </c>
      <c r="I7450" s="2" t="s">
        <v>15</v>
      </c>
      <c r="J7450" s="2" t="s">
        <v>21</v>
      </c>
      <c r="K7450" s="2" t="s">
        <v>10343</v>
      </c>
    </row>
    <row r="7451" ht="15.75" customHeight="1">
      <c r="A7451" s="2">
        <v>60167.0</v>
      </c>
      <c r="B7451" s="2" t="s">
        <v>13978</v>
      </c>
      <c r="C7451" s="2" t="s">
        <v>13979</v>
      </c>
      <c r="D7451" s="2" t="s">
        <v>13980</v>
      </c>
      <c r="E7451" s="2" t="s">
        <v>20</v>
      </c>
      <c r="F7451" s="2">
        <v>3.0</v>
      </c>
      <c r="G7451" s="2">
        <v>211.0</v>
      </c>
      <c r="H7451" s="3" t="str">
        <f>HYPERLINK("http://ar.linkedin.com/pub/damian-gaston-courteaux/16/64/136","http://ar.linkedin.com/pub/damian-gaston-courteaux/16/64/136")</f>
        <v>http://ar.linkedin.com/pub/damian-gaston-courteaux/16/64/136</v>
      </c>
      <c r="I7451" s="2" t="s">
        <v>15</v>
      </c>
      <c r="J7451" s="2" t="s">
        <v>21</v>
      </c>
      <c r="K7451" s="2" t="s">
        <v>10196</v>
      </c>
    </row>
    <row r="7452" ht="15.75" customHeight="1">
      <c r="A7452" s="2">
        <v>60190.0</v>
      </c>
      <c r="B7452" s="2" t="s">
        <v>2547</v>
      </c>
      <c r="C7452" s="2" t="s">
        <v>13981</v>
      </c>
      <c r="D7452" s="2" t="s">
        <v>13982</v>
      </c>
      <c r="E7452" s="2" t="s">
        <v>20</v>
      </c>
      <c r="F7452" s="2">
        <v>2.0</v>
      </c>
      <c r="G7452" s="2">
        <v>392.0</v>
      </c>
      <c r="H7452" s="3" t="str">
        <f>HYPERLINK("http://ar.linkedin.com/in/francofiorini","http://ar.linkedin.com/in/francofiorini")</f>
        <v>http://ar.linkedin.com/in/francofiorini</v>
      </c>
      <c r="I7452" s="2" t="s">
        <v>15</v>
      </c>
      <c r="J7452" s="2" t="s">
        <v>21</v>
      </c>
      <c r="K7452" s="2" t="s">
        <v>10180</v>
      </c>
    </row>
    <row r="7453" ht="15.75" customHeight="1">
      <c r="A7453" s="2">
        <v>60202.0</v>
      </c>
      <c r="B7453" s="2" t="s">
        <v>13983</v>
      </c>
      <c r="C7453" s="2" t="s">
        <v>13984</v>
      </c>
      <c r="D7453" s="2" t="s">
        <v>13985</v>
      </c>
      <c r="E7453" s="2" t="s">
        <v>1190</v>
      </c>
      <c r="F7453" s="2" t="s">
        <v>13</v>
      </c>
      <c r="G7453" s="2">
        <v>500.0</v>
      </c>
      <c r="H7453" s="3" t="str">
        <f>HYPERLINK("http://www.linkedin.com/in/robertgbarani","http://www.linkedin.com/in/robertgbarani")</f>
        <v>http://www.linkedin.com/in/robertgbarani</v>
      </c>
      <c r="I7453" s="2" t="s">
        <v>1931</v>
      </c>
      <c r="J7453" s="2" t="s">
        <v>102</v>
      </c>
      <c r="K7453" s="2" t="s">
        <v>10209</v>
      </c>
    </row>
    <row r="7454" ht="15.75" customHeight="1">
      <c r="A7454" s="2">
        <v>60207.0</v>
      </c>
      <c r="B7454" s="2" t="s">
        <v>13986</v>
      </c>
      <c r="C7454" s="2" t="s">
        <v>13987</v>
      </c>
      <c r="D7454" s="2" t="s">
        <v>13988</v>
      </c>
      <c r="E7454" s="2" t="s">
        <v>628</v>
      </c>
      <c r="F7454" s="2">
        <v>2.0</v>
      </c>
      <c r="G7454" s="2">
        <v>500.0</v>
      </c>
      <c r="H7454" s="3" t="str">
        <f>HYPERLINK("http://www.linkedin.com/pub/j-c-gonzalez-mendez/5/57A/410","http://www.linkedin.com/pub/j-c-gonzalez-mendez/5/57A/410")</f>
        <v>http://www.linkedin.com/pub/j-c-gonzalez-mendez/5/57A/410</v>
      </c>
      <c r="I7454" s="2" t="s">
        <v>4394</v>
      </c>
      <c r="J7454" s="2" t="s">
        <v>102</v>
      </c>
      <c r="K7454" s="2" t="s">
        <v>12263</v>
      </c>
    </row>
    <row r="7455" ht="15.75" customHeight="1">
      <c r="A7455" s="2">
        <v>60214.0</v>
      </c>
      <c r="B7455" s="2" t="s">
        <v>389</v>
      </c>
      <c r="C7455" s="2" t="s">
        <v>13989</v>
      </c>
      <c r="D7455" s="2" t="s">
        <v>13990</v>
      </c>
      <c r="E7455" s="2" t="s">
        <v>628</v>
      </c>
      <c r="F7455" s="2">
        <v>4.0</v>
      </c>
      <c r="G7455" s="2">
        <v>500.0</v>
      </c>
      <c r="H7455" s="3" t="str">
        <f>HYPERLINK("http://www.linkedin.com/in/josearmario","http://www.linkedin.com/in/josearmario")</f>
        <v>http://www.linkedin.com/in/josearmario</v>
      </c>
      <c r="I7455" s="2" t="s">
        <v>4394</v>
      </c>
      <c r="J7455" s="2" t="s">
        <v>102</v>
      </c>
      <c r="K7455" s="2" t="s">
        <v>12416</v>
      </c>
    </row>
    <row r="7456" ht="15.75" customHeight="1">
      <c r="A7456" s="2">
        <v>60216.0</v>
      </c>
      <c r="B7456" s="2" t="s">
        <v>362</v>
      </c>
      <c r="C7456" s="2" t="s">
        <v>10990</v>
      </c>
      <c r="D7456" s="2" t="s">
        <v>13991</v>
      </c>
      <c r="E7456" s="2" t="s">
        <v>20</v>
      </c>
      <c r="F7456" s="2">
        <v>3.0</v>
      </c>
      <c r="G7456" s="2">
        <v>32.0</v>
      </c>
      <c r="H7456" s="3" t="str">
        <f>HYPERLINK("http://ar.linkedin.com/pub/javier-ivaldi/B/348/B2A","http://ar.linkedin.com/pub/javier-ivaldi/B/348/B2A")</f>
        <v>http://ar.linkedin.com/pub/javier-ivaldi/B/348/B2A</v>
      </c>
      <c r="I7456" s="2" t="s">
        <v>15</v>
      </c>
      <c r="J7456" s="2" t="s">
        <v>21</v>
      </c>
      <c r="K7456" s="2" t="s">
        <v>10196</v>
      </c>
    </row>
    <row r="7457" ht="15.75" customHeight="1">
      <c r="A7457" s="2">
        <v>60224.0</v>
      </c>
      <c r="B7457" s="2" t="s">
        <v>7694</v>
      </c>
      <c r="C7457" s="2" t="s">
        <v>13992</v>
      </c>
      <c r="D7457" s="2" t="s">
        <v>1196</v>
      </c>
      <c r="E7457" s="2" t="s">
        <v>20</v>
      </c>
      <c r="F7457" s="2" t="s">
        <v>13</v>
      </c>
      <c r="G7457" s="2">
        <v>103.0</v>
      </c>
      <c r="H7457" s="3" t="str">
        <f>HYPERLINK("http://ar.linkedin.com/in/rosariotienda","http://ar.linkedin.com/in/rosariotienda")</f>
        <v>http://ar.linkedin.com/in/rosariotienda</v>
      </c>
      <c r="I7457" s="2" t="s">
        <v>69</v>
      </c>
      <c r="J7457" s="2" t="s">
        <v>21</v>
      </c>
      <c r="K7457" s="2" t="s">
        <v>10173</v>
      </c>
    </row>
    <row r="7458" ht="15.75" customHeight="1">
      <c r="A7458" s="2">
        <v>60233.0</v>
      </c>
      <c r="B7458" s="2" t="s">
        <v>5078</v>
      </c>
      <c r="C7458" s="2" t="s">
        <v>13993</v>
      </c>
      <c r="D7458" s="2" t="s">
        <v>13994</v>
      </c>
      <c r="E7458" s="2" t="s">
        <v>20</v>
      </c>
      <c r="F7458" s="2">
        <v>3.0</v>
      </c>
      <c r="G7458" s="2">
        <v>164.0</v>
      </c>
      <c r="H7458" s="3" t="str">
        <f>HYPERLINK("http://ar.linkedin.com/in/diegofumero","http://ar.linkedin.com/in/diegofumero")</f>
        <v>http://ar.linkedin.com/in/diegofumero</v>
      </c>
      <c r="I7458" s="2" t="s">
        <v>15</v>
      </c>
      <c r="J7458" s="2" t="s">
        <v>21</v>
      </c>
      <c r="K7458" s="2" t="s">
        <v>10196</v>
      </c>
    </row>
    <row r="7459" ht="15.75" customHeight="1">
      <c r="A7459" s="2">
        <v>60241.0</v>
      </c>
      <c r="B7459" s="2" t="s">
        <v>549</v>
      </c>
      <c r="C7459" s="2" t="s">
        <v>13995</v>
      </c>
      <c r="D7459" s="2" t="s">
        <v>347</v>
      </c>
      <c r="E7459" s="2" t="s">
        <v>20</v>
      </c>
      <c r="F7459" s="2" t="s">
        <v>13</v>
      </c>
      <c r="G7459" s="2">
        <v>42.0</v>
      </c>
      <c r="H7459" s="3" t="str">
        <f>HYPERLINK("http://ar.linkedin.com/pub/mario-salv-/28/1AA/50A","http://ar.linkedin.com/pub/mario-salv-/28/1AA/50A")</f>
        <v>http://ar.linkedin.com/pub/mario-salv-/28/1AA/50A</v>
      </c>
      <c r="I7459" s="2" t="s">
        <v>15</v>
      </c>
      <c r="J7459" s="2" t="s">
        <v>21</v>
      </c>
      <c r="K7459" s="2" t="s">
        <v>10180</v>
      </c>
    </row>
    <row r="7460" ht="15.75" customHeight="1">
      <c r="A7460" s="2">
        <v>60266.0</v>
      </c>
      <c r="B7460" s="2" t="s">
        <v>45</v>
      </c>
      <c r="C7460" s="2" t="s">
        <v>13996</v>
      </c>
      <c r="D7460" s="2" t="s">
        <v>13</v>
      </c>
      <c r="E7460" s="2" t="s">
        <v>20</v>
      </c>
      <c r="F7460" s="2">
        <v>3.0</v>
      </c>
      <c r="G7460" s="2">
        <v>500.0</v>
      </c>
      <c r="H7460" s="3" t="str">
        <f>HYPERLINK("http://www.linkedin.com/pub/carlos-asparch/a/588/215","http://www.linkedin.com/pub/carlos-asparch/a/588/215")</f>
        <v>http://www.linkedin.com/pub/carlos-asparch/a/588/215</v>
      </c>
      <c r="I7460" s="2" t="s">
        <v>15</v>
      </c>
      <c r="J7460" s="2" t="s">
        <v>21</v>
      </c>
      <c r="K7460" s="2" t="s">
        <v>10196</v>
      </c>
    </row>
    <row r="7461" ht="15.75" customHeight="1">
      <c r="A7461" s="2">
        <v>60276.0</v>
      </c>
      <c r="B7461" s="2" t="s">
        <v>253</v>
      </c>
      <c r="C7461" s="2" t="s">
        <v>5804</v>
      </c>
      <c r="D7461" s="2" t="s">
        <v>10271</v>
      </c>
      <c r="E7461" s="2" t="s">
        <v>20</v>
      </c>
      <c r="F7461" s="2">
        <v>2.0</v>
      </c>
      <c r="G7461" s="2">
        <v>185.0</v>
      </c>
      <c r="H7461" s="3" t="str">
        <f>HYPERLINK("http://ar.linkedin.com/pub/fernando-sosa/4/906/4B9","http://ar.linkedin.com/pub/fernando-sosa/4/906/4B9")</f>
        <v>http://ar.linkedin.com/pub/fernando-sosa/4/906/4B9</v>
      </c>
      <c r="I7461" s="2" t="s">
        <v>15</v>
      </c>
      <c r="J7461" s="2" t="s">
        <v>21</v>
      </c>
      <c r="K7461" s="2" t="s">
        <v>10196</v>
      </c>
    </row>
    <row r="7462" ht="15.75" customHeight="1">
      <c r="A7462" s="2">
        <v>60317.0</v>
      </c>
      <c r="B7462" s="2" t="s">
        <v>6064</v>
      </c>
      <c r="C7462" s="2" t="s">
        <v>13997</v>
      </c>
      <c r="D7462" s="2" t="s">
        <v>7492</v>
      </c>
      <c r="E7462" s="2" t="s">
        <v>20</v>
      </c>
      <c r="F7462" s="2">
        <v>2.0</v>
      </c>
      <c r="G7462" s="2">
        <v>492.0</v>
      </c>
      <c r="H7462" s="3" t="str">
        <f>HYPERLINK("http://ar.linkedin.com/pub/romina-espinola/9/B25/748","http://ar.linkedin.com/pub/romina-espinola/9/B25/748")</f>
        <v>http://ar.linkedin.com/pub/romina-espinola/9/B25/748</v>
      </c>
      <c r="I7462" s="2" t="s">
        <v>69</v>
      </c>
      <c r="J7462" s="2" t="s">
        <v>21</v>
      </c>
      <c r="K7462" s="2" t="s">
        <v>10196</v>
      </c>
    </row>
    <row r="7463" ht="15.75" customHeight="1">
      <c r="A7463" s="2">
        <v>60332.0</v>
      </c>
      <c r="B7463" s="2" t="s">
        <v>13998</v>
      </c>
      <c r="C7463" s="2" t="s">
        <v>13999</v>
      </c>
      <c r="D7463" s="2" t="s">
        <v>3820</v>
      </c>
      <c r="E7463" s="2" t="s">
        <v>728</v>
      </c>
      <c r="F7463" s="2">
        <v>5.0</v>
      </c>
      <c r="G7463" s="2">
        <v>500.0</v>
      </c>
      <c r="H7463" s="3" t="str">
        <f>HYPERLINK("http://www.linkedin.com/in/hubertsmits","http://www.linkedin.com/in/hubertsmits")</f>
        <v>http://www.linkedin.com/in/hubertsmits</v>
      </c>
      <c r="I7463" s="2" t="s">
        <v>15</v>
      </c>
      <c r="J7463" s="2" t="s">
        <v>102</v>
      </c>
      <c r="K7463" s="2" t="s">
        <v>10727</v>
      </c>
    </row>
    <row r="7464" ht="15.75" customHeight="1">
      <c r="A7464" s="2">
        <v>60356.0</v>
      </c>
      <c r="B7464" s="2" t="s">
        <v>3667</v>
      </c>
      <c r="C7464" s="2" t="s">
        <v>1181</v>
      </c>
      <c r="D7464" s="2"/>
      <c r="E7464" s="2" t="s">
        <v>235</v>
      </c>
      <c r="F7464" s="2">
        <v>3.0</v>
      </c>
      <c r="G7464" s="2">
        <v>500.0</v>
      </c>
      <c r="H7464" s="3" t="str">
        <f>HYPERLINK("http://www.linkedin.com/pub/anil-jain/1/B7/199","http://www.linkedin.com/pub/anil-jain/1/B7/199")</f>
        <v>http://www.linkedin.com/pub/anil-jain/1/B7/199</v>
      </c>
      <c r="I7464" s="2" t="s">
        <v>77</v>
      </c>
      <c r="J7464" s="2" t="s">
        <v>102</v>
      </c>
      <c r="K7464" s="2" t="s">
        <v>10209</v>
      </c>
    </row>
    <row r="7465" ht="15.75" customHeight="1">
      <c r="A7465" s="2">
        <v>60367.0</v>
      </c>
      <c r="B7465" s="2" t="s">
        <v>14000</v>
      </c>
      <c r="C7465" s="2" t="s">
        <v>11680</v>
      </c>
      <c r="D7465" s="2"/>
      <c r="E7465" s="2" t="s">
        <v>1190</v>
      </c>
      <c r="F7465" s="2">
        <v>1.0</v>
      </c>
      <c r="G7465" s="2">
        <v>233.0</v>
      </c>
      <c r="H7465" s="3" t="str">
        <f>HYPERLINK("http://www.linkedin.com/pub/korchaguin-jimenez/1/A50/1A6","http://www.linkedin.com/pub/korchaguin-jimenez/1/A50/1A6")</f>
        <v>http://www.linkedin.com/pub/korchaguin-jimenez/1/A50/1A6</v>
      </c>
      <c r="I7465" s="2" t="s">
        <v>77</v>
      </c>
      <c r="J7465" s="2" t="s">
        <v>102</v>
      </c>
      <c r="K7465" s="2" t="s">
        <v>10229</v>
      </c>
    </row>
    <row r="7466" ht="15.75" customHeight="1">
      <c r="A7466" s="2">
        <v>60372.0</v>
      </c>
      <c r="B7466" s="2" t="s">
        <v>6372</v>
      </c>
      <c r="C7466" s="2" t="s">
        <v>14001</v>
      </c>
      <c r="D7466" s="2" t="s">
        <v>14002</v>
      </c>
      <c r="E7466" s="2" t="s">
        <v>235</v>
      </c>
      <c r="F7466" s="2">
        <v>9.0</v>
      </c>
      <c r="G7466" s="2">
        <v>500.0</v>
      </c>
      <c r="H7466" s="3" t="str">
        <f>HYPERLINK("http://www.linkedin.com/pub/annette-kreisl-mcgough/1/630/975","http://www.linkedin.com/pub/annette-kreisl-mcgough/1/630/975")</f>
        <v>http://www.linkedin.com/pub/annette-kreisl-mcgough/1/630/975</v>
      </c>
      <c r="I7466" s="2" t="s">
        <v>248</v>
      </c>
      <c r="J7466" s="2" t="s">
        <v>102</v>
      </c>
      <c r="K7466" s="2" t="s">
        <v>10187</v>
      </c>
    </row>
    <row r="7467" ht="15.75" customHeight="1">
      <c r="A7467" s="2">
        <v>60373.0</v>
      </c>
      <c r="B7467" s="2" t="s">
        <v>70</v>
      </c>
      <c r="C7467" s="2" t="s">
        <v>14003</v>
      </c>
      <c r="D7467" s="2" t="s">
        <v>6137</v>
      </c>
      <c r="E7467" s="2" t="s">
        <v>20</v>
      </c>
      <c r="F7467" s="2" t="s">
        <v>13</v>
      </c>
      <c r="G7467" s="2">
        <v>113.0</v>
      </c>
      <c r="H7467" s="3" t="str">
        <f>HYPERLINK("http://ar.linkedin.com/pub/gustavo-garcia-fontan/17/4A0/458","http://ar.linkedin.com/pub/gustavo-garcia-fontan/17/4A0/458")</f>
        <v>http://ar.linkedin.com/pub/gustavo-garcia-fontan/17/4A0/458</v>
      </c>
      <c r="I7467" s="2" t="s">
        <v>2000</v>
      </c>
      <c r="J7467" s="2" t="s">
        <v>21</v>
      </c>
      <c r="K7467" s="2" t="s">
        <v>10206</v>
      </c>
    </row>
    <row r="7468" ht="15.75" customHeight="1">
      <c r="A7468" s="2">
        <v>60379.0</v>
      </c>
      <c r="B7468" s="2" t="s">
        <v>492</v>
      </c>
      <c r="C7468" s="2" t="s">
        <v>14004</v>
      </c>
      <c r="D7468" s="2" t="s">
        <v>14005</v>
      </c>
      <c r="E7468" s="2" t="s">
        <v>101</v>
      </c>
      <c r="F7468" s="2">
        <v>0.0</v>
      </c>
      <c r="G7468" s="2">
        <v>98.0</v>
      </c>
      <c r="H7468" s="3" t="str">
        <f>HYPERLINK("http://www.linkedin.com/pub/sergio-lastra/8/205/9B7","http://www.linkedin.com/pub/sergio-lastra/8/205/9B7")</f>
        <v>http://www.linkedin.com/pub/sergio-lastra/8/205/9B7</v>
      </c>
      <c r="I7468" s="2" t="s">
        <v>306</v>
      </c>
      <c r="J7468" s="2" t="s">
        <v>102</v>
      </c>
      <c r="K7468" s="2" t="s">
        <v>10187</v>
      </c>
    </row>
    <row r="7469" ht="15.75" customHeight="1">
      <c r="A7469" s="2">
        <v>60386.0</v>
      </c>
      <c r="B7469" s="2" t="s">
        <v>14006</v>
      </c>
      <c r="C7469" s="2" t="s">
        <v>14007</v>
      </c>
      <c r="D7469" s="2"/>
      <c r="E7469" s="2" t="s">
        <v>2058</v>
      </c>
      <c r="F7469" s="2">
        <v>0.0</v>
      </c>
      <c r="G7469" s="2">
        <v>171.0</v>
      </c>
      <c r="H7469" s="3" t="str">
        <f>HYPERLINK("http://www.linkedin.com/pub/deby-laufer/0/72/584","http://www.linkedin.com/pub/deby-laufer/0/72/584")</f>
        <v>http://www.linkedin.com/pub/deby-laufer/0/72/584</v>
      </c>
      <c r="I7469" s="2" t="s">
        <v>873</v>
      </c>
      <c r="J7469" s="2" t="s">
        <v>102</v>
      </c>
      <c r="K7469" s="2" t="s">
        <v>10187</v>
      </c>
    </row>
    <row r="7470" ht="15.75" customHeight="1">
      <c r="A7470" s="2">
        <v>60432.0</v>
      </c>
      <c r="B7470" s="2" t="s">
        <v>275</v>
      </c>
      <c r="C7470" s="2" t="s">
        <v>14008</v>
      </c>
      <c r="D7470" s="2"/>
      <c r="E7470" s="2" t="s">
        <v>1745</v>
      </c>
      <c r="F7470" s="2">
        <v>2.0</v>
      </c>
      <c r="G7470" s="2">
        <v>500.0</v>
      </c>
      <c r="H7470" s="3" t="str">
        <f>HYPERLINK("http://www.linkedin.com/pub/mark-o-gara/0/B27/875","http://www.linkedin.com/pub/mark-o-gara/0/B27/875")</f>
        <v>http://www.linkedin.com/pub/mark-o-gara/0/B27/875</v>
      </c>
      <c r="I7470" s="2" t="s">
        <v>15</v>
      </c>
      <c r="J7470" s="2" t="s">
        <v>102</v>
      </c>
      <c r="K7470" s="2" t="s">
        <v>10184</v>
      </c>
    </row>
    <row r="7471" ht="15.75" customHeight="1">
      <c r="A7471" s="2">
        <v>60460.0</v>
      </c>
      <c r="B7471" s="2" t="s">
        <v>14009</v>
      </c>
      <c r="C7471" s="2" t="s">
        <v>14010</v>
      </c>
      <c r="D7471" s="2"/>
      <c r="E7471" s="2" t="s">
        <v>14011</v>
      </c>
      <c r="F7471" s="2">
        <v>6.0</v>
      </c>
      <c r="G7471" s="2">
        <v>500.0</v>
      </c>
      <c r="H7471" s="3" t="str">
        <f>HYPERLINK("http://www.linkedin.com/in/gradybooch","http://www.linkedin.com/in/gradybooch")</f>
        <v>http://www.linkedin.com/in/gradybooch</v>
      </c>
      <c r="I7471" s="2" t="s">
        <v>48</v>
      </c>
      <c r="J7471" s="2" t="s">
        <v>102</v>
      </c>
      <c r="K7471" s="2" t="s">
        <v>10184</v>
      </c>
    </row>
    <row r="7472" ht="15.75" customHeight="1">
      <c r="A7472" s="2">
        <v>60536.0</v>
      </c>
      <c r="B7472" s="2" t="s">
        <v>14012</v>
      </c>
      <c r="C7472" s="2" t="s">
        <v>14013</v>
      </c>
      <c r="D7472" s="2" t="s">
        <v>1706</v>
      </c>
      <c r="E7472" s="2" t="s">
        <v>301</v>
      </c>
      <c r="F7472" s="2">
        <v>8.0</v>
      </c>
      <c r="G7472" s="2">
        <v>500.0</v>
      </c>
      <c r="H7472" s="3" t="str">
        <f>HYPERLINK("http://www.linkedin.com/in/kellymitchellzeller","http://www.linkedin.com/in/kellymitchellzeller")</f>
        <v>http://www.linkedin.com/in/kellymitchellzeller</v>
      </c>
      <c r="I7472" s="2" t="s">
        <v>374</v>
      </c>
      <c r="J7472" s="2" t="s">
        <v>102</v>
      </c>
      <c r="K7472" s="2" t="s">
        <v>10209</v>
      </c>
    </row>
    <row r="7473" ht="15.75" customHeight="1">
      <c r="A7473" s="2">
        <v>60557.0</v>
      </c>
      <c r="B7473" s="2" t="s">
        <v>7096</v>
      </c>
      <c r="C7473" s="2" t="s">
        <v>8247</v>
      </c>
      <c r="D7473" s="2" t="s">
        <v>347</v>
      </c>
      <c r="E7473" s="2" t="s">
        <v>1190</v>
      </c>
      <c r="F7473" s="2" t="s">
        <v>13</v>
      </c>
      <c r="G7473" s="2">
        <v>83.0</v>
      </c>
      <c r="H7473" s="3" t="str">
        <f>HYPERLINK("http://www.linkedin.com/pub/valeria-aguilar/A/644/AA3","http://www.linkedin.com/pub/valeria-aguilar/A/644/AA3")</f>
        <v>http://www.linkedin.com/pub/valeria-aguilar/A/644/AA3</v>
      </c>
      <c r="I7473" s="2" t="s">
        <v>77</v>
      </c>
      <c r="J7473" s="2" t="s">
        <v>102</v>
      </c>
      <c r="K7473" s="2" t="s">
        <v>14014</v>
      </c>
    </row>
    <row r="7474" ht="15.75" customHeight="1">
      <c r="A7474" s="2">
        <v>60595.0</v>
      </c>
      <c r="B7474" s="2" t="s">
        <v>14015</v>
      </c>
      <c r="C7474" s="2" t="s">
        <v>14016</v>
      </c>
      <c r="D7474" s="2"/>
      <c r="E7474" s="2" t="s">
        <v>301</v>
      </c>
      <c r="F7474" s="2">
        <v>0.0</v>
      </c>
      <c r="G7474" s="2">
        <v>462.0</v>
      </c>
      <c r="H7474" s="3" t="str">
        <f>HYPERLINK("http://www.linkedin.com/pub/domingo-asiain/0/605/112","http://www.linkedin.com/pub/domingo-asiain/0/605/112")</f>
        <v>http://www.linkedin.com/pub/domingo-asiain/0/605/112</v>
      </c>
      <c r="I7474" s="2" t="s">
        <v>77</v>
      </c>
      <c r="J7474" s="2" t="s">
        <v>102</v>
      </c>
      <c r="K7474" s="2" t="s">
        <v>10187</v>
      </c>
    </row>
    <row r="7475" ht="15.75" customHeight="1">
      <c r="A7475" s="2">
        <v>60602.0</v>
      </c>
      <c r="B7475" s="2" t="s">
        <v>506</v>
      </c>
      <c r="C7475" s="2" t="s">
        <v>6320</v>
      </c>
      <c r="D7475" s="2" t="s">
        <v>32</v>
      </c>
      <c r="E7475" s="2" t="s">
        <v>1190</v>
      </c>
      <c r="F7475" s="2" t="s">
        <v>13</v>
      </c>
      <c r="G7475" s="2">
        <v>195.0</v>
      </c>
      <c r="H7475" s="3" t="str">
        <f>HYPERLINK("http://www.linkedin.com/pub/jose-avalos/6/22/B6A","http://www.linkedin.com/pub/jose-avalos/6/22/B6A")</f>
        <v>http://www.linkedin.com/pub/jose-avalos/6/22/B6A</v>
      </c>
      <c r="I7475" s="2" t="s">
        <v>77</v>
      </c>
      <c r="J7475" s="2" t="s">
        <v>102</v>
      </c>
      <c r="K7475" s="2" t="s">
        <v>10229</v>
      </c>
    </row>
    <row r="7476" ht="15.75" customHeight="1">
      <c r="A7476" s="2">
        <v>60610.0</v>
      </c>
      <c r="B7476" s="2" t="s">
        <v>501</v>
      </c>
      <c r="C7476" s="2" t="s">
        <v>14017</v>
      </c>
      <c r="D7476" s="2" t="s">
        <v>4639</v>
      </c>
      <c r="E7476" s="2" t="s">
        <v>14018</v>
      </c>
      <c r="F7476" s="2">
        <v>2.0</v>
      </c>
      <c r="G7476" s="2">
        <v>97.0</v>
      </c>
      <c r="H7476" s="3" t="str">
        <f>HYPERLINK("http://www.linkedin.com/pub/francisco-garcia-de-la-barrera/1/517/206","http://www.linkedin.com/pub/francisco-garcia-de-la-barrera/1/517/206")</f>
        <v>http://www.linkedin.com/pub/francisco-garcia-de-la-barrera/1/517/206</v>
      </c>
      <c r="I7476" s="2" t="s">
        <v>48</v>
      </c>
      <c r="J7476" s="2" t="s">
        <v>102</v>
      </c>
      <c r="K7476" s="2" t="s">
        <v>10233</v>
      </c>
    </row>
    <row r="7477" ht="15.75" customHeight="1">
      <c r="A7477" s="2">
        <v>60640.0</v>
      </c>
      <c r="B7477" s="2" t="s">
        <v>5078</v>
      </c>
      <c r="C7477" s="2" t="s">
        <v>14019</v>
      </c>
      <c r="D7477" s="2" t="s">
        <v>289</v>
      </c>
      <c r="E7477" s="2" t="s">
        <v>20</v>
      </c>
      <c r="F7477" s="2" t="s">
        <v>13</v>
      </c>
      <c r="G7477" s="2">
        <v>86.0</v>
      </c>
      <c r="H7477" s="3" t="str">
        <f>HYPERLINK("http://ar.linkedin.com/pub/diego-groba/21/900/442","http://ar.linkedin.com/pub/diego-groba/21/900/442")</f>
        <v>http://ar.linkedin.com/pub/diego-groba/21/900/442</v>
      </c>
      <c r="I7477" s="2" t="s">
        <v>57</v>
      </c>
      <c r="J7477" s="2" t="s">
        <v>21</v>
      </c>
      <c r="K7477" s="2" t="s">
        <v>10184</v>
      </c>
    </row>
    <row r="7478" ht="15.75" customHeight="1">
      <c r="A7478" s="2">
        <v>60644.0</v>
      </c>
      <c r="B7478" s="2" t="s">
        <v>14020</v>
      </c>
      <c r="C7478" s="2" t="s">
        <v>12008</v>
      </c>
      <c r="D7478" s="2" t="s">
        <v>14021</v>
      </c>
      <c r="E7478" s="2" t="s">
        <v>20</v>
      </c>
      <c r="F7478" s="2">
        <v>9.0</v>
      </c>
      <c r="G7478" s="2">
        <v>500.0</v>
      </c>
      <c r="H7478" s="3" t="str">
        <f>HYPERLINK("http://www.linkedin.com/in/alejandrarizzo","http://www.linkedin.com/in/alejandrarizzo")</f>
        <v>http://www.linkedin.com/in/alejandrarizzo</v>
      </c>
      <c r="I7478" s="2" t="s">
        <v>15</v>
      </c>
      <c r="J7478" s="2" t="s">
        <v>21</v>
      </c>
      <c r="K7478" s="2" t="s">
        <v>10206</v>
      </c>
    </row>
    <row r="7479" ht="15.75" customHeight="1">
      <c r="A7479" s="2">
        <v>60658.0</v>
      </c>
      <c r="B7479" s="2" t="s">
        <v>6474</v>
      </c>
      <c r="C7479" s="2" t="s">
        <v>8210</v>
      </c>
      <c r="D7479" s="2" t="s">
        <v>6603</v>
      </c>
      <c r="E7479" s="2" t="s">
        <v>20</v>
      </c>
      <c r="F7479" s="2" t="s">
        <v>13</v>
      </c>
      <c r="G7479" s="2">
        <v>231.0</v>
      </c>
      <c r="H7479" s="3" t="str">
        <f>HYPERLINK("http://ar.linkedin.com/pub/liliana-mart%C3%ADnez/15/248/6B2","http://ar.linkedin.com/pub/liliana-mart%C3%ADnez/15/248/6B2")</f>
        <v>http://ar.linkedin.com/pub/liliana-mart%C3%ADnez/15/248/6B2</v>
      </c>
      <c r="I7479" s="2" t="s">
        <v>458</v>
      </c>
      <c r="J7479" s="2" t="s">
        <v>21</v>
      </c>
      <c r="K7479" s="2" t="s">
        <v>10209</v>
      </c>
    </row>
    <row r="7480" ht="15.75" customHeight="1">
      <c r="A7480" s="2">
        <v>60675.0</v>
      </c>
      <c r="B7480" s="2" t="s">
        <v>14022</v>
      </c>
      <c r="C7480" s="2" t="s">
        <v>1903</v>
      </c>
      <c r="D7480" s="2" t="s">
        <v>13</v>
      </c>
      <c r="E7480" s="2" t="s">
        <v>20</v>
      </c>
      <c r="F7480" s="2">
        <v>0.0</v>
      </c>
      <c r="G7480" s="2">
        <v>500.0</v>
      </c>
      <c r="H7480" s="3" t="str">
        <f>HYPERLINK("http://www.linkedin.com/pub/donato-javier-gil/16/5a4/ab0","http://www.linkedin.com/pub/donato-javier-gil/16/5a4/ab0")</f>
        <v>http://www.linkedin.com/pub/donato-javier-gil/16/5a4/ab0</v>
      </c>
      <c r="I7480" s="2" t="s">
        <v>48</v>
      </c>
      <c r="J7480" s="2" t="s">
        <v>21</v>
      </c>
      <c r="K7480" s="2" t="s">
        <v>10196</v>
      </c>
    </row>
    <row r="7481" ht="15.75" customHeight="1">
      <c r="A7481" s="2">
        <v>60695.0</v>
      </c>
      <c r="B7481" s="2" t="s">
        <v>6025</v>
      </c>
      <c r="C7481" s="2" t="s">
        <v>7921</v>
      </c>
      <c r="D7481" s="2" t="s">
        <v>14023</v>
      </c>
      <c r="E7481" s="2" t="s">
        <v>20</v>
      </c>
      <c r="F7481" s="2">
        <v>4.0</v>
      </c>
      <c r="G7481" s="2">
        <v>393.0</v>
      </c>
      <c r="H7481" s="3" t="str">
        <f>HYPERLINK("http://ar.linkedin.com/in/hernanochoa","http://ar.linkedin.com/in/hernanochoa")</f>
        <v>http://ar.linkedin.com/in/hernanochoa</v>
      </c>
      <c r="I7481" s="2" t="s">
        <v>160</v>
      </c>
      <c r="J7481" s="2" t="s">
        <v>21</v>
      </c>
      <c r="K7481" s="2" t="s">
        <v>14024</v>
      </c>
    </row>
    <row r="7482" ht="15.75" customHeight="1">
      <c r="A7482" s="2">
        <v>60705.0</v>
      </c>
      <c r="B7482" s="2" t="s">
        <v>431</v>
      </c>
      <c r="C7482" s="2" t="s">
        <v>14025</v>
      </c>
      <c r="D7482" s="2" t="s">
        <v>6730</v>
      </c>
      <c r="E7482" s="2" t="s">
        <v>20</v>
      </c>
      <c r="F7482" s="2" t="s">
        <v>13</v>
      </c>
      <c r="G7482" s="2">
        <v>161.0</v>
      </c>
      <c r="H7482" s="3" t="str">
        <f>HYPERLINK("http://ar.linkedin.com/in/rodrigocousillas","http://ar.linkedin.com/in/rodrigocousillas")</f>
        <v>http://ar.linkedin.com/in/rodrigocousillas</v>
      </c>
      <c r="I7482" s="2" t="s">
        <v>105</v>
      </c>
      <c r="J7482" s="2" t="s">
        <v>21</v>
      </c>
      <c r="K7482" s="2" t="s">
        <v>10184</v>
      </c>
    </row>
    <row r="7483" ht="15.75" customHeight="1">
      <c r="A7483" s="2">
        <v>60717.0</v>
      </c>
      <c r="B7483" s="2" t="s">
        <v>3282</v>
      </c>
      <c r="C7483" s="2" t="s">
        <v>14026</v>
      </c>
      <c r="D7483" s="2" t="s">
        <v>14027</v>
      </c>
      <c r="E7483" s="2" t="s">
        <v>1407</v>
      </c>
      <c r="F7483" s="2">
        <v>12.0</v>
      </c>
      <c r="G7483" s="2">
        <v>500.0</v>
      </c>
      <c r="H7483" s="3" t="str">
        <f>HYPERLINK("http://www.linkedin.com/in/aaprofile","http://www.linkedin.com/in/aaprofile")</f>
        <v>http://www.linkedin.com/in/aaprofile</v>
      </c>
      <c r="I7483" s="2" t="s">
        <v>48</v>
      </c>
      <c r="J7483" s="2" t="s">
        <v>102</v>
      </c>
      <c r="K7483" s="2" t="s">
        <v>14028</v>
      </c>
    </row>
    <row r="7484" ht="15.75" customHeight="1">
      <c r="A7484" s="2">
        <v>60732.0</v>
      </c>
      <c r="B7484" s="2" t="s">
        <v>511</v>
      </c>
      <c r="C7484" s="2" t="s">
        <v>14029</v>
      </c>
      <c r="D7484" s="2"/>
      <c r="E7484" s="2" t="s">
        <v>713</v>
      </c>
      <c r="F7484" s="2">
        <v>11.0</v>
      </c>
      <c r="G7484" s="2">
        <v>500.0</v>
      </c>
      <c r="H7484" s="3" t="str">
        <f>HYPERLINK("http://www.linkedin.com/pub/mike-yaffe/0/91A/348","http://www.linkedin.com/pub/mike-yaffe/0/91A/348")</f>
        <v>http://www.linkedin.com/pub/mike-yaffe/0/91A/348</v>
      </c>
      <c r="I7484" s="2" t="s">
        <v>160</v>
      </c>
      <c r="J7484" s="2" t="s">
        <v>102</v>
      </c>
      <c r="K7484" s="2" t="s">
        <v>10209</v>
      </c>
    </row>
    <row r="7485" ht="15.75" customHeight="1">
      <c r="A7485" s="2">
        <v>60799.0</v>
      </c>
      <c r="B7485" s="2" t="s">
        <v>605</v>
      </c>
      <c r="C7485" s="2" t="s">
        <v>6995</v>
      </c>
      <c r="D7485" s="2" t="s">
        <v>14030</v>
      </c>
      <c r="E7485" s="2" t="s">
        <v>1190</v>
      </c>
      <c r="F7485" s="2">
        <v>13.0</v>
      </c>
      <c r="G7485" s="2">
        <v>500.0</v>
      </c>
      <c r="H7485" s="3" t="str">
        <f>HYPERLINK("http://www.linkedin.com/in/rsantamaria9990","http://www.linkedin.com/in/rsantamaria9990")</f>
        <v>http://www.linkedin.com/in/rsantamaria9990</v>
      </c>
      <c r="I7485" s="2" t="s">
        <v>1452</v>
      </c>
      <c r="J7485" s="2" t="s">
        <v>102</v>
      </c>
      <c r="K7485" s="2" t="s">
        <v>10940</v>
      </c>
    </row>
    <row r="7486" ht="15.75" customHeight="1">
      <c r="A7486" s="2">
        <v>60831.0</v>
      </c>
      <c r="B7486" s="2" t="s">
        <v>1296</v>
      </c>
      <c r="C7486" s="2" t="s">
        <v>14031</v>
      </c>
      <c r="D7486" s="2" t="s">
        <v>13</v>
      </c>
      <c r="E7486" s="2" t="s">
        <v>20</v>
      </c>
      <c r="F7486" s="2">
        <v>0.0</v>
      </c>
      <c r="G7486" s="2">
        <v>280.0</v>
      </c>
      <c r="H7486" s="3" t="str">
        <f>HYPERLINK("http://www.linkedin.com/pub/lic-andrea-dircks-cony/24/513/744","http://www.linkedin.com/pub/lic-andrea-dircks-cony/24/513/744")</f>
        <v>http://www.linkedin.com/pub/lic-andrea-dircks-cony/24/513/744</v>
      </c>
      <c r="I7486" s="2" t="s">
        <v>77</v>
      </c>
      <c r="J7486" s="2" t="s">
        <v>21</v>
      </c>
      <c r="K7486" s="2" t="s">
        <v>10187</v>
      </c>
    </row>
    <row r="7487" ht="15.75" customHeight="1">
      <c r="A7487" s="2">
        <v>60846.0</v>
      </c>
      <c r="B7487" s="2" t="s">
        <v>11897</v>
      </c>
      <c r="C7487" s="2" t="s">
        <v>14007</v>
      </c>
      <c r="D7487" s="2"/>
      <c r="E7487" s="2" t="s">
        <v>2058</v>
      </c>
      <c r="F7487" s="2">
        <v>2.0</v>
      </c>
      <c r="G7487" s="2">
        <v>298.0</v>
      </c>
      <c r="H7487" s="3" t="str">
        <f>HYPERLINK("http://www.linkedin.com/pub/eli-laufer/2/B35/76","http://www.linkedin.com/pub/eli-laufer/2/B35/76")</f>
        <v>http://www.linkedin.com/pub/eli-laufer/2/B35/76</v>
      </c>
      <c r="I7487" s="2" t="s">
        <v>873</v>
      </c>
      <c r="J7487" s="2" t="s">
        <v>102</v>
      </c>
      <c r="K7487" s="2" t="s">
        <v>10187</v>
      </c>
    </row>
    <row r="7488" ht="15.75" customHeight="1">
      <c r="A7488" s="2">
        <v>60881.0</v>
      </c>
      <c r="B7488" s="2" t="s">
        <v>14032</v>
      </c>
      <c r="C7488" s="2" t="s">
        <v>4661</v>
      </c>
      <c r="D7488" s="2"/>
      <c r="E7488" s="2" t="s">
        <v>2058</v>
      </c>
      <c r="F7488" s="2">
        <v>1.0</v>
      </c>
      <c r="G7488" s="2">
        <v>98.0</v>
      </c>
      <c r="H7488" s="3" t="str">
        <f>HYPERLINK("http://www.linkedin.com/pub/maga-hegde/1/90/AAA","http://www.linkedin.com/pub/maga-hegde/1/90/AAA")</f>
        <v>http://www.linkedin.com/pub/maga-hegde/1/90/AAA</v>
      </c>
      <c r="I7488" s="2" t="s">
        <v>77</v>
      </c>
      <c r="J7488" s="2" t="s">
        <v>102</v>
      </c>
      <c r="K7488" s="2" t="s">
        <v>10229</v>
      </c>
    </row>
    <row r="7489" ht="15.75" customHeight="1">
      <c r="A7489" s="2">
        <v>60882.0</v>
      </c>
      <c r="B7489" s="2" t="s">
        <v>1310</v>
      </c>
      <c r="C7489" s="2" t="s">
        <v>14033</v>
      </c>
      <c r="D7489" s="2" t="s">
        <v>14034</v>
      </c>
      <c r="E7489" s="2" t="s">
        <v>1190</v>
      </c>
      <c r="F7489" s="2">
        <v>16.0</v>
      </c>
      <c r="G7489" s="2">
        <v>500.0</v>
      </c>
      <c r="H7489" s="3" t="str">
        <f>HYPERLINK("http://www.linkedin.com/pub/angel-azambuya/14/67/980","http://www.linkedin.com/pub/angel-azambuya/14/67/980")</f>
        <v>http://www.linkedin.com/pub/angel-azambuya/14/67/980</v>
      </c>
      <c r="I7489" s="2" t="s">
        <v>160</v>
      </c>
      <c r="J7489" s="2" t="s">
        <v>102</v>
      </c>
      <c r="K7489" s="2" t="s">
        <v>10384</v>
      </c>
    </row>
    <row r="7490" ht="15.75" customHeight="1">
      <c r="A7490" s="2">
        <v>60892.0</v>
      </c>
      <c r="B7490" s="2" t="s">
        <v>1454</v>
      </c>
      <c r="C7490" s="2" t="s">
        <v>6508</v>
      </c>
      <c r="D7490" s="2" t="s">
        <v>14035</v>
      </c>
      <c r="E7490" s="2" t="s">
        <v>1190</v>
      </c>
      <c r="F7490" s="2">
        <v>0.0</v>
      </c>
      <c r="G7490" s="2">
        <v>500.0</v>
      </c>
      <c r="H7490" s="3" t="str">
        <f>HYPERLINK("http://www.linkedin.com/pub/alan-sanchez/8/240/981","http://www.linkedin.com/pub/alan-sanchez/8/240/981")</f>
        <v>http://www.linkedin.com/pub/alan-sanchez/8/240/981</v>
      </c>
      <c r="I7490" s="2" t="s">
        <v>48</v>
      </c>
      <c r="J7490" s="2" t="s">
        <v>102</v>
      </c>
      <c r="K7490" s="2" t="s">
        <v>10233</v>
      </c>
    </row>
    <row r="7491" ht="15.75" customHeight="1">
      <c r="A7491" s="2">
        <v>60895.0</v>
      </c>
      <c r="B7491" s="2" t="s">
        <v>609</v>
      </c>
      <c r="C7491" s="2" t="s">
        <v>9503</v>
      </c>
      <c r="D7491" s="2" t="s">
        <v>14036</v>
      </c>
      <c r="E7491" s="2" t="s">
        <v>20</v>
      </c>
      <c r="F7491" s="2" t="s">
        <v>13</v>
      </c>
      <c r="G7491" s="2">
        <v>500.0</v>
      </c>
      <c r="H7491" s="3" t="str">
        <f>HYPERLINK("http://ar.linkedin.com/pub/ricardo-m-ller/B/292/A8B","http://ar.linkedin.com/pub/ricardo-m-ller/B/292/A8B")</f>
        <v>http://ar.linkedin.com/pub/ricardo-m-ller/B/292/A8B</v>
      </c>
      <c r="I7491" s="2" t="s">
        <v>6777</v>
      </c>
      <c r="J7491" s="2" t="s">
        <v>21</v>
      </c>
      <c r="K7491" s="2" t="s">
        <v>10799</v>
      </c>
    </row>
    <row r="7492" ht="15.75" customHeight="1">
      <c r="A7492" s="2">
        <v>60909.0</v>
      </c>
      <c r="B7492" s="2" t="s">
        <v>146</v>
      </c>
      <c r="C7492" s="2" t="s">
        <v>14037</v>
      </c>
      <c r="D7492" s="2"/>
      <c r="E7492" s="2" t="s">
        <v>1190</v>
      </c>
      <c r="F7492" s="2">
        <v>14.0</v>
      </c>
      <c r="G7492" s="2">
        <v>339.0</v>
      </c>
      <c r="H7492" s="3" t="str">
        <f>HYPERLINK("http://www.linkedin.com/pub/enrique-castanon/1/26B/BB3","http://www.linkedin.com/pub/enrique-castanon/1/26B/BB3")</f>
        <v>http://www.linkedin.com/pub/enrique-castanon/1/26B/BB3</v>
      </c>
      <c r="I7492" s="2" t="s">
        <v>48</v>
      </c>
      <c r="J7492" s="2" t="s">
        <v>102</v>
      </c>
      <c r="K7492" s="2" t="s">
        <v>10184</v>
      </c>
    </row>
    <row r="7493" ht="15.75" customHeight="1">
      <c r="A7493" s="2">
        <v>60920.0</v>
      </c>
      <c r="B7493" s="2" t="s">
        <v>14038</v>
      </c>
      <c r="C7493" s="2" t="s">
        <v>14039</v>
      </c>
      <c r="D7493" s="2" t="s">
        <v>14040</v>
      </c>
      <c r="E7493" s="2" t="s">
        <v>3107</v>
      </c>
      <c r="F7493" s="2" t="s">
        <v>13</v>
      </c>
      <c r="G7493" s="2">
        <v>126.0</v>
      </c>
      <c r="H7493" s="3" t="str">
        <f>HYPERLINK("http://www.linkedin.com/pub/kristina-roser/13/790/909","http://www.linkedin.com/pub/kristina-roser/13/790/909")</f>
        <v>http://www.linkedin.com/pub/kristina-roser/13/790/909</v>
      </c>
      <c r="I7493" s="2" t="s">
        <v>15</v>
      </c>
      <c r="J7493" s="2" t="s">
        <v>102</v>
      </c>
      <c r="K7493" s="2" t="s">
        <v>10184</v>
      </c>
    </row>
    <row r="7494" ht="15.75" customHeight="1">
      <c r="A7494" s="2">
        <v>60942.0</v>
      </c>
      <c r="B7494" s="2" t="s">
        <v>3550</v>
      </c>
      <c r="C7494" s="2" t="s">
        <v>14041</v>
      </c>
      <c r="D7494" s="2" t="s">
        <v>14042</v>
      </c>
      <c r="E7494" s="2" t="s">
        <v>1190</v>
      </c>
      <c r="F7494" s="2">
        <v>3.0</v>
      </c>
      <c r="G7494" s="2">
        <v>500.0</v>
      </c>
      <c r="H7494" s="3" t="str">
        <f>HYPERLINK("http://www.linkedin.com/in/nicolasvivero","http://www.linkedin.com/in/nicolasvivero")</f>
        <v>http://www.linkedin.com/in/nicolasvivero</v>
      </c>
      <c r="I7494" s="2" t="s">
        <v>1496</v>
      </c>
      <c r="J7494" s="2" t="s">
        <v>102</v>
      </c>
      <c r="K7494" s="2" t="s">
        <v>10187</v>
      </c>
    </row>
    <row r="7495" ht="15.75" customHeight="1">
      <c r="A7495" s="2">
        <v>61027.0</v>
      </c>
      <c r="B7495" s="2" t="s">
        <v>45</v>
      </c>
      <c r="C7495" s="2" t="s">
        <v>8753</v>
      </c>
      <c r="D7495" s="2" t="s">
        <v>13</v>
      </c>
      <c r="E7495" s="2" t="s">
        <v>20</v>
      </c>
      <c r="F7495" s="2">
        <v>0.0</v>
      </c>
      <c r="G7495" s="2">
        <v>500.0</v>
      </c>
      <c r="H7495" s="3" t="str">
        <f>HYPERLINK("http://www.linkedin.com/in/carlossebastianmartins","http://www.linkedin.com/in/carlossebastianmartins")</f>
        <v>http://www.linkedin.com/in/carlossebastianmartins</v>
      </c>
      <c r="I7495" s="2" t="s">
        <v>69</v>
      </c>
      <c r="J7495" s="2" t="s">
        <v>21</v>
      </c>
      <c r="K7495" s="2" t="s">
        <v>10196</v>
      </c>
    </row>
    <row r="7496" ht="15.75" customHeight="1">
      <c r="A7496" s="2">
        <v>61042.0</v>
      </c>
      <c r="B7496" s="2" t="s">
        <v>14043</v>
      </c>
      <c r="C7496" s="2" t="s">
        <v>14044</v>
      </c>
      <c r="D7496" s="2" t="s">
        <v>6324</v>
      </c>
      <c r="E7496" s="2" t="s">
        <v>1190</v>
      </c>
      <c r="F7496" s="2">
        <v>9.0</v>
      </c>
      <c r="G7496" s="2">
        <v>500.0</v>
      </c>
      <c r="H7496" s="3" t="str">
        <f>HYPERLINK("http://www.linkedin.com/pub/yolette-caldwell-alvarez-/0/A64/67A","http://www.linkedin.com/pub/yolette-caldwell-alvarez-/0/A64/67A")</f>
        <v>http://www.linkedin.com/pub/yolette-caldwell-alvarez-/0/A64/67A</v>
      </c>
      <c r="I7496" s="2" t="s">
        <v>248</v>
      </c>
      <c r="J7496" s="2" t="s">
        <v>102</v>
      </c>
      <c r="K7496" s="2" t="s">
        <v>10187</v>
      </c>
    </row>
    <row r="7497" ht="15.75" customHeight="1">
      <c r="A7497" s="2">
        <v>61066.0</v>
      </c>
      <c r="B7497" s="2" t="s">
        <v>6414</v>
      </c>
      <c r="C7497" s="2" t="s">
        <v>8454</v>
      </c>
      <c r="D7497" s="2" t="s">
        <v>13</v>
      </c>
      <c r="E7497" s="2" t="s">
        <v>20</v>
      </c>
      <c r="F7497" s="2">
        <v>0.0</v>
      </c>
      <c r="G7497" s="2">
        <v>500.0</v>
      </c>
      <c r="H7497" s="3" t="str">
        <f>HYPERLINK("http://ar.linkedin.com/pub/adriano-lombardi/24/360/545","http://ar.linkedin.com/pub/adriano-lombardi/24/360/545")</f>
        <v>http://ar.linkedin.com/pub/adriano-lombardi/24/360/545</v>
      </c>
      <c r="I7497" s="2" t="s">
        <v>105</v>
      </c>
      <c r="J7497" s="2" t="s">
        <v>21</v>
      </c>
      <c r="K7497" s="2" t="s">
        <v>10184</v>
      </c>
    </row>
    <row r="7498" ht="15.75" customHeight="1">
      <c r="A7498" s="2">
        <v>61069.0</v>
      </c>
      <c r="B7498" s="2" t="s">
        <v>201</v>
      </c>
      <c r="C7498" s="2" t="s">
        <v>14045</v>
      </c>
      <c r="D7498" s="2" t="s">
        <v>1196</v>
      </c>
      <c r="E7498" s="2" t="s">
        <v>20</v>
      </c>
      <c r="F7498" s="2" t="s">
        <v>13</v>
      </c>
      <c r="G7498" s="2">
        <v>274.0</v>
      </c>
      <c r="H7498" s="3" t="str">
        <f>HYPERLINK("http://ar.linkedin.com/pub/natalia-scaliter/5/231/425","http://ar.linkedin.com/pub/natalia-scaliter/5/231/425")</f>
        <v>http://ar.linkedin.com/pub/natalia-scaliter/5/231/425</v>
      </c>
      <c r="I7498" s="2" t="s">
        <v>15</v>
      </c>
      <c r="J7498" s="2" t="s">
        <v>21</v>
      </c>
      <c r="K7498" s="2" t="s">
        <v>10173</v>
      </c>
    </row>
    <row r="7499" ht="15.75" customHeight="1">
      <c r="A7499" s="2">
        <v>61115.0</v>
      </c>
      <c r="B7499" s="2" t="s">
        <v>531</v>
      </c>
      <c r="C7499" s="2" t="s">
        <v>14046</v>
      </c>
      <c r="D7499" s="2" t="s">
        <v>13</v>
      </c>
      <c r="E7499" s="2" t="s">
        <v>14047</v>
      </c>
      <c r="F7499" s="2">
        <v>0.0</v>
      </c>
      <c r="G7499" s="2">
        <v>500.0</v>
      </c>
      <c r="H7499" s="3" t="str">
        <f>HYPERLINK("http://www.linkedin.com/pub/ruben-alvo/7/910/533","http://www.linkedin.com/pub/ruben-alvo/7/910/533")</f>
        <v>http://www.linkedin.com/pub/ruben-alvo/7/910/533</v>
      </c>
      <c r="I7499" s="2" t="s">
        <v>119</v>
      </c>
      <c r="J7499" s="2" t="s">
        <v>102</v>
      </c>
      <c r="K7499" s="2" t="s">
        <v>10384</v>
      </c>
    </row>
    <row r="7500" ht="15.75" customHeight="1">
      <c r="A7500" s="2">
        <v>61154.0</v>
      </c>
      <c r="B7500" s="2" t="s">
        <v>6432</v>
      </c>
      <c r="C7500" s="2" t="s">
        <v>10624</v>
      </c>
      <c r="D7500" s="2" t="s">
        <v>14048</v>
      </c>
      <c r="E7500" s="2" t="s">
        <v>1190</v>
      </c>
      <c r="F7500" s="2">
        <v>2.0</v>
      </c>
      <c r="G7500" s="2">
        <v>84.0</v>
      </c>
      <c r="H7500" s="3" t="str">
        <f>HYPERLINK("http://www.linkedin.com/pub/marcela-parra/5/B72/A4","http://www.linkedin.com/pub/marcela-parra/5/B72/A4")</f>
        <v>http://www.linkedin.com/pub/marcela-parra/5/B72/A4</v>
      </c>
      <c r="I7500" s="2" t="s">
        <v>873</v>
      </c>
      <c r="J7500" s="2" t="s">
        <v>102</v>
      </c>
      <c r="K7500" s="2" t="s">
        <v>10187</v>
      </c>
    </row>
    <row r="7501" ht="15.75" customHeight="1">
      <c r="A7501" s="2">
        <v>61188.0</v>
      </c>
      <c r="B7501" s="2" t="s">
        <v>227</v>
      </c>
      <c r="C7501" s="2" t="s">
        <v>14049</v>
      </c>
      <c r="D7501" s="2" t="s">
        <v>5426</v>
      </c>
      <c r="E7501" s="2" t="s">
        <v>1190</v>
      </c>
      <c r="F7501" s="2">
        <v>3.0</v>
      </c>
      <c r="G7501" s="2">
        <v>500.0</v>
      </c>
      <c r="H7501" s="3" t="str">
        <f>HYPERLINK("http://www.linkedin.com/pub/jorge-de-ezcurra/7/4B3/656","http://www.linkedin.com/pub/jorge-de-ezcurra/7/4B3/656")</f>
        <v>http://www.linkedin.com/pub/jorge-de-ezcurra/7/4B3/656</v>
      </c>
      <c r="I7501" s="2" t="s">
        <v>2561</v>
      </c>
      <c r="J7501" s="2" t="s">
        <v>102</v>
      </c>
      <c r="K7501" s="2" t="s">
        <v>10206</v>
      </c>
    </row>
    <row r="7502" ht="15.75" customHeight="1">
      <c r="A7502" s="2">
        <v>5976.0</v>
      </c>
      <c r="B7502" s="2" t="s">
        <v>275</v>
      </c>
      <c r="C7502" s="2" t="s">
        <v>14050</v>
      </c>
      <c r="D7502" s="2" t="s">
        <v>14051</v>
      </c>
      <c r="E7502" s="2" t="s">
        <v>888</v>
      </c>
      <c r="F7502" s="2">
        <v>11.0</v>
      </c>
      <c r="G7502" s="2">
        <v>251.0</v>
      </c>
      <c r="H7502" s="3" t="str">
        <f>HYPERLINK("http://www.linkedin.com/pub/mark-nixon/3/44B/289","http://www.linkedin.com/pub/mark-nixon/3/44B/289")</f>
        <v>http://www.linkedin.com/pub/mark-nixon/3/44B/289</v>
      </c>
      <c r="I7502" s="2" t="s">
        <v>15</v>
      </c>
      <c r="J7502" s="2" t="s">
        <v>102</v>
      </c>
      <c r="K7502" s="2" t="s">
        <v>14052</v>
      </c>
    </row>
    <row r="7503" ht="15.75" customHeight="1">
      <c r="A7503" s="2">
        <v>6135.0</v>
      </c>
      <c r="B7503" s="2" t="s">
        <v>14053</v>
      </c>
      <c r="C7503" s="2" t="s">
        <v>3898</v>
      </c>
      <c r="D7503" s="2" t="s">
        <v>14054</v>
      </c>
      <c r="E7503" s="2" t="s">
        <v>744</v>
      </c>
      <c r="F7503" s="2">
        <v>10.0</v>
      </c>
      <c r="G7503" s="2">
        <v>500.0</v>
      </c>
      <c r="H7503" s="3" t="str">
        <f>HYPERLINK("http://www.linkedin.com/in/nanjichandra","http://www.linkedin.com/in/nanjichandra")</f>
        <v>http://www.linkedin.com/in/nanjichandra</v>
      </c>
      <c r="I7503" s="2" t="s">
        <v>96</v>
      </c>
      <c r="J7503" s="2" t="s">
        <v>102</v>
      </c>
      <c r="K7503" s="2" t="s">
        <v>14055</v>
      </c>
    </row>
    <row r="7504" ht="15.75" customHeight="1">
      <c r="A7504" s="2">
        <v>6397.0</v>
      </c>
      <c r="B7504" s="2" t="s">
        <v>5078</v>
      </c>
      <c r="C7504" s="2" t="s">
        <v>14056</v>
      </c>
      <c r="D7504" s="2" t="s">
        <v>13</v>
      </c>
      <c r="E7504" s="2" t="s">
        <v>20</v>
      </c>
      <c r="F7504" s="2">
        <v>1.0</v>
      </c>
      <c r="G7504" s="2">
        <v>500.0</v>
      </c>
      <c r="H7504" s="3" t="str">
        <f>HYPERLINK("http://www.linkedin.com/in/diegosternberg","http://www.linkedin.com/in/diegosternberg")</f>
        <v>http://www.linkedin.com/in/diegosternberg</v>
      </c>
      <c r="I7504" s="2" t="s">
        <v>69</v>
      </c>
      <c r="J7504" s="2" t="s">
        <v>21</v>
      </c>
      <c r="K7504" s="2" t="s">
        <v>14057</v>
      </c>
    </row>
    <row r="7505" ht="15.75" customHeight="1">
      <c r="A7505" s="2">
        <v>6478.0</v>
      </c>
      <c r="B7505" s="2" t="s">
        <v>362</v>
      </c>
      <c r="C7505" s="2" t="s">
        <v>14058</v>
      </c>
      <c r="D7505" s="2" t="s">
        <v>14059</v>
      </c>
      <c r="E7505" s="2" t="s">
        <v>301</v>
      </c>
      <c r="F7505" s="2">
        <v>47.0</v>
      </c>
      <c r="G7505" s="2">
        <v>500.0</v>
      </c>
      <c r="H7505" s="3" t="str">
        <f>HYPERLINK("http://www.linkedin.com/in/javiergagliardo","http://www.linkedin.com/in/javiergagliardo")</f>
        <v>http://www.linkedin.com/in/javiergagliardo</v>
      </c>
      <c r="I7505" s="2" t="s">
        <v>15</v>
      </c>
      <c r="J7505" s="2" t="s">
        <v>102</v>
      </c>
      <c r="K7505" s="2" t="s">
        <v>14060</v>
      </c>
    </row>
    <row r="7506" ht="15.75" customHeight="1">
      <c r="A7506" s="2">
        <v>6480.0</v>
      </c>
      <c r="B7506" s="2" t="s">
        <v>14061</v>
      </c>
      <c r="C7506" s="2" t="s">
        <v>2445</v>
      </c>
      <c r="D7506" s="2" t="s">
        <v>410</v>
      </c>
      <c r="E7506" s="2" t="s">
        <v>235</v>
      </c>
      <c r="F7506" s="2">
        <v>0.0</v>
      </c>
      <c r="G7506" s="2">
        <v>384.0</v>
      </c>
      <c r="H7506" s="3" t="str">
        <f>HYPERLINK("http://www.linkedin.com/in/samantasequeira","http://www.linkedin.com/in/samantasequeira")</f>
        <v>http://www.linkedin.com/in/samantasequeira</v>
      </c>
      <c r="I7506" s="2" t="s">
        <v>422</v>
      </c>
      <c r="J7506" s="2" t="s">
        <v>102</v>
      </c>
      <c r="K7506" s="2" t="s">
        <v>14062</v>
      </c>
    </row>
    <row r="7507" ht="15.75" customHeight="1">
      <c r="A7507" s="2">
        <v>6649.0</v>
      </c>
      <c r="B7507" s="2" t="s">
        <v>845</v>
      </c>
      <c r="C7507" s="2" t="s">
        <v>13069</v>
      </c>
      <c r="D7507" s="2" t="s">
        <v>14063</v>
      </c>
      <c r="E7507" s="2" t="s">
        <v>3902</v>
      </c>
      <c r="F7507" s="2">
        <v>17.0</v>
      </c>
      <c r="G7507" s="2">
        <v>500.0</v>
      </c>
      <c r="H7507" s="3" t="str">
        <f>HYPERLINK("http://www.linkedin.com/in/dpinkus","http://www.linkedin.com/in/dpinkus")</f>
        <v>http://www.linkedin.com/in/dpinkus</v>
      </c>
      <c r="I7507" s="2" t="s">
        <v>1094</v>
      </c>
      <c r="J7507" s="2" t="s">
        <v>102</v>
      </c>
      <c r="K7507" s="2" t="s">
        <v>14064</v>
      </c>
    </row>
    <row r="7508" ht="15.75" customHeight="1">
      <c r="A7508" s="2">
        <v>7101.0</v>
      </c>
      <c r="B7508" s="2" t="s">
        <v>1300</v>
      </c>
      <c r="C7508" s="2" t="s">
        <v>2631</v>
      </c>
      <c r="D7508" s="2" t="s">
        <v>13</v>
      </c>
      <c r="E7508" s="2" t="s">
        <v>136</v>
      </c>
      <c r="F7508" s="2">
        <v>0.0</v>
      </c>
      <c r="G7508" s="2">
        <v>500.0</v>
      </c>
      <c r="H7508" s="3" t="str">
        <f>HYPERLINK("https://www.linkedin.com/in/rossjmason/","https://www.linkedin.com/in/rossjmason/")</f>
        <v>https://www.linkedin.com/in/rossjmason/</v>
      </c>
      <c r="I7508" s="2" t="s">
        <v>15</v>
      </c>
      <c r="J7508" s="2" t="s">
        <v>102</v>
      </c>
      <c r="K7508" s="2" t="s">
        <v>14065</v>
      </c>
    </row>
    <row r="7509" ht="15.75" customHeight="1">
      <c r="A7509" s="2">
        <v>7342.0</v>
      </c>
      <c r="B7509" s="2" t="s">
        <v>45</v>
      </c>
      <c r="C7509" s="2" t="s">
        <v>14066</v>
      </c>
      <c r="D7509" s="2" t="s">
        <v>14067</v>
      </c>
      <c r="E7509" s="2" t="s">
        <v>20</v>
      </c>
      <c r="F7509" s="2">
        <v>4.0</v>
      </c>
      <c r="G7509" s="2">
        <v>500.0</v>
      </c>
      <c r="H7509" s="3" t="str">
        <f>HYPERLINK("http://ar.linkedin.com/in/ccrembil","http://ar.linkedin.com/in/ccrembil")</f>
        <v>http://ar.linkedin.com/in/ccrembil</v>
      </c>
      <c r="I7509" s="2" t="s">
        <v>15</v>
      </c>
      <c r="J7509" s="2" t="s">
        <v>21</v>
      </c>
      <c r="K7509" s="2" t="s">
        <v>14068</v>
      </c>
    </row>
    <row r="7510" ht="15.75" customHeight="1">
      <c r="A7510" s="2">
        <v>7366.0</v>
      </c>
      <c r="B7510" s="2" t="s">
        <v>5808</v>
      </c>
      <c r="C7510" s="2" t="s">
        <v>14069</v>
      </c>
      <c r="D7510" s="2" t="s">
        <v>536</v>
      </c>
      <c r="E7510" s="2" t="s">
        <v>20</v>
      </c>
      <c r="F7510" s="2">
        <v>3.0</v>
      </c>
      <c r="G7510" s="2">
        <v>257.0</v>
      </c>
      <c r="H7510" s="3" t="str">
        <f>HYPERLINK("http://www.linkedin.com/in/matiasbagini","http://www.linkedin.com/in/matiasbagini")</f>
        <v>http://www.linkedin.com/in/matiasbagini</v>
      </c>
      <c r="I7510" s="2" t="s">
        <v>48</v>
      </c>
      <c r="J7510" s="2" t="s">
        <v>21</v>
      </c>
      <c r="K7510" s="2" t="s">
        <v>14055</v>
      </c>
    </row>
    <row r="7511" ht="15.75" customHeight="1">
      <c r="A7511" s="2">
        <v>7401.0</v>
      </c>
      <c r="B7511" s="2" t="s">
        <v>6025</v>
      </c>
      <c r="C7511" s="2" t="s">
        <v>14070</v>
      </c>
      <c r="D7511" s="2" t="s">
        <v>108</v>
      </c>
      <c r="E7511" s="2" t="s">
        <v>20</v>
      </c>
      <c r="F7511" s="2">
        <v>23.0</v>
      </c>
      <c r="G7511" s="2">
        <v>500.0</v>
      </c>
      <c r="H7511" s="3" t="str">
        <f>HYPERLINK("http://ar.linkedin.com/in/hecsa","http://ar.linkedin.com/in/hecsa")</f>
        <v>http://ar.linkedin.com/in/hecsa</v>
      </c>
      <c r="I7511" s="2" t="s">
        <v>15</v>
      </c>
      <c r="J7511" s="2" t="s">
        <v>21</v>
      </c>
      <c r="K7511" s="2" t="s">
        <v>14071</v>
      </c>
    </row>
    <row r="7512" ht="15.75" customHeight="1">
      <c r="A7512" s="2">
        <v>7459.0</v>
      </c>
      <c r="B7512" s="2" t="s">
        <v>460</v>
      </c>
      <c r="C7512" s="2" t="s">
        <v>14072</v>
      </c>
      <c r="D7512" s="2" t="s">
        <v>47</v>
      </c>
      <c r="E7512" s="2" t="s">
        <v>101</v>
      </c>
      <c r="F7512" s="2">
        <v>7.0</v>
      </c>
      <c r="G7512" s="2">
        <v>500.0</v>
      </c>
      <c r="H7512" s="3" t="str">
        <f>HYPERLINK("http://www.linkedin.com/pub/john-andrus/0/265/6B8","http://www.linkedin.com/pub/john-andrus/0/265/6B8")</f>
        <v>http://www.linkedin.com/pub/john-andrus/0/265/6B8</v>
      </c>
      <c r="I7512" s="2" t="s">
        <v>48</v>
      </c>
      <c r="J7512" s="2" t="s">
        <v>102</v>
      </c>
      <c r="K7512" s="2" t="s">
        <v>14073</v>
      </c>
    </row>
    <row r="7513" ht="15.75" customHeight="1">
      <c r="A7513" s="2">
        <v>7606.0</v>
      </c>
      <c r="B7513" s="2" t="s">
        <v>5483</v>
      </c>
      <c r="C7513" s="2" t="s">
        <v>6508</v>
      </c>
      <c r="D7513" s="2" t="s">
        <v>108</v>
      </c>
      <c r="E7513" s="2" t="s">
        <v>20</v>
      </c>
      <c r="F7513" s="2">
        <v>2.0</v>
      </c>
      <c r="G7513" s="2">
        <v>282.0</v>
      </c>
      <c r="H7513" s="3" t="str">
        <f>HYPERLINK("http://ar.linkedin.com/in/anibalsanchez","http://ar.linkedin.com/in/anibalsanchez")</f>
        <v>http://ar.linkedin.com/in/anibalsanchez</v>
      </c>
      <c r="I7513" s="2" t="s">
        <v>105</v>
      </c>
      <c r="J7513" s="2" t="s">
        <v>21</v>
      </c>
      <c r="K7513" s="2" t="s">
        <v>14074</v>
      </c>
    </row>
    <row r="7514" ht="15.75" customHeight="1">
      <c r="A7514" s="2">
        <v>7625.0</v>
      </c>
      <c r="B7514" s="2" t="s">
        <v>6093</v>
      </c>
      <c r="C7514" s="2" t="s">
        <v>14075</v>
      </c>
      <c r="D7514" s="2" t="s">
        <v>517</v>
      </c>
      <c r="E7514" s="2" t="s">
        <v>20</v>
      </c>
      <c r="F7514" s="2">
        <v>16.0</v>
      </c>
      <c r="G7514" s="2">
        <v>317.0</v>
      </c>
      <c r="H7514" s="3" t="str">
        <f>HYPERLINK("http://ar.linkedin.com/pub/nicol%C3%A1s-de-la-cruz/9/B21/868","http://ar.linkedin.com/pub/nicol%C3%A1s-de-la-cruz/9/B21/868")</f>
        <v>http://ar.linkedin.com/pub/nicol%C3%A1s-de-la-cruz/9/B21/868</v>
      </c>
      <c r="I7514" s="2" t="s">
        <v>15</v>
      </c>
      <c r="J7514" s="2" t="s">
        <v>21</v>
      </c>
      <c r="K7514" s="2" t="s">
        <v>14057</v>
      </c>
    </row>
    <row r="7515" ht="15.75" customHeight="1">
      <c r="A7515" s="2">
        <v>7945.0</v>
      </c>
      <c r="B7515" s="2" t="s">
        <v>1585</v>
      </c>
      <c r="C7515" s="2" t="s">
        <v>14076</v>
      </c>
      <c r="D7515" s="2" t="s">
        <v>14077</v>
      </c>
      <c r="E7515" s="2" t="s">
        <v>1522</v>
      </c>
      <c r="F7515" s="2">
        <v>4.0</v>
      </c>
      <c r="G7515" s="2">
        <v>500.0</v>
      </c>
      <c r="H7515" s="3" t="str">
        <f>HYPERLINK("http://www.linkedin.com/in/thomashutton","http://www.linkedin.com/in/thomashutton")</f>
        <v>http://www.linkedin.com/in/thomashutton</v>
      </c>
      <c r="I7515" s="2" t="s">
        <v>69</v>
      </c>
      <c r="J7515" s="2" t="s">
        <v>102</v>
      </c>
      <c r="K7515" s="2" t="s">
        <v>14078</v>
      </c>
    </row>
    <row r="7516" ht="15.75" customHeight="1">
      <c r="A7516" s="2">
        <v>8338.0</v>
      </c>
      <c r="B7516" s="2" t="s">
        <v>5681</v>
      </c>
      <c r="C7516" s="2" t="s">
        <v>14079</v>
      </c>
      <c r="D7516" s="2" t="s">
        <v>114</v>
      </c>
      <c r="E7516" s="2" t="s">
        <v>989</v>
      </c>
      <c r="F7516" s="2">
        <v>2.0</v>
      </c>
      <c r="G7516" s="2">
        <v>185.0</v>
      </c>
      <c r="H7516" s="3" t="str">
        <f>HYPERLINK("http://www.linkedin.com/in/damianp","http://www.linkedin.com/in/damianp")</f>
        <v>http://www.linkedin.com/in/damianp</v>
      </c>
      <c r="I7516" s="2" t="s">
        <v>15</v>
      </c>
      <c r="J7516" s="2" t="s">
        <v>102</v>
      </c>
      <c r="K7516" s="2" t="s">
        <v>14080</v>
      </c>
    </row>
    <row r="7517" ht="15.75" customHeight="1">
      <c r="A7517" s="2">
        <v>8578.0</v>
      </c>
      <c r="B7517" s="2" t="s">
        <v>362</v>
      </c>
      <c r="C7517" s="2" t="s">
        <v>14081</v>
      </c>
      <c r="D7517" s="2" t="s">
        <v>47</v>
      </c>
      <c r="E7517" s="2" t="s">
        <v>20</v>
      </c>
      <c r="F7517" s="2">
        <v>3.0</v>
      </c>
      <c r="G7517" s="2">
        <v>500.0</v>
      </c>
      <c r="H7517" s="3" t="str">
        <f>HYPERLINK("http://ar.linkedin.com/pub/javier-otaegui/0/507/475","http://ar.linkedin.com/pub/javier-otaegui/0/507/475")</f>
        <v>http://ar.linkedin.com/pub/javier-otaegui/0/507/475</v>
      </c>
      <c r="I7517" s="2" t="s">
        <v>143</v>
      </c>
      <c r="J7517" s="2" t="s">
        <v>21</v>
      </c>
      <c r="K7517" s="2" t="s">
        <v>14082</v>
      </c>
    </row>
    <row r="7518" ht="15.75" customHeight="1">
      <c r="A7518" s="2">
        <v>8921.0</v>
      </c>
      <c r="B7518" s="2" t="s">
        <v>601</v>
      </c>
      <c r="C7518" s="2" t="s">
        <v>14083</v>
      </c>
      <c r="D7518" s="2" t="s">
        <v>14084</v>
      </c>
      <c r="E7518" s="2" t="s">
        <v>181</v>
      </c>
      <c r="F7518" s="2">
        <v>7.0</v>
      </c>
      <c r="G7518" s="2">
        <v>500.0</v>
      </c>
      <c r="H7518" s="3" t="str">
        <f>HYPERLINK("http://www.linkedin.com/in/leslieborrell","http://www.linkedin.com/in/leslieborrell")</f>
        <v>http://www.linkedin.com/in/leslieborrell</v>
      </c>
      <c r="I7518" s="2" t="s">
        <v>48</v>
      </c>
      <c r="J7518" s="2" t="s">
        <v>102</v>
      </c>
      <c r="K7518" s="2" t="s">
        <v>14085</v>
      </c>
    </row>
    <row r="7519" ht="15.75" customHeight="1">
      <c r="A7519" s="2">
        <v>8958.0</v>
      </c>
      <c r="B7519" s="2" t="s">
        <v>295</v>
      </c>
      <c r="C7519" s="2" t="s">
        <v>14086</v>
      </c>
      <c r="D7519" s="2" t="s">
        <v>13</v>
      </c>
      <c r="E7519" s="2" t="s">
        <v>14087</v>
      </c>
      <c r="F7519" s="2">
        <v>13.0</v>
      </c>
      <c r="G7519" s="2">
        <v>500.0</v>
      </c>
      <c r="H7519" s="3" t="str">
        <f>HYPERLINK("http://www.linkedin.com/in/seanflaherty","http://www.linkedin.com/in/seanflaherty")</f>
        <v>http://www.linkedin.com/in/seanflaherty</v>
      </c>
      <c r="I7519" s="2" t="s">
        <v>57</v>
      </c>
      <c r="J7519" s="2" t="s">
        <v>102</v>
      </c>
      <c r="K7519" s="2" t="s">
        <v>14088</v>
      </c>
    </row>
    <row r="7520" ht="15.75" customHeight="1">
      <c r="A7520" s="2">
        <v>9224.0</v>
      </c>
      <c r="B7520" s="2" t="s">
        <v>5735</v>
      </c>
      <c r="C7520" s="2" t="s">
        <v>14089</v>
      </c>
      <c r="D7520" s="2" t="s">
        <v>13</v>
      </c>
      <c r="E7520" s="2" t="s">
        <v>20</v>
      </c>
      <c r="F7520" s="2">
        <v>0.0</v>
      </c>
      <c r="G7520" s="2">
        <v>500.0</v>
      </c>
      <c r="H7520" s="3" t="str">
        <f>HYPERLINK("http://www.linkedin.com/pub/german-dyzenchauz/6/90/200?trk=pub-pbmap","http://www.linkedin.com/pub/german-dyzenchauz/6/90/200?trk=pub-pbmap")</f>
        <v>http://www.linkedin.com/pub/german-dyzenchauz/6/90/200?trk=pub-pbmap</v>
      </c>
      <c r="I7520" s="2" t="s">
        <v>69</v>
      </c>
      <c r="J7520" s="2" t="s">
        <v>21</v>
      </c>
      <c r="K7520" s="2" t="s">
        <v>14082</v>
      </c>
    </row>
    <row r="7521" ht="15.75" customHeight="1">
      <c r="A7521" s="2">
        <v>9243.0</v>
      </c>
      <c r="B7521" s="2" t="s">
        <v>14090</v>
      </c>
      <c r="C7521" s="2" t="s">
        <v>14091</v>
      </c>
      <c r="D7521" s="2" t="s">
        <v>114</v>
      </c>
      <c r="E7521" s="2" t="s">
        <v>136</v>
      </c>
      <c r="F7521" s="2">
        <v>3.0</v>
      </c>
      <c r="G7521" s="2">
        <v>500.0</v>
      </c>
      <c r="H7521" s="3" t="str">
        <f>HYPERLINK("http://www.linkedin.com/pub/gerald-gerry-ignatius/2/627/101","http://www.linkedin.com/pub/gerald-gerry-ignatius/2/627/101")</f>
        <v>http://www.linkedin.com/pub/gerald-gerry-ignatius/2/627/101</v>
      </c>
      <c r="I7521" s="2" t="s">
        <v>15</v>
      </c>
      <c r="J7521" s="2" t="s">
        <v>102</v>
      </c>
      <c r="K7521" s="2" t="s">
        <v>14080</v>
      </c>
    </row>
    <row r="7522" ht="15.75" customHeight="1">
      <c r="A7522" s="2">
        <v>9303.0</v>
      </c>
      <c r="B7522" s="2" t="s">
        <v>501</v>
      </c>
      <c r="C7522" s="2" t="s">
        <v>658</v>
      </c>
      <c r="D7522" s="2" t="s">
        <v>410</v>
      </c>
      <c r="E7522" s="2" t="s">
        <v>301</v>
      </c>
      <c r="F7522" s="2">
        <v>0.0</v>
      </c>
      <c r="G7522" s="2">
        <v>260.0</v>
      </c>
      <c r="H7522" s="3" t="str">
        <f>HYPERLINK("http://www.linkedin.com/pub/francisco-l%C3%B3pez/3/A07/272","http://www.linkedin.com/pub/francisco-l%C3%B3pez/3/A07/272")</f>
        <v>http://www.linkedin.com/pub/francisco-l%C3%B3pez/3/A07/272</v>
      </c>
      <c r="I7522" s="2" t="s">
        <v>115</v>
      </c>
      <c r="J7522" s="2" t="s">
        <v>102</v>
      </c>
      <c r="K7522" s="2" t="s">
        <v>14092</v>
      </c>
    </row>
    <row r="7523" ht="15.75" customHeight="1">
      <c r="A7523" s="2">
        <v>9551.0</v>
      </c>
      <c r="B7523" s="2" t="s">
        <v>5888</v>
      </c>
      <c r="C7523" s="2" t="s">
        <v>12827</v>
      </c>
      <c r="D7523" s="2" t="s">
        <v>309</v>
      </c>
      <c r="E7523" s="2" t="s">
        <v>20</v>
      </c>
      <c r="F7523" s="2">
        <v>0.0</v>
      </c>
      <c r="G7523" s="2">
        <v>314.0</v>
      </c>
      <c r="H7523" s="3" t="str">
        <f>HYPERLINK("http://ar.linkedin.com/in/gtfunes","http://ar.linkedin.com/in/gtfunes")</f>
        <v>http://ar.linkedin.com/in/gtfunes</v>
      </c>
      <c r="I7523" s="2" t="s">
        <v>15</v>
      </c>
      <c r="J7523" s="2" t="s">
        <v>21</v>
      </c>
      <c r="K7523" s="2" t="s">
        <v>14057</v>
      </c>
    </row>
    <row r="7524" ht="15.75" customHeight="1">
      <c r="A7524" s="2">
        <v>9740.0</v>
      </c>
      <c r="B7524" s="2" t="s">
        <v>14093</v>
      </c>
      <c r="C7524" s="2" t="s">
        <v>10560</v>
      </c>
      <c r="D7524" s="2" t="s">
        <v>1145</v>
      </c>
      <c r="E7524" s="2" t="s">
        <v>301</v>
      </c>
      <c r="F7524" s="2">
        <v>0.0</v>
      </c>
      <c r="G7524" s="2">
        <v>297.0</v>
      </c>
      <c r="H7524" s="3" t="str">
        <f>HYPERLINK("http://www.linkedin.com/pub/dimitri-boylan/1/131/B5","http://www.linkedin.com/pub/dimitri-boylan/1/131/B5")</f>
        <v>http://www.linkedin.com/pub/dimitri-boylan/1/131/B5</v>
      </c>
      <c r="I7524" s="2" t="s">
        <v>48</v>
      </c>
      <c r="J7524" s="2" t="s">
        <v>102</v>
      </c>
      <c r="K7524" s="2" t="s">
        <v>14080</v>
      </c>
    </row>
    <row r="7525" ht="15.75" customHeight="1">
      <c r="A7525" s="2">
        <v>9754.0</v>
      </c>
      <c r="B7525" s="2" t="s">
        <v>133</v>
      </c>
      <c r="C7525" s="2" t="s">
        <v>399</v>
      </c>
      <c r="D7525" s="2" t="s">
        <v>14094</v>
      </c>
      <c r="E7525" s="2" t="s">
        <v>4951</v>
      </c>
      <c r="F7525" s="2">
        <v>6.0</v>
      </c>
      <c r="G7525" s="2">
        <v>500.0</v>
      </c>
      <c r="H7525" s="3" t="str">
        <f>HYPERLINK("http://www.linkedin.com/in/michaelprestonjohnson","http://www.linkedin.com/in/michaelprestonjohnson")</f>
        <v>http://www.linkedin.com/in/michaelprestonjohnson</v>
      </c>
      <c r="I7525" s="2" t="s">
        <v>48</v>
      </c>
      <c r="J7525" s="2" t="s">
        <v>102</v>
      </c>
      <c r="K7525" s="2" t="s">
        <v>14095</v>
      </c>
    </row>
    <row r="7526" ht="15.75" customHeight="1">
      <c r="A7526" s="2">
        <v>9956.0</v>
      </c>
      <c r="B7526" s="2" t="s">
        <v>431</v>
      </c>
      <c r="C7526" s="2" t="s">
        <v>14096</v>
      </c>
      <c r="D7526" s="2" t="s">
        <v>13</v>
      </c>
      <c r="E7526" s="2" t="s">
        <v>20</v>
      </c>
      <c r="F7526" s="2">
        <v>0.0</v>
      </c>
      <c r="G7526" s="2">
        <v>500.0</v>
      </c>
      <c r="H7526" s="3" t="str">
        <f>HYPERLINK("http://www.linkedin.com/in/rodrigoteijeiro","http://www.linkedin.com/in/rodrigoteijeiro")</f>
        <v>http://www.linkedin.com/in/rodrigoteijeiro</v>
      </c>
      <c r="I7526" s="2" t="s">
        <v>69</v>
      </c>
      <c r="J7526" s="2" t="s">
        <v>21</v>
      </c>
      <c r="K7526" s="2" t="s">
        <v>14057</v>
      </c>
    </row>
    <row r="7527" ht="15.75" customHeight="1">
      <c r="A7527" s="2">
        <v>10174.0</v>
      </c>
      <c r="B7527" s="2" t="s">
        <v>3178</v>
      </c>
      <c r="C7527" s="2" t="s">
        <v>14097</v>
      </c>
      <c r="D7527" s="2" t="s">
        <v>108</v>
      </c>
      <c r="E7527" s="2" t="s">
        <v>882</v>
      </c>
      <c r="F7527" s="2">
        <v>2.0</v>
      </c>
      <c r="G7527" s="2">
        <v>500.0</v>
      </c>
      <c r="H7527" s="3" t="str">
        <f>HYPERLINK("http://ar.linkedin.com/in/lucaslain","http://ar.linkedin.com/in/lucaslain")</f>
        <v>http://ar.linkedin.com/in/lucaslain</v>
      </c>
      <c r="I7527" s="2" t="s">
        <v>69</v>
      </c>
      <c r="J7527" s="2" t="s">
        <v>102</v>
      </c>
      <c r="K7527" s="2" t="s">
        <v>14073</v>
      </c>
    </row>
    <row r="7528" ht="15.75" customHeight="1">
      <c r="A7528" s="2">
        <v>10332.0</v>
      </c>
      <c r="B7528" s="2" t="s">
        <v>14098</v>
      </c>
      <c r="C7528" s="2" t="s">
        <v>11836</v>
      </c>
      <c r="D7528" s="2" t="s">
        <v>14099</v>
      </c>
      <c r="E7528" s="2" t="s">
        <v>136</v>
      </c>
      <c r="F7528" s="2">
        <v>7.0</v>
      </c>
      <c r="G7528" s="2">
        <v>174.0</v>
      </c>
      <c r="H7528" s="3" t="str">
        <f>HYPERLINK("http://www.linkedin.com/pub/jeffrey-p-vasquez/0/899/649","http://www.linkedin.com/pub/jeffrey-p-vasquez/0/899/649")</f>
        <v>http://www.linkedin.com/pub/jeffrey-p-vasquez/0/899/649</v>
      </c>
      <c r="I7528" s="2" t="s">
        <v>48</v>
      </c>
      <c r="J7528" s="2" t="s">
        <v>102</v>
      </c>
      <c r="K7528" s="2" t="s">
        <v>14100</v>
      </c>
    </row>
    <row r="7529" ht="15.75" customHeight="1">
      <c r="A7529" s="2">
        <v>10653.0</v>
      </c>
      <c r="B7529" s="2" t="s">
        <v>348</v>
      </c>
      <c r="C7529" s="2" t="s">
        <v>14101</v>
      </c>
      <c r="D7529" s="2" t="s">
        <v>2624</v>
      </c>
      <c r="E7529" s="2" t="s">
        <v>713</v>
      </c>
      <c r="F7529" s="2">
        <v>3.0</v>
      </c>
      <c r="G7529" s="2">
        <v>273.0</v>
      </c>
      <c r="H7529" s="3" t="str">
        <f>HYPERLINK("http://www.linkedin.com/pub/kim-legelis/6/930/A02","http://www.linkedin.com/pub/kim-legelis/6/930/A02")</f>
        <v>http://www.linkedin.com/pub/kim-legelis/6/930/A02</v>
      </c>
      <c r="I7529" s="2" t="s">
        <v>160</v>
      </c>
      <c r="J7529" s="2" t="s">
        <v>102</v>
      </c>
      <c r="K7529" s="2" t="s">
        <v>14102</v>
      </c>
    </row>
    <row r="7530" ht="15.75" customHeight="1">
      <c r="A7530" s="2">
        <v>10693.0</v>
      </c>
      <c r="B7530" s="2" t="s">
        <v>4857</v>
      </c>
      <c r="C7530" s="2" t="s">
        <v>14103</v>
      </c>
      <c r="D7530" s="2" t="s">
        <v>14104</v>
      </c>
      <c r="E7530" s="2" t="s">
        <v>301</v>
      </c>
      <c r="F7530" s="2">
        <v>16.0</v>
      </c>
      <c r="G7530" s="2">
        <v>500.0</v>
      </c>
      <c r="H7530" s="3" t="str">
        <f>HYPERLINK("http://www.linkedin.com/pub/deborah-blomfield/9/959/3B8","http://www.linkedin.com/pub/deborah-blomfield/9/959/3B8")</f>
        <v>http://www.linkedin.com/pub/deborah-blomfield/9/959/3B8</v>
      </c>
      <c r="I7530" s="2" t="s">
        <v>15</v>
      </c>
      <c r="J7530" s="2" t="s">
        <v>102</v>
      </c>
      <c r="K7530" s="2" t="s">
        <v>14105</v>
      </c>
    </row>
    <row r="7531" ht="15.75" customHeight="1">
      <c r="A7531" s="2">
        <v>11069.0</v>
      </c>
      <c r="B7531" s="2" t="s">
        <v>5723</v>
      </c>
      <c r="C7531" s="2" t="s">
        <v>4045</v>
      </c>
      <c r="D7531" s="2" t="s">
        <v>13</v>
      </c>
      <c r="E7531" s="2" t="s">
        <v>20</v>
      </c>
      <c r="F7531" s="2">
        <v>1.0</v>
      </c>
      <c r="G7531" s="2">
        <v>445.0</v>
      </c>
      <c r="H7531" s="3" t="str">
        <f>HYPERLINK("http://www.linkedin.com/in/pablogamba","http://www.linkedin.com/in/pablogamba")</f>
        <v>http://www.linkedin.com/in/pablogamba</v>
      </c>
      <c r="I7531" s="2" t="s">
        <v>48</v>
      </c>
      <c r="J7531" s="2" t="s">
        <v>21</v>
      </c>
      <c r="K7531" s="2" t="s">
        <v>14106</v>
      </c>
    </row>
    <row r="7532" ht="15.75" customHeight="1">
      <c r="A7532" s="2">
        <v>11103.0</v>
      </c>
      <c r="B7532" s="2" t="s">
        <v>1173</v>
      </c>
      <c r="C7532" s="2" t="s">
        <v>14107</v>
      </c>
      <c r="D7532" s="2" t="s">
        <v>47</v>
      </c>
      <c r="E7532" s="2" t="s">
        <v>3516</v>
      </c>
      <c r="F7532" s="2">
        <v>2.0</v>
      </c>
      <c r="G7532" s="2">
        <v>500.0</v>
      </c>
      <c r="H7532" s="3" t="str">
        <f>HYPERLINK("http://www.linkedin.com/in/steveflinn","http://www.linkedin.com/in/steveflinn")</f>
        <v>http://www.linkedin.com/in/steveflinn</v>
      </c>
      <c r="I7532" s="2" t="s">
        <v>15</v>
      </c>
      <c r="J7532" s="2" t="s">
        <v>102</v>
      </c>
      <c r="K7532" s="2" t="s">
        <v>14080</v>
      </c>
    </row>
    <row r="7533" ht="15.75" customHeight="1">
      <c r="A7533" s="2">
        <v>11125.0</v>
      </c>
      <c r="B7533" s="2" t="s">
        <v>412</v>
      </c>
      <c r="C7533" s="2" t="s">
        <v>14108</v>
      </c>
      <c r="D7533" s="2" t="s">
        <v>14109</v>
      </c>
      <c r="E7533" s="2" t="s">
        <v>1041</v>
      </c>
      <c r="F7533" s="2">
        <v>48.0</v>
      </c>
      <c r="G7533" s="2">
        <v>500.0</v>
      </c>
      <c r="H7533" s="3" t="str">
        <f>HYPERLINK("http://www.linkedin.com/in/robertmercer","http://www.linkedin.com/in/robertmercer")</f>
        <v>http://www.linkedin.com/in/robertmercer</v>
      </c>
      <c r="I7533" s="2" t="s">
        <v>48</v>
      </c>
      <c r="J7533" s="2" t="s">
        <v>102</v>
      </c>
      <c r="K7533" s="2" t="s">
        <v>14088</v>
      </c>
    </row>
    <row r="7534" ht="15.75" customHeight="1">
      <c r="A7534" s="2">
        <v>11127.0</v>
      </c>
      <c r="B7534" s="2" t="s">
        <v>879</v>
      </c>
      <c r="C7534" s="2" t="s">
        <v>14110</v>
      </c>
      <c r="D7534" s="2" t="s">
        <v>400</v>
      </c>
      <c r="E7534" s="2" t="s">
        <v>136</v>
      </c>
      <c r="F7534" s="2">
        <v>33.0</v>
      </c>
      <c r="G7534" s="2">
        <v>500.0</v>
      </c>
      <c r="H7534" s="3" t="str">
        <f>HYPERLINK("http://www.linkedin.com/in/bliss","http://www.linkedin.com/in/bliss")</f>
        <v>http://www.linkedin.com/in/bliss</v>
      </c>
      <c r="I7534" s="2" t="s">
        <v>15</v>
      </c>
      <c r="J7534" s="2" t="s">
        <v>102</v>
      </c>
      <c r="K7534" s="2" t="s">
        <v>14111</v>
      </c>
    </row>
    <row r="7535" ht="15.75" customHeight="1">
      <c r="A7535" s="2">
        <v>11219.0</v>
      </c>
      <c r="B7535" s="2" t="s">
        <v>14112</v>
      </c>
      <c r="C7535" s="2" t="s">
        <v>14113</v>
      </c>
      <c r="D7535" s="2" t="s">
        <v>5009</v>
      </c>
      <c r="E7535" s="2" t="s">
        <v>20</v>
      </c>
      <c r="F7535" s="2">
        <v>10.0</v>
      </c>
      <c r="G7535" s="2">
        <v>443.0</v>
      </c>
      <c r="H7535" s="3" t="str">
        <f>HYPERLINK("http://ar.linkedin.com/in/adebiase","http://ar.linkedin.com/in/adebiase")</f>
        <v>http://ar.linkedin.com/in/adebiase</v>
      </c>
      <c r="I7535" s="2" t="s">
        <v>15</v>
      </c>
      <c r="J7535" s="2" t="s">
        <v>21</v>
      </c>
      <c r="K7535" s="2" t="s">
        <v>14082</v>
      </c>
    </row>
    <row r="7536" ht="15.75" customHeight="1">
      <c r="A7536" s="2">
        <v>11450.0</v>
      </c>
      <c r="B7536" s="2" t="s">
        <v>839</v>
      </c>
      <c r="C7536" s="2" t="s">
        <v>14114</v>
      </c>
      <c r="D7536" s="2" t="s">
        <v>114</v>
      </c>
      <c r="E7536" s="2" t="s">
        <v>4275</v>
      </c>
      <c r="F7536" s="2">
        <v>9.0</v>
      </c>
      <c r="G7536" s="2">
        <v>500.0</v>
      </c>
      <c r="H7536" s="3" t="str">
        <f>HYPERLINK("http://www.linkedin.com/in/davenerz","http://www.linkedin.com/in/davenerz")</f>
        <v>http://www.linkedin.com/in/davenerz</v>
      </c>
      <c r="I7536" s="2" t="s">
        <v>248</v>
      </c>
      <c r="J7536" s="2" t="s">
        <v>102</v>
      </c>
      <c r="K7536" s="2" t="s">
        <v>14115</v>
      </c>
    </row>
    <row r="7537" ht="15.75" customHeight="1">
      <c r="A7537" s="2">
        <v>11595.0</v>
      </c>
      <c r="B7537" s="2" t="s">
        <v>845</v>
      </c>
      <c r="C7537" s="2" t="s">
        <v>4012</v>
      </c>
      <c r="D7537" s="2" t="s">
        <v>14116</v>
      </c>
      <c r="E7537" s="2" t="s">
        <v>1407</v>
      </c>
      <c r="F7537" s="2">
        <v>5.0</v>
      </c>
      <c r="G7537" s="2">
        <v>296.0</v>
      </c>
      <c r="H7537" s="3" t="str">
        <f>HYPERLINK("http://www.linkedin.com/pub/david-evans/6/25A/170","http://www.linkedin.com/pub/david-evans/6/25A/170")</f>
        <v>http://www.linkedin.com/pub/david-evans/6/25A/170</v>
      </c>
      <c r="I7537" s="2" t="s">
        <v>15</v>
      </c>
      <c r="J7537" s="2" t="s">
        <v>102</v>
      </c>
      <c r="K7537" s="2" t="s">
        <v>14117</v>
      </c>
    </row>
    <row r="7538" ht="15.75" customHeight="1">
      <c r="A7538" s="2">
        <v>11719.0</v>
      </c>
      <c r="B7538" s="2" t="s">
        <v>845</v>
      </c>
      <c r="C7538" s="2" t="s">
        <v>14118</v>
      </c>
      <c r="D7538" s="2" t="s">
        <v>1320</v>
      </c>
      <c r="E7538" s="2" t="s">
        <v>7844</v>
      </c>
      <c r="F7538" s="2">
        <v>24.0</v>
      </c>
      <c r="G7538" s="2">
        <v>500.0</v>
      </c>
      <c r="H7538" s="3" t="str">
        <f>HYPERLINK("http://www.linkedin.com/in/davidtruchot","http://www.linkedin.com/in/davidtruchot")</f>
        <v>http://www.linkedin.com/in/davidtruchot</v>
      </c>
      <c r="I7538" s="2" t="s">
        <v>57</v>
      </c>
      <c r="J7538" s="2" t="s">
        <v>102</v>
      </c>
      <c r="K7538" s="2" t="s">
        <v>14092</v>
      </c>
    </row>
    <row r="7539" ht="15.75" customHeight="1">
      <c r="A7539" s="2">
        <v>11732.0</v>
      </c>
      <c r="B7539" s="2" t="s">
        <v>264</v>
      </c>
      <c r="C7539" s="2" t="s">
        <v>14119</v>
      </c>
      <c r="D7539" s="2" t="s">
        <v>14120</v>
      </c>
      <c r="E7539" s="2" t="s">
        <v>1190</v>
      </c>
      <c r="F7539" s="2">
        <v>16.0</v>
      </c>
      <c r="G7539" s="2">
        <v>500.0</v>
      </c>
      <c r="H7539" s="3" t="str">
        <f>HYPERLINK("http://www.linkedin.com/in/andresbiernat","http://www.linkedin.com/in/andresbiernat")</f>
        <v>http://www.linkedin.com/in/andresbiernat</v>
      </c>
      <c r="I7539" s="2" t="s">
        <v>910</v>
      </c>
      <c r="J7539" s="2" t="s">
        <v>102</v>
      </c>
      <c r="K7539" s="2" t="s">
        <v>14121</v>
      </c>
    </row>
    <row r="7540" ht="15.75" customHeight="1">
      <c r="A7540" s="2">
        <v>11857.0</v>
      </c>
      <c r="B7540" s="2" t="s">
        <v>14122</v>
      </c>
      <c r="C7540" s="2" t="s">
        <v>14123</v>
      </c>
      <c r="D7540" s="2" t="s">
        <v>517</v>
      </c>
      <c r="E7540" s="2" t="s">
        <v>301</v>
      </c>
      <c r="F7540" s="2">
        <v>17.0</v>
      </c>
      <c r="G7540" s="2">
        <v>247.0</v>
      </c>
      <c r="H7540" s="3" t="str">
        <f>HYPERLINK("http://www.linkedin.com/in/hassanabdelrahman","http://www.linkedin.com/in/hassanabdelrahman")</f>
        <v>http://www.linkedin.com/in/hassanabdelrahman</v>
      </c>
      <c r="I7540" s="2" t="s">
        <v>48</v>
      </c>
      <c r="J7540" s="2" t="s">
        <v>102</v>
      </c>
      <c r="K7540" s="2" t="s">
        <v>14078</v>
      </c>
    </row>
    <row r="7541" ht="15.75" customHeight="1">
      <c r="A7541" s="2">
        <v>12054.0</v>
      </c>
      <c r="B7541" s="2" t="s">
        <v>79</v>
      </c>
      <c r="C7541" s="2" t="s">
        <v>14124</v>
      </c>
      <c r="D7541" s="2" t="s">
        <v>13</v>
      </c>
      <c r="E7541" s="2" t="s">
        <v>20</v>
      </c>
      <c r="F7541" s="2">
        <v>0.0</v>
      </c>
      <c r="G7541" s="2">
        <v>500.0</v>
      </c>
      <c r="H7541" s="3" t="str">
        <f>HYPERLINK("http://www.linkedin.com/pub/tom%C3%A1s-talarico/25/a6a/57a","http://www.linkedin.com/pub/tom%C3%A1s-talarico/25/a6a/57a")</f>
        <v>http://www.linkedin.com/pub/tom%C3%A1s-talarico/25/a6a/57a</v>
      </c>
      <c r="I7541" s="2" t="s">
        <v>77</v>
      </c>
      <c r="J7541" s="2" t="s">
        <v>21</v>
      </c>
      <c r="K7541" s="2" t="s">
        <v>14125</v>
      </c>
    </row>
    <row r="7542" ht="15.75" customHeight="1">
      <c r="A7542" s="2">
        <v>12284.0</v>
      </c>
      <c r="B7542" s="2" t="s">
        <v>5803</v>
      </c>
      <c r="C7542" s="2" t="s">
        <v>14126</v>
      </c>
      <c r="D7542" s="2" t="s">
        <v>400</v>
      </c>
      <c r="E7542" s="2" t="s">
        <v>20</v>
      </c>
      <c r="F7542" s="2">
        <v>7.0</v>
      </c>
      <c r="G7542" s="2">
        <v>500.0</v>
      </c>
      <c r="H7542" s="3" t="str">
        <f>HYPERLINK("http://ar.linkedin.com/in/marianopulgar","http://ar.linkedin.com/in/marianopulgar")</f>
        <v>http://ar.linkedin.com/in/marianopulgar</v>
      </c>
      <c r="I7542" s="2" t="s">
        <v>69</v>
      </c>
      <c r="J7542" s="2" t="s">
        <v>21</v>
      </c>
      <c r="K7542" s="2" t="s">
        <v>14055</v>
      </c>
    </row>
    <row r="7543" ht="15.75" customHeight="1">
      <c r="A7543" s="2">
        <v>12983.0</v>
      </c>
      <c r="B7543" s="2" t="s">
        <v>1593</v>
      </c>
      <c r="C7543" s="2" t="s">
        <v>14127</v>
      </c>
      <c r="D7543" s="2" t="s">
        <v>13</v>
      </c>
      <c r="E7543" s="2" t="s">
        <v>3516</v>
      </c>
      <c r="F7543" s="2">
        <v>4.0</v>
      </c>
      <c r="G7543" s="2">
        <v>406.0</v>
      </c>
      <c r="H7543" s="3" t="str">
        <f>HYPERLINK("https://www.linkedin.com/in/adamwulf","https://www.linkedin.com/in/adamwulf")</f>
        <v>https://www.linkedin.com/in/adamwulf</v>
      </c>
      <c r="I7543" s="2" t="s">
        <v>48</v>
      </c>
      <c r="J7543" s="2" t="s">
        <v>102</v>
      </c>
      <c r="K7543" s="2" t="s">
        <v>14078</v>
      </c>
    </row>
    <row r="7544" ht="15.75" customHeight="1">
      <c r="A7544" s="2">
        <v>12991.0</v>
      </c>
      <c r="B7544" s="2" t="s">
        <v>275</v>
      </c>
      <c r="C7544" s="2" t="s">
        <v>288</v>
      </c>
      <c r="D7544" s="2" t="s">
        <v>14128</v>
      </c>
      <c r="E7544" s="2" t="s">
        <v>871</v>
      </c>
      <c r="F7544" s="2">
        <v>29.0</v>
      </c>
      <c r="G7544" s="2">
        <v>500.0</v>
      </c>
      <c r="H7544" s="3" t="str">
        <f>HYPERLINK("http://www.linkedin.com/in/zymurge","http://www.linkedin.com/in/zymurge")</f>
        <v>http://www.linkedin.com/in/zymurge</v>
      </c>
      <c r="I7544" s="2" t="s">
        <v>69</v>
      </c>
      <c r="J7544" s="2" t="s">
        <v>102</v>
      </c>
      <c r="K7544" s="2" t="s">
        <v>14088</v>
      </c>
    </row>
    <row r="7545" ht="15.75" customHeight="1">
      <c r="A7545" s="2">
        <v>13051.0</v>
      </c>
      <c r="B7545" s="2" t="s">
        <v>275</v>
      </c>
      <c r="C7545" s="2" t="s">
        <v>14129</v>
      </c>
      <c r="D7545" s="2" t="s">
        <v>13</v>
      </c>
      <c r="E7545" s="2" t="s">
        <v>542</v>
      </c>
      <c r="F7545" s="2">
        <v>0.0</v>
      </c>
      <c r="G7545" s="2">
        <v>470.0</v>
      </c>
      <c r="H7545" s="3" t="str">
        <f>HYPERLINK("http://www.linkedin.com/pub/mark-lackey/17/713/675","http://www.linkedin.com/pub/mark-lackey/17/713/675")</f>
        <v>http://www.linkedin.com/pub/mark-lackey/17/713/675</v>
      </c>
      <c r="I7545" s="2" t="s">
        <v>910</v>
      </c>
      <c r="J7545" s="2" t="s">
        <v>102</v>
      </c>
      <c r="K7545" s="2" t="s">
        <v>14074</v>
      </c>
    </row>
    <row r="7546" ht="15.75" customHeight="1">
      <c r="A7546" s="2">
        <v>13081.0</v>
      </c>
      <c r="B7546" s="2" t="s">
        <v>14130</v>
      </c>
      <c r="C7546" s="2" t="s">
        <v>14131</v>
      </c>
      <c r="D7546" s="2" t="s">
        <v>400</v>
      </c>
      <c r="E7546" s="2" t="s">
        <v>136</v>
      </c>
      <c r="F7546" s="2">
        <v>11.0</v>
      </c>
      <c r="G7546" s="2">
        <v>500.0</v>
      </c>
      <c r="H7546" s="3" t="str">
        <f>HYPERLINK("http://www.linkedin.com/pub/garret-tadlock/0/732/609","http://www.linkedin.com/pub/garret-tadlock/0/732/609")</f>
        <v>http://www.linkedin.com/pub/garret-tadlock/0/732/609</v>
      </c>
      <c r="I7546" s="2" t="s">
        <v>48</v>
      </c>
      <c r="J7546" s="2" t="s">
        <v>102</v>
      </c>
      <c r="K7546" s="2" t="s">
        <v>14088</v>
      </c>
    </row>
    <row r="7547" ht="15.75" customHeight="1">
      <c r="A7547" s="2">
        <v>13188.0</v>
      </c>
      <c r="B7547" s="2" t="s">
        <v>242</v>
      </c>
      <c r="C7547" s="2" t="s">
        <v>14132</v>
      </c>
      <c r="D7547" s="2" t="s">
        <v>14133</v>
      </c>
      <c r="E7547" s="2" t="s">
        <v>136</v>
      </c>
      <c r="F7547" s="2">
        <v>19.0</v>
      </c>
      <c r="G7547" s="2">
        <v>500.0</v>
      </c>
      <c r="H7547" s="3" t="str">
        <f>HYPERLINK("http://www.linkedin.com/in/annaanisin","http://www.linkedin.com/in/annaanisin")</f>
        <v>http://www.linkedin.com/in/annaanisin</v>
      </c>
      <c r="I7547" s="2" t="s">
        <v>69</v>
      </c>
      <c r="J7547" s="2" t="s">
        <v>102</v>
      </c>
      <c r="K7547" s="2" t="s">
        <v>14078</v>
      </c>
    </row>
    <row r="7548" ht="15.75" customHeight="1">
      <c r="A7548" s="2">
        <v>13429.0</v>
      </c>
      <c r="B7548" s="2" t="s">
        <v>5310</v>
      </c>
      <c r="C7548" s="2" t="s">
        <v>1157</v>
      </c>
      <c r="D7548" s="2" t="s">
        <v>14134</v>
      </c>
      <c r="E7548" s="2" t="s">
        <v>166</v>
      </c>
      <c r="F7548" s="2">
        <v>58.0</v>
      </c>
      <c r="G7548" s="2">
        <v>500.0</v>
      </c>
      <c r="H7548" s="3" t="str">
        <f>HYPERLINK("http://www.linkedin.com/in/dustinwhoward","http://www.linkedin.com/in/dustinwhoward")</f>
        <v>http://www.linkedin.com/in/dustinwhoward</v>
      </c>
      <c r="I7548" s="2" t="s">
        <v>15</v>
      </c>
      <c r="J7548" s="2" t="s">
        <v>102</v>
      </c>
      <c r="K7548" s="2" t="s">
        <v>14092</v>
      </c>
    </row>
    <row r="7549" ht="15.75" customHeight="1">
      <c r="A7549" s="2">
        <v>13438.0</v>
      </c>
      <c r="B7549" s="2" t="s">
        <v>302</v>
      </c>
      <c r="C7549" s="2" t="s">
        <v>14135</v>
      </c>
      <c r="D7549" s="2" t="s">
        <v>517</v>
      </c>
      <c r="E7549" s="2" t="s">
        <v>166</v>
      </c>
      <c r="F7549" s="2">
        <v>30.0</v>
      </c>
      <c r="G7549" s="2">
        <v>500.0</v>
      </c>
      <c r="H7549" s="3" t="str">
        <f>HYPERLINK("http://www.linkedin.com/in/fencken","http://www.linkedin.com/in/fencken")</f>
        <v>http://www.linkedin.com/in/fencken</v>
      </c>
      <c r="I7549" s="2" t="s">
        <v>15</v>
      </c>
      <c r="J7549" s="2" t="s">
        <v>102</v>
      </c>
      <c r="K7549" s="2" t="s">
        <v>14088</v>
      </c>
    </row>
    <row r="7550" ht="15.75" customHeight="1">
      <c r="A7550" s="2">
        <v>13439.0</v>
      </c>
      <c r="B7550" s="2" t="s">
        <v>412</v>
      </c>
      <c r="C7550" s="2" t="s">
        <v>3028</v>
      </c>
      <c r="D7550" s="2" t="s">
        <v>14136</v>
      </c>
      <c r="E7550" s="2" t="s">
        <v>166</v>
      </c>
      <c r="F7550" s="2">
        <v>17.0</v>
      </c>
      <c r="G7550" s="2">
        <v>500.0</v>
      </c>
      <c r="H7550" s="3" t="str">
        <f>HYPERLINK("http://www.linkedin.com/in/wallacera","http://www.linkedin.com/in/wallacera")</f>
        <v>http://www.linkedin.com/in/wallacera</v>
      </c>
      <c r="I7550" s="2" t="s">
        <v>57</v>
      </c>
      <c r="J7550" s="2" t="s">
        <v>102</v>
      </c>
      <c r="K7550" s="2" t="s">
        <v>14052</v>
      </c>
    </row>
    <row r="7551" ht="15.75" customHeight="1">
      <c r="A7551" s="2">
        <v>13555.0</v>
      </c>
      <c r="B7551" s="2" t="s">
        <v>133</v>
      </c>
      <c r="C7551" s="2" t="s">
        <v>14137</v>
      </c>
      <c r="D7551" s="2" t="s">
        <v>1062</v>
      </c>
      <c r="E7551" s="2" t="s">
        <v>136</v>
      </c>
      <c r="F7551" s="2">
        <v>13.0</v>
      </c>
      <c r="G7551" s="2">
        <v>500.0</v>
      </c>
      <c r="H7551" s="3" t="str">
        <f>HYPERLINK("http://www.linkedin.com/in/michaelpilip","http://www.linkedin.com/in/michaelpilip")</f>
        <v>http://www.linkedin.com/in/michaelpilip</v>
      </c>
      <c r="I7551" s="2" t="s">
        <v>48</v>
      </c>
      <c r="J7551" s="2" t="s">
        <v>102</v>
      </c>
      <c r="K7551" s="2" t="s">
        <v>14071</v>
      </c>
    </row>
    <row r="7552" ht="15.75" customHeight="1">
      <c r="A7552" s="2">
        <v>13571.0</v>
      </c>
      <c r="B7552" s="2" t="s">
        <v>14138</v>
      </c>
      <c r="C7552" s="2" t="s">
        <v>10715</v>
      </c>
      <c r="D7552" s="2" t="s">
        <v>14139</v>
      </c>
      <c r="E7552" s="2" t="s">
        <v>136</v>
      </c>
      <c r="F7552" s="2">
        <v>30.0</v>
      </c>
      <c r="G7552" s="2">
        <v>500.0</v>
      </c>
      <c r="H7552" s="3" t="str">
        <f>HYPERLINK("http://www.linkedin.com/in/csimmons","http://www.linkedin.com/in/csimmons")</f>
        <v>http://www.linkedin.com/in/csimmons</v>
      </c>
      <c r="I7552" s="2" t="s">
        <v>1452</v>
      </c>
      <c r="J7552" s="2" t="s">
        <v>102</v>
      </c>
      <c r="K7552" s="2" t="s">
        <v>14140</v>
      </c>
    </row>
    <row r="7553" ht="15.75" customHeight="1">
      <c r="A7553" s="2">
        <v>13659.0</v>
      </c>
      <c r="B7553" s="2" t="s">
        <v>492</v>
      </c>
      <c r="C7553" s="2" t="s">
        <v>5927</v>
      </c>
      <c r="D7553" s="2" t="s">
        <v>108</v>
      </c>
      <c r="E7553" s="2" t="s">
        <v>20</v>
      </c>
      <c r="F7553" s="2">
        <v>0.0</v>
      </c>
      <c r="G7553" s="2">
        <v>215.0</v>
      </c>
      <c r="H7553" s="3" t="str">
        <f>HYPERLINK("http://ar.linkedin.com/pub/sergio-dos-santos/4/319/86B","http://ar.linkedin.com/pub/sergio-dos-santos/4/319/86B")</f>
        <v>http://ar.linkedin.com/pub/sergio-dos-santos/4/319/86B</v>
      </c>
      <c r="I7553" s="2" t="s">
        <v>15</v>
      </c>
      <c r="J7553" s="2" t="s">
        <v>21</v>
      </c>
      <c r="K7553" s="2" t="s">
        <v>14080</v>
      </c>
    </row>
    <row r="7554" ht="15.75" customHeight="1">
      <c r="A7554" s="2">
        <v>13678.0</v>
      </c>
      <c r="B7554" s="2" t="s">
        <v>329</v>
      </c>
      <c r="C7554" s="2" t="s">
        <v>14141</v>
      </c>
      <c r="D7554" s="2" t="s">
        <v>14128</v>
      </c>
      <c r="E7554" s="2" t="s">
        <v>136</v>
      </c>
      <c r="F7554" s="2">
        <v>1.0</v>
      </c>
      <c r="G7554" s="2">
        <v>500.0</v>
      </c>
      <c r="H7554" s="3" t="str">
        <f>HYPERLINK("http://www.linkedin.com/pub/juan-pablo-dellarroquelle/1/B8B/A62","http://www.linkedin.com/pub/juan-pablo-dellarroquelle/1/B8B/A62")</f>
        <v>http://www.linkedin.com/pub/juan-pablo-dellarroquelle/1/B8B/A62</v>
      </c>
      <c r="I7554" s="2" t="s">
        <v>48</v>
      </c>
      <c r="J7554" s="2" t="s">
        <v>102</v>
      </c>
      <c r="K7554" s="2" t="s">
        <v>14142</v>
      </c>
    </row>
    <row r="7555" ht="15.75" customHeight="1">
      <c r="A7555" s="2">
        <v>13686.0</v>
      </c>
      <c r="B7555" s="2" t="s">
        <v>59</v>
      </c>
      <c r="C7555" s="2" t="s">
        <v>14143</v>
      </c>
      <c r="D7555" s="2" t="s">
        <v>47</v>
      </c>
      <c r="E7555" s="2" t="s">
        <v>20</v>
      </c>
      <c r="F7555" s="2">
        <v>1.0</v>
      </c>
      <c r="G7555" s="2">
        <v>450.0</v>
      </c>
      <c r="H7555" s="3" t="str">
        <f>HYPERLINK("http://ar.linkedin.com/pub/martin-repetto/11/747/27B","http://ar.linkedin.com/pub/martin-repetto/11/747/27B")</f>
        <v>http://ar.linkedin.com/pub/martin-repetto/11/747/27B</v>
      </c>
      <c r="I7555" s="2" t="s">
        <v>48</v>
      </c>
      <c r="J7555" s="2" t="s">
        <v>21</v>
      </c>
      <c r="K7555" s="2" t="s">
        <v>14057</v>
      </c>
    </row>
    <row r="7556" ht="15.75" customHeight="1">
      <c r="A7556" s="2">
        <v>13749.0</v>
      </c>
      <c r="B7556" s="2" t="s">
        <v>14144</v>
      </c>
      <c r="C7556" s="2" t="s">
        <v>2213</v>
      </c>
      <c r="D7556" s="2" t="s">
        <v>14145</v>
      </c>
      <c r="E7556" s="2" t="s">
        <v>1407</v>
      </c>
      <c r="F7556" s="2">
        <v>2.0</v>
      </c>
      <c r="G7556" s="2">
        <v>500.0</v>
      </c>
      <c r="H7556" s="3" t="str">
        <f>HYPERLINK("http://www.linkedin.com/in/vraoprofile","http://www.linkedin.com/in/vraoprofile")</f>
        <v>http://www.linkedin.com/in/vraoprofile</v>
      </c>
      <c r="I7556" s="2" t="s">
        <v>15</v>
      </c>
      <c r="J7556" s="2" t="s">
        <v>102</v>
      </c>
      <c r="K7556" s="2" t="s">
        <v>14142</v>
      </c>
    </row>
    <row r="7557" ht="15.75" customHeight="1">
      <c r="A7557" s="2">
        <v>13926.0</v>
      </c>
      <c r="B7557" s="2" t="s">
        <v>1133</v>
      </c>
      <c r="C7557" s="2" t="s">
        <v>8003</v>
      </c>
      <c r="D7557" s="2" t="s">
        <v>517</v>
      </c>
      <c r="E7557" s="2" t="s">
        <v>914</v>
      </c>
      <c r="F7557" s="2">
        <v>7.0</v>
      </c>
      <c r="G7557" s="2">
        <v>500.0</v>
      </c>
      <c r="H7557" s="3" t="str">
        <f>HYPERLINK("http://www.linkedin.com/in/eugeniop","http://www.linkedin.com/in/eugeniop")</f>
        <v>http://www.linkedin.com/in/eugeniop</v>
      </c>
      <c r="I7557" s="2" t="s">
        <v>48</v>
      </c>
      <c r="J7557" s="2" t="s">
        <v>102</v>
      </c>
      <c r="K7557" s="2" t="s">
        <v>14142</v>
      </c>
    </row>
    <row r="7558" ht="15.75" customHeight="1">
      <c r="A7558" s="2">
        <v>14121.0</v>
      </c>
      <c r="B7558" s="2" t="s">
        <v>14146</v>
      </c>
      <c r="C7558" s="2" t="s">
        <v>14147</v>
      </c>
      <c r="D7558" s="2" t="s">
        <v>14148</v>
      </c>
      <c r="E7558" s="2" t="s">
        <v>397</v>
      </c>
      <c r="F7558" s="2">
        <v>38.0</v>
      </c>
      <c r="G7558" s="2">
        <v>500.0</v>
      </c>
      <c r="H7558" s="3" t="str">
        <f>HYPERLINK("http://www.linkedin.com/in/gcontestabile","http://www.linkedin.com/in/gcontestabile")</f>
        <v>http://www.linkedin.com/in/gcontestabile</v>
      </c>
      <c r="I7558" s="2" t="s">
        <v>69</v>
      </c>
      <c r="J7558" s="2" t="s">
        <v>102</v>
      </c>
      <c r="K7558" s="2" t="s">
        <v>14071</v>
      </c>
    </row>
    <row r="7559" ht="15.75" customHeight="1">
      <c r="A7559" s="2">
        <v>14151.0</v>
      </c>
      <c r="B7559" s="2" t="s">
        <v>3223</v>
      </c>
      <c r="C7559" s="2" t="s">
        <v>14149</v>
      </c>
      <c r="D7559" s="2" t="s">
        <v>14150</v>
      </c>
      <c r="E7559" s="2" t="s">
        <v>101</v>
      </c>
      <c r="F7559" s="2">
        <v>10.0</v>
      </c>
      <c r="G7559" s="2">
        <v>500.0</v>
      </c>
      <c r="H7559" s="3" t="str">
        <f>HYPERLINK("http://www.linkedin.com/in/laurakef","http://www.linkedin.com/in/laurakef")</f>
        <v>http://www.linkedin.com/in/laurakef</v>
      </c>
      <c r="I7559" s="2" t="s">
        <v>77</v>
      </c>
      <c r="J7559" s="2" t="s">
        <v>102</v>
      </c>
      <c r="K7559" s="2" t="s">
        <v>14111</v>
      </c>
    </row>
    <row r="7560" ht="15.75" customHeight="1">
      <c r="A7560" s="2">
        <v>14409.0</v>
      </c>
      <c r="B7560" s="2" t="s">
        <v>11275</v>
      </c>
      <c r="C7560" s="2" t="s">
        <v>14151</v>
      </c>
      <c r="D7560" s="2" t="s">
        <v>943</v>
      </c>
      <c r="E7560" s="2" t="s">
        <v>155</v>
      </c>
      <c r="F7560" s="2">
        <v>23.0</v>
      </c>
      <c r="G7560" s="2">
        <v>500.0</v>
      </c>
      <c r="H7560" s="3" t="str">
        <f>HYPERLINK("http://www.linkedin.com/in/reinaldonormand","http://www.linkedin.com/in/reinaldonormand")</f>
        <v>http://www.linkedin.com/in/reinaldonormand</v>
      </c>
      <c r="I7560" s="2" t="s">
        <v>48</v>
      </c>
      <c r="J7560" s="2" t="s">
        <v>102</v>
      </c>
      <c r="K7560" s="2" t="s">
        <v>14074</v>
      </c>
    </row>
    <row r="7561" ht="15.75" customHeight="1">
      <c r="A7561" s="2">
        <v>14528.0</v>
      </c>
      <c r="B7561" s="2" t="s">
        <v>418</v>
      </c>
      <c r="C7561" s="2" t="s">
        <v>14152</v>
      </c>
      <c r="D7561" s="2" t="s">
        <v>410</v>
      </c>
      <c r="E7561" s="2" t="s">
        <v>301</v>
      </c>
      <c r="F7561" s="2">
        <v>0.0</v>
      </c>
      <c r="G7561" s="2">
        <v>124.0</v>
      </c>
      <c r="H7561" s="3" t="str">
        <f>HYPERLINK("http://www.linkedin.com/pub/ivan-oros/8/4A6/643","http://www.linkedin.com/pub/ivan-oros/8/4A6/643")</f>
        <v>http://www.linkedin.com/pub/ivan-oros/8/4A6/643</v>
      </c>
      <c r="I7561" s="2" t="s">
        <v>115</v>
      </c>
      <c r="J7561" s="2" t="s">
        <v>102</v>
      </c>
      <c r="K7561" s="2" t="s">
        <v>14092</v>
      </c>
    </row>
    <row r="7562" ht="15.75" customHeight="1">
      <c r="A7562" s="2">
        <v>14543.0</v>
      </c>
      <c r="B7562" s="2" t="s">
        <v>14153</v>
      </c>
      <c r="C7562" s="2" t="s">
        <v>14154</v>
      </c>
      <c r="D7562" s="2" t="s">
        <v>42</v>
      </c>
      <c r="E7562" s="2" t="s">
        <v>914</v>
      </c>
      <c r="F7562" s="2">
        <v>3.0</v>
      </c>
      <c r="G7562" s="2">
        <v>322.0</v>
      </c>
      <c r="H7562" s="3" t="str">
        <f>HYPERLINK("http://www.linkedin.com/in/rockycaamano","http://www.linkedin.com/in/rockycaamano")</f>
        <v>http://www.linkedin.com/in/rockycaamano</v>
      </c>
      <c r="I7562" s="2" t="s">
        <v>15</v>
      </c>
      <c r="J7562" s="2" t="s">
        <v>102</v>
      </c>
      <c r="K7562" s="2" t="s">
        <v>14074</v>
      </c>
    </row>
    <row r="7563" ht="15.75" customHeight="1">
      <c r="A7563" s="2">
        <v>14581.0</v>
      </c>
      <c r="B7563" s="2" t="s">
        <v>70</v>
      </c>
      <c r="C7563" s="2" t="s">
        <v>14155</v>
      </c>
      <c r="D7563" s="2" t="s">
        <v>47</v>
      </c>
      <c r="E7563" s="2" t="s">
        <v>301</v>
      </c>
      <c r="F7563" s="2">
        <v>2.0</v>
      </c>
      <c r="G7563" s="2">
        <v>104.0</v>
      </c>
      <c r="H7563" s="3" t="str">
        <f>HYPERLINK("http://www.linkedin.com/in/gustavobuendia1","http://www.linkedin.com/in/gustavobuendia1")</f>
        <v>http://www.linkedin.com/in/gustavobuendia1</v>
      </c>
      <c r="I7563" s="2" t="s">
        <v>15</v>
      </c>
      <c r="J7563" s="2" t="s">
        <v>102</v>
      </c>
      <c r="K7563" s="2" t="s">
        <v>14080</v>
      </c>
    </row>
    <row r="7564" ht="15.75" customHeight="1">
      <c r="A7564" s="2">
        <v>14644.0</v>
      </c>
      <c r="B7564" s="2" t="s">
        <v>14156</v>
      </c>
      <c r="C7564" s="2" t="s">
        <v>14157</v>
      </c>
      <c r="D7564" s="2" t="s">
        <v>517</v>
      </c>
      <c r="E7564" s="2" t="s">
        <v>301</v>
      </c>
      <c r="F7564" s="2">
        <v>1.0</v>
      </c>
      <c r="G7564" s="2">
        <v>500.0</v>
      </c>
      <c r="H7564" s="3" t="str">
        <f>HYPERLINK("http://www.linkedin.com/in/pausabria","http://www.linkedin.com/in/pausabria")</f>
        <v>http://www.linkedin.com/in/pausabria</v>
      </c>
      <c r="I7564" s="2" t="s">
        <v>69</v>
      </c>
      <c r="J7564" s="2" t="s">
        <v>102</v>
      </c>
      <c r="K7564" s="2" t="s">
        <v>14142</v>
      </c>
    </row>
    <row r="7565" ht="15.75" customHeight="1">
      <c r="A7565" s="2">
        <v>14892.0</v>
      </c>
      <c r="B7565" s="2" t="s">
        <v>3976</v>
      </c>
      <c r="C7565" s="2" t="s">
        <v>14158</v>
      </c>
      <c r="D7565" s="2" t="s">
        <v>81</v>
      </c>
      <c r="E7565" s="2" t="s">
        <v>136</v>
      </c>
      <c r="F7565" s="2">
        <v>0.0</v>
      </c>
      <c r="G7565" s="2">
        <v>500.0</v>
      </c>
      <c r="H7565" s="3" t="str">
        <f>HYPERLINK("http://www.linkedin.com/in/michaelaorourke","http://www.linkedin.com/in/michaelaorourke")</f>
        <v>http://www.linkedin.com/in/michaelaorourke</v>
      </c>
      <c r="I7565" s="2" t="s">
        <v>15</v>
      </c>
      <c r="J7565" s="2" t="s">
        <v>102</v>
      </c>
      <c r="K7565" s="2" t="s">
        <v>14080</v>
      </c>
    </row>
    <row r="7566" ht="15.75" customHeight="1">
      <c r="A7566" s="2">
        <v>14921.0</v>
      </c>
      <c r="B7566" s="2" t="s">
        <v>788</v>
      </c>
      <c r="C7566" s="2" t="s">
        <v>14159</v>
      </c>
      <c r="D7566" s="2" t="s">
        <v>13</v>
      </c>
      <c r="E7566" s="2" t="s">
        <v>1407</v>
      </c>
      <c r="F7566" s="2">
        <v>0.0</v>
      </c>
      <c r="G7566" s="2">
        <v>500.0</v>
      </c>
      <c r="H7566" s="3" t="str">
        <f>HYPERLINK("http://www.linkedin.com/pub/sam-ramachandran/2/b0/76?trk=pub-pbmap","http://www.linkedin.com/pub/sam-ramachandran/2/b0/76?trk=pub-pbmap")</f>
        <v>http://www.linkedin.com/pub/sam-ramachandran/2/b0/76?trk=pub-pbmap</v>
      </c>
      <c r="I7566" s="2" t="s">
        <v>15</v>
      </c>
      <c r="J7566" s="2" t="s">
        <v>102</v>
      </c>
      <c r="K7566" s="2" t="s">
        <v>14095</v>
      </c>
    </row>
    <row r="7567" ht="15.75" customHeight="1">
      <c r="A7567" s="2">
        <v>14929.0</v>
      </c>
      <c r="B7567" s="2" t="s">
        <v>1570</v>
      </c>
      <c r="C7567" s="2" t="s">
        <v>14160</v>
      </c>
      <c r="D7567" s="2" t="s">
        <v>517</v>
      </c>
      <c r="E7567" s="2" t="s">
        <v>1407</v>
      </c>
      <c r="F7567" s="2">
        <v>19.0</v>
      </c>
      <c r="G7567" s="2">
        <v>500.0</v>
      </c>
      <c r="H7567" s="3" t="str">
        <f>HYPERLINK("http://www.linkedin.com/pub/drew-kiran/7/820/22","http://www.linkedin.com/pub/drew-kiran/7/820/22")</f>
        <v>http://www.linkedin.com/pub/drew-kiran/7/820/22</v>
      </c>
      <c r="I7567" s="2" t="s">
        <v>15</v>
      </c>
      <c r="J7567" s="2" t="s">
        <v>102</v>
      </c>
      <c r="K7567" s="2" t="s">
        <v>14092</v>
      </c>
    </row>
    <row r="7568" ht="15.75" customHeight="1">
      <c r="A7568" s="2">
        <v>14931.0</v>
      </c>
      <c r="B7568" s="2" t="s">
        <v>211</v>
      </c>
      <c r="C7568" s="2" t="s">
        <v>12760</v>
      </c>
      <c r="D7568" s="2" t="s">
        <v>14161</v>
      </c>
      <c r="E7568" s="2" t="s">
        <v>136</v>
      </c>
      <c r="F7568" s="2">
        <v>40.0</v>
      </c>
      <c r="G7568" s="2">
        <v>500.0</v>
      </c>
      <c r="H7568" s="3" t="str">
        <f>HYPERLINK("http://www.linkedin.com/in/susanwalls","http://www.linkedin.com/in/susanwalls")</f>
        <v>http://www.linkedin.com/in/susanwalls</v>
      </c>
      <c r="I7568" s="2" t="s">
        <v>279</v>
      </c>
      <c r="J7568" s="2" t="s">
        <v>102</v>
      </c>
      <c r="K7568" s="2" t="s">
        <v>14078</v>
      </c>
    </row>
    <row r="7569" ht="15.75" customHeight="1">
      <c r="A7569" s="2">
        <v>14936.0</v>
      </c>
      <c r="B7569" s="2" t="s">
        <v>1015</v>
      </c>
      <c r="C7569" s="2" t="s">
        <v>3869</v>
      </c>
      <c r="D7569" s="2" t="s">
        <v>633</v>
      </c>
      <c r="E7569" s="2" t="s">
        <v>1407</v>
      </c>
      <c r="F7569" s="2">
        <v>1.0</v>
      </c>
      <c r="G7569" s="2">
        <v>500.0</v>
      </c>
      <c r="H7569" s="3" t="str">
        <f>HYPERLINK("http://www.linkedin.com/in/brianwilliamsonesourcevhr","http://www.linkedin.com/in/brianwilliamsonesourcevhr")</f>
        <v>http://www.linkedin.com/in/brianwilliamsonesourcevhr</v>
      </c>
      <c r="I7569" s="2" t="s">
        <v>15</v>
      </c>
      <c r="J7569" s="2" t="s">
        <v>102</v>
      </c>
      <c r="K7569" s="2" t="s">
        <v>14080</v>
      </c>
    </row>
    <row r="7570" ht="15.75" customHeight="1">
      <c r="A7570" s="2">
        <v>15433.0</v>
      </c>
      <c r="B7570" s="2" t="s">
        <v>133</v>
      </c>
      <c r="C7570" s="2" t="s">
        <v>13736</v>
      </c>
      <c r="D7570" s="2" t="s">
        <v>2422</v>
      </c>
      <c r="E7570" s="2" t="s">
        <v>971</v>
      </c>
      <c r="F7570" s="2">
        <v>3.0</v>
      </c>
      <c r="G7570" s="2">
        <v>500.0</v>
      </c>
      <c r="H7570" s="3" t="str">
        <f>HYPERLINK("http://www.linkedin.com/pub/michael-hartmann/5/AA8/56A","http://www.linkedin.com/pub/michael-hartmann/5/AA8/56A")</f>
        <v>http://www.linkedin.com/pub/michael-hartmann/5/AA8/56A</v>
      </c>
      <c r="I7570" s="2" t="s">
        <v>2725</v>
      </c>
      <c r="J7570" s="2" t="s">
        <v>102</v>
      </c>
      <c r="K7570" s="2" t="s">
        <v>14074</v>
      </c>
    </row>
    <row r="7571" ht="15.75" customHeight="1">
      <c r="A7571" s="2">
        <v>15917.0</v>
      </c>
      <c r="B7571" s="2" t="s">
        <v>3178</v>
      </c>
      <c r="C7571" s="2" t="s">
        <v>4233</v>
      </c>
      <c r="D7571" s="2" t="s">
        <v>13</v>
      </c>
      <c r="E7571" s="2" t="s">
        <v>20</v>
      </c>
      <c r="F7571" s="2">
        <v>2.0</v>
      </c>
      <c r="G7571" s="2">
        <v>426.0</v>
      </c>
      <c r="H7571" s="3" t="str">
        <f>HYPERLINK("http://www.linkedin.com/in/lucasgonzalez","http://www.linkedin.com/in/lucasgonzalez")</f>
        <v>http://www.linkedin.com/in/lucasgonzalez</v>
      </c>
      <c r="I7571" s="2" t="s">
        <v>69</v>
      </c>
      <c r="J7571" s="2" t="s">
        <v>21</v>
      </c>
      <c r="K7571" s="2" t="s">
        <v>14095</v>
      </c>
    </row>
    <row r="7572" ht="15.75" customHeight="1">
      <c r="A7572" s="2">
        <v>16094.0</v>
      </c>
      <c r="B7572" s="2" t="s">
        <v>45</v>
      </c>
      <c r="C7572" s="2" t="s">
        <v>14162</v>
      </c>
      <c r="D7572" s="2"/>
      <c r="E7572" s="2" t="s">
        <v>1190</v>
      </c>
      <c r="F7572" s="2">
        <v>0.0</v>
      </c>
      <c r="G7572" s="2">
        <v>500.0</v>
      </c>
      <c r="H7572" s="3" t="str">
        <f>HYPERLINK("http://www.linkedin.com/pub/carlos-atehortua/2/491/131","http://www.linkedin.com/pub/carlos-atehortua/2/491/131")</f>
        <v>http://www.linkedin.com/pub/carlos-atehortua/2/491/131</v>
      </c>
      <c r="I7572" s="2" t="s">
        <v>48</v>
      </c>
      <c r="J7572" s="2" t="s">
        <v>102</v>
      </c>
      <c r="K7572" s="2" t="s">
        <v>14117</v>
      </c>
    </row>
    <row r="7573" ht="15.75" customHeight="1">
      <c r="A7573" s="2">
        <v>16148.0</v>
      </c>
      <c r="B7573" s="2" t="s">
        <v>1479</v>
      </c>
      <c r="C7573" s="2" t="s">
        <v>10360</v>
      </c>
      <c r="D7573" s="2" t="s">
        <v>42</v>
      </c>
      <c r="E7573" s="2" t="s">
        <v>136</v>
      </c>
      <c r="F7573" s="2">
        <v>6.0</v>
      </c>
      <c r="G7573" s="2">
        <v>500.0</v>
      </c>
      <c r="H7573" s="3" t="str">
        <f>HYPERLINK("http://www.linkedin.com/in/frankphernandez","http://www.linkedin.com/in/frankphernandez")</f>
        <v>http://www.linkedin.com/in/frankphernandez</v>
      </c>
      <c r="I7573" s="2" t="s">
        <v>15</v>
      </c>
      <c r="J7573" s="2" t="s">
        <v>102</v>
      </c>
      <c r="K7573" s="2" t="s">
        <v>14163</v>
      </c>
    </row>
    <row r="7574" ht="15.75" customHeight="1">
      <c r="A7574" s="2">
        <v>16192.0</v>
      </c>
      <c r="B7574" s="2" t="s">
        <v>14164</v>
      </c>
      <c r="C7574" s="2" t="s">
        <v>7028</v>
      </c>
      <c r="D7574" s="2" t="s">
        <v>3298</v>
      </c>
      <c r="E7574" s="2" t="s">
        <v>20</v>
      </c>
      <c r="F7574" s="2">
        <v>22.0</v>
      </c>
      <c r="G7574" s="2">
        <v>500.0</v>
      </c>
      <c r="H7574" s="3" t="str">
        <f>HYPERLINK("http://www.linkedin.com/pub/gabriel-enzo-gagliardi/13/772/13a","http://www.linkedin.com/pub/gabriel-enzo-gagliardi/13/772/13a")</f>
        <v>http://www.linkedin.com/pub/gabriel-enzo-gagliardi/13/772/13a</v>
      </c>
      <c r="I7574" s="2" t="s">
        <v>15</v>
      </c>
      <c r="J7574" s="2" t="s">
        <v>21</v>
      </c>
      <c r="K7574" s="2" t="s">
        <v>14057</v>
      </c>
    </row>
    <row r="7575" ht="15.75" customHeight="1">
      <c r="A7575" s="2">
        <v>16297.0</v>
      </c>
      <c r="B7575" s="2" t="s">
        <v>14165</v>
      </c>
      <c r="C7575" s="2" t="s">
        <v>206</v>
      </c>
      <c r="D7575" s="2" t="s">
        <v>14166</v>
      </c>
      <c r="E7575" s="2" t="s">
        <v>14167</v>
      </c>
      <c r="F7575" s="2">
        <v>5.0</v>
      </c>
      <c r="G7575" s="2">
        <v>500.0</v>
      </c>
      <c r="H7575" s="3" t="str">
        <f>HYPERLINK("http://www.linkedin.com/pub/hilda-garcia/0/343/42","http://www.linkedin.com/pub/hilda-garcia/0/343/42")</f>
        <v>http://www.linkedin.com/pub/hilda-garcia/0/343/42</v>
      </c>
      <c r="I7575" s="2" t="s">
        <v>195</v>
      </c>
      <c r="J7575" s="2" t="s">
        <v>102</v>
      </c>
      <c r="K7575" s="2" t="s">
        <v>14102</v>
      </c>
    </row>
    <row r="7576" ht="15.75" customHeight="1">
      <c r="A7576" s="2">
        <v>16374.0</v>
      </c>
      <c r="B7576" s="2" t="s">
        <v>18</v>
      </c>
      <c r="C7576" s="2" t="s">
        <v>14168</v>
      </c>
      <c r="D7576" s="2" t="s">
        <v>14169</v>
      </c>
      <c r="E7576" s="2" t="s">
        <v>20</v>
      </c>
      <c r="F7576" s="2">
        <v>7.0</v>
      </c>
      <c r="G7576" s="2">
        <v>477.0</v>
      </c>
      <c r="H7576" s="3" t="str">
        <f>HYPERLINK("http://www.linkedin.com/in/mauriciovalli","http://www.linkedin.com/in/mauriciovalli")</f>
        <v>http://www.linkedin.com/in/mauriciovalli</v>
      </c>
      <c r="I7576" s="2" t="s">
        <v>15</v>
      </c>
      <c r="J7576" s="2" t="s">
        <v>21</v>
      </c>
      <c r="K7576" s="2" t="s">
        <v>14073</v>
      </c>
    </row>
    <row r="7577" ht="15.75" customHeight="1">
      <c r="A7577" s="2">
        <v>16530.0</v>
      </c>
      <c r="B7577" s="2" t="s">
        <v>665</v>
      </c>
      <c r="C7577" s="2" t="s">
        <v>14170</v>
      </c>
      <c r="D7577" s="2" t="s">
        <v>14171</v>
      </c>
      <c r="E7577" s="2" t="s">
        <v>1190</v>
      </c>
      <c r="F7577" s="2">
        <v>0.0</v>
      </c>
      <c r="G7577" s="2">
        <v>500.0</v>
      </c>
      <c r="H7577" s="3" t="str">
        <f>HYPERLINK("http://www.linkedin.com/pub/jaime-valles/6/B73/63","http://www.linkedin.com/pub/jaime-valles/6/B73/63")</f>
        <v>http://www.linkedin.com/pub/jaime-valles/6/B73/63</v>
      </c>
      <c r="I7577" s="2" t="s">
        <v>873</v>
      </c>
      <c r="J7577" s="2" t="s">
        <v>102</v>
      </c>
      <c r="K7577" s="2" t="s">
        <v>14080</v>
      </c>
    </row>
    <row r="7578" ht="15.75" customHeight="1">
      <c r="A7578" s="2">
        <v>16623.0</v>
      </c>
      <c r="B7578" s="2" t="s">
        <v>227</v>
      </c>
      <c r="C7578" s="2" t="s">
        <v>1903</v>
      </c>
      <c r="D7578" s="2" t="s">
        <v>14172</v>
      </c>
      <c r="E7578" s="2" t="s">
        <v>20</v>
      </c>
      <c r="F7578" s="2">
        <v>9.0</v>
      </c>
      <c r="G7578" s="2">
        <v>500.0</v>
      </c>
      <c r="H7578" s="3" t="str">
        <f>HYPERLINK("http://ar.linkedin.com/in/jorgegil","http://ar.linkedin.com/in/jorgegil")</f>
        <v>http://ar.linkedin.com/in/jorgegil</v>
      </c>
      <c r="I7578" s="2" t="s">
        <v>15</v>
      </c>
      <c r="J7578" s="2" t="s">
        <v>21</v>
      </c>
      <c r="K7578" s="2" t="s">
        <v>14173</v>
      </c>
    </row>
    <row r="7579" ht="15.75" customHeight="1">
      <c r="A7579" s="2">
        <v>16811.0</v>
      </c>
      <c r="B7579" s="2" t="s">
        <v>7935</v>
      </c>
      <c r="C7579" s="2" t="s">
        <v>14174</v>
      </c>
      <c r="D7579" s="2"/>
      <c r="E7579" s="2" t="s">
        <v>235</v>
      </c>
      <c r="F7579" s="2">
        <v>4.0</v>
      </c>
      <c r="G7579" s="2">
        <v>500.0</v>
      </c>
      <c r="H7579" s="3" t="str">
        <f>HYPERLINK("http://www.linkedin.com/pub/charlie-duren/0/910/150","http://www.linkedin.com/pub/charlie-duren/0/910/150")</f>
        <v>http://www.linkedin.com/pub/charlie-duren/0/910/150</v>
      </c>
      <c r="I7579" s="2" t="s">
        <v>15</v>
      </c>
      <c r="J7579" s="2" t="s">
        <v>102</v>
      </c>
      <c r="K7579" s="2" t="s">
        <v>14175</v>
      </c>
    </row>
    <row r="7580" ht="15.75" customHeight="1">
      <c r="A7580" s="2">
        <v>16816.0</v>
      </c>
      <c r="B7580" s="2" t="s">
        <v>478</v>
      </c>
      <c r="C7580" s="2" t="s">
        <v>14176</v>
      </c>
      <c r="D7580" s="2" t="s">
        <v>14177</v>
      </c>
      <c r="E7580" s="2" t="s">
        <v>964</v>
      </c>
      <c r="F7580" s="2">
        <v>4.0</v>
      </c>
      <c r="G7580" s="2">
        <v>454.0</v>
      </c>
      <c r="H7580" s="3" t="str">
        <f>HYPERLINK("http://www.linkedin.com/in/karenlim5","http://www.linkedin.com/in/karenlim5")</f>
        <v>http://www.linkedin.com/in/karenlim5</v>
      </c>
      <c r="I7580" s="2" t="s">
        <v>2362</v>
      </c>
      <c r="J7580" s="2" t="s">
        <v>102</v>
      </c>
      <c r="K7580" s="2" t="s">
        <v>14078</v>
      </c>
    </row>
    <row r="7581" ht="15.75" customHeight="1">
      <c r="A7581" s="2">
        <v>16825.0</v>
      </c>
      <c r="B7581" s="2" t="s">
        <v>1786</v>
      </c>
      <c r="C7581" s="2" t="s">
        <v>14178</v>
      </c>
      <c r="D7581" s="2" t="s">
        <v>300</v>
      </c>
      <c r="E7581" s="2" t="s">
        <v>235</v>
      </c>
      <c r="F7581" s="2">
        <v>8.0</v>
      </c>
      <c r="G7581" s="2">
        <v>310.0</v>
      </c>
      <c r="H7581" s="3" t="str">
        <f>HYPERLINK("http://www.linkedin.com/pub/marilyn-ehrhardt/0/2A5/85","http://www.linkedin.com/pub/marilyn-ehrhardt/0/2A5/85")</f>
        <v>http://www.linkedin.com/pub/marilyn-ehrhardt/0/2A5/85</v>
      </c>
      <c r="I7581" s="2" t="s">
        <v>57</v>
      </c>
      <c r="J7581" s="2" t="s">
        <v>102</v>
      </c>
      <c r="K7581" s="2" t="s">
        <v>14074</v>
      </c>
    </row>
    <row r="7582" ht="15.75" customHeight="1">
      <c r="A7582" s="2">
        <v>16835.0</v>
      </c>
      <c r="B7582" s="2" t="s">
        <v>845</v>
      </c>
      <c r="C7582" s="2" t="s">
        <v>14179</v>
      </c>
      <c r="D7582" s="2" t="s">
        <v>3989</v>
      </c>
      <c r="E7582" s="2" t="s">
        <v>14180</v>
      </c>
      <c r="F7582" s="2">
        <v>28.0</v>
      </c>
      <c r="G7582" s="2">
        <v>500.0</v>
      </c>
      <c r="H7582" s="3" t="str">
        <f>HYPERLINK("http://www.linkedin.com/in/davidreiling","http://www.linkedin.com/in/davidreiling")</f>
        <v>http://www.linkedin.com/in/davidreiling</v>
      </c>
      <c r="I7582" s="2" t="s">
        <v>15</v>
      </c>
      <c r="J7582" s="2" t="s">
        <v>102</v>
      </c>
      <c r="K7582" s="2" t="s">
        <v>14078</v>
      </c>
    </row>
    <row r="7583" ht="15.75" customHeight="1">
      <c r="A7583" s="2">
        <v>16951.0</v>
      </c>
      <c r="B7583" s="2" t="s">
        <v>1932</v>
      </c>
      <c r="C7583" s="2" t="s">
        <v>14181</v>
      </c>
      <c r="D7583" s="2" t="s">
        <v>14182</v>
      </c>
      <c r="E7583" s="2" t="s">
        <v>325</v>
      </c>
      <c r="F7583" s="2">
        <v>33.0</v>
      </c>
      <c r="G7583" s="2">
        <v>500.0</v>
      </c>
      <c r="H7583" s="3" t="str">
        <f>HYPERLINK("http://www.linkedin.com/in/mdaigle","http://www.linkedin.com/in/mdaigle")</f>
        <v>http://www.linkedin.com/in/mdaigle</v>
      </c>
      <c r="I7583" s="2" t="s">
        <v>77</v>
      </c>
      <c r="J7583" s="2" t="s">
        <v>102</v>
      </c>
      <c r="K7583" s="2" t="s">
        <v>14085</v>
      </c>
    </row>
    <row r="7584" ht="15.75" customHeight="1">
      <c r="A7584" s="2">
        <v>17130.0</v>
      </c>
      <c r="B7584" s="2" t="s">
        <v>70</v>
      </c>
      <c r="C7584" s="2" t="s">
        <v>14183</v>
      </c>
      <c r="D7584" s="2" t="s">
        <v>13</v>
      </c>
      <c r="E7584" s="2" t="s">
        <v>20</v>
      </c>
      <c r="F7584" s="2">
        <v>0.0</v>
      </c>
      <c r="G7584" s="2">
        <v>500.0</v>
      </c>
      <c r="H7584" s="3" t="str">
        <f>HYPERLINK("http://www.linkedin.com/pub/gustavo-viceconti/13/426/831","http://www.linkedin.com/pub/gustavo-viceconti/13/426/831")</f>
        <v>http://www.linkedin.com/pub/gustavo-viceconti/13/426/831</v>
      </c>
      <c r="I7584" s="2" t="s">
        <v>15</v>
      </c>
      <c r="J7584" s="2" t="s">
        <v>21</v>
      </c>
      <c r="K7584" s="2" t="s">
        <v>14057</v>
      </c>
    </row>
    <row r="7585" ht="15.75" customHeight="1">
      <c r="A7585" s="2">
        <v>17405.0</v>
      </c>
      <c r="B7585" s="2" t="s">
        <v>4353</v>
      </c>
      <c r="C7585" s="2" t="s">
        <v>14184</v>
      </c>
      <c r="D7585" s="2" t="s">
        <v>517</v>
      </c>
      <c r="E7585" s="2" t="s">
        <v>136</v>
      </c>
      <c r="F7585" s="2">
        <v>4.0</v>
      </c>
      <c r="G7585" s="2">
        <v>500.0</v>
      </c>
      <c r="H7585" s="3" t="str">
        <f>HYPERLINK("http://www.linkedin.com/in/afeugene","http://www.linkedin.com/in/afeugene")</f>
        <v>http://www.linkedin.com/in/afeugene</v>
      </c>
      <c r="I7585" s="2" t="s">
        <v>69</v>
      </c>
      <c r="J7585" s="2" t="s">
        <v>102</v>
      </c>
      <c r="K7585" s="2" t="s">
        <v>14088</v>
      </c>
    </row>
    <row r="7586" ht="15.75" customHeight="1">
      <c r="A7586" s="2">
        <v>17725.0</v>
      </c>
      <c r="B7586" s="2" t="s">
        <v>2752</v>
      </c>
      <c r="C7586" s="2" t="s">
        <v>14185</v>
      </c>
      <c r="D7586" s="2" t="s">
        <v>2274</v>
      </c>
      <c r="E7586" s="2" t="s">
        <v>136</v>
      </c>
      <c r="F7586" s="2">
        <v>0.0</v>
      </c>
      <c r="G7586" s="2">
        <v>500.0</v>
      </c>
      <c r="H7586" s="3" t="str">
        <f>HYPERLINK("http://www.linkedin.com/pub/craig-stevens/0/122/A92","http://www.linkedin.com/pub/craig-stevens/0/122/A92")</f>
        <v>http://www.linkedin.com/pub/craig-stevens/0/122/A92</v>
      </c>
      <c r="I7586" s="2" t="s">
        <v>48</v>
      </c>
      <c r="J7586" s="2" t="s">
        <v>102</v>
      </c>
      <c r="K7586" s="2" t="s">
        <v>14117</v>
      </c>
    </row>
    <row r="7587" ht="15.75" customHeight="1">
      <c r="A7587" s="2">
        <v>17778.0</v>
      </c>
      <c r="B7587" s="2" t="s">
        <v>14186</v>
      </c>
      <c r="C7587" s="2" t="s">
        <v>14187</v>
      </c>
      <c r="D7587" s="2" t="s">
        <v>13</v>
      </c>
      <c r="E7587" s="2" t="s">
        <v>891</v>
      </c>
      <c r="F7587" s="2">
        <v>0.0</v>
      </c>
      <c r="G7587" s="2">
        <v>500.0</v>
      </c>
      <c r="H7587" s="3" t="str">
        <f>HYPERLINK("http://www.linkedin.com/pub/wences-casares/0/a0/b3b?trk=biz_employee_pub","http://www.linkedin.com/pub/wences-casares/0/a0/b3b?trk=biz_employee_pub")</f>
        <v>http://www.linkedin.com/pub/wences-casares/0/a0/b3b?trk=biz_employee_pub</v>
      </c>
      <c r="I7587" s="2" t="s">
        <v>69</v>
      </c>
      <c r="J7587" s="2" t="s">
        <v>102</v>
      </c>
      <c r="K7587" s="2" t="s">
        <v>14080</v>
      </c>
    </row>
    <row r="7588" ht="15.75" customHeight="1">
      <c r="A7588" s="2">
        <v>17782.0</v>
      </c>
      <c r="B7588" s="2" t="s">
        <v>6974</v>
      </c>
      <c r="C7588" s="2" t="s">
        <v>14188</v>
      </c>
      <c r="D7588" s="2" t="s">
        <v>14189</v>
      </c>
      <c r="E7588" s="2" t="s">
        <v>914</v>
      </c>
      <c r="F7588" s="2">
        <v>0.0</v>
      </c>
      <c r="G7588" s="2">
        <v>500.0</v>
      </c>
      <c r="H7588" s="3" t="str">
        <f>HYPERLINK("http://www.linkedin.com/pub/axel-steinman/7/9A1/BB0","http://www.linkedin.com/pub/axel-steinman/7/9A1/BB0")</f>
        <v>http://www.linkedin.com/pub/axel-steinman/7/9A1/BB0</v>
      </c>
      <c r="I7588" s="2" t="s">
        <v>48</v>
      </c>
      <c r="J7588" s="2" t="s">
        <v>102</v>
      </c>
      <c r="K7588" s="2" t="s">
        <v>14142</v>
      </c>
    </row>
    <row r="7589" ht="15.75" customHeight="1">
      <c r="A7589" s="2">
        <v>17817.0</v>
      </c>
      <c r="B7589" s="2" t="s">
        <v>1019</v>
      </c>
      <c r="C7589" s="2" t="s">
        <v>14190</v>
      </c>
      <c r="D7589" s="2" t="s">
        <v>14191</v>
      </c>
      <c r="E7589" s="2" t="s">
        <v>101</v>
      </c>
      <c r="F7589" s="2">
        <v>1.0</v>
      </c>
      <c r="G7589" s="2">
        <v>500.0</v>
      </c>
      <c r="H7589" s="3" t="str">
        <f>HYPERLINK("http://www.linkedin.com/pub/matt-crye/7/1A6/568","http://www.linkedin.com/pub/matt-crye/7/1A6/568")</f>
        <v>http://www.linkedin.com/pub/matt-crye/7/1A6/568</v>
      </c>
      <c r="I7589" s="2" t="s">
        <v>48</v>
      </c>
      <c r="J7589" s="2" t="s">
        <v>102</v>
      </c>
      <c r="K7589" s="2" t="s">
        <v>14192</v>
      </c>
    </row>
    <row r="7590" ht="15.75" customHeight="1">
      <c r="A7590" s="2">
        <v>17819.0</v>
      </c>
      <c r="B7590" s="2" t="s">
        <v>116</v>
      </c>
      <c r="C7590" s="2" t="s">
        <v>14193</v>
      </c>
      <c r="D7590" s="2" t="s">
        <v>14194</v>
      </c>
      <c r="E7590" s="2" t="s">
        <v>101</v>
      </c>
      <c r="F7590" s="2" t="s">
        <v>13</v>
      </c>
      <c r="G7590" s="2">
        <v>233.0</v>
      </c>
      <c r="H7590" s="3" t="str">
        <f>HYPERLINK("http://www.linkedin.com/pub/alex-elkin/18/698/719","http://www.linkedin.com/pub/alex-elkin/18/698/719")</f>
        <v>http://www.linkedin.com/pub/alex-elkin/18/698/719</v>
      </c>
      <c r="I7590" s="2" t="s">
        <v>48</v>
      </c>
      <c r="J7590" s="2" t="s">
        <v>102</v>
      </c>
      <c r="K7590" s="2" t="s">
        <v>14095</v>
      </c>
    </row>
    <row r="7591" ht="15.75" customHeight="1">
      <c r="A7591" s="2">
        <v>17942.0</v>
      </c>
      <c r="B7591" s="2" t="s">
        <v>14195</v>
      </c>
      <c r="C7591" s="2" t="s">
        <v>14196</v>
      </c>
      <c r="D7591" s="2" t="s">
        <v>13</v>
      </c>
      <c r="E7591" s="2" t="s">
        <v>20</v>
      </c>
      <c r="F7591" s="2">
        <v>0.0</v>
      </c>
      <c r="G7591" s="2">
        <v>500.0</v>
      </c>
      <c r="H7591" s="3" t="str">
        <f>HYPERLINK("http://ar.linkedin.com/pub/betina-kindler/A/86A/A16","http://ar.linkedin.com/pub/betina-kindler/A/86A/A16")</f>
        <v>http://ar.linkedin.com/pub/betina-kindler/A/86A/A16</v>
      </c>
      <c r="I7591" s="2" t="s">
        <v>2725</v>
      </c>
      <c r="J7591" s="2" t="s">
        <v>21</v>
      </c>
      <c r="K7591" s="2" t="s">
        <v>14057</v>
      </c>
    </row>
    <row r="7592" ht="15.75" customHeight="1">
      <c r="A7592" s="2">
        <v>17969.0</v>
      </c>
      <c r="B7592" s="2" t="s">
        <v>511</v>
      </c>
      <c r="C7592" s="2" t="s">
        <v>383</v>
      </c>
      <c r="D7592" s="2" t="s">
        <v>47</v>
      </c>
      <c r="E7592" s="2" t="s">
        <v>1234</v>
      </c>
      <c r="F7592" s="2" t="s">
        <v>13</v>
      </c>
      <c r="G7592" s="2">
        <v>89.0</v>
      </c>
      <c r="H7592" s="3" t="str">
        <f>HYPERLINK("http://www.linkedin.com/pub/mike-marcus/12/907/45","http://www.linkedin.com/pub/mike-marcus/12/907/45")</f>
        <v>http://www.linkedin.com/pub/mike-marcus/12/907/45</v>
      </c>
      <c r="I7592" s="2" t="s">
        <v>48</v>
      </c>
      <c r="J7592" s="2" t="s">
        <v>102</v>
      </c>
      <c r="K7592" s="2" t="s">
        <v>14197</v>
      </c>
    </row>
    <row r="7593" ht="15.75" customHeight="1">
      <c r="A7593" s="2">
        <v>18135.0</v>
      </c>
      <c r="B7593" s="2" t="s">
        <v>238</v>
      </c>
      <c r="C7593" s="2" t="s">
        <v>14198</v>
      </c>
      <c r="D7593" s="2" t="s">
        <v>47</v>
      </c>
      <c r="E7593" s="2" t="s">
        <v>20</v>
      </c>
      <c r="F7593" s="2">
        <v>4.0</v>
      </c>
      <c r="G7593" s="2">
        <v>407.0</v>
      </c>
      <c r="H7593" s="3" t="str">
        <f>HYPERLINK("http://ar.linkedin.com/in/juanozcoidi","http://ar.linkedin.com/in/juanozcoidi")</f>
        <v>http://ar.linkedin.com/in/juanozcoidi</v>
      </c>
      <c r="I7593" s="2" t="s">
        <v>69</v>
      </c>
      <c r="J7593" s="2" t="s">
        <v>21</v>
      </c>
      <c r="K7593" s="2" t="s">
        <v>14082</v>
      </c>
    </row>
    <row r="7594" ht="15.75" customHeight="1">
      <c r="A7594" s="2">
        <v>18204.0</v>
      </c>
      <c r="B7594" s="2" t="s">
        <v>677</v>
      </c>
      <c r="C7594" s="2" t="s">
        <v>14199</v>
      </c>
      <c r="D7594" s="2" t="s">
        <v>14200</v>
      </c>
      <c r="E7594" s="2" t="s">
        <v>20</v>
      </c>
      <c r="F7594" s="2">
        <v>5.0</v>
      </c>
      <c r="G7594" s="2">
        <v>500.0</v>
      </c>
      <c r="H7594" s="3" t="str">
        <f>HYPERLINK("http://ar.linkedin.com/pub/daniel-cariati-dcariati-dabrein-com/0/B02/552","http://ar.linkedin.com/pub/daniel-cariati-dcariati-dabrein-com/0/B02/552")</f>
        <v>http://ar.linkedin.com/pub/daniel-cariati-dcariati-dabrein-com/0/B02/552</v>
      </c>
      <c r="I7594" s="2" t="s">
        <v>15</v>
      </c>
      <c r="J7594" s="2" t="s">
        <v>21</v>
      </c>
      <c r="K7594" s="2" t="s">
        <v>14057</v>
      </c>
    </row>
    <row r="7595" ht="15.75" customHeight="1">
      <c r="A7595" s="2">
        <v>19744.0</v>
      </c>
      <c r="B7595" s="2" t="s">
        <v>14201</v>
      </c>
      <c r="C7595" s="2" t="s">
        <v>14202</v>
      </c>
      <c r="D7595" s="2" t="s">
        <v>10222</v>
      </c>
      <c r="E7595" s="2" t="s">
        <v>20</v>
      </c>
      <c r="F7595" s="2" t="s">
        <v>13</v>
      </c>
      <c r="G7595" s="2">
        <v>69.0</v>
      </c>
      <c r="H7595" s="3" t="str">
        <f>HYPERLINK("http://ar.linkedin.com/in/sergiolepore","http://ar.linkedin.com/in/sergiolepore")</f>
        <v>http://ar.linkedin.com/in/sergiolepore</v>
      </c>
      <c r="I7595" s="2" t="s">
        <v>48</v>
      </c>
      <c r="J7595" s="2" t="s">
        <v>21</v>
      </c>
      <c r="K7595" s="2" t="s">
        <v>14080</v>
      </c>
    </row>
    <row r="7596" ht="15.75" customHeight="1">
      <c r="A7596" s="2">
        <v>20035.0</v>
      </c>
      <c r="B7596" s="2" t="s">
        <v>862</v>
      </c>
      <c r="C7596" s="2" t="s">
        <v>9748</v>
      </c>
      <c r="D7596" s="2" t="s">
        <v>14203</v>
      </c>
      <c r="E7596" s="2" t="s">
        <v>20</v>
      </c>
      <c r="F7596" s="2">
        <v>7.0</v>
      </c>
      <c r="G7596" s="2">
        <v>500.0</v>
      </c>
      <c r="H7596" s="3" t="str">
        <f>HYPERLINK("http://ar.linkedin.com/in/gparadelo","http://ar.linkedin.com/in/gparadelo")</f>
        <v>http://ar.linkedin.com/in/gparadelo</v>
      </c>
      <c r="I7596" s="2" t="s">
        <v>15</v>
      </c>
      <c r="J7596" s="2" t="s">
        <v>21</v>
      </c>
      <c r="K7596" s="2" t="s">
        <v>14204</v>
      </c>
    </row>
    <row r="7597" ht="15.75" customHeight="1">
      <c r="A7597" s="2">
        <v>20276.0</v>
      </c>
      <c r="B7597" s="2" t="s">
        <v>14205</v>
      </c>
      <c r="C7597" s="2" t="s">
        <v>5555</v>
      </c>
      <c r="D7597" s="2" t="s">
        <v>14206</v>
      </c>
      <c r="E7597" s="2" t="s">
        <v>1190</v>
      </c>
      <c r="F7597" s="2">
        <v>34.0</v>
      </c>
      <c r="G7597" s="2">
        <v>500.0</v>
      </c>
      <c r="H7597" s="3" t="str">
        <f>HYPERLINK("http://www.linkedin.com/in/joserenecosta","http://www.linkedin.com/in/joserenecosta")</f>
        <v>http://www.linkedin.com/in/joserenecosta</v>
      </c>
      <c r="I7597" s="2" t="s">
        <v>4394</v>
      </c>
      <c r="J7597" s="2" t="s">
        <v>102</v>
      </c>
      <c r="K7597" s="2" t="s">
        <v>14207</v>
      </c>
    </row>
    <row r="7598" ht="15.75" customHeight="1">
      <c r="A7598" s="2">
        <v>20657.0</v>
      </c>
      <c r="B7598" s="2" t="s">
        <v>8040</v>
      </c>
      <c r="C7598" s="2" t="s">
        <v>14208</v>
      </c>
      <c r="D7598" s="2" t="s">
        <v>13</v>
      </c>
      <c r="E7598" s="2" t="s">
        <v>20</v>
      </c>
      <c r="F7598" s="2">
        <v>1.0</v>
      </c>
      <c r="G7598" s="2">
        <v>166.0</v>
      </c>
      <c r="H7598" s="3" t="str">
        <f>HYPERLINK("http://www.linkedin.com/pub/maria-del-rosario-pozo/14/2a3/437","http://www.linkedin.com/pub/maria-del-rosario-pozo/14/2a3/437")</f>
        <v>http://www.linkedin.com/pub/maria-del-rosario-pozo/14/2a3/437</v>
      </c>
      <c r="I7598" s="2" t="s">
        <v>458</v>
      </c>
      <c r="J7598" s="2" t="s">
        <v>21</v>
      </c>
      <c r="K7598" s="2" t="s">
        <v>14074</v>
      </c>
    </row>
    <row r="7599" ht="15.75" customHeight="1">
      <c r="A7599" s="2">
        <v>20775.0</v>
      </c>
      <c r="B7599" s="2" t="s">
        <v>1201</v>
      </c>
      <c r="C7599" s="2" t="s">
        <v>14209</v>
      </c>
      <c r="D7599" s="2" t="s">
        <v>14210</v>
      </c>
      <c r="E7599" s="2" t="s">
        <v>1190</v>
      </c>
      <c r="F7599" s="2">
        <v>0.0</v>
      </c>
      <c r="G7599" s="2">
        <v>211.0</v>
      </c>
      <c r="H7599" s="3" t="str">
        <f>HYPERLINK("http://www.linkedin.com/pub/marco-d-cuono/10/504/BA1","http://www.linkedin.com/pub/marco-d-cuono/10/504/BA1")</f>
        <v>http://www.linkedin.com/pub/marco-d-cuono/10/504/BA1</v>
      </c>
      <c r="I7599" s="2" t="s">
        <v>77</v>
      </c>
      <c r="J7599" s="2" t="s">
        <v>102</v>
      </c>
      <c r="K7599" s="2" t="s">
        <v>14211</v>
      </c>
    </row>
    <row r="7600" ht="15.75" customHeight="1">
      <c r="A7600" s="2">
        <v>20787.0</v>
      </c>
      <c r="B7600" s="2" t="s">
        <v>1366</v>
      </c>
      <c r="C7600" s="2" t="s">
        <v>14212</v>
      </c>
      <c r="D7600" s="2" t="s">
        <v>14213</v>
      </c>
      <c r="E7600" s="2" t="s">
        <v>235</v>
      </c>
      <c r="F7600" s="2">
        <v>0.0</v>
      </c>
      <c r="G7600" s="2">
        <v>500.0</v>
      </c>
      <c r="H7600" s="3" t="str">
        <f>HYPERLINK("http://www.linkedin.com/pub/peter-stevenson/3/912/B92","http://www.linkedin.com/pub/peter-stevenson/3/912/B92")</f>
        <v>http://www.linkedin.com/pub/peter-stevenson/3/912/B92</v>
      </c>
      <c r="I7600" s="2" t="s">
        <v>15</v>
      </c>
      <c r="J7600" s="2" t="s">
        <v>102</v>
      </c>
      <c r="K7600" s="2" t="s">
        <v>14080</v>
      </c>
    </row>
    <row r="7601" ht="15.75" customHeight="1">
      <c r="A7601" s="2">
        <v>21154.0</v>
      </c>
      <c r="B7601" s="2" t="s">
        <v>1798</v>
      </c>
      <c r="C7601" s="2" t="s">
        <v>14214</v>
      </c>
      <c r="D7601" s="2" t="s">
        <v>14215</v>
      </c>
      <c r="E7601" s="2" t="s">
        <v>255</v>
      </c>
      <c r="F7601" s="2">
        <v>19.0</v>
      </c>
      <c r="G7601" s="2">
        <v>500.0</v>
      </c>
      <c r="H7601" s="3" t="str">
        <f>HYPERLINK("http://www.linkedin.com/in/sethschachner","http://www.linkedin.com/in/sethschachner")</f>
        <v>http://www.linkedin.com/in/sethschachner</v>
      </c>
      <c r="I7601" s="2" t="s">
        <v>69</v>
      </c>
      <c r="J7601" s="2" t="s">
        <v>102</v>
      </c>
      <c r="K7601" s="2" t="s">
        <v>14078</v>
      </c>
    </row>
    <row r="7602" ht="15.75" customHeight="1">
      <c r="A7602" s="2">
        <v>21221.0</v>
      </c>
      <c r="B7602" s="2" t="s">
        <v>14216</v>
      </c>
      <c r="C7602" s="2" t="s">
        <v>14217</v>
      </c>
      <c r="D7602" s="2" t="s">
        <v>13</v>
      </c>
      <c r="E7602" s="2" t="s">
        <v>713</v>
      </c>
      <c r="F7602" s="2">
        <v>0.0</v>
      </c>
      <c r="G7602" s="2">
        <v>500.0</v>
      </c>
      <c r="H7602" s="3" t="str">
        <f>HYPERLINK("https://www.linkedin.com/in/maximilianleroux","https://www.linkedin.com/in/maximilianleroux")</f>
        <v>https://www.linkedin.com/in/maximilianleroux</v>
      </c>
      <c r="I7602" s="2" t="s">
        <v>77</v>
      </c>
      <c r="J7602" s="2" t="s">
        <v>102</v>
      </c>
      <c r="K7602" s="2" t="s">
        <v>14218</v>
      </c>
    </row>
    <row r="7603" ht="15.75" customHeight="1">
      <c r="A7603" s="2">
        <v>21625.0</v>
      </c>
      <c r="B7603" s="2" t="s">
        <v>647</v>
      </c>
      <c r="C7603" s="2" t="s">
        <v>14219</v>
      </c>
      <c r="D7603" s="2" t="s">
        <v>13</v>
      </c>
      <c r="E7603" s="2" t="s">
        <v>20</v>
      </c>
      <c r="F7603" s="2">
        <v>9.0</v>
      </c>
      <c r="G7603" s="2">
        <v>394.0</v>
      </c>
      <c r="H7603" s="3" t="str">
        <f>HYPERLINK("http://www.linkedin.com/in/claudiocorlatti","http://www.linkedin.com/in/claudiocorlatti")</f>
        <v>http://www.linkedin.com/in/claudiocorlatti</v>
      </c>
      <c r="I7603" s="2" t="s">
        <v>48</v>
      </c>
      <c r="J7603" s="2" t="s">
        <v>21</v>
      </c>
      <c r="K7603" s="2" t="s">
        <v>14057</v>
      </c>
    </row>
    <row r="7604" ht="15.75" customHeight="1">
      <c r="A7604" s="2">
        <v>21654.0</v>
      </c>
      <c r="B7604" s="2" t="s">
        <v>133</v>
      </c>
      <c r="C7604" s="2" t="s">
        <v>14220</v>
      </c>
      <c r="D7604" s="2" t="s">
        <v>14221</v>
      </c>
      <c r="E7604" s="2" t="s">
        <v>301</v>
      </c>
      <c r="F7604" s="2" t="s">
        <v>13</v>
      </c>
      <c r="G7604" s="2">
        <v>168.0</v>
      </c>
      <c r="H7604" s="3" t="str">
        <f>HYPERLINK("http://www.linkedin.com/pub/mike-hartman/6/587/570","http://www.linkedin.com/pub/mike-hartman/6/587/570")</f>
        <v>http://www.linkedin.com/pub/mike-hartman/6/587/570</v>
      </c>
      <c r="I7604" s="2" t="s">
        <v>195</v>
      </c>
      <c r="J7604" s="2" t="s">
        <v>102</v>
      </c>
      <c r="K7604" s="2" t="s">
        <v>14222</v>
      </c>
    </row>
    <row r="7605" ht="15.75" customHeight="1">
      <c r="A7605" s="2">
        <v>22212.0</v>
      </c>
      <c r="B7605" s="2" t="s">
        <v>845</v>
      </c>
      <c r="C7605" s="2" t="s">
        <v>1088</v>
      </c>
      <c r="D7605" s="2" t="s">
        <v>47</v>
      </c>
      <c r="E7605" s="2" t="s">
        <v>914</v>
      </c>
      <c r="F7605" s="2" t="s">
        <v>13</v>
      </c>
      <c r="G7605" s="2">
        <v>500.0</v>
      </c>
      <c r="H7605" s="3" t="str">
        <f>HYPERLINK("http://www.linkedin.com/pub/david-roberts/25/B16/8A1","http://www.linkedin.com/pub/david-roberts/25/B16/8A1")</f>
        <v>http://www.linkedin.com/pub/david-roberts/25/B16/8A1</v>
      </c>
      <c r="I7605" s="2" t="s">
        <v>143</v>
      </c>
      <c r="J7605" s="2" t="s">
        <v>102</v>
      </c>
      <c r="K7605" s="2" t="s">
        <v>14223</v>
      </c>
    </row>
    <row r="7606" ht="15.75" customHeight="1">
      <c r="A7606" s="2">
        <v>22320.0</v>
      </c>
      <c r="B7606" s="2" t="s">
        <v>754</v>
      </c>
      <c r="C7606" s="2" t="s">
        <v>842</v>
      </c>
      <c r="D7606" s="2" t="s">
        <v>14224</v>
      </c>
      <c r="E7606" s="2" t="s">
        <v>301</v>
      </c>
      <c r="F7606" s="2">
        <v>0.0</v>
      </c>
      <c r="G7606" s="2">
        <v>500.0</v>
      </c>
      <c r="H7606" s="3" t="str">
        <f>HYPERLINK("http://www.linkedin.com/in/gregstuart","http://www.linkedin.com/in/gregstuart")</f>
        <v>http://www.linkedin.com/in/gregstuart</v>
      </c>
      <c r="I7606" s="2" t="s">
        <v>105</v>
      </c>
      <c r="J7606" s="2" t="s">
        <v>102</v>
      </c>
      <c r="K7606" s="2" t="s">
        <v>14055</v>
      </c>
    </row>
    <row r="7607" ht="15.75" customHeight="1">
      <c r="A7607" s="2">
        <v>22363.0</v>
      </c>
      <c r="B7607" s="2" t="s">
        <v>285</v>
      </c>
      <c r="C7607" s="2" t="s">
        <v>14225</v>
      </c>
      <c r="D7607" s="2" t="s">
        <v>47</v>
      </c>
      <c r="E7607" s="2" t="s">
        <v>2058</v>
      </c>
      <c r="F7607" s="2">
        <v>0.0</v>
      </c>
      <c r="G7607" s="2">
        <v>324.0</v>
      </c>
      <c r="H7607" s="3" t="str">
        <f>HYPERLINK("http://www.linkedin.com/in/marcgrayson","http://www.linkedin.com/in/marcgrayson")</f>
        <v>http://www.linkedin.com/in/marcgrayson</v>
      </c>
      <c r="I7607" s="2" t="s">
        <v>910</v>
      </c>
      <c r="J7607" s="2" t="s">
        <v>102</v>
      </c>
      <c r="K7607" s="2" t="s">
        <v>14105</v>
      </c>
    </row>
    <row r="7608" ht="15.75" customHeight="1">
      <c r="A7608" s="2">
        <v>22367.0</v>
      </c>
      <c r="B7608" s="2" t="s">
        <v>1004</v>
      </c>
      <c r="C7608" s="2" t="s">
        <v>4748</v>
      </c>
      <c r="D7608" s="2" t="s">
        <v>5206</v>
      </c>
      <c r="E7608" s="2" t="s">
        <v>14167</v>
      </c>
      <c r="F7608" s="2">
        <v>10.0</v>
      </c>
      <c r="G7608" s="2">
        <v>500.0</v>
      </c>
      <c r="H7608" s="3" t="str">
        <f>HYPERLINK("http://www.linkedin.com/in/scottmitchellrosenberg","http://www.linkedin.com/in/scottmitchellrosenberg")</f>
        <v>http://www.linkedin.com/in/scottmitchellrosenberg</v>
      </c>
      <c r="I7608" s="2" t="s">
        <v>910</v>
      </c>
      <c r="J7608" s="2" t="s">
        <v>102</v>
      </c>
      <c r="K7608" s="2" t="s">
        <v>14105</v>
      </c>
    </row>
    <row r="7609" ht="15.75" customHeight="1">
      <c r="A7609" s="2">
        <v>22368.0</v>
      </c>
      <c r="B7609" s="2" t="s">
        <v>11</v>
      </c>
      <c r="C7609" s="2" t="s">
        <v>14226</v>
      </c>
      <c r="D7609" s="2" t="s">
        <v>13</v>
      </c>
      <c r="E7609" s="2" t="s">
        <v>457</v>
      </c>
      <c r="F7609" s="2">
        <v>0.0</v>
      </c>
      <c r="G7609" s="2">
        <v>500.0</v>
      </c>
      <c r="H7609" s="3" t="str">
        <f>HYPERLINK("http://www.linkedin.com/in/fogeddille","http://www.linkedin.com/in/fogeddille")</f>
        <v>http://www.linkedin.com/in/fogeddille</v>
      </c>
      <c r="I7609" s="2" t="s">
        <v>143</v>
      </c>
      <c r="J7609" s="2" t="s">
        <v>102</v>
      </c>
      <c r="K7609" s="2" t="s">
        <v>14197</v>
      </c>
    </row>
    <row r="7610" ht="15.75" customHeight="1">
      <c r="A7610" s="2">
        <v>22407.0</v>
      </c>
      <c r="B7610" s="2" t="s">
        <v>14227</v>
      </c>
      <c r="C7610" s="3" t="str">
        <f>HYPERLINK("http://crcelonagmail.com","crcelonagmail.com")</f>
        <v>crcelonagmail.com</v>
      </c>
      <c r="D7610" s="2" t="s">
        <v>10561</v>
      </c>
      <c r="E7610" s="2" t="s">
        <v>14167</v>
      </c>
      <c r="F7610" s="2">
        <v>3.0</v>
      </c>
      <c r="G7610" s="2">
        <v>500.0</v>
      </c>
      <c r="H7610" s="3" t="str">
        <f>HYPERLINK("http://www.linkedin.com/in/celona","http://www.linkedin.com/in/celona")</f>
        <v>http://www.linkedin.com/in/celona</v>
      </c>
      <c r="I7610" s="2" t="s">
        <v>105</v>
      </c>
      <c r="J7610" s="2" t="s">
        <v>102</v>
      </c>
      <c r="K7610" s="2" t="s">
        <v>14074</v>
      </c>
    </row>
    <row r="7611" ht="15.75" customHeight="1">
      <c r="A7611" s="2">
        <v>22408.0</v>
      </c>
      <c r="B7611" s="2" t="s">
        <v>752</v>
      </c>
      <c r="C7611" s="2" t="s">
        <v>14228</v>
      </c>
      <c r="D7611" s="2" t="s">
        <v>47</v>
      </c>
      <c r="E7611" s="2" t="s">
        <v>136</v>
      </c>
      <c r="F7611" s="2">
        <v>31.0</v>
      </c>
      <c r="G7611" s="2">
        <v>500.0</v>
      </c>
      <c r="H7611" s="3" t="str">
        <f>HYPERLINK("http://www.linkedin.com/in/jimkaskade","http://www.linkedin.com/in/jimkaskade")</f>
        <v>http://www.linkedin.com/in/jimkaskade</v>
      </c>
      <c r="I7611" s="2" t="s">
        <v>15</v>
      </c>
      <c r="J7611" s="2" t="s">
        <v>102</v>
      </c>
      <c r="K7611" s="2" t="s">
        <v>14073</v>
      </c>
    </row>
    <row r="7612" ht="15.75" customHeight="1">
      <c r="A7612" s="2">
        <v>22410.0</v>
      </c>
      <c r="B7612" s="2" t="s">
        <v>3268</v>
      </c>
      <c r="C7612" s="2" t="s">
        <v>14229</v>
      </c>
      <c r="D7612" s="2" t="s">
        <v>517</v>
      </c>
      <c r="E7612" s="2" t="s">
        <v>14167</v>
      </c>
      <c r="F7612" s="2">
        <v>23.0</v>
      </c>
      <c r="G7612" s="2">
        <v>500.0</v>
      </c>
      <c r="H7612" s="3" t="str">
        <f>HYPERLINK("http://www.linkedin.com/in/patriciadao","http://www.linkedin.com/in/patriciadao")</f>
        <v>http://www.linkedin.com/in/patriciadao</v>
      </c>
      <c r="I7612" s="2" t="s">
        <v>69</v>
      </c>
      <c r="J7612" s="2" t="s">
        <v>102</v>
      </c>
      <c r="K7612" s="2" t="s">
        <v>14071</v>
      </c>
    </row>
    <row r="7613" ht="15.75" customHeight="1">
      <c r="A7613" s="2">
        <v>22411.0</v>
      </c>
      <c r="B7613" s="2" t="s">
        <v>178</v>
      </c>
      <c r="C7613" s="2" t="s">
        <v>14230</v>
      </c>
      <c r="D7613" s="2" t="s">
        <v>14231</v>
      </c>
      <c r="E7613" s="2" t="s">
        <v>155</v>
      </c>
      <c r="F7613" s="2">
        <v>12.0</v>
      </c>
      <c r="G7613" s="2">
        <v>500.0</v>
      </c>
      <c r="H7613" s="3" t="str">
        <f>HYPERLINK("http://www.linkedin.com/in/joehurd","http://www.linkedin.com/in/joehurd")</f>
        <v>http://www.linkedin.com/in/joehurd</v>
      </c>
      <c r="I7613" s="2" t="s">
        <v>240</v>
      </c>
      <c r="J7613" s="2" t="s">
        <v>102</v>
      </c>
      <c r="K7613" s="2" t="s">
        <v>14211</v>
      </c>
    </row>
    <row r="7614" ht="15.75" customHeight="1">
      <c r="A7614" s="2">
        <v>22420.0</v>
      </c>
      <c r="B7614" s="2" t="s">
        <v>14232</v>
      </c>
      <c r="C7614" s="2" t="s">
        <v>1527</v>
      </c>
      <c r="D7614" s="2" t="s">
        <v>47</v>
      </c>
      <c r="E7614" s="2" t="s">
        <v>14233</v>
      </c>
      <c r="F7614" s="2">
        <v>8.0</v>
      </c>
      <c r="G7614" s="2">
        <v>332.0</v>
      </c>
      <c r="H7614" s="3" t="str">
        <f>HYPERLINK("http://www.linkedin.com/pub/janice-clark/0/8A/A49","http://www.linkedin.com/pub/janice-clark/0/8A/A49")</f>
        <v>http://www.linkedin.com/pub/janice-clark/0/8A/A49</v>
      </c>
      <c r="I7614" s="2" t="s">
        <v>1698</v>
      </c>
      <c r="J7614" s="2" t="s">
        <v>102</v>
      </c>
      <c r="K7614" s="2" t="s">
        <v>14074</v>
      </c>
    </row>
    <row r="7615" ht="15.75" customHeight="1">
      <c r="A7615" s="2">
        <v>22529.0</v>
      </c>
      <c r="B7615" s="2" t="s">
        <v>14234</v>
      </c>
      <c r="C7615" s="2" t="s">
        <v>14235</v>
      </c>
      <c r="D7615" s="2" t="s">
        <v>14236</v>
      </c>
      <c r="E7615" s="2" t="s">
        <v>4804</v>
      </c>
      <c r="F7615" s="2">
        <v>8.0</v>
      </c>
      <c r="G7615" s="2">
        <v>320.0</v>
      </c>
      <c r="H7615" s="3" t="str">
        <f>HYPERLINK("http://www.linkedin.com/in/emaggini","http://www.linkedin.com/in/emaggini")</f>
        <v>http://www.linkedin.com/in/emaggini</v>
      </c>
      <c r="I7615" s="2" t="s">
        <v>1496</v>
      </c>
      <c r="J7615" s="2" t="s">
        <v>102</v>
      </c>
      <c r="K7615" s="2" t="s">
        <v>14237</v>
      </c>
    </row>
    <row r="7616" ht="15.75" customHeight="1">
      <c r="A7616" s="2">
        <v>22575.0</v>
      </c>
      <c r="B7616" s="2" t="s">
        <v>809</v>
      </c>
      <c r="C7616" s="2" t="s">
        <v>793</v>
      </c>
      <c r="D7616" s="2" t="s">
        <v>14238</v>
      </c>
      <c r="E7616" s="2" t="s">
        <v>1918</v>
      </c>
      <c r="F7616" s="2">
        <v>3.0</v>
      </c>
      <c r="G7616" s="2">
        <v>500.0</v>
      </c>
      <c r="H7616" s="3" t="str">
        <f>HYPERLINK("http://www.linkedin.com/pub/raj-ray/0/A1/251","http://www.linkedin.com/pub/raj-ray/0/A1/251")</f>
        <v>http://www.linkedin.com/pub/raj-ray/0/A1/251</v>
      </c>
      <c r="I7616" s="2" t="s">
        <v>1496</v>
      </c>
      <c r="J7616" s="2" t="s">
        <v>102</v>
      </c>
      <c r="K7616" s="2" t="s">
        <v>14055</v>
      </c>
    </row>
    <row r="7617" ht="15.75" customHeight="1">
      <c r="A7617" s="2">
        <v>22660.0</v>
      </c>
      <c r="B7617" s="2" t="s">
        <v>1364</v>
      </c>
      <c r="C7617" s="2" t="s">
        <v>14239</v>
      </c>
      <c r="D7617" s="2" t="s">
        <v>1145</v>
      </c>
      <c r="E7617" s="2" t="s">
        <v>888</v>
      </c>
      <c r="F7617" s="2">
        <v>4.0</v>
      </c>
      <c r="G7617" s="2">
        <v>500.0</v>
      </c>
      <c r="H7617" s="3" t="str">
        <f>HYPERLINK("http://www.linkedin.com/in/dlivings","http://www.linkedin.com/in/dlivings")</f>
        <v>http://www.linkedin.com/in/dlivings</v>
      </c>
      <c r="I7617" s="2" t="s">
        <v>231</v>
      </c>
      <c r="J7617" s="2" t="s">
        <v>102</v>
      </c>
      <c r="K7617" s="2" t="s">
        <v>14074</v>
      </c>
    </row>
    <row r="7618" ht="15.75" customHeight="1">
      <c r="A7618" s="2">
        <v>22698.0</v>
      </c>
      <c r="B7618" s="2" t="s">
        <v>287</v>
      </c>
      <c r="C7618" s="2" t="s">
        <v>14240</v>
      </c>
      <c r="D7618" s="2" t="s">
        <v>13</v>
      </c>
      <c r="E7618" s="2" t="s">
        <v>1317</v>
      </c>
      <c r="F7618" s="2">
        <v>0.0</v>
      </c>
      <c r="G7618" s="2">
        <v>500.0</v>
      </c>
      <c r="H7618" s="3" t="str">
        <f>HYPERLINK("http://www.linkedin.com/in/ptrowe","http://www.linkedin.com/in/ptrowe")</f>
        <v>http://www.linkedin.com/in/ptrowe</v>
      </c>
      <c r="I7618" s="2" t="s">
        <v>143</v>
      </c>
      <c r="J7618" s="2" t="s">
        <v>102</v>
      </c>
      <c r="K7618" s="2" t="s">
        <v>14080</v>
      </c>
    </row>
    <row r="7619" ht="15.75" customHeight="1">
      <c r="A7619" s="2">
        <v>22753.0</v>
      </c>
      <c r="B7619" s="2" t="s">
        <v>176</v>
      </c>
      <c r="C7619" s="2" t="s">
        <v>14241</v>
      </c>
      <c r="D7619" s="2" t="s">
        <v>100</v>
      </c>
      <c r="E7619" s="2" t="s">
        <v>1209</v>
      </c>
      <c r="F7619" s="2">
        <v>5.0</v>
      </c>
      <c r="G7619" s="2">
        <v>500.0</v>
      </c>
      <c r="H7619" s="3" t="str">
        <f>HYPERLINK("http://www.linkedin.com/in/arthurkeller","http://www.linkedin.com/in/arthurkeller")</f>
        <v>http://www.linkedin.com/in/arthurkeller</v>
      </c>
      <c r="I7619" s="2" t="s">
        <v>69</v>
      </c>
      <c r="J7619" s="2" t="s">
        <v>102</v>
      </c>
      <c r="K7619" s="2" t="s">
        <v>14242</v>
      </c>
    </row>
    <row r="7620" ht="15.75" customHeight="1">
      <c r="A7620" s="2">
        <v>22795.0</v>
      </c>
      <c r="B7620" s="2" t="s">
        <v>14243</v>
      </c>
      <c r="C7620" s="2" t="s">
        <v>14244</v>
      </c>
      <c r="D7620" s="2" t="s">
        <v>13</v>
      </c>
      <c r="E7620" s="2" t="s">
        <v>136</v>
      </c>
      <c r="F7620" s="2">
        <v>0.0</v>
      </c>
      <c r="G7620" s="2">
        <v>500.0</v>
      </c>
      <c r="H7620" s="3" t="str">
        <f>HYPERLINK("http://www.linkedin.com/in/deglinkenealy","http://www.linkedin.com/in/deglinkenealy")</f>
        <v>http://www.linkedin.com/in/deglinkenealy</v>
      </c>
      <c r="I7620" s="2" t="s">
        <v>279</v>
      </c>
      <c r="J7620" s="2" t="s">
        <v>102</v>
      </c>
      <c r="K7620" s="2" t="s">
        <v>14074</v>
      </c>
    </row>
    <row r="7621" ht="15.75" customHeight="1">
      <c r="A7621" s="2">
        <v>22801.0</v>
      </c>
      <c r="B7621" s="2" t="s">
        <v>1260</v>
      </c>
      <c r="C7621" s="2" t="s">
        <v>14245</v>
      </c>
      <c r="D7621" s="2" t="s">
        <v>14246</v>
      </c>
      <c r="E7621" s="2" t="s">
        <v>2058</v>
      </c>
      <c r="F7621" s="2">
        <v>26.0</v>
      </c>
      <c r="G7621" s="2">
        <v>500.0</v>
      </c>
      <c r="H7621" s="3" t="str">
        <f>HYPERLINK("http://www.linkedin.com/pub/darren-cross/0/673/50","http://www.linkedin.com/pub/darren-cross/0/673/50")</f>
        <v>http://www.linkedin.com/pub/darren-cross/0/673/50</v>
      </c>
      <c r="I7621" s="2" t="s">
        <v>326</v>
      </c>
      <c r="J7621" s="2" t="s">
        <v>102</v>
      </c>
      <c r="K7621" s="2" t="s">
        <v>14055</v>
      </c>
    </row>
    <row r="7622" ht="15.75" customHeight="1">
      <c r="A7622" s="2">
        <v>22803.0</v>
      </c>
      <c r="B7622" s="2" t="s">
        <v>2567</v>
      </c>
      <c r="C7622" s="2" t="s">
        <v>14247</v>
      </c>
      <c r="D7622" s="2" t="s">
        <v>13</v>
      </c>
      <c r="E7622" s="2" t="s">
        <v>136</v>
      </c>
      <c r="F7622" s="2">
        <v>0.0</v>
      </c>
      <c r="G7622" s="2">
        <v>500.0</v>
      </c>
      <c r="H7622" s="3" t="str">
        <f>HYPERLINK("http://www.linkedin.com/in/clabruna","http://www.linkedin.com/in/clabruna")</f>
        <v>http://www.linkedin.com/in/clabruna</v>
      </c>
      <c r="I7622" s="2" t="s">
        <v>48</v>
      </c>
      <c r="J7622" s="2" t="s">
        <v>102</v>
      </c>
      <c r="K7622" s="2" t="s">
        <v>14095</v>
      </c>
    </row>
    <row r="7623" ht="15.75" customHeight="1">
      <c r="A7623" s="2">
        <v>22811.0</v>
      </c>
      <c r="B7623" s="2" t="s">
        <v>940</v>
      </c>
      <c r="C7623" s="2" t="s">
        <v>14248</v>
      </c>
      <c r="D7623" s="2" t="s">
        <v>13</v>
      </c>
      <c r="E7623" s="2" t="s">
        <v>992</v>
      </c>
      <c r="F7623" s="2">
        <v>0.0</v>
      </c>
      <c r="G7623" s="2">
        <v>500.0</v>
      </c>
      <c r="H7623" s="3" t="str">
        <f>HYPERLINK("https://www.linkedin.com/in/bobewald","https://www.linkedin.com/in/bobewald")</f>
        <v>https://www.linkedin.com/in/bobewald</v>
      </c>
      <c r="I7623" s="2" t="s">
        <v>1496</v>
      </c>
      <c r="J7623" s="2" t="s">
        <v>102</v>
      </c>
      <c r="K7623" s="2" t="s">
        <v>14102</v>
      </c>
    </row>
    <row r="7624" ht="15.75" customHeight="1">
      <c r="A7624" s="2">
        <v>22814.0</v>
      </c>
      <c r="B7624" s="2" t="s">
        <v>796</v>
      </c>
      <c r="C7624" s="2" t="s">
        <v>2696</v>
      </c>
      <c r="D7624" s="2" t="s">
        <v>14249</v>
      </c>
      <c r="E7624" s="2" t="s">
        <v>136</v>
      </c>
      <c r="F7624" s="2">
        <v>1.0</v>
      </c>
      <c r="G7624" s="2">
        <v>500.0</v>
      </c>
      <c r="H7624" s="3" t="str">
        <f>HYPERLINK("http://www.linkedin.com/in/simonhmorris","http://www.linkedin.com/in/simonhmorris")</f>
        <v>http://www.linkedin.com/in/simonhmorris</v>
      </c>
      <c r="I7624" s="2" t="s">
        <v>69</v>
      </c>
      <c r="J7624" s="2" t="s">
        <v>102</v>
      </c>
      <c r="K7624" s="2" t="s">
        <v>14142</v>
      </c>
    </row>
    <row r="7625" ht="15.75" customHeight="1">
      <c r="A7625" s="2">
        <v>22828.0</v>
      </c>
      <c r="B7625" s="2" t="s">
        <v>549</v>
      </c>
      <c r="C7625" s="2" t="s">
        <v>9924</v>
      </c>
      <c r="D7625" s="2" t="s">
        <v>289</v>
      </c>
      <c r="E7625" s="2" t="s">
        <v>136</v>
      </c>
      <c r="F7625" s="2">
        <v>2.0</v>
      </c>
      <c r="G7625" s="2">
        <v>500.0</v>
      </c>
      <c r="H7625" s="3" t="str">
        <f>HYPERLINK("http://www.linkedin.com/in/mariotapia","http://www.linkedin.com/in/mariotapia")</f>
        <v>http://www.linkedin.com/in/mariotapia</v>
      </c>
      <c r="I7625" s="2" t="s">
        <v>1496</v>
      </c>
      <c r="J7625" s="2" t="s">
        <v>102</v>
      </c>
      <c r="K7625" s="2" t="s">
        <v>14204</v>
      </c>
    </row>
    <row r="7626" ht="15.75" customHeight="1">
      <c r="A7626" s="2">
        <v>22832.0</v>
      </c>
      <c r="B7626" s="2" t="s">
        <v>1058</v>
      </c>
      <c r="C7626" s="2" t="s">
        <v>14250</v>
      </c>
      <c r="D7626" s="2" t="s">
        <v>14251</v>
      </c>
      <c r="E7626" s="2" t="s">
        <v>136</v>
      </c>
      <c r="F7626" s="2">
        <v>15.0</v>
      </c>
      <c r="G7626" s="2">
        <v>500.0</v>
      </c>
      <c r="H7626" s="3" t="str">
        <f>HYPERLINK("http://www.linkedin.com/in/anandvenkataraman","http://www.linkedin.com/in/anandvenkataraman")</f>
        <v>http://www.linkedin.com/in/anandvenkataraman</v>
      </c>
      <c r="I7626" s="2" t="s">
        <v>1496</v>
      </c>
      <c r="J7626" s="2" t="s">
        <v>102</v>
      </c>
      <c r="K7626" s="2" t="s">
        <v>14102</v>
      </c>
    </row>
    <row r="7627" ht="15.75" customHeight="1">
      <c r="A7627" s="2">
        <v>22876.0</v>
      </c>
      <c r="B7627" s="2" t="s">
        <v>414</v>
      </c>
      <c r="C7627" s="2" t="s">
        <v>7234</v>
      </c>
      <c r="D7627" s="2" t="s">
        <v>47</v>
      </c>
      <c r="E7627" s="2" t="s">
        <v>713</v>
      </c>
      <c r="F7627" s="2">
        <v>0.0</v>
      </c>
      <c r="G7627" s="2">
        <v>500.0</v>
      </c>
      <c r="H7627" s="3" t="str">
        <f>HYPERLINK("https://www.linkedin.com/in/tomracca","https://www.linkedin.com/in/tomracca")</f>
        <v>https://www.linkedin.com/in/tomracca</v>
      </c>
      <c r="I7627" s="2" t="s">
        <v>48</v>
      </c>
      <c r="J7627" s="2" t="s">
        <v>102</v>
      </c>
      <c r="K7627" s="2" t="s">
        <v>14080</v>
      </c>
    </row>
    <row r="7628" ht="15.75" customHeight="1">
      <c r="A7628" s="2">
        <v>22996.0</v>
      </c>
      <c r="B7628" s="2" t="s">
        <v>14252</v>
      </c>
      <c r="C7628" s="2" t="s">
        <v>14253</v>
      </c>
      <c r="D7628" s="2" t="s">
        <v>14254</v>
      </c>
      <c r="E7628" s="2" t="s">
        <v>1190</v>
      </c>
      <c r="F7628" s="2">
        <v>4.0</v>
      </c>
      <c r="G7628" s="2">
        <v>500.0</v>
      </c>
      <c r="H7628" s="3" t="str">
        <f>HYPERLINK("http://www.linkedin.com/in/dinomunoz","http://www.linkedin.com/in/dinomunoz")</f>
        <v>http://www.linkedin.com/in/dinomunoz</v>
      </c>
      <c r="I7628" s="2" t="s">
        <v>77</v>
      </c>
      <c r="J7628" s="2" t="s">
        <v>102</v>
      </c>
      <c r="K7628" s="2" t="s">
        <v>14255</v>
      </c>
    </row>
    <row r="7629" ht="15.75" customHeight="1">
      <c r="A7629" s="2">
        <v>23705.0</v>
      </c>
      <c r="B7629" s="2" t="s">
        <v>146</v>
      </c>
      <c r="C7629" s="2" t="s">
        <v>14256</v>
      </c>
      <c r="D7629" s="2" t="s">
        <v>13</v>
      </c>
      <c r="E7629" s="2" t="s">
        <v>20</v>
      </c>
      <c r="F7629" s="2">
        <v>0.0</v>
      </c>
      <c r="G7629" s="2">
        <v>290.0</v>
      </c>
      <c r="H7629" s="3" t="str">
        <f>HYPERLINK("http://www.linkedin.com/pub/enrique-gorzelany/a/190/427","http://www.linkedin.com/pub/enrique-gorzelany/a/190/427")</f>
        <v>http://www.linkedin.com/pub/enrique-gorzelany/a/190/427</v>
      </c>
      <c r="I7629" s="2" t="s">
        <v>77</v>
      </c>
      <c r="J7629" s="2" t="s">
        <v>21</v>
      </c>
      <c r="K7629" s="2" t="s">
        <v>14057</v>
      </c>
    </row>
    <row r="7630" ht="15.75" customHeight="1">
      <c r="A7630" s="2">
        <v>23804.0</v>
      </c>
      <c r="B7630" s="2" t="s">
        <v>717</v>
      </c>
      <c r="C7630" s="2" t="s">
        <v>7234</v>
      </c>
      <c r="D7630" s="2" t="s">
        <v>47</v>
      </c>
      <c r="E7630" s="2" t="s">
        <v>1407</v>
      </c>
      <c r="F7630" s="2">
        <v>19.0</v>
      </c>
      <c r="G7630" s="2">
        <v>500.0</v>
      </c>
      <c r="H7630" s="3" t="str">
        <f>HYPERLINK("http://www.linkedin.com/in/felixracca","http://www.linkedin.com/in/felixracca")</f>
        <v>http://www.linkedin.com/in/felixracca</v>
      </c>
      <c r="I7630" s="2" t="s">
        <v>48</v>
      </c>
      <c r="J7630" s="2" t="s">
        <v>102</v>
      </c>
      <c r="K7630" s="2" t="s">
        <v>14080</v>
      </c>
    </row>
    <row r="7631" ht="15.75" customHeight="1">
      <c r="A7631" s="2">
        <v>23809.0</v>
      </c>
      <c r="B7631" s="2" t="s">
        <v>845</v>
      </c>
      <c r="C7631" s="2" t="s">
        <v>3399</v>
      </c>
      <c r="D7631" s="2"/>
      <c r="E7631" s="2" t="s">
        <v>136</v>
      </c>
      <c r="F7631" s="2">
        <v>4.0</v>
      </c>
      <c r="G7631" s="2">
        <v>500.0</v>
      </c>
      <c r="H7631" s="3" t="str">
        <f>HYPERLINK("http://www.linkedin.com/in/davidpmeyer","http://www.linkedin.com/in/davidpmeyer")</f>
        <v>http://www.linkedin.com/in/davidpmeyer</v>
      </c>
      <c r="I7631" s="2" t="s">
        <v>15</v>
      </c>
      <c r="J7631" s="2" t="s">
        <v>102</v>
      </c>
      <c r="K7631" s="2" t="s">
        <v>14142</v>
      </c>
    </row>
    <row r="7632" ht="15.75" customHeight="1">
      <c r="A7632" s="2">
        <v>23810.0</v>
      </c>
      <c r="B7632" s="2" t="s">
        <v>1458</v>
      </c>
      <c r="C7632" s="2" t="s">
        <v>14257</v>
      </c>
      <c r="D7632" s="2" t="s">
        <v>14258</v>
      </c>
      <c r="E7632" s="2" t="s">
        <v>1407</v>
      </c>
      <c r="F7632" s="2">
        <v>0.0</v>
      </c>
      <c r="G7632" s="2">
        <v>500.0</v>
      </c>
      <c r="H7632" s="3" t="str">
        <f>HYPERLINK("http://www.linkedin.com/pub/todd-vancil/0/B6/425","http://www.linkedin.com/pub/todd-vancil/0/B6/425")</f>
        <v>http://www.linkedin.com/pub/todd-vancil/0/B6/425</v>
      </c>
      <c r="I7632" s="2" t="s">
        <v>48</v>
      </c>
      <c r="J7632" s="2" t="s">
        <v>102</v>
      </c>
      <c r="K7632" s="2" t="s">
        <v>14117</v>
      </c>
    </row>
    <row r="7633" ht="15.75" customHeight="1">
      <c r="A7633" s="2">
        <v>23811.0</v>
      </c>
      <c r="B7633" s="2" t="s">
        <v>291</v>
      </c>
      <c r="C7633" s="2" t="s">
        <v>2870</v>
      </c>
      <c r="D7633" s="2" t="s">
        <v>3989</v>
      </c>
      <c r="E7633" s="2" t="s">
        <v>1407</v>
      </c>
      <c r="F7633" s="2">
        <v>4.0</v>
      </c>
      <c r="G7633" s="2">
        <v>500.0</v>
      </c>
      <c r="H7633" s="3" t="str">
        <f>HYPERLINK("http://www.linkedin.com/in/garybuffington","http://www.linkedin.com/in/garybuffington")</f>
        <v>http://www.linkedin.com/in/garybuffington</v>
      </c>
      <c r="I7633" s="2" t="s">
        <v>1237</v>
      </c>
      <c r="J7633" s="2" t="s">
        <v>102</v>
      </c>
      <c r="K7633" s="2" t="s">
        <v>14259</v>
      </c>
    </row>
    <row r="7634" ht="15.75" customHeight="1">
      <c r="A7634" s="2">
        <v>23812.0</v>
      </c>
      <c r="B7634" s="2" t="s">
        <v>3250</v>
      </c>
      <c r="C7634" s="2" t="s">
        <v>189</v>
      </c>
      <c r="D7634" s="2" t="s">
        <v>3989</v>
      </c>
      <c r="E7634" s="2" t="s">
        <v>1407</v>
      </c>
      <c r="F7634" s="2">
        <v>2.0</v>
      </c>
      <c r="G7634" s="2">
        <v>500.0</v>
      </c>
      <c r="H7634" s="3" t="str">
        <f>HYPERLINK("http://www.linkedin.com/in/brandonjdean","http://www.linkedin.com/in/brandonjdean")</f>
        <v>http://www.linkedin.com/in/brandonjdean</v>
      </c>
      <c r="I7634" s="2" t="s">
        <v>1237</v>
      </c>
      <c r="J7634" s="2" t="s">
        <v>102</v>
      </c>
      <c r="K7634" s="2" t="s">
        <v>14259</v>
      </c>
    </row>
    <row r="7635" ht="15.75" customHeight="1">
      <c r="A7635" s="2">
        <v>24000.0</v>
      </c>
      <c r="B7635" s="2" t="s">
        <v>253</v>
      </c>
      <c r="C7635" s="2" t="s">
        <v>14260</v>
      </c>
      <c r="D7635" s="2" t="s">
        <v>13</v>
      </c>
      <c r="E7635" s="2" t="s">
        <v>20</v>
      </c>
      <c r="F7635" s="2">
        <v>0.0</v>
      </c>
      <c r="G7635" s="2">
        <v>283.0</v>
      </c>
      <c r="H7635" s="3" t="str">
        <f>HYPERLINK("http://www.linkedin.com/pub/fernando-dachequi/10/224/701","http://www.linkedin.com/pub/fernando-dachequi/10/224/701")</f>
        <v>http://www.linkedin.com/pub/fernando-dachequi/10/224/701</v>
      </c>
      <c r="I7635" s="2" t="s">
        <v>15</v>
      </c>
      <c r="J7635" s="2" t="s">
        <v>21</v>
      </c>
      <c r="K7635" s="2" t="s">
        <v>14057</v>
      </c>
    </row>
    <row r="7636" ht="15.75" customHeight="1">
      <c r="A7636" s="2">
        <v>24135.0</v>
      </c>
      <c r="B7636" s="2" t="s">
        <v>14261</v>
      </c>
      <c r="C7636" s="2" t="s">
        <v>14262</v>
      </c>
      <c r="D7636" s="2" t="s">
        <v>14263</v>
      </c>
      <c r="E7636" s="2" t="s">
        <v>14264</v>
      </c>
      <c r="F7636" s="2">
        <v>0.0</v>
      </c>
      <c r="G7636" s="2">
        <v>500.0</v>
      </c>
      <c r="H7636" s="3" t="str">
        <f>HYPERLINK("http://www.linkedin.com/pub/rudinei-kalil/6/951/A01","http://www.linkedin.com/pub/rudinei-kalil/6/951/A01")</f>
        <v>http://www.linkedin.com/pub/rudinei-kalil/6/951/A01</v>
      </c>
      <c r="I7636" s="2" t="s">
        <v>77</v>
      </c>
      <c r="J7636" s="2" t="s">
        <v>102</v>
      </c>
      <c r="K7636" s="2" t="s">
        <v>14125</v>
      </c>
    </row>
    <row r="7637" ht="15.75" customHeight="1">
      <c r="A7637" s="2">
        <v>24258.0</v>
      </c>
      <c r="B7637" s="2" t="s">
        <v>1786</v>
      </c>
      <c r="C7637" s="2" t="s">
        <v>14265</v>
      </c>
      <c r="D7637" s="2" t="s">
        <v>47</v>
      </c>
      <c r="E7637" s="2" t="s">
        <v>713</v>
      </c>
      <c r="F7637" s="2" t="s">
        <v>13</v>
      </c>
      <c r="G7637" s="2">
        <v>500.0</v>
      </c>
      <c r="H7637" s="3" t="str">
        <f>HYPERLINK("http://www.linkedin.com/pub/marilyn-bochicchio/11/3BA/123","http://www.linkedin.com/pub/marilyn-bochicchio/11/3BA/123")</f>
        <v>http://www.linkedin.com/pub/marilyn-bochicchio/11/3BA/123</v>
      </c>
      <c r="I7637" s="2" t="s">
        <v>1237</v>
      </c>
      <c r="J7637" s="2" t="s">
        <v>102</v>
      </c>
      <c r="K7637" s="2" t="s">
        <v>14266</v>
      </c>
    </row>
    <row r="7638" ht="15.75" customHeight="1">
      <c r="A7638" s="2">
        <v>24372.0</v>
      </c>
      <c r="B7638" s="2" t="s">
        <v>253</v>
      </c>
      <c r="C7638" s="2" t="s">
        <v>3943</v>
      </c>
      <c r="D7638" s="2" t="s">
        <v>1674</v>
      </c>
      <c r="E7638" s="2" t="s">
        <v>1190</v>
      </c>
      <c r="F7638" s="2">
        <v>2.0</v>
      </c>
      <c r="G7638" s="2">
        <v>500.0</v>
      </c>
      <c r="H7638" s="3" t="str">
        <f>HYPERLINK("http://www.linkedin.com/pub/fernando-rodriguez/3/B23/71B","http://www.linkedin.com/pub/fernando-rodriguez/3/B23/71B")</f>
        <v>http://www.linkedin.com/pub/fernando-rodriguez/3/B23/71B</v>
      </c>
      <c r="I7638" s="2" t="s">
        <v>69</v>
      </c>
      <c r="J7638" s="2" t="s">
        <v>102</v>
      </c>
      <c r="K7638" s="2" t="s">
        <v>14071</v>
      </c>
    </row>
    <row r="7639" ht="15.75" customHeight="1">
      <c r="A7639" s="2">
        <v>24812.0</v>
      </c>
      <c r="B7639" s="2" t="s">
        <v>14267</v>
      </c>
      <c r="C7639" s="2" t="s">
        <v>14268</v>
      </c>
      <c r="D7639" s="2" t="s">
        <v>47</v>
      </c>
      <c r="E7639" s="2" t="s">
        <v>20</v>
      </c>
      <c r="F7639" s="2" t="s">
        <v>13</v>
      </c>
      <c r="G7639" s="2">
        <v>341.0</v>
      </c>
      <c r="H7639" s="3" t="str">
        <f>HYPERLINK("http://ar.linkedin.com/pub/silvio-miguel-dotolo/9/29A/961","http://ar.linkedin.com/pub/silvio-miguel-dotolo/9/29A/961")</f>
        <v>http://ar.linkedin.com/pub/silvio-miguel-dotolo/9/29A/961</v>
      </c>
      <c r="I7639" s="2" t="s">
        <v>69</v>
      </c>
      <c r="J7639" s="2" t="s">
        <v>21</v>
      </c>
      <c r="K7639" s="2" t="s">
        <v>14057</v>
      </c>
    </row>
    <row r="7640" ht="15.75" customHeight="1">
      <c r="A7640" s="2">
        <v>24826.0</v>
      </c>
      <c r="B7640" s="2" t="s">
        <v>12399</v>
      </c>
      <c r="C7640" s="2" t="s">
        <v>13737</v>
      </c>
      <c r="D7640" s="2" t="s">
        <v>14269</v>
      </c>
      <c r="E7640" s="2" t="s">
        <v>1190</v>
      </c>
      <c r="F7640" s="2">
        <v>0.0</v>
      </c>
      <c r="G7640" s="2">
        <v>174.0</v>
      </c>
      <c r="H7640" s="3" t="str">
        <f>HYPERLINK("http://www.linkedin.com/pub/gilberto-mendoza/2B/811/A0","http://www.linkedin.com/pub/gilberto-mendoza/2B/811/A0")</f>
        <v>http://www.linkedin.com/pub/gilberto-mendoza/2B/811/A0</v>
      </c>
      <c r="I7640" s="2" t="s">
        <v>279</v>
      </c>
      <c r="J7640" s="2" t="s">
        <v>102</v>
      </c>
      <c r="K7640" s="2" t="s">
        <v>14197</v>
      </c>
    </row>
    <row r="7641" ht="15.75" customHeight="1">
      <c r="A7641" s="2">
        <v>24992.0</v>
      </c>
      <c r="B7641" s="2" t="s">
        <v>1015</v>
      </c>
      <c r="C7641" s="2" t="s">
        <v>14270</v>
      </c>
      <c r="D7641" s="2" t="s">
        <v>1297</v>
      </c>
      <c r="E7641" s="2" t="s">
        <v>136</v>
      </c>
      <c r="F7641" s="2" t="s">
        <v>13</v>
      </c>
      <c r="G7641" s="2">
        <v>500.0</v>
      </c>
      <c r="H7641" s="3" t="str">
        <f>HYPERLINK("http://www.linkedin.com/in/brianfyork","http://www.linkedin.com/in/brianfyork")</f>
        <v>http://www.linkedin.com/in/brianfyork</v>
      </c>
      <c r="I7641" s="2" t="s">
        <v>69</v>
      </c>
      <c r="J7641" s="2" t="s">
        <v>102</v>
      </c>
      <c r="K7641" s="2" t="s">
        <v>14080</v>
      </c>
    </row>
    <row r="7642" ht="15.75" customHeight="1">
      <c r="A7642" s="2">
        <v>25640.0</v>
      </c>
      <c r="B7642" s="2" t="s">
        <v>7140</v>
      </c>
      <c r="C7642" s="2" t="s">
        <v>14271</v>
      </c>
      <c r="D7642" s="2" t="s">
        <v>2560</v>
      </c>
      <c r="E7642" s="2" t="s">
        <v>20</v>
      </c>
      <c r="F7642" s="2">
        <v>6.0</v>
      </c>
      <c r="G7642" s="2">
        <v>500.0</v>
      </c>
      <c r="H7642" s="3" t="str">
        <f>HYPERLINK("http://ar.linkedin.com/in/nriccitelli","http://ar.linkedin.com/in/nriccitelli")</f>
        <v>http://ar.linkedin.com/in/nriccitelli</v>
      </c>
      <c r="I7642" s="2" t="s">
        <v>69</v>
      </c>
      <c r="J7642" s="2" t="s">
        <v>21</v>
      </c>
      <c r="K7642" s="2" t="s">
        <v>14055</v>
      </c>
    </row>
    <row r="7643" ht="15.75" customHeight="1">
      <c r="A7643" s="2">
        <v>25657.0</v>
      </c>
      <c r="B7643" s="2" t="s">
        <v>3477</v>
      </c>
      <c r="C7643" s="2" t="s">
        <v>14272</v>
      </c>
      <c r="D7643" s="2" t="s">
        <v>13</v>
      </c>
      <c r="E7643" s="2" t="s">
        <v>14273</v>
      </c>
      <c r="F7643" s="2">
        <v>0.0</v>
      </c>
      <c r="G7643" s="2">
        <v>500.0</v>
      </c>
      <c r="H7643" s="3" t="str">
        <f>HYPERLINK("http://www.linkedin.com/in/joshbochner","http://www.linkedin.com/in/joshbochner")</f>
        <v>http://www.linkedin.com/in/joshbochner</v>
      </c>
      <c r="I7643" s="2" t="s">
        <v>69</v>
      </c>
      <c r="J7643" s="2" t="s">
        <v>102</v>
      </c>
      <c r="K7643" s="2" t="s">
        <v>14080</v>
      </c>
    </row>
    <row r="7644" ht="15.75" customHeight="1">
      <c r="A7644" s="2">
        <v>26397.0</v>
      </c>
      <c r="B7644" s="2" t="s">
        <v>460</v>
      </c>
      <c r="C7644" s="2" t="s">
        <v>2635</v>
      </c>
      <c r="D7644" s="2" t="s">
        <v>14274</v>
      </c>
      <c r="E7644" s="2" t="s">
        <v>713</v>
      </c>
      <c r="F7644" s="2">
        <v>1.0</v>
      </c>
      <c r="G7644" s="2">
        <v>500.0</v>
      </c>
      <c r="H7644" s="3" t="str">
        <f>HYPERLINK("http://www.linkedin.com/pub/john-jackson/10/312/465","http://www.linkedin.com/pub/john-jackson/10/312/465")</f>
        <v>http://www.linkedin.com/pub/john-jackson/10/312/465</v>
      </c>
      <c r="I7644" s="2" t="s">
        <v>2046</v>
      </c>
      <c r="J7644" s="2" t="s">
        <v>102</v>
      </c>
      <c r="K7644" s="2" t="s">
        <v>14125</v>
      </c>
    </row>
    <row r="7645" ht="15.75" customHeight="1">
      <c r="A7645" s="2">
        <v>26741.0</v>
      </c>
      <c r="B7645" s="2" t="s">
        <v>5824</v>
      </c>
      <c r="C7645" s="2" t="s">
        <v>14275</v>
      </c>
      <c r="D7645" s="2" t="s">
        <v>14276</v>
      </c>
      <c r="E7645" s="2" t="s">
        <v>1190</v>
      </c>
      <c r="F7645" s="2">
        <v>7.0</v>
      </c>
      <c r="G7645" s="2">
        <v>500.0</v>
      </c>
      <c r="H7645" s="3" t="str">
        <f>HYPERLINK("http://www.linkedin.com/in/alejandrateran","http://www.linkedin.com/in/alejandrateran")</f>
        <v>http://www.linkedin.com/in/alejandrateran</v>
      </c>
      <c r="I7645" s="2" t="s">
        <v>252</v>
      </c>
      <c r="J7645" s="2" t="s">
        <v>102</v>
      </c>
      <c r="K7645" s="2" t="s">
        <v>14125</v>
      </c>
    </row>
    <row r="7646" ht="15.75" customHeight="1">
      <c r="A7646" s="2">
        <v>27553.0</v>
      </c>
      <c r="B7646" s="2" t="s">
        <v>358</v>
      </c>
      <c r="C7646" s="2" t="s">
        <v>14277</v>
      </c>
      <c r="D7646" s="2" t="s">
        <v>14278</v>
      </c>
      <c r="E7646" s="2" t="s">
        <v>20</v>
      </c>
      <c r="F7646" s="2">
        <v>3.0</v>
      </c>
      <c r="G7646" s="2">
        <v>500.0</v>
      </c>
      <c r="H7646" s="3" t="str">
        <f>HYPERLINK("http://ar.linkedin.com/pub/marcelo-liberini/0/387/58B","http://ar.linkedin.com/pub/marcelo-liberini/0/387/58B")</f>
        <v>http://ar.linkedin.com/pub/marcelo-liberini/0/387/58B</v>
      </c>
      <c r="I7646" s="2" t="s">
        <v>1398</v>
      </c>
      <c r="J7646" s="2" t="s">
        <v>21</v>
      </c>
      <c r="K7646" s="2" t="s">
        <v>14074</v>
      </c>
    </row>
    <row r="7647" ht="15.75" customHeight="1">
      <c r="A7647" s="2">
        <v>27954.0</v>
      </c>
      <c r="B7647" s="2" t="s">
        <v>14279</v>
      </c>
      <c r="C7647" s="2" t="s">
        <v>14280</v>
      </c>
      <c r="D7647" s="2" t="s">
        <v>14281</v>
      </c>
      <c r="E7647" s="2" t="s">
        <v>762</v>
      </c>
      <c r="F7647" s="2">
        <v>5.0</v>
      </c>
      <c r="G7647" s="2">
        <v>500.0</v>
      </c>
      <c r="H7647" s="3" t="str">
        <f>HYPERLINK("http://www.linkedin.com/in/mickgiles","http://www.linkedin.com/in/mickgiles")</f>
        <v>http://www.linkedin.com/in/mickgiles</v>
      </c>
      <c r="I7647" s="2" t="s">
        <v>143</v>
      </c>
      <c r="J7647" s="2" t="s">
        <v>102</v>
      </c>
      <c r="K7647" s="2" t="s">
        <v>14282</v>
      </c>
    </row>
    <row r="7648" ht="15.75" customHeight="1">
      <c r="A7648" s="2">
        <v>27976.0</v>
      </c>
      <c r="B7648" s="2" t="s">
        <v>710</v>
      </c>
      <c r="C7648" s="2" t="s">
        <v>12550</v>
      </c>
      <c r="D7648" s="2" t="s">
        <v>108</v>
      </c>
      <c r="E7648" s="2" t="s">
        <v>14283</v>
      </c>
      <c r="F7648" s="2">
        <v>15.0</v>
      </c>
      <c r="G7648" s="2">
        <v>500.0</v>
      </c>
      <c r="H7648" s="3" t="str">
        <f>HYPERLINK("http://www.linkedin.com/pub/jason-duval/6/125/966","http://www.linkedin.com/pub/jason-duval/6/125/966")</f>
        <v>http://www.linkedin.com/pub/jason-duval/6/125/966</v>
      </c>
      <c r="I7648" s="2" t="s">
        <v>15</v>
      </c>
      <c r="J7648" s="2" t="s">
        <v>102</v>
      </c>
      <c r="K7648" s="2" t="s">
        <v>14065</v>
      </c>
    </row>
    <row r="7649" ht="15.75" customHeight="1">
      <c r="A7649" s="2">
        <v>28276.0</v>
      </c>
      <c r="B7649" s="2" t="s">
        <v>1235</v>
      </c>
      <c r="C7649" s="2" t="s">
        <v>14284</v>
      </c>
      <c r="D7649" s="2" t="s">
        <v>14285</v>
      </c>
      <c r="E7649" s="2" t="s">
        <v>808</v>
      </c>
      <c r="F7649" s="2">
        <v>15.0</v>
      </c>
      <c r="G7649" s="2">
        <v>500.0</v>
      </c>
      <c r="H7649" s="3" t="str">
        <f>HYPERLINK("http://www.linkedin.com/in/ramonwinemberg","http://www.linkedin.com/in/ramonwinemberg")</f>
        <v>http://www.linkedin.com/in/ramonwinemberg</v>
      </c>
      <c r="I7649" s="2" t="s">
        <v>1012</v>
      </c>
      <c r="J7649" s="2" t="s">
        <v>102</v>
      </c>
      <c r="K7649" s="2" t="s">
        <v>14074</v>
      </c>
    </row>
    <row r="7650" ht="15.75" customHeight="1">
      <c r="A7650" s="2">
        <v>28283.0</v>
      </c>
      <c r="B7650" s="2" t="s">
        <v>275</v>
      </c>
      <c r="C7650" s="2" t="s">
        <v>14286</v>
      </c>
      <c r="D7650" s="2" t="s">
        <v>114</v>
      </c>
      <c r="E7650" s="2" t="s">
        <v>14287</v>
      </c>
      <c r="F7650" s="2">
        <v>5.0</v>
      </c>
      <c r="G7650" s="2">
        <v>500.0</v>
      </c>
      <c r="H7650" s="3" t="str">
        <f>HYPERLINK("http://www.linkedin.com/in/markbielecki","http://www.linkedin.com/in/markbielecki")</f>
        <v>http://www.linkedin.com/in/markbielecki</v>
      </c>
      <c r="I7650" s="2" t="s">
        <v>248</v>
      </c>
      <c r="J7650" s="2" t="s">
        <v>102</v>
      </c>
      <c r="K7650" s="2" t="s">
        <v>14115</v>
      </c>
    </row>
    <row r="7651" ht="15.75" customHeight="1">
      <c r="A7651" s="2">
        <v>28332.0</v>
      </c>
      <c r="B7651" s="2" t="s">
        <v>14288</v>
      </c>
      <c r="C7651" s="2" t="s">
        <v>14289</v>
      </c>
      <c r="D7651" s="2" t="s">
        <v>14290</v>
      </c>
      <c r="E7651" s="2" t="s">
        <v>251</v>
      </c>
      <c r="F7651" s="2">
        <v>6.0</v>
      </c>
      <c r="G7651" s="2">
        <v>500.0</v>
      </c>
      <c r="H7651" s="3" t="str">
        <f>HYPERLINK("http://www.linkedin.com/pub/matthias-thiele/17/77/7A3","http://www.linkedin.com/pub/matthias-thiele/17/77/7A3")</f>
        <v>http://www.linkedin.com/pub/matthias-thiele/17/77/7A3</v>
      </c>
      <c r="I7651" s="2" t="s">
        <v>15</v>
      </c>
      <c r="J7651" s="2" t="s">
        <v>102</v>
      </c>
      <c r="K7651" s="2" t="s">
        <v>14088</v>
      </c>
    </row>
    <row r="7652" ht="15.75" customHeight="1">
      <c r="A7652" s="2">
        <v>28498.0</v>
      </c>
      <c r="B7652" s="2" t="s">
        <v>754</v>
      </c>
      <c r="C7652" s="2" t="s">
        <v>1817</v>
      </c>
      <c r="D7652" s="2" t="s">
        <v>11431</v>
      </c>
      <c r="E7652" s="2" t="s">
        <v>1918</v>
      </c>
      <c r="F7652" s="2">
        <v>21.0</v>
      </c>
      <c r="G7652" s="2">
        <v>500.0</v>
      </c>
      <c r="H7652" s="3" t="str">
        <f>HYPERLINK("http://www.linkedin.com/in/gfox88","http://www.linkedin.com/in/gfox88")</f>
        <v>http://www.linkedin.com/in/gfox88</v>
      </c>
      <c r="I7652" s="2" t="s">
        <v>105</v>
      </c>
      <c r="J7652" s="2" t="s">
        <v>102</v>
      </c>
      <c r="K7652" s="2" t="s">
        <v>14204</v>
      </c>
    </row>
    <row r="7653" ht="15.75" customHeight="1">
      <c r="A7653" s="2">
        <v>28736.0</v>
      </c>
      <c r="B7653" s="2" t="s">
        <v>14291</v>
      </c>
      <c r="C7653" s="2" t="s">
        <v>14292</v>
      </c>
      <c r="D7653" s="2" t="s">
        <v>14293</v>
      </c>
      <c r="E7653" s="2" t="s">
        <v>301</v>
      </c>
      <c r="F7653" s="2">
        <v>9.0</v>
      </c>
      <c r="G7653" s="2">
        <v>500.0</v>
      </c>
      <c r="H7653" s="3" t="str">
        <f>HYPERLINK("http://www.linkedin.com/in/matheo","http://www.linkedin.com/in/matheo")</f>
        <v>http://www.linkedin.com/in/matheo</v>
      </c>
      <c r="I7653" s="2" t="s">
        <v>15</v>
      </c>
      <c r="J7653" s="2" t="s">
        <v>102</v>
      </c>
      <c r="K7653" s="2" t="s">
        <v>14088</v>
      </c>
    </row>
    <row r="7654" ht="15.75" customHeight="1">
      <c r="A7654" s="2">
        <v>29328.0</v>
      </c>
      <c r="B7654" s="2" t="s">
        <v>14294</v>
      </c>
      <c r="C7654" s="2" t="s">
        <v>14295</v>
      </c>
      <c r="D7654" s="2" t="s">
        <v>13</v>
      </c>
      <c r="E7654" s="2" t="s">
        <v>12475</v>
      </c>
      <c r="F7654" s="2">
        <v>0.0</v>
      </c>
      <c r="G7654" s="2">
        <v>500.0</v>
      </c>
      <c r="H7654" s="3" t="str">
        <f>HYPERLINK("http://www.linkedin.com/in/viriatoleao","http://www.linkedin.com/in/viriatoleao")</f>
        <v>http://www.linkedin.com/in/viriatoleao</v>
      </c>
      <c r="I7654" s="2" t="s">
        <v>681</v>
      </c>
      <c r="J7654" s="2" t="s">
        <v>102</v>
      </c>
      <c r="K7654" s="2" t="s">
        <v>14052</v>
      </c>
    </row>
    <row r="7655" ht="15.75" customHeight="1">
      <c r="A7655" s="2">
        <v>29866.0</v>
      </c>
      <c r="B7655" s="2" t="s">
        <v>2746</v>
      </c>
      <c r="C7655" s="2" t="s">
        <v>14296</v>
      </c>
      <c r="D7655" s="2" t="s">
        <v>4026</v>
      </c>
      <c r="E7655" s="2" t="s">
        <v>301</v>
      </c>
      <c r="F7655" s="2">
        <v>15.0</v>
      </c>
      <c r="G7655" s="2">
        <v>500.0</v>
      </c>
      <c r="H7655" s="3" t="str">
        <f>HYPERLINK("http://www.linkedin.com/in/carlomantica","http://www.linkedin.com/in/carlomantica")</f>
        <v>http://www.linkedin.com/in/carlomantica</v>
      </c>
      <c r="I7655" s="2" t="s">
        <v>57</v>
      </c>
      <c r="J7655" s="2" t="s">
        <v>102</v>
      </c>
      <c r="K7655" s="2" t="s">
        <v>14074</v>
      </c>
    </row>
    <row r="7656" ht="15.75" customHeight="1">
      <c r="A7656" s="2">
        <v>30224.0</v>
      </c>
      <c r="B7656" s="2" t="s">
        <v>671</v>
      </c>
      <c r="C7656" s="2" t="s">
        <v>14297</v>
      </c>
      <c r="D7656" s="2" t="s">
        <v>14298</v>
      </c>
      <c r="E7656" s="2" t="s">
        <v>1190</v>
      </c>
      <c r="F7656" s="2">
        <v>11.0</v>
      </c>
      <c r="G7656" s="2">
        <v>500.0</v>
      </c>
      <c r="H7656" s="3" t="str">
        <f>HYPERLINK("http://www.linkedin.com/pub/mariana-krym/0/425/39","http://www.linkedin.com/pub/mariana-krym/0/425/39")</f>
        <v>http://www.linkedin.com/pub/mariana-krym/0/425/39</v>
      </c>
      <c r="I7656" s="2" t="s">
        <v>105</v>
      </c>
      <c r="J7656" s="2" t="s">
        <v>102</v>
      </c>
      <c r="K7656" s="2" t="s">
        <v>14071</v>
      </c>
    </row>
    <row r="7657" ht="15.75" customHeight="1">
      <c r="A7657" s="2">
        <v>30255.0</v>
      </c>
      <c r="B7657" s="2" t="s">
        <v>14299</v>
      </c>
      <c r="C7657" s="2" t="s">
        <v>8043</v>
      </c>
      <c r="D7657" s="2" t="s">
        <v>13</v>
      </c>
      <c r="E7657" s="2" t="s">
        <v>14300</v>
      </c>
      <c r="F7657" s="2">
        <v>0.0</v>
      </c>
      <c r="G7657" s="2">
        <v>260.0</v>
      </c>
      <c r="H7657" s="3" t="str">
        <f>HYPERLINK("http://www.linkedin.com/in/adrianocaetano","http://www.linkedin.com/in/adrianocaetano")</f>
        <v>http://www.linkedin.com/in/adrianocaetano</v>
      </c>
      <c r="I7657" s="2" t="s">
        <v>15</v>
      </c>
      <c r="J7657" s="2" t="s">
        <v>102</v>
      </c>
      <c r="K7657" s="2" t="s">
        <v>14197</v>
      </c>
    </row>
    <row r="7658" ht="15.75" customHeight="1">
      <c r="A7658" s="2">
        <v>30286.0</v>
      </c>
      <c r="B7658" s="2" t="s">
        <v>5597</v>
      </c>
      <c r="C7658" s="2" t="s">
        <v>14301</v>
      </c>
      <c r="D7658" s="2" t="s">
        <v>114</v>
      </c>
      <c r="E7658" s="2" t="s">
        <v>1190</v>
      </c>
      <c r="F7658" s="2">
        <v>21.0</v>
      </c>
      <c r="G7658" s="2">
        <v>403.0</v>
      </c>
      <c r="H7658" s="3" t="str">
        <f>HYPERLINK("http://www.linkedin.com/in/carolinesucaet","http://www.linkedin.com/in/carolinesucaet")</f>
        <v>http://www.linkedin.com/in/carolinesucaet</v>
      </c>
      <c r="I7658" s="2" t="s">
        <v>77</v>
      </c>
      <c r="J7658" s="2" t="s">
        <v>102</v>
      </c>
      <c r="K7658" s="2" t="s">
        <v>14092</v>
      </c>
    </row>
    <row r="7659" ht="15.75" customHeight="1">
      <c r="A7659" s="2">
        <v>30650.0</v>
      </c>
      <c r="B7659" s="2" t="s">
        <v>1903</v>
      </c>
      <c r="C7659" s="2" t="s">
        <v>12157</v>
      </c>
      <c r="D7659" s="2" t="s">
        <v>3855</v>
      </c>
      <c r="E7659" s="2" t="s">
        <v>1190</v>
      </c>
      <c r="F7659" s="2">
        <v>0.0</v>
      </c>
      <c r="G7659" s="2">
        <v>1.0</v>
      </c>
      <c r="H7659" s="3" t="str">
        <f>HYPERLINK("http://www.linkedin.com/pub/gil-boas/16/239/5B6","http://www.linkedin.com/pub/gil-boas/16/239/5B6")</f>
        <v>http://www.linkedin.com/pub/gil-boas/16/239/5B6</v>
      </c>
      <c r="I7659" s="2" t="s">
        <v>77</v>
      </c>
      <c r="J7659" s="2" t="s">
        <v>102</v>
      </c>
      <c r="K7659" s="2" t="s">
        <v>14173</v>
      </c>
    </row>
    <row r="7660" ht="15.75" customHeight="1">
      <c r="A7660" s="2">
        <v>30670.0</v>
      </c>
      <c r="B7660" s="2" t="s">
        <v>1676</v>
      </c>
      <c r="C7660" s="2" t="s">
        <v>4233</v>
      </c>
      <c r="D7660" s="2" t="s">
        <v>14302</v>
      </c>
      <c r="E7660" s="2" t="s">
        <v>1190</v>
      </c>
      <c r="F7660" s="2">
        <v>7.0</v>
      </c>
      <c r="G7660" s="2">
        <v>416.0</v>
      </c>
      <c r="H7660" s="3" t="str">
        <f>HYPERLINK("http://www.linkedin.com/pub/raul-gonzalez/14/5A7/909","http://www.linkedin.com/pub/raul-gonzalez/14/5A7/909")</f>
        <v>http://www.linkedin.com/pub/raul-gonzalez/14/5A7/909</v>
      </c>
      <c r="I7660" s="2" t="s">
        <v>15</v>
      </c>
      <c r="J7660" s="2" t="s">
        <v>102</v>
      </c>
      <c r="K7660" s="2" t="s">
        <v>14092</v>
      </c>
    </row>
    <row r="7661" ht="15.75" customHeight="1">
      <c r="A7661" s="2">
        <v>31036.0</v>
      </c>
      <c r="B7661" s="2" t="s">
        <v>10450</v>
      </c>
      <c r="C7661" s="2" t="s">
        <v>3215</v>
      </c>
      <c r="D7661" s="2" t="s">
        <v>293</v>
      </c>
      <c r="E7661" s="2" t="s">
        <v>989</v>
      </c>
      <c r="F7661" s="2">
        <v>2.0</v>
      </c>
      <c r="G7661" s="2">
        <v>438.0</v>
      </c>
      <c r="H7661" s="3" t="str">
        <f>HYPERLINK("http://www.linkedin.com/in/bryanhogan","http://www.linkedin.com/in/bryanhogan")</f>
        <v>http://www.linkedin.com/in/bryanhogan</v>
      </c>
      <c r="I7661" s="2" t="s">
        <v>15</v>
      </c>
      <c r="J7661" s="2" t="s">
        <v>102</v>
      </c>
      <c r="K7661" s="2" t="s">
        <v>14080</v>
      </c>
    </row>
    <row r="7662" ht="15.75" customHeight="1">
      <c r="A7662" s="2">
        <v>31123.0</v>
      </c>
      <c r="B7662" s="2" t="s">
        <v>2449</v>
      </c>
      <c r="C7662" s="2" t="s">
        <v>14303</v>
      </c>
      <c r="D7662" s="2" t="s">
        <v>13</v>
      </c>
      <c r="E7662" s="2" t="s">
        <v>20</v>
      </c>
      <c r="F7662" s="2">
        <v>0.0</v>
      </c>
      <c r="G7662" s="2">
        <v>306.0</v>
      </c>
      <c r="H7662" s="3" t="str">
        <f>HYPERLINK("https://www.linkedin.com/pub/albano-laiuppa/28/267/157","https://www.linkedin.com/pub/albano-laiuppa/28/267/157")</f>
        <v>https://www.linkedin.com/pub/albano-laiuppa/28/267/157</v>
      </c>
      <c r="I7662" s="2" t="s">
        <v>69</v>
      </c>
      <c r="J7662" s="2" t="s">
        <v>21</v>
      </c>
      <c r="K7662" s="2" t="s">
        <v>14105</v>
      </c>
    </row>
    <row r="7663" ht="15.75" customHeight="1">
      <c r="A7663" s="2">
        <v>31295.0</v>
      </c>
      <c r="B7663" s="2" t="s">
        <v>1362</v>
      </c>
      <c r="C7663" s="2" t="s">
        <v>14304</v>
      </c>
      <c r="D7663" s="2" t="s">
        <v>13</v>
      </c>
      <c r="E7663" s="2" t="s">
        <v>122</v>
      </c>
      <c r="F7663" s="2">
        <v>0.0</v>
      </c>
      <c r="G7663" s="2">
        <v>500.0</v>
      </c>
      <c r="H7663" s="3" t="str">
        <f>HYPERLINK("http://uk.linkedin.com/pub/william-excell/2/40A/593","http://uk.linkedin.com/pub/william-excell/2/40A/593")</f>
        <v>http://uk.linkedin.com/pub/william-excell/2/40A/593</v>
      </c>
      <c r="I7663" s="2" t="s">
        <v>15</v>
      </c>
      <c r="J7663" s="2" t="s">
        <v>53</v>
      </c>
      <c r="K7663" s="2" t="s">
        <v>14055</v>
      </c>
    </row>
    <row r="7664" ht="15.75" customHeight="1">
      <c r="A7664" s="2">
        <v>31396.0</v>
      </c>
      <c r="B7664" s="2" t="s">
        <v>1523</v>
      </c>
      <c r="C7664" s="2" t="s">
        <v>3869</v>
      </c>
      <c r="D7664" s="2" t="s">
        <v>1825</v>
      </c>
      <c r="E7664" s="2" t="s">
        <v>14305</v>
      </c>
      <c r="F7664" s="2">
        <v>23.0</v>
      </c>
      <c r="G7664" s="2">
        <v>500.0</v>
      </c>
      <c r="H7664" s="3" t="str">
        <f>HYPERLINK("http://www.linkedin.com/in/philipcwilliams","http://www.linkedin.com/in/philipcwilliams")</f>
        <v>http://www.linkedin.com/in/philipcwilliams</v>
      </c>
      <c r="I7664" s="2" t="s">
        <v>910</v>
      </c>
      <c r="J7664" s="2" t="s">
        <v>102</v>
      </c>
      <c r="K7664" s="2" t="s">
        <v>14074</v>
      </c>
    </row>
    <row r="7665" ht="15.75" customHeight="1">
      <c r="A7665" s="2">
        <v>31591.0</v>
      </c>
      <c r="B7665" s="2" t="s">
        <v>6531</v>
      </c>
      <c r="C7665" s="2" t="s">
        <v>14306</v>
      </c>
      <c r="D7665" s="2" t="s">
        <v>1966</v>
      </c>
      <c r="E7665" s="2" t="s">
        <v>20</v>
      </c>
      <c r="F7665" s="2" t="s">
        <v>13</v>
      </c>
      <c r="G7665" s="2">
        <v>500.0</v>
      </c>
      <c r="H7665" s="3" t="str">
        <f>HYPERLINK("http://ar.linkedin.com/in/gerardozir","http://ar.linkedin.com/in/gerardozir")</f>
        <v>http://ar.linkedin.com/in/gerardozir</v>
      </c>
      <c r="I7665" s="2" t="s">
        <v>15</v>
      </c>
      <c r="J7665" s="2" t="s">
        <v>21</v>
      </c>
      <c r="K7665" s="2" t="s">
        <v>14057</v>
      </c>
    </row>
    <row r="7666" ht="15.75" customHeight="1">
      <c r="A7666" s="2">
        <v>31658.0</v>
      </c>
      <c r="B7666" s="2" t="s">
        <v>1167</v>
      </c>
      <c r="C7666" s="2" t="s">
        <v>14307</v>
      </c>
      <c r="D7666" s="2" t="s">
        <v>14308</v>
      </c>
      <c r="E7666" s="2" t="s">
        <v>2463</v>
      </c>
      <c r="F7666" s="2">
        <v>10.0</v>
      </c>
      <c r="G7666" s="2">
        <v>292.0</v>
      </c>
      <c r="H7666" s="3" t="str">
        <f>HYPERLINK("http://www.linkedin.com/in/benmahan","http://www.linkedin.com/in/benmahan")</f>
        <v>http://www.linkedin.com/in/benmahan</v>
      </c>
      <c r="I7666" s="2" t="s">
        <v>48</v>
      </c>
      <c r="J7666" s="2" t="s">
        <v>102</v>
      </c>
      <c r="K7666" s="2" t="s">
        <v>14095</v>
      </c>
    </row>
    <row r="7667" ht="15.75" customHeight="1">
      <c r="A7667" s="2">
        <v>31748.0</v>
      </c>
      <c r="B7667" s="2" t="s">
        <v>5244</v>
      </c>
      <c r="C7667" s="2" t="s">
        <v>14309</v>
      </c>
      <c r="D7667" s="2" t="s">
        <v>14310</v>
      </c>
      <c r="E7667" s="2" t="s">
        <v>1190</v>
      </c>
      <c r="F7667" s="2">
        <v>6.0</v>
      </c>
      <c r="G7667" s="2">
        <v>500.0</v>
      </c>
      <c r="H7667" s="3" t="str">
        <f>HYPERLINK("http://www.linkedin.com/in/dickraman","http://www.linkedin.com/in/dickraman")</f>
        <v>http://www.linkedin.com/in/dickraman</v>
      </c>
      <c r="I7667" s="2" t="s">
        <v>15</v>
      </c>
      <c r="J7667" s="2" t="s">
        <v>102</v>
      </c>
      <c r="K7667" s="2" t="s">
        <v>14095</v>
      </c>
    </row>
    <row r="7668" ht="15.75" customHeight="1">
      <c r="A7668" s="2">
        <v>32120.0</v>
      </c>
      <c r="B7668" s="2" t="s">
        <v>14311</v>
      </c>
      <c r="C7668" s="2" t="s">
        <v>361</v>
      </c>
      <c r="D7668" s="2" t="s">
        <v>47</v>
      </c>
      <c r="E7668" s="2" t="s">
        <v>914</v>
      </c>
      <c r="F7668" s="2">
        <v>2.0</v>
      </c>
      <c r="G7668" s="2">
        <v>500.0</v>
      </c>
      <c r="H7668" s="3" t="str">
        <f>HYPERLINK("http://www.linkedin.com/in/hiramm","http://www.linkedin.com/in/hiramm")</f>
        <v>http://www.linkedin.com/in/hiramm</v>
      </c>
      <c r="I7668" s="2" t="s">
        <v>15</v>
      </c>
      <c r="J7668" s="2" t="s">
        <v>102</v>
      </c>
      <c r="K7668" s="2" t="s">
        <v>14197</v>
      </c>
    </row>
    <row r="7669" ht="15.75" customHeight="1">
      <c r="A7669" s="2">
        <v>32277.0</v>
      </c>
      <c r="B7669" s="2" t="s">
        <v>14312</v>
      </c>
      <c r="C7669" s="2" t="s">
        <v>14313</v>
      </c>
      <c r="D7669" s="2" t="s">
        <v>47</v>
      </c>
      <c r="E7669" s="2" t="s">
        <v>2058</v>
      </c>
      <c r="F7669" s="2">
        <v>12.0</v>
      </c>
      <c r="G7669" s="2">
        <v>500.0</v>
      </c>
      <c r="H7669" s="3" t="str">
        <f>HYPERLINK("http://www.linkedin.com/in/christophecremault","http://www.linkedin.com/in/christophecremault")</f>
        <v>http://www.linkedin.com/in/christophecremault</v>
      </c>
      <c r="I7669" s="2" t="s">
        <v>69</v>
      </c>
      <c r="J7669" s="2" t="s">
        <v>102</v>
      </c>
      <c r="K7669" s="2" t="s">
        <v>14071</v>
      </c>
    </row>
    <row r="7670" ht="15.75" customHeight="1">
      <c r="A7670" s="2">
        <v>32280.0</v>
      </c>
      <c r="B7670" s="2" t="s">
        <v>287</v>
      </c>
      <c r="C7670" s="2" t="s">
        <v>10388</v>
      </c>
      <c r="D7670" s="2" t="s">
        <v>3981</v>
      </c>
      <c r="E7670" s="2" t="s">
        <v>301</v>
      </c>
      <c r="F7670" s="2">
        <v>38.0</v>
      </c>
      <c r="G7670" s="2">
        <v>500.0</v>
      </c>
      <c r="H7670" s="3" t="str">
        <f>HYPERLINK("http://www.linkedin.com/in/paulcimino","http://www.linkedin.com/in/paulcimino")</f>
        <v>http://www.linkedin.com/in/paulcimino</v>
      </c>
      <c r="I7670" s="2" t="s">
        <v>69</v>
      </c>
      <c r="J7670" s="2" t="s">
        <v>102</v>
      </c>
      <c r="K7670" s="2" t="s">
        <v>14242</v>
      </c>
    </row>
    <row r="7671" ht="15.75" customHeight="1">
      <c r="A7671" s="2">
        <v>32324.0</v>
      </c>
      <c r="B7671" s="2" t="s">
        <v>14314</v>
      </c>
      <c r="C7671" s="2" t="s">
        <v>14315</v>
      </c>
      <c r="D7671" s="2" t="s">
        <v>13</v>
      </c>
      <c r="E7671" s="2" t="s">
        <v>397</v>
      </c>
      <c r="F7671" s="2">
        <v>0.0</v>
      </c>
      <c r="G7671" s="2">
        <v>500.0</v>
      </c>
      <c r="H7671" s="3" t="str">
        <f>HYPERLINK("https://www.linkedin.com/in/saarp","https://www.linkedin.com/in/saarp")</f>
        <v>https://www.linkedin.com/in/saarp</v>
      </c>
      <c r="I7671" s="2" t="s">
        <v>326</v>
      </c>
      <c r="J7671" s="2" t="s">
        <v>102</v>
      </c>
      <c r="K7671" s="2" t="s">
        <v>14088</v>
      </c>
    </row>
    <row r="7672" ht="15.75" customHeight="1">
      <c r="A7672" s="2">
        <v>32334.0</v>
      </c>
      <c r="B7672" s="2" t="s">
        <v>2383</v>
      </c>
      <c r="C7672" s="2" t="s">
        <v>12521</v>
      </c>
      <c r="D7672" s="2" t="s">
        <v>400</v>
      </c>
      <c r="E7672" s="2" t="s">
        <v>882</v>
      </c>
      <c r="F7672" s="2">
        <v>36.0</v>
      </c>
      <c r="G7672" s="2">
        <v>500.0</v>
      </c>
      <c r="H7672" s="3" t="str">
        <f>HYPERLINK("http://www.linkedin.com/in/shawngunn","http://www.linkedin.com/in/shawngunn")</f>
        <v>http://www.linkedin.com/in/shawngunn</v>
      </c>
      <c r="I7672" s="2" t="s">
        <v>1496</v>
      </c>
      <c r="J7672" s="2" t="s">
        <v>102</v>
      </c>
      <c r="K7672" s="2" t="s">
        <v>14085</v>
      </c>
    </row>
    <row r="7673" ht="15.75" customHeight="1">
      <c r="A7673" s="2">
        <v>32335.0</v>
      </c>
      <c r="B7673" s="2" t="s">
        <v>4367</v>
      </c>
      <c r="C7673" s="2" t="s">
        <v>14316</v>
      </c>
      <c r="D7673" s="2" t="s">
        <v>14317</v>
      </c>
      <c r="E7673" s="2" t="s">
        <v>181</v>
      </c>
      <c r="F7673" s="2">
        <v>0.0</v>
      </c>
      <c r="G7673" s="2">
        <v>500.0</v>
      </c>
      <c r="H7673" s="3" t="str">
        <f>HYPERLINK("http://www.linkedin.com/pub/mitchell-kreuch/0/386/683","http://www.linkedin.com/pub/mitchell-kreuch/0/386/683")</f>
        <v>http://www.linkedin.com/pub/mitchell-kreuch/0/386/683</v>
      </c>
      <c r="I7673" s="2" t="s">
        <v>105</v>
      </c>
      <c r="J7673" s="2" t="s">
        <v>102</v>
      </c>
      <c r="K7673" s="2" t="s">
        <v>14074</v>
      </c>
    </row>
    <row r="7674" ht="15.75" customHeight="1">
      <c r="A7674" s="2">
        <v>33085.0</v>
      </c>
      <c r="B7674" s="2" t="s">
        <v>631</v>
      </c>
      <c r="C7674" s="2" t="s">
        <v>399</v>
      </c>
      <c r="D7674" s="2" t="s">
        <v>517</v>
      </c>
      <c r="E7674" s="2" t="s">
        <v>882</v>
      </c>
      <c r="F7674" s="2" t="s">
        <v>13</v>
      </c>
      <c r="G7674" s="2">
        <v>500.0</v>
      </c>
      <c r="H7674" s="3" t="str">
        <f>HYPERLINK("http://www.linkedin.com/pub/christopher-johnson/23/507/A","http://www.linkedin.com/pub/christopher-johnson/23/507/A")</f>
        <v>http://www.linkedin.com/pub/christopher-johnson/23/507/A</v>
      </c>
      <c r="I7674" s="2" t="s">
        <v>69</v>
      </c>
      <c r="J7674" s="2" t="s">
        <v>102</v>
      </c>
      <c r="K7674" s="2" t="s">
        <v>14092</v>
      </c>
    </row>
    <row r="7675" ht="15.75" customHeight="1">
      <c r="A7675" s="2">
        <v>33986.0</v>
      </c>
      <c r="B7675" s="2" t="s">
        <v>14318</v>
      </c>
      <c r="C7675" s="2" t="s">
        <v>13</v>
      </c>
      <c r="D7675" s="2" t="s">
        <v>13</v>
      </c>
      <c r="E7675" s="2" t="s">
        <v>2058</v>
      </c>
      <c r="F7675" s="2">
        <v>0.0</v>
      </c>
      <c r="G7675" s="2">
        <v>500.0</v>
      </c>
      <c r="H7675" s="3" t="str">
        <f>HYPERLINK("http://www.linkedin.com/in/pavelkrapivin","http://www.linkedin.com/in/pavelkrapivin")</f>
        <v>http://www.linkedin.com/in/pavelkrapivin</v>
      </c>
      <c r="I7675" s="2" t="s">
        <v>910</v>
      </c>
      <c r="J7675" s="2" t="s">
        <v>102</v>
      </c>
      <c r="K7675" s="2" t="s">
        <v>14105</v>
      </c>
    </row>
    <row r="7676" ht="15.75" customHeight="1">
      <c r="A7676" s="2">
        <v>33987.0</v>
      </c>
      <c r="B7676" s="2" t="s">
        <v>2049</v>
      </c>
      <c r="C7676" s="2" t="s">
        <v>14319</v>
      </c>
      <c r="D7676" s="2" t="s">
        <v>14320</v>
      </c>
      <c r="E7676" s="2" t="s">
        <v>2058</v>
      </c>
      <c r="F7676" s="2">
        <v>2.0</v>
      </c>
      <c r="G7676" s="2">
        <v>500.0</v>
      </c>
      <c r="H7676" s="3" t="str">
        <f>HYPERLINK("http://www.linkedin.com/in/sbohn","http://www.linkedin.com/in/sbohn")</f>
        <v>http://www.linkedin.com/in/sbohn</v>
      </c>
      <c r="I7676" s="2" t="s">
        <v>910</v>
      </c>
      <c r="J7676" s="2" t="s">
        <v>102</v>
      </c>
      <c r="K7676" s="2" t="s">
        <v>14197</v>
      </c>
    </row>
    <row r="7677" ht="15.75" customHeight="1">
      <c r="A7677" s="2">
        <v>34038.0</v>
      </c>
      <c r="B7677" s="2" t="s">
        <v>511</v>
      </c>
      <c r="C7677" s="2" t="s">
        <v>14321</v>
      </c>
      <c r="D7677" s="2" t="s">
        <v>12278</v>
      </c>
      <c r="E7677" s="2" t="s">
        <v>2058</v>
      </c>
      <c r="F7677" s="2" t="s">
        <v>13</v>
      </c>
      <c r="G7677" s="2">
        <v>96.0</v>
      </c>
      <c r="H7677" s="3" t="str">
        <f>HYPERLINK("http://www.linkedin.com/pub/mike-wald/A/207/838","http://www.linkedin.com/pub/mike-wald/A/207/838")</f>
        <v>http://www.linkedin.com/pub/mike-wald/A/207/838</v>
      </c>
      <c r="I7677" s="2" t="s">
        <v>910</v>
      </c>
      <c r="J7677" s="2" t="s">
        <v>102</v>
      </c>
      <c r="K7677" s="2" t="s">
        <v>14121</v>
      </c>
    </row>
    <row r="7678" ht="15.75" customHeight="1">
      <c r="A7678" s="2">
        <v>34057.0</v>
      </c>
      <c r="B7678" s="2" t="s">
        <v>133</v>
      </c>
      <c r="C7678" s="2" t="s">
        <v>14322</v>
      </c>
      <c r="D7678" s="2" t="s">
        <v>14323</v>
      </c>
      <c r="E7678" s="2" t="s">
        <v>181</v>
      </c>
      <c r="F7678" s="2">
        <v>2.0</v>
      </c>
      <c r="G7678" s="2">
        <v>500.0</v>
      </c>
      <c r="H7678" s="3" t="str">
        <f>HYPERLINK("http://www.linkedin.com/in/mbram","http://www.linkedin.com/in/mbram")</f>
        <v>http://www.linkedin.com/in/mbram</v>
      </c>
      <c r="I7678" s="2" t="s">
        <v>15</v>
      </c>
      <c r="J7678" s="2" t="s">
        <v>102</v>
      </c>
      <c r="K7678" s="2" t="s">
        <v>14080</v>
      </c>
    </row>
    <row r="7679" ht="15.75" customHeight="1">
      <c r="A7679" s="2">
        <v>34117.0</v>
      </c>
      <c r="B7679" s="2" t="s">
        <v>14324</v>
      </c>
      <c r="C7679" s="2" t="s">
        <v>14325</v>
      </c>
      <c r="D7679" s="2" t="s">
        <v>1062</v>
      </c>
      <c r="E7679" s="2" t="s">
        <v>136</v>
      </c>
      <c r="F7679" s="2" t="s">
        <v>13</v>
      </c>
      <c r="G7679" s="2">
        <v>500.0</v>
      </c>
      <c r="H7679" s="3" t="str">
        <f>HYPERLINK("http://www.linkedin.com/pub/tyson-verstraete/5/553/122","http://www.linkedin.com/pub/tyson-verstraete/5/553/122")</f>
        <v>http://www.linkedin.com/pub/tyson-verstraete/5/553/122</v>
      </c>
      <c r="I7679" s="2" t="s">
        <v>1496</v>
      </c>
      <c r="J7679" s="2" t="s">
        <v>102</v>
      </c>
      <c r="K7679" s="2" t="s">
        <v>14105</v>
      </c>
    </row>
    <row r="7680" ht="15.75" customHeight="1">
      <c r="A7680" s="2">
        <v>34154.0</v>
      </c>
      <c r="B7680" s="2" t="s">
        <v>460</v>
      </c>
      <c r="C7680" s="2" t="s">
        <v>1934</v>
      </c>
      <c r="D7680" s="2" t="s">
        <v>13</v>
      </c>
      <c r="E7680" s="2" t="s">
        <v>628</v>
      </c>
      <c r="F7680" s="2">
        <v>0.0</v>
      </c>
      <c r="G7680" s="2">
        <v>98.0</v>
      </c>
      <c r="H7680" s="3" t="str">
        <f>HYPERLINK("http://www.linkedin.com/pub/john-kelly/4/793/841","http://www.linkedin.com/pub/john-kelly/4/793/841")</f>
        <v>http://www.linkedin.com/pub/john-kelly/4/793/841</v>
      </c>
      <c r="I7680" s="2" t="s">
        <v>48</v>
      </c>
      <c r="J7680" s="2" t="s">
        <v>102</v>
      </c>
      <c r="K7680" s="2" t="s">
        <v>14095</v>
      </c>
    </row>
    <row r="7681" ht="15.75" customHeight="1">
      <c r="A7681" s="2">
        <v>34196.0</v>
      </c>
      <c r="B7681" s="2" t="s">
        <v>3776</v>
      </c>
      <c r="C7681" s="2" t="s">
        <v>14326</v>
      </c>
      <c r="D7681" s="2" t="s">
        <v>959</v>
      </c>
      <c r="E7681" s="2" t="s">
        <v>4078</v>
      </c>
      <c r="F7681" s="2">
        <v>4.0</v>
      </c>
      <c r="G7681" s="2">
        <v>392.0</v>
      </c>
      <c r="H7681" s="3" t="str">
        <f>HYPERLINK("http://uk.linkedin.com/pub/pedro-nassif/12/716/331","http://uk.linkedin.com/pub/pedro-nassif/12/716/331")</f>
        <v>http://uk.linkedin.com/pub/pedro-nassif/12/716/331</v>
      </c>
      <c r="I7681" s="2" t="s">
        <v>1728</v>
      </c>
      <c r="J7681" s="2" t="s">
        <v>53</v>
      </c>
      <c r="K7681" s="2" t="s">
        <v>14055</v>
      </c>
    </row>
    <row r="7682" ht="15.75" customHeight="1">
      <c r="A7682" s="2">
        <v>34353.0</v>
      </c>
      <c r="B7682" s="2" t="s">
        <v>1004</v>
      </c>
      <c r="C7682" s="2" t="s">
        <v>14327</v>
      </c>
      <c r="D7682" s="2" t="s">
        <v>14328</v>
      </c>
      <c r="E7682" s="2" t="s">
        <v>136</v>
      </c>
      <c r="F7682" s="2">
        <v>16.0</v>
      </c>
      <c r="G7682" s="2">
        <v>500.0</v>
      </c>
      <c r="H7682" s="3" t="str">
        <f>HYPERLINK("http://www.linkedin.com/pub/scott-bennion/0/10/B5","http://www.linkedin.com/pub/scott-bennion/0/10/B5")</f>
        <v>http://www.linkedin.com/pub/scott-bennion/0/10/B5</v>
      </c>
      <c r="I7682" s="2" t="s">
        <v>69</v>
      </c>
      <c r="J7682" s="2" t="s">
        <v>102</v>
      </c>
      <c r="K7682" s="2" t="s">
        <v>14088</v>
      </c>
    </row>
    <row r="7683" ht="15.75" customHeight="1">
      <c r="A7683" s="2">
        <v>34366.0</v>
      </c>
      <c r="B7683" s="2" t="s">
        <v>506</v>
      </c>
      <c r="C7683" s="2" t="s">
        <v>7018</v>
      </c>
      <c r="D7683" s="2" t="s">
        <v>14329</v>
      </c>
      <c r="E7683" s="2" t="s">
        <v>136</v>
      </c>
      <c r="F7683" s="2">
        <v>1.0</v>
      </c>
      <c r="G7683" s="2">
        <v>500.0</v>
      </c>
      <c r="H7683" s="3" t="str">
        <f>HYPERLINK("http://www.linkedin.com/pub/jose-morales/0/138/388","http://www.linkedin.com/pub/jose-morales/0/138/388")</f>
        <v>http://www.linkedin.com/pub/jose-morales/0/138/388</v>
      </c>
      <c r="I7683" s="2" t="s">
        <v>48</v>
      </c>
      <c r="J7683" s="2" t="s">
        <v>102</v>
      </c>
      <c r="K7683" s="2" t="s">
        <v>14095</v>
      </c>
    </row>
    <row r="7684" ht="15.75" customHeight="1">
      <c r="A7684" s="2">
        <v>34413.0</v>
      </c>
      <c r="B7684" s="2" t="s">
        <v>1405</v>
      </c>
      <c r="C7684" s="2" t="s">
        <v>2019</v>
      </c>
      <c r="D7684" s="2" t="s">
        <v>47</v>
      </c>
      <c r="E7684" s="2" t="s">
        <v>1407</v>
      </c>
      <c r="F7684" s="2">
        <v>81.0</v>
      </c>
      <c r="G7684" s="2">
        <v>500.0</v>
      </c>
      <c r="H7684" s="3" t="str">
        <f>HYPERLINK("http://www.linkedin.com/in/ronturner","http://www.linkedin.com/in/ronturner")</f>
        <v>http://www.linkedin.com/in/ronturner</v>
      </c>
      <c r="I7684" s="2" t="s">
        <v>77</v>
      </c>
      <c r="J7684" s="2" t="s">
        <v>102</v>
      </c>
      <c r="K7684" s="2" t="s">
        <v>14218</v>
      </c>
    </row>
    <row r="7685" ht="15.75" customHeight="1">
      <c r="A7685" s="2">
        <v>34420.0</v>
      </c>
      <c r="B7685" s="2" t="s">
        <v>3443</v>
      </c>
      <c r="C7685" s="2" t="s">
        <v>14330</v>
      </c>
      <c r="D7685" s="2" t="s">
        <v>14331</v>
      </c>
      <c r="E7685" s="2" t="s">
        <v>235</v>
      </c>
      <c r="F7685" s="2" t="s">
        <v>13</v>
      </c>
      <c r="G7685" s="2">
        <v>500.0</v>
      </c>
      <c r="H7685" s="3" t="str">
        <f>HYPERLINK("http://www.linkedin.com/pub/diane-oflaherty/1B/77A/371","http://www.linkedin.com/pub/diane-oflaherty/1B/77A/371")</f>
        <v>http://www.linkedin.com/pub/diane-oflaherty/1B/77A/371</v>
      </c>
      <c r="I7685" s="2" t="s">
        <v>48</v>
      </c>
      <c r="J7685" s="2" t="s">
        <v>102</v>
      </c>
      <c r="K7685" s="2" t="s">
        <v>14057</v>
      </c>
    </row>
    <row r="7686" ht="15.75" customHeight="1">
      <c r="A7686" s="2">
        <v>34517.0</v>
      </c>
      <c r="B7686" s="2" t="s">
        <v>1767</v>
      </c>
      <c r="C7686" s="2" t="s">
        <v>14332</v>
      </c>
      <c r="D7686" s="2" t="s">
        <v>14333</v>
      </c>
      <c r="E7686" s="2" t="s">
        <v>713</v>
      </c>
      <c r="F7686" s="2">
        <v>5.0</v>
      </c>
      <c r="G7686" s="2">
        <v>500.0</v>
      </c>
      <c r="H7686" s="3" t="str">
        <f>HYPERLINK("http://www.linkedin.com/in/erikbullen","http://www.linkedin.com/in/erikbullen")</f>
        <v>http://www.linkedin.com/in/erikbullen</v>
      </c>
      <c r="I7686" s="2" t="s">
        <v>326</v>
      </c>
      <c r="J7686" s="2" t="s">
        <v>102</v>
      </c>
      <c r="K7686" s="2" t="s">
        <v>14055</v>
      </c>
    </row>
    <row r="7687" ht="15.75" customHeight="1">
      <c r="A7687" s="2">
        <v>34552.0</v>
      </c>
      <c r="B7687" s="2" t="s">
        <v>511</v>
      </c>
      <c r="C7687" s="2" t="s">
        <v>14334</v>
      </c>
      <c r="D7687" s="2" t="s">
        <v>14335</v>
      </c>
      <c r="E7687" s="2" t="s">
        <v>301</v>
      </c>
      <c r="F7687" s="2">
        <v>8.0</v>
      </c>
      <c r="G7687" s="2">
        <v>500.0</v>
      </c>
      <c r="H7687" s="3" t="str">
        <f>HYPERLINK("http://www.linkedin.com/in/mikemccready","http://www.linkedin.com/in/mikemccready")</f>
        <v>http://www.linkedin.com/in/mikemccready</v>
      </c>
      <c r="I7687" s="2" t="s">
        <v>910</v>
      </c>
      <c r="J7687" s="2" t="s">
        <v>102</v>
      </c>
      <c r="K7687" s="2" t="s">
        <v>14074</v>
      </c>
    </row>
    <row r="7688" ht="15.75" customHeight="1">
      <c r="A7688" s="2">
        <v>34554.0</v>
      </c>
      <c r="B7688" s="2" t="s">
        <v>133</v>
      </c>
      <c r="C7688" s="2" t="s">
        <v>14336</v>
      </c>
      <c r="D7688" s="2" t="s">
        <v>309</v>
      </c>
      <c r="E7688" s="2" t="s">
        <v>136</v>
      </c>
      <c r="F7688" s="2">
        <v>4.0</v>
      </c>
      <c r="G7688" s="2">
        <v>500.0</v>
      </c>
      <c r="H7688" s="3" t="str">
        <f>HYPERLINK("http://www.linkedin.com/in/michaeldowning","http://www.linkedin.com/in/michaeldowning")</f>
        <v>http://www.linkedin.com/in/michaeldowning</v>
      </c>
      <c r="I7688" s="2" t="s">
        <v>69</v>
      </c>
      <c r="J7688" s="2" t="s">
        <v>102</v>
      </c>
      <c r="K7688" s="2" t="s">
        <v>14073</v>
      </c>
    </row>
    <row r="7689" ht="15.75" customHeight="1">
      <c r="A7689" s="2">
        <v>34558.0</v>
      </c>
      <c r="B7689" s="2" t="s">
        <v>14337</v>
      </c>
      <c r="C7689" s="2" t="s">
        <v>14338</v>
      </c>
      <c r="D7689" s="2" t="s">
        <v>13</v>
      </c>
      <c r="E7689" s="2" t="s">
        <v>136</v>
      </c>
      <c r="F7689" s="2">
        <v>0.0</v>
      </c>
      <c r="G7689" s="2">
        <v>338.0</v>
      </c>
      <c r="H7689" s="3" t="str">
        <f>HYPERLINK("http://www.linkedin.com/in/gunnarostergren/","http://www.linkedin.com/in/gunnarostergren/")</f>
        <v>http://www.linkedin.com/in/gunnarostergren/</v>
      </c>
      <c r="I7689" s="2" t="s">
        <v>15</v>
      </c>
      <c r="J7689" s="2" t="s">
        <v>102</v>
      </c>
      <c r="K7689" s="2" t="s">
        <v>14339</v>
      </c>
    </row>
    <row r="7690" ht="15.75" customHeight="1">
      <c r="A7690" s="2">
        <v>34559.0</v>
      </c>
      <c r="B7690" s="2" t="s">
        <v>4358</v>
      </c>
      <c r="C7690" s="2" t="s">
        <v>14340</v>
      </c>
      <c r="D7690" s="2" t="s">
        <v>13</v>
      </c>
      <c r="E7690" s="2" t="s">
        <v>181</v>
      </c>
      <c r="F7690" s="2">
        <v>0.0</v>
      </c>
      <c r="G7690" s="2">
        <v>253.0</v>
      </c>
      <c r="H7690" s="3" t="str">
        <f>HYPERLINK("http://www.linkedin.com/in/catherinebogin","http://www.linkedin.com/in/catherinebogin")</f>
        <v>http://www.linkedin.com/in/catherinebogin</v>
      </c>
      <c r="I7690" s="2" t="s">
        <v>318</v>
      </c>
      <c r="J7690" s="2" t="s">
        <v>102</v>
      </c>
      <c r="K7690" s="2" t="s">
        <v>14074</v>
      </c>
    </row>
    <row r="7691" ht="15.75" customHeight="1">
      <c r="A7691" s="2">
        <v>34606.0</v>
      </c>
      <c r="B7691" s="2" t="s">
        <v>14341</v>
      </c>
      <c r="C7691" s="2" t="s">
        <v>6534</v>
      </c>
      <c r="D7691" s="2" t="s">
        <v>300</v>
      </c>
      <c r="E7691" s="2" t="s">
        <v>136</v>
      </c>
      <c r="F7691" s="2">
        <v>20.0</v>
      </c>
      <c r="G7691" s="2">
        <v>500.0</v>
      </c>
      <c r="H7691" s="3" t="str">
        <f>HYPERLINK("http://www.linkedin.com/in/kellirichards","http://www.linkedin.com/in/kellirichards")</f>
        <v>http://www.linkedin.com/in/kellirichards</v>
      </c>
      <c r="I7691" s="2" t="s">
        <v>910</v>
      </c>
      <c r="J7691" s="2" t="s">
        <v>102</v>
      </c>
      <c r="K7691" s="2" t="s">
        <v>14074</v>
      </c>
    </row>
    <row r="7692" ht="15.75" customHeight="1">
      <c r="A7692" s="2">
        <v>35121.0</v>
      </c>
      <c r="B7692" s="2" t="s">
        <v>14342</v>
      </c>
      <c r="C7692" s="2" t="s">
        <v>4528</v>
      </c>
      <c r="D7692" s="2" t="s">
        <v>14343</v>
      </c>
      <c r="E7692" s="2" t="s">
        <v>417</v>
      </c>
      <c r="F7692" s="2">
        <v>9.0</v>
      </c>
      <c r="G7692" s="2">
        <v>500.0</v>
      </c>
      <c r="H7692" s="3" t="str">
        <f>HYPERLINK("http://www.linkedin.com/pub/michael-p-rooney-mba/7/954/109","http://www.linkedin.com/pub/michael-p-rooney-mba/7/954/109")</f>
        <v>http://www.linkedin.com/pub/michael-p-rooney-mba/7/954/109</v>
      </c>
      <c r="I7692" s="2" t="s">
        <v>48</v>
      </c>
      <c r="J7692" s="2" t="s">
        <v>102</v>
      </c>
      <c r="K7692" s="2" t="s">
        <v>14052</v>
      </c>
    </row>
    <row r="7693" ht="15.75" customHeight="1">
      <c r="A7693" s="2">
        <v>35452.0</v>
      </c>
      <c r="B7693" s="2" t="s">
        <v>478</v>
      </c>
      <c r="C7693" s="2" t="s">
        <v>1527</v>
      </c>
      <c r="D7693" s="2" t="s">
        <v>14344</v>
      </c>
      <c r="E7693" s="2" t="s">
        <v>136</v>
      </c>
      <c r="F7693" s="2">
        <v>25.0</v>
      </c>
      <c r="G7693" s="2">
        <v>500.0</v>
      </c>
      <c r="H7693" s="3" t="str">
        <f>HYPERLINK("http://www.linkedin.com/in/clarkkarenl","http://www.linkedin.com/in/clarkkarenl")</f>
        <v>http://www.linkedin.com/in/clarkkarenl</v>
      </c>
      <c r="I7693" s="2" t="s">
        <v>143</v>
      </c>
      <c r="J7693" s="2" t="s">
        <v>102</v>
      </c>
      <c r="K7693" s="2" t="s">
        <v>14088</v>
      </c>
    </row>
    <row r="7694" ht="15.75" customHeight="1">
      <c r="A7694" s="2">
        <v>35954.0</v>
      </c>
      <c r="B7694" s="2" t="s">
        <v>752</v>
      </c>
      <c r="C7694" s="2" t="s">
        <v>14345</v>
      </c>
      <c r="D7694" s="2" t="s">
        <v>14346</v>
      </c>
      <c r="E7694" s="2" t="s">
        <v>1379</v>
      </c>
      <c r="F7694" s="2">
        <v>12.0</v>
      </c>
      <c r="G7694" s="2">
        <v>500.0</v>
      </c>
      <c r="H7694" s="3" t="str">
        <f>HYPERLINK("http://www.linkedin.com/in/jscheinman","http://www.linkedin.com/in/jscheinman")</f>
        <v>http://www.linkedin.com/in/jscheinman</v>
      </c>
      <c r="I7694" s="2" t="s">
        <v>69</v>
      </c>
      <c r="J7694" s="2" t="s">
        <v>102</v>
      </c>
      <c r="K7694" s="2" t="s">
        <v>14073</v>
      </c>
    </row>
    <row r="7695" ht="15.75" customHeight="1">
      <c r="A7695" s="2">
        <v>36021.0</v>
      </c>
      <c r="B7695" s="2" t="s">
        <v>2353</v>
      </c>
      <c r="C7695" s="2" t="s">
        <v>1325</v>
      </c>
      <c r="D7695" s="2" t="s">
        <v>13</v>
      </c>
      <c r="E7695" s="2" t="s">
        <v>3461</v>
      </c>
      <c r="F7695" s="2">
        <v>0.0</v>
      </c>
      <c r="G7695" s="2">
        <v>500.0</v>
      </c>
      <c r="H7695" s="3" t="str">
        <f>HYPERLINK("http://www.linkedin.com/pub/sarah-miller/0/6A/486","http://www.linkedin.com/pub/sarah-miller/0/6A/486")</f>
        <v>http://www.linkedin.com/pub/sarah-miller/0/6A/486</v>
      </c>
      <c r="I7695" s="2" t="s">
        <v>844</v>
      </c>
      <c r="J7695" s="2" t="s">
        <v>102</v>
      </c>
      <c r="K7695" s="2" t="s">
        <v>14055</v>
      </c>
    </row>
    <row r="7696" ht="15.75" customHeight="1">
      <c r="A7696" s="2">
        <v>36316.0</v>
      </c>
      <c r="B7696" s="2" t="s">
        <v>3776</v>
      </c>
      <c r="C7696" s="2" t="s">
        <v>2135</v>
      </c>
      <c r="D7696" s="2" t="s">
        <v>14347</v>
      </c>
      <c r="E7696" s="2" t="s">
        <v>1190</v>
      </c>
      <c r="F7696" s="2">
        <v>4.0</v>
      </c>
      <c r="G7696" s="2">
        <v>500.0</v>
      </c>
      <c r="H7696" s="3" t="str">
        <f>HYPERLINK("http://www.linkedin.com/pub/pedro-gutierrez/10/413/612","http://www.linkedin.com/pub/pedro-gutierrez/10/413/612")</f>
        <v>http://www.linkedin.com/pub/pedro-gutierrez/10/413/612</v>
      </c>
      <c r="I7696" s="2" t="s">
        <v>160</v>
      </c>
      <c r="J7696" s="2" t="s">
        <v>102</v>
      </c>
      <c r="K7696" s="2" t="s">
        <v>14102</v>
      </c>
    </row>
    <row r="7697" ht="15.75" customHeight="1">
      <c r="A7697" s="2">
        <v>36600.0</v>
      </c>
      <c r="B7697" s="2" t="s">
        <v>879</v>
      </c>
      <c r="C7697" s="2" t="s">
        <v>14348</v>
      </c>
      <c r="D7697" s="2" t="s">
        <v>2466</v>
      </c>
      <c r="E7697" s="2" t="s">
        <v>235</v>
      </c>
      <c r="F7697" s="2">
        <v>12.0</v>
      </c>
      <c r="G7697" s="2">
        <v>500.0</v>
      </c>
      <c r="H7697" s="3" t="str">
        <f>HYPERLINK("http://www.linkedin.com/in/richardbullingtonmcguire","http://www.linkedin.com/in/richardbullingtonmcguire")</f>
        <v>http://www.linkedin.com/in/richardbullingtonmcguire</v>
      </c>
      <c r="I7697" s="2" t="s">
        <v>48</v>
      </c>
      <c r="J7697" s="2" t="s">
        <v>102</v>
      </c>
      <c r="K7697" s="2" t="s">
        <v>14078</v>
      </c>
    </row>
    <row r="7698" ht="15.75" customHeight="1">
      <c r="A7698" s="2">
        <v>36645.0</v>
      </c>
      <c r="B7698" s="2" t="s">
        <v>227</v>
      </c>
      <c r="C7698" s="2" t="s">
        <v>14349</v>
      </c>
      <c r="D7698" s="2" t="s">
        <v>12167</v>
      </c>
      <c r="E7698" s="2" t="s">
        <v>20</v>
      </c>
      <c r="F7698" s="2">
        <v>0.0</v>
      </c>
      <c r="G7698" s="2">
        <v>38.0</v>
      </c>
      <c r="H7698" s="3" t="str">
        <f>HYPERLINK("http://ar.linkedin.com/pub/jorge-giacomotti/9/BBB/30","http://ar.linkedin.com/pub/jorge-giacomotti/9/BBB/30")</f>
        <v>http://ar.linkedin.com/pub/jorge-giacomotti/9/BBB/30</v>
      </c>
      <c r="I7698" s="2" t="s">
        <v>279</v>
      </c>
      <c r="J7698" s="2" t="s">
        <v>21</v>
      </c>
      <c r="K7698" s="2" t="s">
        <v>14074</v>
      </c>
    </row>
    <row r="7699" ht="15.75" customHeight="1">
      <c r="A7699" s="2">
        <v>36822.0</v>
      </c>
      <c r="B7699" s="2" t="s">
        <v>4797</v>
      </c>
      <c r="C7699" s="2" t="s">
        <v>14350</v>
      </c>
      <c r="D7699" s="2" t="s">
        <v>5009</v>
      </c>
      <c r="E7699" s="2" t="s">
        <v>14351</v>
      </c>
      <c r="F7699" s="2">
        <v>15.0</v>
      </c>
      <c r="G7699" s="2">
        <v>500.0</v>
      </c>
      <c r="H7699" s="3" t="str">
        <f>HYPERLINK("http://www.linkedin.com/in/shanebreen1","http://www.linkedin.com/in/shanebreen1")</f>
        <v>http://www.linkedin.com/in/shanebreen1</v>
      </c>
      <c r="I7699" s="2" t="s">
        <v>326</v>
      </c>
      <c r="J7699" s="2" t="s">
        <v>102</v>
      </c>
      <c r="K7699" s="2" t="s">
        <v>14074</v>
      </c>
    </row>
    <row r="7700" ht="15.75" customHeight="1">
      <c r="A7700" s="2">
        <v>37000.0</v>
      </c>
      <c r="B7700" s="2" t="s">
        <v>264</v>
      </c>
      <c r="C7700" s="2" t="s">
        <v>7757</v>
      </c>
      <c r="D7700" s="2" t="s">
        <v>14352</v>
      </c>
      <c r="E7700" s="2" t="s">
        <v>882</v>
      </c>
      <c r="F7700" s="2">
        <v>2.0</v>
      </c>
      <c r="G7700" s="2">
        <v>329.0</v>
      </c>
      <c r="H7700" s="3" t="str">
        <f>HYPERLINK("http://www.linkedin.com/in/andrespedraza","http://www.linkedin.com/in/andrespedraza")</f>
        <v>http://www.linkedin.com/in/andrespedraza</v>
      </c>
      <c r="I7700" s="2" t="s">
        <v>663</v>
      </c>
      <c r="J7700" s="2" t="s">
        <v>102</v>
      </c>
      <c r="K7700" s="2" t="s">
        <v>14055</v>
      </c>
    </row>
    <row r="7701" ht="15.75" customHeight="1">
      <c r="A7701" s="2">
        <v>37203.0</v>
      </c>
      <c r="B7701" s="2" t="s">
        <v>1821</v>
      </c>
      <c r="C7701" s="2" t="s">
        <v>14353</v>
      </c>
      <c r="D7701" s="2" t="s">
        <v>47</v>
      </c>
      <c r="E7701" s="2" t="s">
        <v>1041</v>
      </c>
      <c r="F7701" s="2">
        <v>12.0</v>
      </c>
      <c r="G7701" s="2">
        <v>500.0</v>
      </c>
      <c r="H7701" s="3" t="str">
        <f>HYPERLINK("http://www.linkedin.com/in/keithschellenberger","http://www.linkedin.com/in/keithschellenberger")</f>
        <v>http://www.linkedin.com/in/keithschellenberger</v>
      </c>
      <c r="I7701" s="2" t="s">
        <v>57</v>
      </c>
      <c r="J7701" s="2" t="s">
        <v>102</v>
      </c>
      <c r="K7701" s="2" t="s">
        <v>14074</v>
      </c>
    </row>
    <row r="7702" ht="15.75" customHeight="1">
      <c r="A7702" s="2">
        <v>37578.0</v>
      </c>
      <c r="B7702" s="2" t="s">
        <v>275</v>
      </c>
      <c r="C7702" s="2" t="s">
        <v>14354</v>
      </c>
      <c r="D7702" s="2" t="s">
        <v>14355</v>
      </c>
      <c r="E7702" s="2" t="s">
        <v>181</v>
      </c>
      <c r="F7702" s="2">
        <v>1.0</v>
      </c>
      <c r="G7702" s="2">
        <v>500.0</v>
      </c>
      <c r="H7702" s="3" t="str">
        <f>HYPERLINK("http://www.linkedin.com/in/maui314159","http://www.linkedin.com/in/maui314159")</f>
        <v>http://www.linkedin.com/in/maui314159</v>
      </c>
      <c r="I7702" s="2" t="s">
        <v>69</v>
      </c>
      <c r="J7702" s="2" t="s">
        <v>102</v>
      </c>
      <c r="K7702" s="2" t="s">
        <v>14078</v>
      </c>
    </row>
    <row r="7703" ht="15.75" customHeight="1">
      <c r="A7703" s="2">
        <v>37641.0</v>
      </c>
      <c r="B7703" s="2" t="s">
        <v>1366</v>
      </c>
      <c r="C7703" s="2" t="s">
        <v>14356</v>
      </c>
      <c r="D7703" s="2" t="s">
        <v>47</v>
      </c>
      <c r="E7703" s="2" t="s">
        <v>20</v>
      </c>
      <c r="F7703" s="2" t="s">
        <v>13</v>
      </c>
      <c r="G7703" s="2">
        <v>95.0</v>
      </c>
      <c r="H7703" s="3" t="str">
        <f>HYPERLINK("http://ar.linkedin.com/in/connaxis2","http://ar.linkedin.com/in/connaxis2")</f>
        <v>http://ar.linkedin.com/in/connaxis2</v>
      </c>
      <c r="I7703" s="2" t="s">
        <v>69</v>
      </c>
      <c r="J7703" s="2" t="s">
        <v>21</v>
      </c>
      <c r="K7703" s="2" t="s">
        <v>14057</v>
      </c>
    </row>
    <row r="7704" ht="15.75" customHeight="1">
      <c r="A7704" s="2">
        <v>37735.0</v>
      </c>
      <c r="B7704" s="2" t="s">
        <v>2014</v>
      </c>
      <c r="C7704" s="2" t="s">
        <v>14357</v>
      </c>
      <c r="D7704" s="2" t="s">
        <v>3989</v>
      </c>
      <c r="E7704" s="2" t="s">
        <v>2730</v>
      </c>
      <c r="F7704" s="2">
        <v>9.0</v>
      </c>
      <c r="G7704" s="2">
        <v>177.0</v>
      </c>
      <c r="H7704" s="3" t="str">
        <f>HYPERLINK("http://www.linkedin.com/in/kenkahtava","http://www.linkedin.com/in/kenkahtava")</f>
        <v>http://www.linkedin.com/in/kenkahtava</v>
      </c>
      <c r="I7704" s="2" t="s">
        <v>374</v>
      </c>
      <c r="J7704" s="2" t="s">
        <v>102</v>
      </c>
      <c r="K7704" s="2" t="s">
        <v>14078</v>
      </c>
    </row>
    <row r="7705" ht="15.75" customHeight="1">
      <c r="A7705" s="2">
        <v>37737.0</v>
      </c>
      <c r="B7705" s="2" t="s">
        <v>2350</v>
      </c>
      <c r="C7705" s="2" t="s">
        <v>14358</v>
      </c>
      <c r="D7705" s="2" t="s">
        <v>13</v>
      </c>
      <c r="E7705" s="2" t="s">
        <v>14087</v>
      </c>
      <c r="F7705" s="2">
        <v>0.0</v>
      </c>
      <c r="G7705" s="2">
        <v>500.0</v>
      </c>
      <c r="H7705" s="3" t="str">
        <f>HYPERLINK("http://www.linkedin.com/in/fbeer","http://www.linkedin.com/in/fbeer")</f>
        <v>http://www.linkedin.com/in/fbeer</v>
      </c>
      <c r="I7705" s="2" t="s">
        <v>15</v>
      </c>
      <c r="J7705" s="2" t="s">
        <v>102</v>
      </c>
      <c r="K7705" s="2" t="s">
        <v>14080</v>
      </c>
    </row>
    <row r="7706" ht="15.75" customHeight="1">
      <c r="A7706" s="2">
        <v>37740.0</v>
      </c>
      <c r="B7706" s="2" t="s">
        <v>460</v>
      </c>
      <c r="C7706" s="2" t="s">
        <v>559</v>
      </c>
      <c r="D7706" s="2" t="s">
        <v>14359</v>
      </c>
      <c r="E7706" s="2" t="s">
        <v>720</v>
      </c>
      <c r="F7706" s="2">
        <v>11.0</v>
      </c>
      <c r="G7706" s="2">
        <v>500.0</v>
      </c>
      <c r="H7706" s="3" t="str">
        <f>HYPERLINK("http://www.linkedin.com/in/jadams52","http://www.linkedin.com/in/jadams52")</f>
        <v>http://www.linkedin.com/in/jadams52</v>
      </c>
      <c r="I7706" s="2" t="s">
        <v>48</v>
      </c>
      <c r="J7706" s="2" t="s">
        <v>102</v>
      </c>
      <c r="K7706" s="2" t="s">
        <v>14078</v>
      </c>
    </row>
    <row r="7707" ht="15.75" customHeight="1">
      <c r="A7707" s="2">
        <v>37741.0</v>
      </c>
      <c r="B7707" s="2" t="s">
        <v>982</v>
      </c>
      <c r="C7707" s="2" t="s">
        <v>14360</v>
      </c>
      <c r="D7707" s="2" t="s">
        <v>14094</v>
      </c>
      <c r="E7707" s="2" t="s">
        <v>720</v>
      </c>
      <c r="F7707" s="2">
        <v>9.0</v>
      </c>
      <c r="G7707" s="2">
        <v>500.0</v>
      </c>
      <c r="H7707" s="3" t="str">
        <f>HYPERLINK("http://www.linkedin.com/in/terryowen01","http://www.linkedin.com/in/terryowen01")</f>
        <v>http://www.linkedin.com/in/terryowen01</v>
      </c>
      <c r="I7707" s="2" t="s">
        <v>69</v>
      </c>
      <c r="J7707" s="2" t="s">
        <v>102</v>
      </c>
      <c r="K7707" s="2" t="s">
        <v>14078</v>
      </c>
    </row>
    <row r="7708" ht="15.75" customHeight="1">
      <c r="A7708" s="2">
        <v>37828.0</v>
      </c>
      <c r="B7708" s="2" t="s">
        <v>523</v>
      </c>
      <c r="C7708" s="2" t="s">
        <v>3392</v>
      </c>
      <c r="D7708" s="2" t="s">
        <v>13</v>
      </c>
      <c r="E7708" s="2" t="s">
        <v>20</v>
      </c>
      <c r="F7708" s="2">
        <v>8.0</v>
      </c>
      <c r="G7708" s="2">
        <v>500.0</v>
      </c>
      <c r="H7708" s="3" t="str">
        <f>HYPERLINK("http://www.linkedin.com/in/ignaciolopez","http://www.linkedin.com/in/ignaciolopez")</f>
        <v>http://www.linkedin.com/in/ignaciolopez</v>
      </c>
      <c r="I7708" s="2" t="s">
        <v>15</v>
      </c>
      <c r="J7708" s="2" t="s">
        <v>21</v>
      </c>
      <c r="K7708" s="2" t="s">
        <v>14073</v>
      </c>
    </row>
    <row r="7709" ht="15.75" customHeight="1">
      <c r="A7709" s="2">
        <v>38181.0</v>
      </c>
      <c r="B7709" s="2" t="s">
        <v>1004</v>
      </c>
      <c r="C7709" s="2" t="s">
        <v>14361</v>
      </c>
      <c r="D7709" s="2" t="s">
        <v>410</v>
      </c>
      <c r="E7709" s="2" t="s">
        <v>136</v>
      </c>
      <c r="F7709" s="2">
        <v>13.0</v>
      </c>
      <c r="G7709" s="2">
        <v>500.0</v>
      </c>
      <c r="H7709" s="3" t="str">
        <f>HYPERLINK("http://www.linkedin.com/in/scottvansickle","http://www.linkedin.com/in/scottvansickle")</f>
        <v>http://www.linkedin.com/in/scottvansickle</v>
      </c>
      <c r="I7709" s="2" t="s">
        <v>844</v>
      </c>
      <c r="J7709" s="2" t="s">
        <v>102</v>
      </c>
      <c r="K7709" s="2" t="s">
        <v>14078</v>
      </c>
    </row>
    <row r="7710" ht="15.75" customHeight="1">
      <c r="A7710" s="2">
        <v>38187.0</v>
      </c>
      <c r="B7710" s="2" t="s">
        <v>710</v>
      </c>
      <c r="C7710" s="2" t="s">
        <v>14362</v>
      </c>
      <c r="D7710" s="2" t="s">
        <v>14363</v>
      </c>
      <c r="E7710" s="2" t="s">
        <v>155</v>
      </c>
      <c r="F7710" s="2">
        <v>2.0</v>
      </c>
      <c r="G7710" s="2">
        <v>500.0</v>
      </c>
      <c r="H7710" s="3" t="str">
        <f>HYPERLINK("http://www.linkedin.com/in/jasonshellen","http://www.linkedin.com/in/jasonshellen")</f>
        <v>http://www.linkedin.com/in/jasonshellen</v>
      </c>
      <c r="I7710" s="2" t="s">
        <v>69</v>
      </c>
      <c r="J7710" s="2" t="s">
        <v>102</v>
      </c>
      <c r="K7710" s="2" t="s">
        <v>14364</v>
      </c>
    </row>
    <row r="7711" ht="15.75" customHeight="1">
      <c r="A7711" s="2">
        <v>38189.0</v>
      </c>
      <c r="B7711" s="2" t="s">
        <v>5408</v>
      </c>
      <c r="C7711" s="2" t="s">
        <v>14365</v>
      </c>
      <c r="D7711" s="2" t="s">
        <v>14366</v>
      </c>
      <c r="E7711" s="2" t="s">
        <v>136</v>
      </c>
      <c r="F7711" s="2" t="s">
        <v>13</v>
      </c>
      <c r="G7711" s="2">
        <v>500.0</v>
      </c>
      <c r="H7711" s="3" t="str">
        <f>HYPERLINK("http://www.linkedin.com/in/aaronsears","http://www.linkedin.com/in/aaronsears")</f>
        <v>http://www.linkedin.com/in/aaronsears</v>
      </c>
      <c r="I7711" s="2" t="s">
        <v>69</v>
      </c>
      <c r="J7711" s="2" t="s">
        <v>102</v>
      </c>
      <c r="K7711" s="2" t="s">
        <v>14142</v>
      </c>
    </row>
    <row r="7712" ht="15.75" customHeight="1">
      <c r="A7712" s="2">
        <v>38216.0</v>
      </c>
      <c r="B7712" s="2" t="s">
        <v>845</v>
      </c>
      <c r="C7712" s="2" t="s">
        <v>1717</v>
      </c>
      <c r="D7712" s="2" t="s">
        <v>2560</v>
      </c>
      <c r="E7712" s="2" t="s">
        <v>136</v>
      </c>
      <c r="F7712" s="2">
        <v>5.0</v>
      </c>
      <c r="G7712" s="2">
        <v>500.0</v>
      </c>
      <c r="H7712" s="3" t="str">
        <f>HYPERLINK("http://www.linkedin.com/in/daveabell","http://www.linkedin.com/in/daveabell")</f>
        <v>http://www.linkedin.com/in/daveabell</v>
      </c>
      <c r="I7712" s="2" t="s">
        <v>105</v>
      </c>
      <c r="J7712" s="2" t="s">
        <v>102</v>
      </c>
      <c r="K7712" s="2" t="s">
        <v>14074</v>
      </c>
    </row>
    <row r="7713" ht="15.75" customHeight="1">
      <c r="A7713" s="2">
        <v>38217.0</v>
      </c>
      <c r="B7713" s="2" t="s">
        <v>845</v>
      </c>
      <c r="C7713" s="2" t="s">
        <v>14367</v>
      </c>
      <c r="D7713" s="2" t="s">
        <v>309</v>
      </c>
      <c r="E7713" s="2" t="s">
        <v>136</v>
      </c>
      <c r="F7713" s="2">
        <v>1.0</v>
      </c>
      <c r="G7713" s="2">
        <v>500.0</v>
      </c>
      <c r="H7713" s="3" t="str">
        <f>HYPERLINK("http://www.linkedin.com/in/davidcao","http://www.linkedin.com/in/davidcao")</f>
        <v>http://www.linkedin.com/in/davidcao</v>
      </c>
      <c r="I7713" s="2" t="s">
        <v>48</v>
      </c>
      <c r="J7713" s="2" t="s">
        <v>102</v>
      </c>
      <c r="K7713" s="2" t="s">
        <v>14197</v>
      </c>
    </row>
    <row r="7714" ht="15.75" customHeight="1">
      <c r="A7714" s="2">
        <v>38218.0</v>
      </c>
      <c r="B7714" s="2" t="s">
        <v>534</v>
      </c>
      <c r="C7714" s="2" t="s">
        <v>14368</v>
      </c>
      <c r="D7714" s="2" t="s">
        <v>309</v>
      </c>
      <c r="E7714" s="2" t="s">
        <v>713</v>
      </c>
      <c r="F7714" s="2">
        <v>15.0</v>
      </c>
      <c r="G7714" s="2">
        <v>500.0</v>
      </c>
      <c r="H7714" s="3" t="str">
        <f>HYPERLINK("http://www.linkedin.com/in/mbellows","http://www.linkedin.com/in/mbellows")</f>
        <v>http://www.linkedin.com/in/mbellows</v>
      </c>
      <c r="I7714" s="2" t="s">
        <v>69</v>
      </c>
      <c r="J7714" s="2" t="s">
        <v>102</v>
      </c>
      <c r="K7714" s="2" t="s">
        <v>14073</v>
      </c>
    </row>
    <row r="7715" ht="15.75" customHeight="1">
      <c r="A7715" s="2">
        <v>38231.0</v>
      </c>
      <c r="B7715" s="2" t="s">
        <v>845</v>
      </c>
      <c r="C7715" s="2" t="s">
        <v>14369</v>
      </c>
      <c r="D7715" s="2" t="s">
        <v>47</v>
      </c>
      <c r="E7715" s="2" t="s">
        <v>3902</v>
      </c>
      <c r="F7715" s="2">
        <v>0.0</v>
      </c>
      <c r="G7715" s="2">
        <v>500.0</v>
      </c>
      <c r="H7715" s="3" t="str">
        <f>HYPERLINK("http://www.linkedin.com/in/davidfowler","http://www.linkedin.com/in/davidfowler")</f>
        <v>http://www.linkedin.com/in/davidfowler</v>
      </c>
      <c r="I7715" s="2" t="s">
        <v>105</v>
      </c>
      <c r="J7715" s="2" t="s">
        <v>102</v>
      </c>
      <c r="K7715" s="2" t="s">
        <v>14055</v>
      </c>
    </row>
    <row r="7716" ht="15.75" customHeight="1">
      <c r="A7716" s="2">
        <v>38234.0</v>
      </c>
      <c r="B7716" s="2" t="s">
        <v>1483</v>
      </c>
      <c r="C7716" s="2" t="s">
        <v>1585</v>
      </c>
      <c r="D7716" s="2" t="s">
        <v>14370</v>
      </c>
      <c r="E7716" s="2" t="s">
        <v>397</v>
      </c>
      <c r="F7716" s="2">
        <v>16.0</v>
      </c>
      <c r="G7716" s="2">
        <v>500.0</v>
      </c>
      <c r="H7716" s="3" t="str">
        <f>HYPERLINK("http://www.linkedin.com/in/mrtrevorthomas","http://www.linkedin.com/in/mrtrevorthomas")</f>
        <v>http://www.linkedin.com/in/mrtrevorthomas</v>
      </c>
      <c r="I7716" s="2" t="s">
        <v>69</v>
      </c>
      <c r="J7716" s="2" t="s">
        <v>102</v>
      </c>
      <c r="K7716" s="2" t="s">
        <v>14142</v>
      </c>
    </row>
    <row r="7717" ht="15.75" customHeight="1">
      <c r="A7717" s="2">
        <v>38235.0</v>
      </c>
      <c r="B7717" s="2" t="s">
        <v>5310</v>
      </c>
      <c r="C7717" s="2" t="s">
        <v>1024</v>
      </c>
      <c r="D7717" s="2" t="s">
        <v>4854</v>
      </c>
      <c r="E7717" s="2" t="s">
        <v>4479</v>
      </c>
      <c r="F7717" s="2">
        <v>2.0</v>
      </c>
      <c r="G7717" s="2">
        <v>500.0</v>
      </c>
      <c r="H7717" s="3" t="str">
        <f>HYPERLINK("http://www.linkedin.com/pub/dustin-wolff/9/848/2A6","http://www.linkedin.com/pub/dustin-wolff/9/848/2A6")</f>
        <v>http://www.linkedin.com/pub/dustin-wolff/9/848/2A6</v>
      </c>
      <c r="I7717" s="2" t="s">
        <v>326</v>
      </c>
      <c r="J7717" s="2" t="s">
        <v>102</v>
      </c>
      <c r="K7717" s="2" t="s">
        <v>14078</v>
      </c>
    </row>
    <row r="7718" ht="15.75" customHeight="1">
      <c r="A7718" s="2">
        <v>38240.0</v>
      </c>
      <c r="B7718" s="2" t="s">
        <v>14371</v>
      </c>
      <c r="C7718" s="2" t="s">
        <v>13766</v>
      </c>
      <c r="D7718" s="2" t="s">
        <v>114</v>
      </c>
      <c r="E7718" s="2" t="s">
        <v>301</v>
      </c>
      <c r="F7718" s="2">
        <v>6.0</v>
      </c>
      <c r="G7718" s="2">
        <v>500.0</v>
      </c>
      <c r="H7718" s="3" t="str">
        <f>HYPERLINK("http://www.linkedin.com/pub/karen-goldfarb/7/624/12","http://www.linkedin.com/pub/karen-goldfarb/7/624/12")</f>
        <v>http://www.linkedin.com/pub/karen-goldfarb/7/624/12</v>
      </c>
      <c r="I7718" s="2" t="s">
        <v>105</v>
      </c>
      <c r="J7718" s="2" t="s">
        <v>102</v>
      </c>
      <c r="K7718" s="2" t="s">
        <v>14055</v>
      </c>
    </row>
    <row r="7719" ht="15.75" customHeight="1">
      <c r="A7719" s="2">
        <v>38242.0</v>
      </c>
      <c r="B7719" s="2" t="s">
        <v>3250</v>
      </c>
      <c r="C7719" s="2" t="s">
        <v>1013</v>
      </c>
      <c r="D7719" s="2" t="s">
        <v>47</v>
      </c>
      <c r="E7719" s="2" t="s">
        <v>1234</v>
      </c>
      <c r="F7719" s="2">
        <v>13.0</v>
      </c>
      <c r="G7719" s="2">
        <v>500.0</v>
      </c>
      <c r="H7719" s="3" t="str">
        <f>HYPERLINK("http://www.linkedin.com/in/brandonbillings7","http://www.linkedin.com/in/brandonbillings7")</f>
        <v>http://www.linkedin.com/in/brandonbillings7</v>
      </c>
      <c r="I7719" s="2" t="s">
        <v>105</v>
      </c>
      <c r="J7719" s="2" t="s">
        <v>102</v>
      </c>
      <c r="K7719" s="2" t="s">
        <v>14074</v>
      </c>
    </row>
    <row r="7720" ht="15.75" customHeight="1">
      <c r="A7720" s="2">
        <v>38249.0</v>
      </c>
      <c r="B7720" s="2" t="s">
        <v>879</v>
      </c>
      <c r="C7720" s="2" t="s">
        <v>1497</v>
      </c>
      <c r="D7720" s="2" t="s">
        <v>400</v>
      </c>
      <c r="E7720" s="2" t="s">
        <v>1407</v>
      </c>
      <c r="F7720" s="2">
        <v>0.0</v>
      </c>
      <c r="G7720" s="2">
        <v>126.0</v>
      </c>
      <c r="H7720" s="3" t="str">
        <f>HYPERLINK("http://www.linkedin.com/in/internetleads","http://www.linkedin.com/in/internetleads")</f>
        <v>http://www.linkedin.com/in/internetleads</v>
      </c>
      <c r="I7720" s="2" t="s">
        <v>105</v>
      </c>
      <c r="J7720" s="2" t="s">
        <v>102</v>
      </c>
      <c r="K7720" s="2" t="s">
        <v>14207</v>
      </c>
    </row>
    <row r="7721" ht="15.75" customHeight="1">
      <c r="A7721" s="2">
        <v>38361.0</v>
      </c>
      <c r="B7721" s="2" t="s">
        <v>8597</v>
      </c>
      <c r="C7721" s="2" t="s">
        <v>14372</v>
      </c>
      <c r="D7721" s="2" t="s">
        <v>14373</v>
      </c>
      <c r="E7721" s="2" t="s">
        <v>255</v>
      </c>
      <c r="F7721" s="2">
        <v>0.0</v>
      </c>
      <c r="G7721" s="2">
        <v>500.0</v>
      </c>
      <c r="H7721" s="3" t="str">
        <f>HYPERLINK("http://www.linkedin.com/in/felipesommer","http://www.linkedin.com/in/felipesommer")</f>
        <v>http://www.linkedin.com/in/felipesommer</v>
      </c>
      <c r="I7721" s="2" t="s">
        <v>440</v>
      </c>
      <c r="J7721" s="2" t="s">
        <v>102</v>
      </c>
      <c r="K7721" s="2" t="s">
        <v>14211</v>
      </c>
    </row>
    <row r="7722" ht="15.75" customHeight="1">
      <c r="A7722" s="2">
        <v>38511.0</v>
      </c>
      <c r="B7722" s="2" t="s">
        <v>70</v>
      </c>
      <c r="C7722" s="2" t="s">
        <v>14374</v>
      </c>
      <c r="D7722" s="2" t="s">
        <v>943</v>
      </c>
      <c r="E7722" s="2" t="s">
        <v>882</v>
      </c>
      <c r="F7722" s="2" t="s">
        <v>13</v>
      </c>
      <c r="G7722" s="2">
        <v>500.0</v>
      </c>
      <c r="H7722" s="3" t="str">
        <f>HYPERLINK("http://ar.linkedin.com/pub/gustavo-bessone/15/968/B0","http://ar.linkedin.com/pub/gustavo-bessone/15/968/B0")</f>
        <v>http://ar.linkedin.com/pub/gustavo-bessone/15/968/B0</v>
      </c>
      <c r="I7722" s="2" t="s">
        <v>15</v>
      </c>
      <c r="J7722" s="2" t="s">
        <v>102</v>
      </c>
      <c r="K7722" s="2" t="s">
        <v>14080</v>
      </c>
    </row>
    <row r="7723" ht="15.75" customHeight="1">
      <c r="A7723" s="2">
        <v>38564.0</v>
      </c>
      <c r="B7723" s="2" t="s">
        <v>3684</v>
      </c>
      <c r="C7723" s="2" t="s">
        <v>14375</v>
      </c>
      <c r="D7723" s="2" t="s">
        <v>3483</v>
      </c>
      <c r="E7723" s="2" t="s">
        <v>20</v>
      </c>
      <c r="F7723" s="2">
        <v>13.0</v>
      </c>
      <c r="G7723" s="2">
        <v>500.0</v>
      </c>
      <c r="H7723" s="3" t="str">
        <f>HYPERLINK("http://ar.linkedin.com/in/waltergueler","http://ar.linkedin.com/in/waltergueler")</f>
        <v>http://ar.linkedin.com/in/waltergueler</v>
      </c>
      <c r="I7723" s="2" t="s">
        <v>15</v>
      </c>
      <c r="J7723" s="2" t="s">
        <v>21</v>
      </c>
      <c r="K7723" s="2" t="s">
        <v>14055</v>
      </c>
    </row>
    <row r="7724" ht="15.75" customHeight="1">
      <c r="A7724" s="2">
        <v>38591.0</v>
      </c>
      <c r="B7724" s="2" t="s">
        <v>11986</v>
      </c>
      <c r="C7724" s="2" t="s">
        <v>14376</v>
      </c>
      <c r="D7724" s="2" t="s">
        <v>14377</v>
      </c>
      <c r="E7724" s="2" t="s">
        <v>136</v>
      </c>
      <c r="F7724" s="2">
        <v>19.0</v>
      </c>
      <c r="G7724" s="2">
        <v>422.0</v>
      </c>
      <c r="H7724" s="3" t="str">
        <f>HYPERLINK("http://www.linkedin.com/pub/samuel-lavery/3/7A8/320","http://www.linkedin.com/pub/samuel-lavery/3/7A8/320")</f>
        <v>http://www.linkedin.com/pub/samuel-lavery/3/7A8/320</v>
      </c>
      <c r="I7724" s="2" t="s">
        <v>15</v>
      </c>
      <c r="J7724" s="2" t="s">
        <v>102</v>
      </c>
      <c r="K7724" s="2" t="s">
        <v>14065</v>
      </c>
    </row>
    <row r="7725" ht="15.75" customHeight="1">
      <c r="A7725" s="2">
        <v>38650.0</v>
      </c>
      <c r="B7725" s="2" t="s">
        <v>362</v>
      </c>
      <c r="C7725" s="2" t="s">
        <v>14378</v>
      </c>
      <c r="D7725" s="2" t="s">
        <v>14379</v>
      </c>
      <c r="E7725" s="2" t="s">
        <v>20</v>
      </c>
      <c r="F7725" s="2">
        <v>3.0</v>
      </c>
      <c r="G7725" s="2">
        <v>500.0</v>
      </c>
      <c r="H7725" s="3" t="str">
        <f>HYPERLINK("http://ar.linkedin.com/pub/javier-mogetta/7/15A/157","http://ar.linkedin.com/pub/javier-mogetta/7/15A/157")</f>
        <v>http://ar.linkedin.com/pub/javier-mogetta/7/15A/157</v>
      </c>
      <c r="I7725" s="2" t="s">
        <v>1421</v>
      </c>
      <c r="J7725" s="2" t="s">
        <v>21</v>
      </c>
      <c r="K7725" s="2" t="s">
        <v>14074</v>
      </c>
    </row>
    <row r="7726" ht="15.75" customHeight="1">
      <c r="A7726" s="2">
        <v>38675.0</v>
      </c>
      <c r="B7726" s="2" t="s">
        <v>14380</v>
      </c>
      <c r="C7726" s="2" t="s">
        <v>14381</v>
      </c>
      <c r="D7726" s="2" t="s">
        <v>14382</v>
      </c>
      <c r="E7726" s="2" t="s">
        <v>136</v>
      </c>
      <c r="F7726" s="2">
        <v>18.0</v>
      </c>
      <c r="G7726" s="2">
        <v>245.0</v>
      </c>
      <c r="H7726" s="3" t="str">
        <f>HYPERLINK("http://www.linkedin.com/in/webrockstar","http://www.linkedin.com/in/webrockstar")</f>
        <v>http://www.linkedin.com/in/webrockstar</v>
      </c>
      <c r="I7726" s="2" t="s">
        <v>69</v>
      </c>
      <c r="J7726" s="2" t="s">
        <v>102</v>
      </c>
      <c r="K7726" s="2" t="s">
        <v>14088</v>
      </c>
    </row>
    <row r="7727" ht="15.75" customHeight="1">
      <c r="A7727" s="2">
        <v>38695.0</v>
      </c>
      <c r="B7727" s="2" t="s">
        <v>6666</v>
      </c>
      <c r="C7727" s="2" t="s">
        <v>13347</v>
      </c>
      <c r="D7727" s="2" t="s">
        <v>47</v>
      </c>
      <c r="E7727" s="2" t="s">
        <v>20</v>
      </c>
      <c r="F7727" s="2">
        <v>3.0</v>
      </c>
      <c r="G7727" s="2">
        <v>471.0</v>
      </c>
      <c r="H7727" s="3" t="str">
        <f>HYPERLINK("http://ar.linkedin.com/in/smferro","http://ar.linkedin.com/in/smferro")</f>
        <v>http://ar.linkedin.com/in/smferro</v>
      </c>
      <c r="I7727" s="2" t="s">
        <v>15</v>
      </c>
      <c r="J7727" s="2" t="s">
        <v>21</v>
      </c>
      <c r="K7727" s="2" t="s">
        <v>14204</v>
      </c>
    </row>
    <row r="7728" ht="15.75" customHeight="1">
      <c r="A7728" s="2">
        <v>38697.0</v>
      </c>
      <c r="B7728" s="2" t="s">
        <v>10840</v>
      </c>
      <c r="C7728" s="2" t="s">
        <v>14383</v>
      </c>
      <c r="D7728" s="2" t="s">
        <v>400</v>
      </c>
      <c r="E7728" s="2" t="s">
        <v>14384</v>
      </c>
      <c r="F7728" s="2">
        <v>19.0</v>
      </c>
      <c r="G7728" s="2">
        <v>500.0</v>
      </c>
      <c r="H7728" s="3" t="str">
        <f>HYPERLINK("http://www.linkedin.com/in/stanorlowski","http://www.linkedin.com/in/stanorlowski")</f>
        <v>http://www.linkedin.com/in/stanorlowski</v>
      </c>
      <c r="I7728" s="2" t="s">
        <v>69</v>
      </c>
      <c r="J7728" s="2" t="s">
        <v>102</v>
      </c>
      <c r="K7728" s="2" t="s">
        <v>14055</v>
      </c>
    </row>
    <row r="7729" ht="15.75" customHeight="1">
      <c r="A7729" s="2">
        <v>38700.0</v>
      </c>
      <c r="B7729" s="2" t="s">
        <v>341</v>
      </c>
      <c r="C7729" s="2" t="s">
        <v>1776</v>
      </c>
      <c r="D7729" s="2" t="s">
        <v>14385</v>
      </c>
      <c r="E7729" s="2" t="s">
        <v>2058</v>
      </c>
      <c r="F7729" s="2" t="s">
        <v>13</v>
      </c>
      <c r="G7729" s="2">
        <v>500.0</v>
      </c>
      <c r="H7729" s="3" t="str">
        <f>HYPERLINK("http://www.linkedin.com/in/kevinjwright","http://www.linkedin.com/in/kevinjwright")</f>
        <v>http://www.linkedin.com/in/kevinjwright</v>
      </c>
      <c r="I7729" s="2" t="s">
        <v>1107</v>
      </c>
      <c r="J7729" s="2" t="s">
        <v>102</v>
      </c>
      <c r="K7729" s="2" t="s">
        <v>14092</v>
      </c>
    </row>
    <row r="7730" ht="15.75" customHeight="1">
      <c r="A7730" s="2">
        <v>38790.0</v>
      </c>
      <c r="B7730" s="2" t="s">
        <v>1617</v>
      </c>
      <c r="C7730" s="2" t="s">
        <v>14386</v>
      </c>
      <c r="D7730" s="2" t="s">
        <v>14387</v>
      </c>
      <c r="E7730" s="2" t="s">
        <v>728</v>
      </c>
      <c r="F7730" s="2">
        <v>21.0</v>
      </c>
      <c r="G7730" s="2">
        <v>500.0</v>
      </c>
      <c r="H7730" s="3" t="str">
        <f>HYPERLINK("http://www.linkedin.com/pub/ryan-mcveigh/0/162/93","http://www.linkedin.com/pub/ryan-mcveigh/0/162/93")</f>
        <v>http://www.linkedin.com/pub/ryan-mcveigh/0/162/93</v>
      </c>
      <c r="I7730" s="2" t="s">
        <v>48</v>
      </c>
      <c r="J7730" s="2" t="s">
        <v>102</v>
      </c>
      <c r="K7730" s="2" t="s">
        <v>14142</v>
      </c>
    </row>
    <row r="7731" ht="15.75" customHeight="1">
      <c r="A7731" s="2">
        <v>38793.0</v>
      </c>
      <c r="B7731" s="2" t="s">
        <v>2156</v>
      </c>
      <c r="C7731" s="2" t="s">
        <v>14388</v>
      </c>
      <c r="D7731" s="2" t="s">
        <v>14389</v>
      </c>
      <c r="E7731" s="2" t="s">
        <v>136</v>
      </c>
      <c r="F7731" s="2">
        <v>3.0</v>
      </c>
      <c r="G7731" s="2">
        <v>500.0</v>
      </c>
      <c r="H7731" s="3" t="str">
        <f>HYPERLINK("http://www.linkedin.com/in/sanjaychikarmane","http://www.linkedin.com/in/sanjaychikarmane")</f>
        <v>http://www.linkedin.com/in/sanjaychikarmane</v>
      </c>
      <c r="I7731" s="2" t="s">
        <v>48</v>
      </c>
      <c r="J7731" s="2" t="s">
        <v>102</v>
      </c>
      <c r="K7731" s="2" t="s">
        <v>14088</v>
      </c>
    </row>
    <row r="7732" ht="15.75" customHeight="1">
      <c r="A7732" s="2">
        <v>38795.0</v>
      </c>
      <c r="B7732" s="2" t="s">
        <v>45</v>
      </c>
      <c r="C7732" s="2" t="s">
        <v>14390</v>
      </c>
      <c r="D7732" s="2" t="s">
        <v>14391</v>
      </c>
      <c r="E7732" s="2" t="s">
        <v>808</v>
      </c>
      <c r="F7732" s="2">
        <v>13.0</v>
      </c>
      <c r="G7732" s="2">
        <v>500.0</v>
      </c>
      <c r="H7732" s="3" t="str">
        <f>HYPERLINK("http://www.linkedin.com/in/cagranda","http://www.linkedin.com/in/cagranda")</f>
        <v>http://www.linkedin.com/in/cagranda</v>
      </c>
      <c r="I7732" s="2" t="s">
        <v>48</v>
      </c>
      <c r="J7732" s="2" t="s">
        <v>102</v>
      </c>
      <c r="K7732" s="2" t="s">
        <v>14392</v>
      </c>
    </row>
    <row r="7733" ht="15.75" customHeight="1">
      <c r="A7733" s="2">
        <v>38805.0</v>
      </c>
      <c r="B7733" s="2" t="s">
        <v>796</v>
      </c>
      <c r="C7733" s="2" t="s">
        <v>14393</v>
      </c>
      <c r="D7733" s="2" t="s">
        <v>14394</v>
      </c>
      <c r="E7733" s="2" t="s">
        <v>136</v>
      </c>
      <c r="F7733" s="2">
        <v>5.0</v>
      </c>
      <c r="G7733" s="2">
        <v>432.0</v>
      </c>
      <c r="H7733" s="3" t="str">
        <f>HYPERLINK("http://www.linkedin.com/in/rowell","http://www.linkedin.com/in/rowell")</f>
        <v>http://www.linkedin.com/in/rowell</v>
      </c>
      <c r="I7733" s="2" t="s">
        <v>48</v>
      </c>
      <c r="J7733" s="2" t="s">
        <v>102</v>
      </c>
      <c r="K7733" s="2" t="s">
        <v>14052</v>
      </c>
    </row>
    <row r="7734" ht="15.75" customHeight="1">
      <c r="A7734" s="2">
        <v>38824.0</v>
      </c>
      <c r="B7734" s="2" t="s">
        <v>752</v>
      </c>
      <c r="C7734" s="2" t="s">
        <v>14395</v>
      </c>
      <c r="D7734" s="2" t="s">
        <v>14396</v>
      </c>
      <c r="E7734" s="2" t="s">
        <v>762</v>
      </c>
      <c r="F7734" s="2">
        <v>3.0</v>
      </c>
      <c r="G7734" s="2">
        <v>500.0</v>
      </c>
      <c r="H7734" s="3" t="str">
        <f>HYPERLINK("http://www.linkedin.com/in/jimalcina","http://www.linkedin.com/in/jimalcina")</f>
        <v>http://www.linkedin.com/in/jimalcina</v>
      </c>
      <c r="I7734" s="2" t="s">
        <v>48</v>
      </c>
      <c r="J7734" s="2" t="s">
        <v>102</v>
      </c>
      <c r="K7734" s="2" t="s">
        <v>14052</v>
      </c>
    </row>
    <row r="7735" ht="15.75" customHeight="1">
      <c r="A7735" s="2">
        <v>38829.0</v>
      </c>
      <c r="B7735" s="2" t="s">
        <v>4304</v>
      </c>
      <c r="C7735" s="2" t="s">
        <v>14397</v>
      </c>
      <c r="D7735" s="2" t="s">
        <v>536</v>
      </c>
      <c r="E7735" s="2" t="s">
        <v>20</v>
      </c>
      <c r="F7735" s="2">
        <v>5.0</v>
      </c>
      <c r="G7735" s="2">
        <v>500.0</v>
      </c>
      <c r="H7735" s="3" t="str">
        <f>HYPERLINK("http://ar.linkedin.com/in/leandror","http://ar.linkedin.com/in/leandror")</f>
        <v>http://ar.linkedin.com/in/leandror</v>
      </c>
      <c r="I7735" s="2" t="s">
        <v>15</v>
      </c>
      <c r="J7735" s="2" t="s">
        <v>21</v>
      </c>
      <c r="K7735" s="2" t="s">
        <v>14082</v>
      </c>
    </row>
    <row r="7736" ht="15.75" customHeight="1">
      <c r="A7736" s="2">
        <v>38874.0</v>
      </c>
      <c r="B7736" s="2" t="s">
        <v>2508</v>
      </c>
      <c r="C7736" s="2" t="s">
        <v>14398</v>
      </c>
      <c r="D7736" s="2" t="s">
        <v>13</v>
      </c>
      <c r="E7736" s="2" t="s">
        <v>20</v>
      </c>
      <c r="F7736" s="2">
        <v>0.0</v>
      </c>
      <c r="G7736" s="2">
        <v>139.0</v>
      </c>
      <c r="H7736" s="3" t="str">
        <f>HYPERLINK("http://ar.linkedin.com/in/leoapiwan","http://ar.linkedin.com/in/leoapiwan")</f>
        <v>http://ar.linkedin.com/in/leoapiwan</v>
      </c>
      <c r="I7736" s="2" t="s">
        <v>15</v>
      </c>
      <c r="J7736" s="2" t="s">
        <v>21</v>
      </c>
      <c r="K7736" s="2" t="s">
        <v>14080</v>
      </c>
    </row>
    <row r="7737" ht="15.75" customHeight="1">
      <c r="A7737" s="2">
        <v>38906.0</v>
      </c>
      <c r="B7737" s="2" t="s">
        <v>1254</v>
      </c>
      <c r="C7737" s="2" t="s">
        <v>14399</v>
      </c>
      <c r="D7737" s="2" t="s">
        <v>410</v>
      </c>
      <c r="E7737" s="2" t="s">
        <v>14400</v>
      </c>
      <c r="F7737" s="2">
        <v>7.0</v>
      </c>
      <c r="G7737" s="2">
        <v>500.0</v>
      </c>
      <c r="H7737" s="3" t="str">
        <f>HYPERLINK("http://www.linkedin.com/in/rickschneider1414","http://www.linkedin.com/in/rickschneider1414")</f>
        <v>http://www.linkedin.com/in/rickschneider1414</v>
      </c>
      <c r="I7737" s="2" t="s">
        <v>69</v>
      </c>
      <c r="J7737" s="2" t="s">
        <v>102</v>
      </c>
      <c r="K7737" s="2" t="s">
        <v>14111</v>
      </c>
    </row>
    <row r="7738" ht="15.75" customHeight="1">
      <c r="A7738" s="2">
        <v>38934.0</v>
      </c>
      <c r="B7738" s="2" t="s">
        <v>1004</v>
      </c>
      <c r="C7738" s="2" t="s">
        <v>489</v>
      </c>
      <c r="D7738" s="2" t="s">
        <v>14401</v>
      </c>
      <c r="E7738" s="2" t="s">
        <v>155</v>
      </c>
      <c r="F7738" s="2">
        <v>29.0</v>
      </c>
      <c r="G7738" s="2">
        <v>284.0</v>
      </c>
      <c r="H7738" s="3" t="str">
        <f>HYPERLINK("http://www.linkedin.com/in/designcarter","http://www.linkedin.com/in/designcarter")</f>
        <v>http://www.linkedin.com/in/designcarter</v>
      </c>
      <c r="I7738" s="2" t="s">
        <v>2268</v>
      </c>
      <c r="J7738" s="2" t="s">
        <v>102</v>
      </c>
      <c r="K7738" s="2" t="s">
        <v>14074</v>
      </c>
    </row>
    <row r="7739" ht="15.75" customHeight="1">
      <c r="A7739" s="2">
        <v>38966.0</v>
      </c>
      <c r="B7739" s="2" t="s">
        <v>1479</v>
      </c>
      <c r="C7739" s="2" t="s">
        <v>14402</v>
      </c>
      <c r="D7739" s="2" t="s">
        <v>14403</v>
      </c>
      <c r="E7739" s="2" t="s">
        <v>1407</v>
      </c>
      <c r="F7739" s="2">
        <v>44.0</v>
      </c>
      <c r="G7739" s="2">
        <v>500.0</v>
      </c>
      <c r="H7739" s="3" t="str">
        <f>HYPERLINK("http://www.linkedin.com/in/frankva","http://www.linkedin.com/in/frankva")</f>
        <v>http://www.linkedin.com/in/frankva</v>
      </c>
      <c r="I7739" s="2" t="s">
        <v>69</v>
      </c>
      <c r="J7739" s="2" t="s">
        <v>102</v>
      </c>
      <c r="K7739" s="2" t="s">
        <v>14078</v>
      </c>
    </row>
    <row r="7740" ht="15.75" customHeight="1">
      <c r="A7740" s="2">
        <v>39016.0</v>
      </c>
      <c r="B7740" s="2" t="s">
        <v>2014</v>
      </c>
      <c r="C7740" s="2" t="s">
        <v>14404</v>
      </c>
      <c r="D7740" s="2" t="s">
        <v>14405</v>
      </c>
      <c r="E7740" s="2" t="s">
        <v>762</v>
      </c>
      <c r="F7740" s="2">
        <v>19.0</v>
      </c>
      <c r="G7740" s="2">
        <v>500.0</v>
      </c>
      <c r="H7740" s="3" t="str">
        <f>HYPERLINK("http://www.linkedin.com/in/kenmaranian","http://www.linkedin.com/in/kenmaranian")</f>
        <v>http://www.linkedin.com/in/kenmaranian</v>
      </c>
      <c r="I7740" s="2" t="s">
        <v>48</v>
      </c>
      <c r="J7740" s="2" t="s">
        <v>102</v>
      </c>
      <c r="K7740" s="2" t="s">
        <v>14078</v>
      </c>
    </row>
    <row r="7741" ht="15.75" customHeight="1">
      <c r="A7741" s="2">
        <v>39018.0</v>
      </c>
      <c r="B7741" s="2" t="s">
        <v>14406</v>
      </c>
      <c r="C7741" s="2" t="s">
        <v>14407</v>
      </c>
      <c r="D7741" s="2" t="s">
        <v>14408</v>
      </c>
      <c r="E7741" s="2" t="s">
        <v>251</v>
      </c>
      <c r="F7741" s="2">
        <v>9.0</v>
      </c>
      <c r="G7741" s="2">
        <v>500.0</v>
      </c>
      <c r="H7741" s="3" t="str">
        <f>HYPERLINK("http://www.linkedin.com/in/naveensundararajan","http://www.linkedin.com/in/naveensundararajan")</f>
        <v>http://www.linkedin.com/in/naveensundararajan</v>
      </c>
      <c r="I7741" s="2" t="s">
        <v>15</v>
      </c>
      <c r="J7741" s="2" t="s">
        <v>102</v>
      </c>
      <c r="K7741" s="2" t="s">
        <v>14117</v>
      </c>
    </row>
    <row r="7742" ht="15.75" customHeight="1">
      <c r="A7742" s="2">
        <v>39431.0</v>
      </c>
      <c r="B7742" s="2" t="s">
        <v>2003</v>
      </c>
      <c r="C7742" s="2" t="s">
        <v>14409</v>
      </c>
      <c r="D7742" s="2" t="s">
        <v>309</v>
      </c>
      <c r="E7742" s="2" t="s">
        <v>136</v>
      </c>
      <c r="F7742" s="2">
        <v>13.0</v>
      </c>
      <c r="G7742" s="2">
        <v>500.0</v>
      </c>
      <c r="H7742" s="3" t="str">
        <f>HYPERLINK("http://www.linkedin.com/in/valeriefrederickson","http://www.linkedin.com/in/valeriefrederickson")</f>
        <v>http://www.linkedin.com/in/valeriefrederickson</v>
      </c>
      <c r="I7742" s="2" t="s">
        <v>458</v>
      </c>
      <c r="J7742" s="2" t="s">
        <v>102</v>
      </c>
      <c r="K7742" s="2" t="s">
        <v>14074</v>
      </c>
    </row>
    <row r="7743" ht="15.75" customHeight="1">
      <c r="A7743" s="2">
        <v>39436.0</v>
      </c>
      <c r="B7743" s="2" t="s">
        <v>1748</v>
      </c>
      <c r="C7743" s="2" t="s">
        <v>14410</v>
      </c>
      <c r="D7743" s="2" t="s">
        <v>14411</v>
      </c>
      <c r="E7743" s="2" t="s">
        <v>136</v>
      </c>
      <c r="F7743" s="2">
        <v>19.0</v>
      </c>
      <c r="G7743" s="2">
        <v>500.0</v>
      </c>
      <c r="H7743" s="3" t="str">
        <f>HYPERLINK("http://www.linkedin.com/in/sandyogorman","http://www.linkedin.com/in/sandyogorman")</f>
        <v>http://www.linkedin.com/in/sandyogorman</v>
      </c>
      <c r="I7743" s="2" t="s">
        <v>69</v>
      </c>
      <c r="J7743" s="2" t="s">
        <v>102</v>
      </c>
      <c r="K7743" s="2" t="s">
        <v>14088</v>
      </c>
    </row>
    <row r="7744" ht="15.75" customHeight="1">
      <c r="A7744" s="2">
        <v>39640.0</v>
      </c>
      <c r="B7744" s="2" t="s">
        <v>1486</v>
      </c>
      <c r="C7744" s="2" t="s">
        <v>14412</v>
      </c>
      <c r="D7744" s="2" t="s">
        <v>14413</v>
      </c>
      <c r="E7744" s="2" t="s">
        <v>136</v>
      </c>
      <c r="F7744" s="2">
        <v>22.0</v>
      </c>
      <c r="G7744" s="2">
        <v>500.0</v>
      </c>
      <c r="H7744" s="3" t="str">
        <f>HYPERLINK("http://www.linkedin.com/pub/amit-kumar-goel/0/481/482","http://www.linkedin.com/pub/amit-kumar-goel/0/481/482")</f>
        <v>http://www.linkedin.com/pub/amit-kumar-goel/0/481/482</v>
      </c>
      <c r="I7744" s="2" t="s">
        <v>48</v>
      </c>
      <c r="J7744" s="2" t="s">
        <v>102</v>
      </c>
      <c r="K7744" s="2" t="s">
        <v>14088</v>
      </c>
    </row>
    <row r="7745" ht="15.75" customHeight="1">
      <c r="A7745" s="2">
        <v>39883.0</v>
      </c>
      <c r="B7745" s="2" t="s">
        <v>5200</v>
      </c>
      <c r="C7745" s="2" t="s">
        <v>14414</v>
      </c>
      <c r="D7745" s="2" t="s">
        <v>14415</v>
      </c>
      <c r="E7745" s="2" t="s">
        <v>136</v>
      </c>
      <c r="F7745" s="2">
        <v>16.0</v>
      </c>
      <c r="G7745" s="2">
        <v>500.0</v>
      </c>
      <c r="H7745" s="3" t="str">
        <f>HYPERLINK("http://www.linkedin.com/in/cstack1recruit4symc","http://www.linkedin.com/in/cstack1recruit4symc")</f>
        <v>http://www.linkedin.com/in/cstack1recruit4symc</v>
      </c>
      <c r="I7745" s="2" t="s">
        <v>48</v>
      </c>
      <c r="J7745" s="2" t="s">
        <v>102</v>
      </c>
      <c r="K7745" s="2" t="s">
        <v>14065</v>
      </c>
    </row>
    <row r="7746" ht="15.75" customHeight="1">
      <c r="A7746" s="2">
        <v>39908.0</v>
      </c>
      <c r="B7746" s="2" t="s">
        <v>1015</v>
      </c>
      <c r="C7746" s="2" t="s">
        <v>14416</v>
      </c>
      <c r="D7746" s="2" t="s">
        <v>14417</v>
      </c>
      <c r="E7746" s="2" t="s">
        <v>136</v>
      </c>
      <c r="F7746" s="2">
        <v>3.0</v>
      </c>
      <c r="G7746" s="2">
        <v>500.0</v>
      </c>
      <c r="H7746" s="3" t="str">
        <f>HYPERLINK("http://www.linkedin.com/in/brianscurran","http://www.linkedin.com/in/brianscurran")</f>
        <v>http://www.linkedin.com/in/brianscurran</v>
      </c>
      <c r="I7746" s="2" t="s">
        <v>279</v>
      </c>
      <c r="J7746" s="2" t="s">
        <v>102</v>
      </c>
      <c r="K7746" s="2" t="s">
        <v>14078</v>
      </c>
    </row>
    <row r="7747" ht="15.75" customHeight="1">
      <c r="A7747" s="2">
        <v>39910.0</v>
      </c>
      <c r="B7747" s="2" t="s">
        <v>245</v>
      </c>
      <c r="C7747" s="2" t="s">
        <v>14418</v>
      </c>
      <c r="D7747" s="2" t="s">
        <v>14419</v>
      </c>
      <c r="E7747" s="2" t="s">
        <v>713</v>
      </c>
      <c r="F7747" s="2">
        <v>4.0</v>
      </c>
      <c r="G7747" s="2">
        <v>360.0</v>
      </c>
      <c r="H7747" s="3" t="str">
        <f>HYPERLINK("http://www.linkedin.com/pub/steven-defrancesco/0/498/871","http://www.linkedin.com/pub/steven-defrancesco/0/498/871")</f>
        <v>http://www.linkedin.com/pub/steven-defrancesco/0/498/871</v>
      </c>
      <c r="I7747" s="2" t="s">
        <v>669</v>
      </c>
      <c r="J7747" s="2" t="s">
        <v>102</v>
      </c>
      <c r="K7747" s="2" t="s">
        <v>14068</v>
      </c>
    </row>
    <row r="7748" ht="15.75" customHeight="1">
      <c r="A7748" s="2">
        <v>39921.0</v>
      </c>
      <c r="B7748" s="2" t="s">
        <v>3351</v>
      </c>
      <c r="C7748" s="2" t="s">
        <v>14420</v>
      </c>
      <c r="D7748" s="2" t="s">
        <v>340</v>
      </c>
      <c r="E7748" s="2" t="s">
        <v>12165</v>
      </c>
      <c r="F7748" s="2">
        <v>5.0</v>
      </c>
      <c r="G7748" s="2">
        <v>298.0</v>
      </c>
      <c r="H7748" s="3" t="str">
        <f>HYPERLINK("http://www.linkedin.com/in/darylheinz","http://www.linkedin.com/in/darylheinz")</f>
        <v>http://www.linkedin.com/in/darylheinz</v>
      </c>
      <c r="I7748" s="2" t="s">
        <v>48</v>
      </c>
      <c r="J7748" s="2" t="s">
        <v>102</v>
      </c>
      <c r="K7748" s="2" t="s">
        <v>14071</v>
      </c>
    </row>
    <row r="7749" ht="15.75" customHeight="1">
      <c r="A7749" s="2">
        <v>39924.0</v>
      </c>
      <c r="B7749" s="2" t="s">
        <v>414</v>
      </c>
      <c r="C7749" s="2" t="s">
        <v>14421</v>
      </c>
      <c r="D7749" s="2" t="s">
        <v>47</v>
      </c>
      <c r="E7749" s="2" t="s">
        <v>3334</v>
      </c>
      <c r="F7749" s="2">
        <v>2.0</v>
      </c>
      <c r="G7749" s="2">
        <v>500.0</v>
      </c>
      <c r="H7749" s="3" t="str">
        <f>HYPERLINK("http://www.linkedin.com/in/tomcoshow","http://www.linkedin.com/in/tomcoshow")</f>
        <v>http://www.linkedin.com/in/tomcoshow</v>
      </c>
      <c r="I7749" s="2" t="s">
        <v>77</v>
      </c>
      <c r="J7749" s="2" t="s">
        <v>102</v>
      </c>
      <c r="K7749" s="2" t="s">
        <v>14422</v>
      </c>
    </row>
    <row r="7750" ht="15.75" customHeight="1">
      <c r="A7750" s="2">
        <v>39932.0</v>
      </c>
      <c r="B7750" s="2" t="s">
        <v>287</v>
      </c>
      <c r="C7750" s="2" t="s">
        <v>11653</v>
      </c>
      <c r="D7750" s="2" t="s">
        <v>47</v>
      </c>
      <c r="E7750" s="2" t="s">
        <v>136</v>
      </c>
      <c r="F7750" s="2">
        <v>20.0</v>
      </c>
      <c r="G7750" s="2">
        <v>500.0</v>
      </c>
      <c r="H7750" s="3" t="str">
        <f>HYPERLINK("http://www.linkedin.com/in/paultran888","http://www.linkedin.com/in/paultran888")</f>
        <v>http://www.linkedin.com/in/paultran888</v>
      </c>
      <c r="I7750" s="2" t="s">
        <v>48</v>
      </c>
      <c r="J7750" s="2" t="s">
        <v>102</v>
      </c>
      <c r="K7750" s="2" t="s">
        <v>14073</v>
      </c>
    </row>
    <row r="7751" ht="15.75" customHeight="1">
      <c r="A7751" s="2">
        <v>39964.0</v>
      </c>
      <c r="B7751" s="2" t="s">
        <v>953</v>
      </c>
      <c r="C7751" s="2" t="s">
        <v>14423</v>
      </c>
      <c r="D7751" s="2" t="s">
        <v>14424</v>
      </c>
      <c r="E7751" s="2" t="s">
        <v>914</v>
      </c>
      <c r="F7751" s="2">
        <v>8.0</v>
      </c>
      <c r="G7751" s="2">
        <v>500.0</v>
      </c>
      <c r="H7751" s="3" t="str">
        <f>HYPERLINK("http://www.linkedin.com/in/heiditucker","http://www.linkedin.com/in/heiditucker")</f>
        <v>http://www.linkedin.com/in/heiditucker</v>
      </c>
      <c r="I7751" s="2" t="s">
        <v>48</v>
      </c>
      <c r="J7751" s="2" t="s">
        <v>102</v>
      </c>
      <c r="K7751" s="2" t="s">
        <v>14095</v>
      </c>
    </row>
    <row r="7752" ht="15.75" customHeight="1">
      <c r="A7752" s="2">
        <v>39992.0</v>
      </c>
      <c r="B7752" s="2" t="s">
        <v>3626</v>
      </c>
      <c r="C7752" s="2" t="s">
        <v>14425</v>
      </c>
      <c r="D7752" s="2" t="s">
        <v>47</v>
      </c>
      <c r="E7752" s="2" t="s">
        <v>136</v>
      </c>
      <c r="F7752" s="2">
        <v>11.0</v>
      </c>
      <c r="G7752" s="2">
        <v>500.0</v>
      </c>
      <c r="H7752" s="3" t="str">
        <f>HYPERLINK("http://www.linkedin.com/in/beatrizinfante","http://www.linkedin.com/in/beatrizinfante")</f>
        <v>http://www.linkedin.com/in/beatrizinfante</v>
      </c>
      <c r="I7752" s="2" t="s">
        <v>57</v>
      </c>
      <c r="J7752" s="2" t="s">
        <v>102</v>
      </c>
      <c r="K7752" s="2" t="s">
        <v>14074</v>
      </c>
    </row>
    <row r="7753" ht="15.75" customHeight="1">
      <c r="A7753" s="2">
        <v>40015.0</v>
      </c>
      <c r="B7753" s="2" t="s">
        <v>534</v>
      </c>
      <c r="C7753" s="2" t="s">
        <v>4882</v>
      </c>
      <c r="D7753" s="2" t="s">
        <v>3466</v>
      </c>
      <c r="E7753" s="2" t="s">
        <v>235</v>
      </c>
      <c r="F7753" s="2">
        <v>1.0</v>
      </c>
      <c r="G7753" s="2">
        <v>148.0</v>
      </c>
      <c r="H7753" s="3" t="str">
        <f>HYPERLINK("http://www.linkedin.com/pub/matthew-haley/0/473/105","http://www.linkedin.com/pub/matthew-haley/0/473/105")</f>
        <v>http://www.linkedin.com/pub/matthew-haley/0/473/105</v>
      </c>
      <c r="I7753" s="2" t="s">
        <v>57</v>
      </c>
      <c r="J7753" s="2" t="s">
        <v>102</v>
      </c>
      <c r="K7753" s="2" t="s">
        <v>14055</v>
      </c>
    </row>
    <row r="7754" ht="15.75" customHeight="1">
      <c r="A7754" s="2">
        <v>40019.0</v>
      </c>
      <c r="B7754" s="2" t="s">
        <v>2014</v>
      </c>
      <c r="C7754" s="2" t="s">
        <v>11752</v>
      </c>
      <c r="D7754" s="2" t="s">
        <v>517</v>
      </c>
      <c r="E7754" s="2" t="s">
        <v>136</v>
      </c>
      <c r="F7754" s="2">
        <v>3.0</v>
      </c>
      <c r="G7754" s="2">
        <v>500.0</v>
      </c>
      <c r="H7754" s="3" t="str">
        <f>HYPERLINK("http://www.linkedin.com/in/kenberger","http://www.linkedin.com/in/kenberger")</f>
        <v>http://www.linkedin.com/in/kenberger</v>
      </c>
      <c r="I7754" s="2" t="s">
        <v>69</v>
      </c>
      <c r="J7754" s="2" t="s">
        <v>102</v>
      </c>
      <c r="K7754" s="2" t="s">
        <v>14197</v>
      </c>
    </row>
    <row r="7755" ht="15.75" customHeight="1">
      <c r="A7755" s="2">
        <v>40063.0</v>
      </c>
      <c r="B7755" s="2" t="s">
        <v>14426</v>
      </c>
      <c r="C7755" s="2" t="s">
        <v>1247</v>
      </c>
      <c r="D7755" s="2" t="s">
        <v>47</v>
      </c>
      <c r="E7755" s="2" t="s">
        <v>1209</v>
      </c>
      <c r="F7755" s="2">
        <v>24.0</v>
      </c>
      <c r="G7755" s="2">
        <v>392.0</v>
      </c>
      <c r="H7755" s="3" t="str">
        <f>HYPERLINK("http://www.linkedin.com/in/salemkhan","http://www.linkedin.com/in/salemkhan")</f>
        <v>http://www.linkedin.com/in/salemkhan</v>
      </c>
      <c r="I7755" s="2" t="s">
        <v>69</v>
      </c>
      <c r="J7755" s="2" t="s">
        <v>102</v>
      </c>
      <c r="K7755" s="2" t="s">
        <v>14073</v>
      </c>
    </row>
    <row r="7756" ht="15.75" customHeight="1">
      <c r="A7756" s="2">
        <v>40077.0</v>
      </c>
      <c r="B7756" s="2" t="s">
        <v>133</v>
      </c>
      <c r="C7756" s="2" t="s">
        <v>3869</v>
      </c>
      <c r="D7756" s="2" t="s">
        <v>517</v>
      </c>
      <c r="E7756" s="2" t="s">
        <v>136</v>
      </c>
      <c r="F7756" s="2">
        <v>2.0</v>
      </c>
      <c r="G7756" s="2">
        <v>500.0</v>
      </c>
      <c r="H7756" s="3" t="str">
        <f>HYPERLINK("http://www.linkedin.com/in/michaelwilliams0997","http://www.linkedin.com/in/michaelwilliams0997")</f>
        <v>http://www.linkedin.com/in/michaelwilliams0997</v>
      </c>
      <c r="I7756" s="2" t="s">
        <v>48</v>
      </c>
      <c r="J7756" s="2" t="s">
        <v>102</v>
      </c>
      <c r="K7756" s="2" t="s">
        <v>14052</v>
      </c>
    </row>
    <row r="7757" ht="15.75" customHeight="1">
      <c r="A7757" s="2">
        <v>40099.0</v>
      </c>
      <c r="B7757" s="2" t="s">
        <v>11095</v>
      </c>
      <c r="C7757" s="2" t="s">
        <v>4446</v>
      </c>
      <c r="D7757" s="2" t="s">
        <v>13</v>
      </c>
      <c r="E7757" s="2" t="s">
        <v>136</v>
      </c>
      <c r="F7757" s="2">
        <v>0.0</v>
      </c>
      <c r="G7757" s="2">
        <v>500.0</v>
      </c>
      <c r="H7757" s="3" t="str">
        <f>HYPERLINK("http://www.linkedin.com/pub/chet-kapoor/4/891/58B","http://www.linkedin.com/pub/chet-kapoor/4/891/58B")</f>
        <v>http://www.linkedin.com/pub/chet-kapoor/4/891/58B</v>
      </c>
      <c r="I7757" s="2" t="s">
        <v>48</v>
      </c>
      <c r="J7757" s="2" t="s">
        <v>102</v>
      </c>
      <c r="K7757" s="2" t="s">
        <v>14080</v>
      </c>
    </row>
    <row r="7758" ht="15.75" customHeight="1">
      <c r="A7758" s="2">
        <v>40101.0</v>
      </c>
      <c r="B7758" s="2" t="s">
        <v>788</v>
      </c>
      <c r="C7758" s="2" t="s">
        <v>14427</v>
      </c>
      <c r="D7758" s="2" t="s">
        <v>13</v>
      </c>
      <c r="E7758" s="2" t="s">
        <v>136</v>
      </c>
      <c r="F7758" s="2">
        <v>0.0</v>
      </c>
      <c r="G7758" s="2">
        <v>500.0</v>
      </c>
      <c r="H7758" s="3" t="str">
        <f>HYPERLINK("http://www.linkedin.com/in/sramji/","http://www.linkedin.com/in/sramji/")</f>
        <v>http://www.linkedin.com/in/sramji/</v>
      </c>
      <c r="I7758" s="2" t="s">
        <v>48</v>
      </c>
      <c r="J7758" s="2" t="s">
        <v>102</v>
      </c>
      <c r="K7758" s="2" t="s">
        <v>14052</v>
      </c>
    </row>
    <row r="7759" ht="15.75" customHeight="1">
      <c r="A7759" s="2">
        <v>40122.0</v>
      </c>
      <c r="B7759" s="2" t="s">
        <v>14428</v>
      </c>
      <c r="C7759" s="2" t="s">
        <v>778</v>
      </c>
      <c r="D7759" s="2" t="s">
        <v>14429</v>
      </c>
      <c r="E7759" s="2" t="s">
        <v>301</v>
      </c>
      <c r="F7759" s="2">
        <v>3.0</v>
      </c>
      <c r="G7759" s="2">
        <v>219.0</v>
      </c>
      <c r="H7759" s="3" t="str">
        <f>HYPERLINK("http://www.linkedin.com/in/dsinha","http://www.linkedin.com/in/dsinha")</f>
        <v>http://www.linkedin.com/in/dsinha</v>
      </c>
      <c r="I7759" s="2" t="s">
        <v>279</v>
      </c>
      <c r="J7759" s="2" t="s">
        <v>102</v>
      </c>
      <c r="K7759" s="2" t="s">
        <v>14055</v>
      </c>
    </row>
    <row r="7760" ht="15.75" customHeight="1">
      <c r="A7760" s="2">
        <v>40146.0</v>
      </c>
      <c r="B7760" s="2" t="s">
        <v>14430</v>
      </c>
      <c r="C7760" s="2" t="s">
        <v>14431</v>
      </c>
      <c r="D7760" s="2" t="s">
        <v>14432</v>
      </c>
      <c r="E7760" s="2" t="s">
        <v>101</v>
      </c>
      <c r="F7760" s="2">
        <v>0.0</v>
      </c>
      <c r="G7760" s="2">
        <v>339.0</v>
      </c>
      <c r="H7760" s="3" t="str">
        <f>HYPERLINK("http://www.linkedin.com/in/sajays","http://www.linkedin.com/in/sajays")</f>
        <v>http://www.linkedin.com/in/sajays</v>
      </c>
      <c r="I7760" s="2" t="s">
        <v>15</v>
      </c>
      <c r="J7760" s="2" t="s">
        <v>102</v>
      </c>
      <c r="K7760" s="2" t="s">
        <v>14092</v>
      </c>
    </row>
    <row r="7761" ht="15.75" customHeight="1">
      <c r="A7761" s="2">
        <v>40235.0</v>
      </c>
      <c r="B7761" s="2" t="s">
        <v>5808</v>
      </c>
      <c r="C7761" s="2" t="s">
        <v>14433</v>
      </c>
      <c r="D7761" s="2" t="s">
        <v>3614</v>
      </c>
      <c r="E7761" s="2" t="s">
        <v>1190</v>
      </c>
      <c r="F7761" s="2">
        <v>5.0</v>
      </c>
      <c r="G7761" s="2">
        <v>500.0</v>
      </c>
      <c r="H7761" s="3" t="str">
        <f>HYPERLINK("http://www.linkedin.com/in/matiasdetezanos","http://www.linkedin.com/in/matiasdetezanos")</f>
        <v>http://www.linkedin.com/in/matiasdetezanos</v>
      </c>
      <c r="I7761" s="2" t="s">
        <v>69</v>
      </c>
      <c r="J7761" s="2" t="s">
        <v>102</v>
      </c>
      <c r="K7761" s="2" t="s">
        <v>14073</v>
      </c>
    </row>
    <row r="7762" ht="15.75" customHeight="1">
      <c r="A7762" s="2">
        <v>40319.0</v>
      </c>
      <c r="B7762" s="2" t="s">
        <v>492</v>
      </c>
      <c r="C7762" s="2" t="s">
        <v>9841</v>
      </c>
      <c r="D7762" s="2" t="s">
        <v>14434</v>
      </c>
      <c r="E7762" s="2" t="s">
        <v>1190</v>
      </c>
      <c r="F7762" s="2">
        <v>26.0</v>
      </c>
      <c r="G7762" s="2">
        <v>500.0</v>
      </c>
      <c r="H7762" s="3" t="str">
        <f>HYPERLINK("http://www.linkedin.com/in/xensei","http://www.linkedin.com/in/xensei")</f>
        <v>http://www.linkedin.com/in/xensei</v>
      </c>
      <c r="I7762" s="2" t="s">
        <v>105</v>
      </c>
      <c r="J7762" s="2" t="s">
        <v>102</v>
      </c>
      <c r="K7762" s="2" t="s">
        <v>14074</v>
      </c>
    </row>
    <row r="7763" ht="15.75" customHeight="1">
      <c r="A7763" s="2">
        <v>40369.0</v>
      </c>
      <c r="B7763" s="2" t="s">
        <v>14435</v>
      </c>
      <c r="C7763" s="2" t="s">
        <v>14436</v>
      </c>
      <c r="D7763" s="2" t="s">
        <v>959</v>
      </c>
      <c r="E7763" s="2" t="s">
        <v>4479</v>
      </c>
      <c r="F7763" s="2">
        <v>17.0</v>
      </c>
      <c r="G7763" s="2">
        <v>500.0</v>
      </c>
      <c r="H7763" s="3" t="str">
        <f>HYPERLINK("http://www.linkedin.com/in/howell","http://www.linkedin.com/in/howell")</f>
        <v>http://www.linkedin.com/in/howell</v>
      </c>
      <c r="I7763" s="2" t="s">
        <v>1788</v>
      </c>
      <c r="J7763" s="2" t="s">
        <v>102</v>
      </c>
      <c r="K7763" s="2" t="s">
        <v>14074</v>
      </c>
    </row>
    <row r="7764" ht="15.75" customHeight="1">
      <c r="A7764" s="2">
        <v>40451.0</v>
      </c>
      <c r="B7764" s="2" t="s">
        <v>5794</v>
      </c>
      <c r="C7764" s="2" t="s">
        <v>14437</v>
      </c>
      <c r="D7764" s="2" t="s">
        <v>47</v>
      </c>
      <c r="E7764" s="2" t="s">
        <v>255</v>
      </c>
      <c r="F7764" s="2">
        <v>13.0</v>
      </c>
      <c r="G7764" s="2">
        <v>500.0</v>
      </c>
      <c r="H7764" s="3" t="str">
        <f>HYPERLINK("http://www.linkedin.com/in/smoschini","http://www.linkedin.com/in/smoschini")</f>
        <v>http://www.linkedin.com/in/smoschini</v>
      </c>
      <c r="I7764" s="2" t="s">
        <v>69</v>
      </c>
      <c r="J7764" s="2" t="s">
        <v>102</v>
      </c>
      <c r="K7764" s="2" t="s">
        <v>14071</v>
      </c>
    </row>
    <row r="7765" ht="15.75" customHeight="1">
      <c r="A7765" s="2">
        <v>40615.0</v>
      </c>
      <c r="B7765" s="2" t="s">
        <v>5723</v>
      </c>
      <c r="C7765" s="2" t="s">
        <v>14438</v>
      </c>
      <c r="D7765" s="2" t="s">
        <v>14439</v>
      </c>
      <c r="E7765" s="2" t="s">
        <v>101</v>
      </c>
      <c r="F7765" s="2">
        <v>2.0</v>
      </c>
      <c r="G7765" s="2">
        <v>500.0</v>
      </c>
      <c r="H7765" s="3" t="str">
        <f>HYPERLINK("http://www.linkedin.com/in/pablozuccarino","http://www.linkedin.com/in/pablozuccarino")</f>
        <v>http://www.linkedin.com/in/pablozuccarino</v>
      </c>
      <c r="I7765" s="2" t="s">
        <v>195</v>
      </c>
      <c r="J7765" s="2" t="s">
        <v>102</v>
      </c>
      <c r="K7765" s="2" t="s">
        <v>14121</v>
      </c>
    </row>
    <row r="7766" ht="15.75" customHeight="1">
      <c r="A7766" s="2">
        <v>40630.0</v>
      </c>
      <c r="B7766" s="2" t="s">
        <v>14440</v>
      </c>
      <c r="C7766" s="2" t="s">
        <v>206</v>
      </c>
      <c r="D7766" s="2" t="s">
        <v>14441</v>
      </c>
      <c r="E7766" s="2" t="s">
        <v>20</v>
      </c>
      <c r="F7766" s="2">
        <v>2.0</v>
      </c>
      <c r="G7766" s="2">
        <v>69.0</v>
      </c>
      <c r="H7766" s="3" t="str">
        <f>HYPERLINK("http://ar.linkedin.com/pub/matias-ezequiel-garcia/22/892/93A","http://ar.linkedin.com/pub/matias-ezequiel-garcia/22/892/93A")</f>
        <v>http://ar.linkedin.com/pub/matias-ezequiel-garcia/22/892/93A</v>
      </c>
      <c r="I7766" s="2" t="s">
        <v>15</v>
      </c>
      <c r="J7766" s="2" t="s">
        <v>21</v>
      </c>
      <c r="K7766" s="2" t="s">
        <v>14055</v>
      </c>
    </row>
    <row r="7767" ht="15.75" customHeight="1">
      <c r="A7767" s="2">
        <v>40880.0</v>
      </c>
      <c r="B7767" s="2" t="s">
        <v>59</v>
      </c>
      <c r="C7767" s="2" t="s">
        <v>14442</v>
      </c>
      <c r="D7767" s="2" t="s">
        <v>47</v>
      </c>
      <c r="E7767" s="2" t="s">
        <v>20</v>
      </c>
      <c r="F7767" s="2" t="s">
        <v>13</v>
      </c>
      <c r="G7767" s="2">
        <v>500.0</v>
      </c>
      <c r="H7767" s="3" t="str">
        <f>HYPERLINK("http://ar.linkedin.com/in/varta","http://ar.linkedin.com/in/varta")</f>
        <v>http://ar.linkedin.com/in/varta</v>
      </c>
      <c r="I7767" s="2" t="s">
        <v>48</v>
      </c>
      <c r="J7767" s="2" t="s">
        <v>21</v>
      </c>
      <c r="K7767" s="2" t="s">
        <v>14057</v>
      </c>
    </row>
    <row r="7768" ht="15.75" customHeight="1">
      <c r="A7768" s="2">
        <v>41083.0</v>
      </c>
      <c r="B7768" s="2" t="s">
        <v>1246</v>
      </c>
      <c r="C7768" s="2" t="s">
        <v>14443</v>
      </c>
      <c r="D7768" s="2" t="s">
        <v>751</v>
      </c>
      <c r="E7768" s="2" t="s">
        <v>1407</v>
      </c>
      <c r="F7768" s="2">
        <v>4.0</v>
      </c>
      <c r="G7768" s="2">
        <v>500.0</v>
      </c>
      <c r="H7768" s="3" t="str">
        <f>HYPERLINK("http://www.linkedin.com/in/bbhatti","http://www.linkedin.com/in/bbhatti")</f>
        <v>http://www.linkedin.com/in/bbhatti</v>
      </c>
      <c r="I7768" s="2" t="s">
        <v>15</v>
      </c>
      <c r="J7768" s="2" t="s">
        <v>102</v>
      </c>
      <c r="K7768" s="2" t="s">
        <v>14080</v>
      </c>
    </row>
    <row r="7769" ht="15.75" customHeight="1">
      <c r="A7769" s="2">
        <v>41086.0</v>
      </c>
      <c r="B7769" s="2" t="s">
        <v>14444</v>
      </c>
      <c r="C7769" s="2" t="s">
        <v>1004</v>
      </c>
      <c r="D7769" s="2" t="s">
        <v>14445</v>
      </c>
      <c r="E7769" s="2" t="s">
        <v>1407</v>
      </c>
      <c r="F7769" s="2">
        <v>36.0</v>
      </c>
      <c r="G7769" s="2">
        <v>500.0</v>
      </c>
      <c r="H7769" s="3" t="str">
        <f>HYPERLINK("http://www.linkedin.com/in/helaniescott","http://www.linkedin.com/in/helaniescott")</f>
        <v>http://www.linkedin.com/in/helaniescott</v>
      </c>
      <c r="I7769" s="2" t="s">
        <v>1390</v>
      </c>
      <c r="J7769" s="2" t="s">
        <v>102</v>
      </c>
      <c r="K7769" s="2" t="s">
        <v>14055</v>
      </c>
    </row>
    <row r="7770" ht="15.75" customHeight="1">
      <c r="A7770" s="2">
        <v>41258.0</v>
      </c>
      <c r="B7770" s="2" t="s">
        <v>3497</v>
      </c>
      <c r="C7770" s="2" t="s">
        <v>2688</v>
      </c>
      <c r="D7770" s="2" t="s">
        <v>14446</v>
      </c>
      <c r="E7770" s="2" t="s">
        <v>1329</v>
      </c>
      <c r="F7770" s="2">
        <v>16.0</v>
      </c>
      <c r="G7770" s="2">
        <v>500.0</v>
      </c>
      <c r="H7770" s="3" t="str">
        <f>HYPERLINK("http://in.linkedin.com/in/rathidasgupta","http://in.linkedin.com/in/rathidasgupta")</f>
        <v>http://in.linkedin.com/in/rathidasgupta</v>
      </c>
      <c r="I7770" s="2" t="s">
        <v>15</v>
      </c>
      <c r="J7770" s="2" t="s">
        <v>102</v>
      </c>
      <c r="K7770" s="2" t="s">
        <v>14088</v>
      </c>
    </row>
    <row r="7771" ht="15.75" customHeight="1">
      <c r="A7771" s="2">
        <v>41307.0</v>
      </c>
      <c r="B7771" s="2" t="s">
        <v>9158</v>
      </c>
      <c r="C7771" s="2" t="s">
        <v>14447</v>
      </c>
      <c r="D7771" s="2" t="s">
        <v>14448</v>
      </c>
      <c r="E7771" s="2" t="s">
        <v>1190</v>
      </c>
      <c r="F7771" s="2">
        <v>30.0</v>
      </c>
      <c r="G7771" s="2">
        <v>500.0</v>
      </c>
      <c r="H7771" s="3" t="str">
        <f>HYPERLINK("http://www.linkedin.com/in/lionelcarrasco","http://www.linkedin.com/in/lionelcarrasco")</f>
        <v>http://www.linkedin.com/in/lionelcarrasco</v>
      </c>
      <c r="I7771" s="2" t="s">
        <v>48</v>
      </c>
      <c r="J7771" s="2" t="s">
        <v>102</v>
      </c>
      <c r="K7771" s="2" t="s">
        <v>14080</v>
      </c>
    </row>
    <row r="7772" ht="15.75" customHeight="1">
      <c r="A7772" s="2">
        <v>41326.0</v>
      </c>
      <c r="B7772" s="2" t="s">
        <v>14449</v>
      </c>
      <c r="C7772" s="2" t="s">
        <v>14450</v>
      </c>
      <c r="D7772" s="2" t="s">
        <v>14451</v>
      </c>
      <c r="E7772" s="2" t="s">
        <v>1190</v>
      </c>
      <c r="F7772" s="2">
        <v>13.0</v>
      </c>
      <c r="G7772" s="2">
        <v>500.0</v>
      </c>
      <c r="H7772" s="3" t="str">
        <f>HYPERLINK("http://www.linkedin.com/pub/luca-massasso/1/169/897","http://www.linkedin.com/pub/luca-massasso/1/169/897")</f>
        <v>http://www.linkedin.com/pub/luca-massasso/1/169/897</v>
      </c>
      <c r="I7772" s="2" t="s">
        <v>48</v>
      </c>
      <c r="J7772" s="2" t="s">
        <v>102</v>
      </c>
      <c r="K7772" s="2" t="s">
        <v>14452</v>
      </c>
    </row>
    <row r="7773" ht="15.75" customHeight="1">
      <c r="A7773" s="2">
        <v>41878.0</v>
      </c>
      <c r="B7773" s="2" t="s">
        <v>70</v>
      </c>
      <c r="C7773" s="2" t="s">
        <v>14453</v>
      </c>
      <c r="D7773" s="2" t="s">
        <v>13</v>
      </c>
      <c r="E7773" s="2" t="s">
        <v>20</v>
      </c>
      <c r="F7773" s="2">
        <v>0.0</v>
      </c>
      <c r="G7773" s="2">
        <v>500.0</v>
      </c>
      <c r="H7773" s="3" t="str">
        <f>HYPERLINK("http://www.linkedin.com/pub/gustavo-sarnari/29/654/392","http://www.linkedin.com/pub/gustavo-sarnari/29/654/392")</f>
        <v>http://www.linkedin.com/pub/gustavo-sarnari/29/654/392</v>
      </c>
      <c r="I7773" s="2" t="s">
        <v>57</v>
      </c>
      <c r="J7773" s="2" t="s">
        <v>21</v>
      </c>
      <c r="K7773" s="2" t="s">
        <v>14105</v>
      </c>
    </row>
    <row r="7774" ht="15.75" customHeight="1">
      <c r="A7774" s="2">
        <v>42001.0</v>
      </c>
      <c r="B7774" s="2" t="s">
        <v>534</v>
      </c>
      <c r="C7774" s="2" t="s">
        <v>14454</v>
      </c>
      <c r="D7774" s="2" t="s">
        <v>13</v>
      </c>
      <c r="E7774" s="2" t="s">
        <v>14047</v>
      </c>
      <c r="F7774" s="2">
        <v>0.0</v>
      </c>
      <c r="G7774" s="2">
        <v>500.0</v>
      </c>
      <c r="H7774" s="3" t="str">
        <f>HYPERLINK("http://www.linkedin.com/in/mattgharegozlou","http://www.linkedin.com/in/mattgharegozlou")</f>
        <v>http://www.linkedin.com/in/mattgharegozlou</v>
      </c>
      <c r="I7774" s="2" t="s">
        <v>15</v>
      </c>
      <c r="J7774" s="2" t="s">
        <v>102</v>
      </c>
      <c r="K7774" s="2" t="s">
        <v>14052</v>
      </c>
    </row>
    <row r="7775" ht="15.75" customHeight="1">
      <c r="A7775" s="2">
        <v>42151.0</v>
      </c>
      <c r="B7775" s="2" t="s">
        <v>329</v>
      </c>
      <c r="C7775" s="2" t="s">
        <v>14455</v>
      </c>
      <c r="D7775" s="2" t="s">
        <v>517</v>
      </c>
      <c r="E7775" s="2" t="s">
        <v>20</v>
      </c>
      <c r="F7775" s="2">
        <v>11.0</v>
      </c>
      <c r="G7775" s="2">
        <v>500.0</v>
      </c>
      <c r="H7775" s="3" t="str">
        <f>HYPERLINK("http://www.linkedin.com/in/jpvillani","http://www.linkedin.com/in/jpvillani")</f>
        <v>http://www.linkedin.com/in/jpvillani</v>
      </c>
      <c r="I7775" s="2" t="s">
        <v>69</v>
      </c>
      <c r="J7775" s="2" t="s">
        <v>21</v>
      </c>
      <c r="K7775" s="2" t="s">
        <v>14082</v>
      </c>
    </row>
    <row r="7776" ht="15.75" customHeight="1">
      <c r="A7776" s="2">
        <v>43051.0</v>
      </c>
      <c r="B7776" s="2" t="s">
        <v>1076</v>
      </c>
      <c r="C7776" s="2" t="s">
        <v>13600</v>
      </c>
      <c r="D7776" s="2" t="s">
        <v>400</v>
      </c>
      <c r="E7776" s="2" t="s">
        <v>989</v>
      </c>
      <c r="F7776" s="2">
        <v>39.0</v>
      </c>
      <c r="G7776" s="2">
        <v>500.0</v>
      </c>
      <c r="H7776" s="3" t="str">
        <f>HYPERLINK("http://www.linkedin.com/in/jennifermcclure","http://www.linkedin.com/in/jennifermcclure")</f>
        <v>http://www.linkedin.com/in/jennifermcclure</v>
      </c>
      <c r="I7776" s="2" t="s">
        <v>57</v>
      </c>
      <c r="J7776" s="2" t="s">
        <v>102</v>
      </c>
      <c r="K7776" s="2" t="s">
        <v>14055</v>
      </c>
    </row>
    <row r="7777" ht="15.75" customHeight="1">
      <c r="A7777" s="2">
        <v>43141.0</v>
      </c>
      <c r="B7777" s="2" t="s">
        <v>414</v>
      </c>
      <c r="C7777" s="2" t="s">
        <v>14456</v>
      </c>
      <c r="D7777" s="2" t="s">
        <v>14457</v>
      </c>
      <c r="E7777" s="2" t="s">
        <v>7035</v>
      </c>
      <c r="F7777" s="2">
        <v>6.0</v>
      </c>
      <c r="G7777" s="2">
        <v>500.0</v>
      </c>
      <c r="H7777" s="3" t="str">
        <f>HYPERLINK("https://www.linkedin.com/in/tomluketich","https://www.linkedin.com/in/tomluketich")</f>
        <v>https://www.linkedin.com/in/tomluketich</v>
      </c>
      <c r="I7777" s="2" t="s">
        <v>15</v>
      </c>
      <c r="J7777" s="2" t="s">
        <v>102</v>
      </c>
      <c r="K7777" s="2" t="s">
        <v>14071</v>
      </c>
    </row>
    <row r="7778" ht="15.75" customHeight="1">
      <c r="A7778" s="2">
        <v>43144.0</v>
      </c>
      <c r="B7778" s="2" t="s">
        <v>2567</v>
      </c>
      <c r="C7778" s="2" t="s">
        <v>14458</v>
      </c>
      <c r="D7778" s="2" t="s">
        <v>14459</v>
      </c>
      <c r="E7778" s="2" t="s">
        <v>255</v>
      </c>
      <c r="F7778" s="2" t="s">
        <v>13</v>
      </c>
      <c r="G7778" s="2">
        <v>315.0</v>
      </c>
      <c r="H7778" s="3" t="str">
        <f>HYPERLINK("http://www.linkedin.com/pub/chris-ivory/1/227/B71","http://www.linkedin.com/pub/chris-ivory/1/227/B71")</f>
        <v>http://www.linkedin.com/pub/chris-ivory/1/227/B71</v>
      </c>
      <c r="I7778" s="2" t="s">
        <v>77</v>
      </c>
      <c r="J7778" s="2" t="s">
        <v>102</v>
      </c>
      <c r="K7778" s="2" t="s">
        <v>14460</v>
      </c>
    </row>
    <row r="7779" ht="15.75" customHeight="1">
      <c r="A7779" s="2">
        <v>43769.0</v>
      </c>
      <c r="B7779" s="2" t="s">
        <v>133</v>
      </c>
      <c r="C7779" s="2" t="s">
        <v>14461</v>
      </c>
      <c r="D7779" s="2" t="s">
        <v>13</v>
      </c>
      <c r="E7779" s="2" t="s">
        <v>1317</v>
      </c>
      <c r="F7779" s="2">
        <v>0.0</v>
      </c>
      <c r="G7779" s="2">
        <v>500.0</v>
      </c>
      <c r="H7779" s="3" t="str">
        <f>HYPERLINK("http://www.linkedin.com/pub/michael-dell/8/601/4b0?trk=pub-pbmap","http://www.linkedin.com/pub/michael-dell/8/601/4b0?trk=pub-pbmap")</f>
        <v>http://www.linkedin.com/pub/michael-dell/8/601/4b0?trk=pub-pbmap</v>
      </c>
      <c r="I7779" s="2" t="s">
        <v>15</v>
      </c>
      <c r="J7779" s="2" t="s">
        <v>102</v>
      </c>
      <c r="K7779" s="2" t="s">
        <v>14073</v>
      </c>
    </row>
    <row r="7780" ht="15.75" customHeight="1">
      <c r="A7780" s="2">
        <v>46238.0</v>
      </c>
      <c r="B7780" s="2" t="s">
        <v>511</v>
      </c>
      <c r="C7780" s="2" t="s">
        <v>14462</v>
      </c>
      <c r="D7780" s="2" t="s">
        <v>14463</v>
      </c>
      <c r="E7780" s="2" t="s">
        <v>14464</v>
      </c>
      <c r="F7780" s="2">
        <v>57.0</v>
      </c>
      <c r="G7780" s="2">
        <v>500.0</v>
      </c>
      <c r="H7780" s="3" t="str">
        <f>HYPERLINK("http://www.linkedin.com/in/magolnick","http://www.linkedin.com/in/magolnick")</f>
        <v>http://www.linkedin.com/in/magolnick</v>
      </c>
      <c r="I7780" s="2" t="s">
        <v>105</v>
      </c>
      <c r="J7780" s="2" t="s">
        <v>102</v>
      </c>
      <c r="K7780" s="2" t="s">
        <v>14074</v>
      </c>
    </row>
    <row r="7781" ht="15.75" customHeight="1">
      <c r="A7781" s="2">
        <v>46467.0</v>
      </c>
      <c r="B7781" s="2" t="s">
        <v>358</v>
      </c>
      <c r="C7781" s="2" t="s">
        <v>14465</v>
      </c>
      <c r="D7781" s="2" t="s">
        <v>14466</v>
      </c>
      <c r="E7781" s="2" t="s">
        <v>1190</v>
      </c>
      <c r="F7781" s="2">
        <v>4.0</v>
      </c>
      <c r="G7781" s="2">
        <v>500.0</v>
      </c>
      <c r="H7781" s="3" t="str">
        <f>HYPERLINK("http://www.linkedin.com/pub/marcelo-fumasoni/6/866/7B0","http://www.linkedin.com/pub/marcelo-fumasoni/6/866/7B0")</f>
        <v>http://www.linkedin.com/pub/marcelo-fumasoni/6/866/7B0</v>
      </c>
      <c r="I7781" s="2" t="s">
        <v>374</v>
      </c>
      <c r="J7781" s="2" t="s">
        <v>102</v>
      </c>
      <c r="K7781" s="2" t="s">
        <v>14092</v>
      </c>
    </row>
    <row r="7782" ht="15.75" customHeight="1">
      <c r="A7782" s="2">
        <v>46954.0</v>
      </c>
      <c r="B7782" s="2" t="s">
        <v>14467</v>
      </c>
      <c r="C7782" s="2" t="s">
        <v>14468</v>
      </c>
      <c r="D7782" s="2" t="s">
        <v>14469</v>
      </c>
      <c r="E7782" s="2" t="s">
        <v>1190</v>
      </c>
      <c r="F7782" s="2">
        <v>10.0</v>
      </c>
      <c r="G7782" s="2">
        <v>500.0</v>
      </c>
      <c r="H7782" s="3" t="str">
        <f>HYPERLINK("http://www.linkedin.com/pub/ari-lisjak/3/B35/367","http://www.linkedin.com/pub/ari-lisjak/3/B35/367")</f>
        <v>http://www.linkedin.com/pub/ari-lisjak/3/B35/367</v>
      </c>
      <c r="I7782" s="2" t="s">
        <v>105</v>
      </c>
      <c r="J7782" s="2" t="s">
        <v>102</v>
      </c>
      <c r="K7782" s="2" t="s">
        <v>14092</v>
      </c>
    </row>
    <row r="7783" ht="15.75" customHeight="1">
      <c r="A7783" s="2">
        <v>46982.0</v>
      </c>
      <c r="B7783" s="2" t="s">
        <v>14470</v>
      </c>
      <c r="C7783" s="2" t="s">
        <v>14471</v>
      </c>
      <c r="D7783" s="2" t="s">
        <v>47</v>
      </c>
      <c r="E7783" s="2" t="s">
        <v>4951</v>
      </c>
      <c r="F7783" s="2">
        <v>2.0</v>
      </c>
      <c r="G7783" s="2">
        <v>500.0</v>
      </c>
      <c r="H7783" s="3" t="str">
        <f>HYPERLINK("http://www.linkedin.com/in/thomasmcclendon","http://www.linkedin.com/in/thomasmcclendon")</f>
        <v>http://www.linkedin.com/in/thomasmcclendon</v>
      </c>
      <c r="I7783" s="2" t="s">
        <v>15</v>
      </c>
      <c r="J7783" s="2" t="s">
        <v>102</v>
      </c>
      <c r="K7783" s="2" t="s">
        <v>14080</v>
      </c>
    </row>
    <row r="7784" ht="15.75" customHeight="1">
      <c r="A7784" s="2">
        <v>47096.0</v>
      </c>
      <c r="B7784" s="2" t="s">
        <v>14472</v>
      </c>
      <c r="C7784" s="2" t="s">
        <v>14473</v>
      </c>
      <c r="D7784" s="2" t="s">
        <v>14474</v>
      </c>
      <c r="E7784" s="2" t="s">
        <v>1190</v>
      </c>
      <c r="F7784" s="2">
        <v>0.0</v>
      </c>
      <c r="G7784" s="2">
        <v>500.0</v>
      </c>
      <c r="H7784" s="3" t="str">
        <f>HYPERLINK("http://www.linkedin.com/pub/octavio-cadena/29/525/26A","http://www.linkedin.com/pub/octavio-cadena/29/525/26A")</f>
        <v>http://www.linkedin.com/pub/octavio-cadena/29/525/26A</v>
      </c>
      <c r="I7784" s="2" t="s">
        <v>77</v>
      </c>
      <c r="J7784" s="2" t="s">
        <v>102</v>
      </c>
      <c r="K7784" s="2" t="s">
        <v>14211</v>
      </c>
    </row>
    <row r="7785" ht="15.75" customHeight="1">
      <c r="A7785" s="2">
        <v>47496.0</v>
      </c>
      <c r="B7785" s="2" t="s">
        <v>14475</v>
      </c>
      <c r="C7785" s="2" t="s">
        <v>14476</v>
      </c>
      <c r="D7785" s="2" t="s">
        <v>400</v>
      </c>
      <c r="E7785" s="2" t="s">
        <v>971</v>
      </c>
      <c r="F7785" s="2">
        <v>35.0</v>
      </c>
      <c r="G7785" s="2">
        <v>500.0</v>
      </c>
      <c r="H7785" s="3" t="str">
        <f>HYPERLINK("http://www.linkedin.com/in/marcellobaquero","http://www.linkedin.com/in/marcellobaquero")</f>
        <v>http://www.linkedin.com/in/marcellobaquero</v>
      </c>
      <c r="I7785" s="2" t="s">
        <v>77</v>
      </c>
      <c r="J7785" s="2" t="s">
        <v>102</v>
      </c>
      <c r="K7785" s="2" t="s">
        <v>14074</v>
      </c>
    </row>
    <row r="7786" ht="15.75" customHeight="1">
      <c r="A7786" s="2">
        <v>47525.0</v>
      </c>
      <c r="B7786" s="2" t="s">
        <v>238</v>
      </c>
      <c r="C7786" s="2" t="s">
        <v>14477</v>
      </c>
      <c r="D7786" s="2" t="s">
        <v>108</v>
      </c>
      <c r="E7786" s="2" t="s">
        <v>20</v>
      </c>
      <c r="F7786" s="2">
        <v>0.0</v>
      </c>
      <c r="G7786" s="2">
        <v>371.0</v>
      </c>
      <c r="H7786" s="3" t="str">
        <f>HYPERLINK("http://ar.linkedin.com/pub/juan-pablo-centurion/3/378/889","http://ar.linkedin.com/pub/juan-pablo-centurion/3/378/889")</f>
        <v>http://ar.linkedin.com/pub/juan-pablo-centurion/3/378/889</v>
      </c>
      <c r="I7786" s="2" t="s">
        <v>2081</v>
      </c>
      <c r="J7786" s="2" t="s">
        <v>21</v>
      </c>
      <c r="K7786" s="2" t="s">
        <v>14055</v>
      </c>
    </row>
    <row r="7787" ht="15.75" customHeight="1">
      <c r="A7787" s="2">
        <v>47595.0</v>
      </c>
      <c r="B7787" s="2" t="s">
        <v>1173</v>
      </c>
      <c r="C7787" s="2" t="s">
        <v>14478</v>
      </c>
      <c r="D7787" s="2" t="s">
        <v>14479</v>
      </c>
      <c r="E7787" s="2" t="s">
        <v>407</v>
      </c>
      <c r="F7787" s="2">
        <v>0.0</v>
      </c>
      <c r="G7787" s="2">
        <v>189.0</v>
      </c>
      <c r="H7787" s="3" t="str">
        <f>HYPERLINK("http://www.linkedin.com/in/stevemcintoshfl","http://www.linkedin.com/in/stevemcintoshfl")</f>
        <v>http://www.linkedin.com/in/stevemcintoshfl</v>
      </c>
      <c r="I7787" s="2" t="s">
        <v>77</v>
      </c>
      <c r="J7787" s="2" t="s">
        <v>102</v>
      </c>
      <c r="K7787" s="2" t="s">
        <v>14125</v>
      </c>
    </row>
    <row r="7788" ht="15.75" customHeight="1">
      <c r="A7788" s="2">
        <v>47606.0</v>
      </c>
      <c r="B7788" s="2" t="s">
        <v>784</v>
      </c>
      <c r="C7788" s="2" t="s">
        <v>3028</v>
      </c>
      <c r="D7788" s="2"/>
      <c r="E7788" s="2" t="s">
        <v>136</v>
      </c>
      <c r="F7788" s="2">
        <v>14.0</v>
      </c>
      <c r="G7788" s="2">
        <v>500.0</v>
      </c>
      <c r="H7788" s="3" t="str">
        <f>HYPERLINK("http://www.linkedin.com/in/jeffwallace913","http://www.linkedin.com/in/jeffwallace913")</f>
        <v>http://www.linkedin.com/in/jeffwallace913</v>
      </c>
      <c r="I7788" s="2" t="s">
        <v>15</v>
      </c>
      <c r="J7788" s="2" t="s">
        <v>102</v>
      </c>
      <c r="K7788" s="2" t="s">
        <v>14092</v>
      </c>
    </row>
    <row r="7789" ht="15.75" customHeight="1">
      <c r="A7789" s="2">
        <v>47647.0</v>
      </c>
      <c r="B7789" s="2" t="s">
        <v>2314</v>
      </c>
      <c r="C7789" s="2" t="s">
        <v>1131</v>
      </c>
      <c r="D7789" s="2" t="s">
        <v>13</v>
      </c>
      <c r="E7789" s="2" t="s">
        <v>14480</v>
      </c>
      <c r="F7789" s="2">
        <v>0.0</v>
      </c>
      <c r="G7789" s="2">
        <v>500.0</v>
      </c>
      <c r="H7789" s="3" t="str">
        <f>HYPERLINK("https://www.linkedin.com/in/milesjennings","https://www.linkedin.com/in/milesjennings")</f>
        <v>https://www.linkedin.com/in/milesjennings</v>
      </c>
      <c r="I7789" s="2" t="s">
        <v>69</v>
      </c>
      <c r="J7789" s="2" t="s">
        <v>102</v>
      </c>
      <c r="K7789" s="2" t="s">
        <v>14481</v>
      </c>
    </row>
    <row r="7790" ht="15.75" customHeight="1">
      <c r="A7790" s="2">
        <v>47664.0</v>
      </c>
      <c r="B7790" s="2" t="s">
        <v>784</v>
      </c>
      <c r="C7790" s="2" t="s">
        <v>14482</v>
      </c>
      <c r="D7790" s="2" t="s">
        <v>1320</v>
      </c>
      <c r="E7790" s="2" t="s">
        <v>713</v>
      </c>
      <c r="F7790" s="2">
        <v>3.0</v>
      </c>
      <c r="G7790" s="2">
        <v>500.0</v>
      </c>
      <c r="H7790" s="3" t="str">
        <f>HYPERLINK("http://www.linkedin.com/in/jbehrens","http://www.linkedin.com/in/jbehrens")</f>
        <v>http://www.linkedin.com/in/jbehrens</v>
      </c>
      <c r="I7790" s="2" t="s">
        <v>374</v>
      </c>
      <c r="J7790" s="2" t="s">
        <v>102</v>
      </c>
      <c r="K7790" s="2" t="s">
        <v>14055</v>
      </c>
    </row>
    <row r="7791" ht="15.75" customHeight="1">
      <c r="A7791" s="2">
        <v>48222.0</v>
      </c>
      <c r="B7791" s="2" t="s">
        <v>412</v>
      </c>
      <c r="C7791" s="2" t="s">
        <v>12688</v>
      </c>
      <c r="D7791" s="2" t="s">
        <v>14483</v>
      </c>
      <c r="E7791" s="2" t="s">
        <v>1190</v>
      </c>
      <c r="F7791" s="2">
        <v>5.0</v>
      </c>
      <c r="G7791" s="2">
        <v>500.0</v>
      </c>
      <c r="H7791" s="3" t="str">
        <f>HYPERLINK("http://www.linkedin.com/pub/robert-dyer/11/508/966","http://www.linkedin.com/pub/robert-dyer/11/508/966")</f>
        <v>http://www.linkedin.com/pub/robert-dyer/11/508/966</v>
      </c>
      <c r="I7791" s="2" t="s">
        <v>160</v>
      </c>
      <c r="J7791" s="2" t="s">
        <v>102</v>
      </c>
      <c r="K7791" s="2" t="s">
        <v>14102</v>
      </c>
    </row>
    <row r="7792" ht="15.75" customHeight="1">
      <c r="A7792" s="2">
        <v>48663.0</v>
      </c>
      <c r="B7792" s="2" t="s">
        <v>116</v>
      </c>
      <c r="C7792" s="2" t="s">
        <v>292</v>
      </c>
      <c r="D7792" s="2" t="s">
        <v>14484</v>
      </c>
      <c r="E7792" s="2" t="s">
        <v>1190</v>
      </c>
      <c r="F7792" s="2">
        <v>1.0</v>
      </c>
      <c r="G7792" s="2">
        <v>413.0</v>
      </c>
      <c r="H7792" s="3" t="str">
        <f>HYPERLINK("http://www.linkedin.com/in/alexinteractive","http://www.linkedin.com/in/alexinteractive")</f>
        <v>http://www.linkedin.com/in/alexinteractive</v>
      </c>
      <c r="I7792" s="2" t="s">
        <v>69</v>
      </c>
      <c r="J7792" s="2" t="s">
        <v>102</v>
      </c>
      <c r="K7792" s="2" t="s">
        <v>14080</v>
      </c>
    </row>
    <row r="7793" ht="15.75" customHeight="1">
      <c r="A7793" s="2">
        <v>48795.0</v>
      </c>
      <c r="B7793" s="2" t="s">
        <v>133</v>
      </c>
      <c r="C7793" s="2" t="s">
        <v>14485</v>
      </c>
      <c r="D7793" s="2" t="s">
        <v>3590</v>
      </c>
      <c r="E7793" s="2" t="s">
        <v>12267</v>
      </c>
      <c r="F7793" s="2">
        <v>5.0</v>
      </c>
      <c r="G7793" s="2">
        <v>500.0</v>
      </c>
      <c r="H7793" s="3" t="str">
        <f>HYPERLINK("http://www.linkedin.com/pub/michael-montonen/7/B21/A23","http://www.linkedin.com/pub/michael-montonen/7/B21/A23")</f>
        <v>http://www.linkedin.com/pub/michael-montonen/7/B21/A23</v>
      </c>
      <c r="I7793" s="2" t="s">
        <v>1237</v>
      </c>
      <c r="J7793" s="2" t="s">
        <v>102</v>
      </c>
      <c r="K7793" s="2" t="s">
        <v>14204</v>
      </c>
    </row>
    <row r="7794" ht="15.75" customHeight="1">
      <c r="A7794" s="2">
        <v>48970.0</v>
      </c>
      <c r="B7794" s="2" t="s">
        <v>227</v>
      </c>
      <c r="C7794" s="2" t="s">
        <v>14486</v>
      </c>
      <c r="D7794" s="2" t="s">
        <v>14487</v>
      </c>
      <c r="E7794" s="2" t="s">
        <v>3516</v>
      </c>
      <c r="F7794" s="2">
        <v>0.0</v>
      </c>
      <c r="G7794" s="2">
        <v>500.0</v>
      </c>
      <c r="H7794" s="3" t="str">
        <f>HYPERLINK("http://www.linkedin.com/pub/jorge-goytort%C3%BAa/5/793/A09","http://www.linkedin.com/pub/jorge-goytort%C3%BAa/5/793/A09")</f>
        <v>http://www.linkedin.com/pub/jorge-goytort%C3%BAa/5/793/A09</v>
      </c>
      <c r="I7794" s="2" t="s">
        <v>1728</v>
      </c>
      <c r="J7794" s="2" t="s">
        <v>102</v>
      </c>
      <c r="K7794" s="2" t="s">
        <v>14092</v>
      </c>
    </row>
    <row r="7795" ht="15.75" customHeight="1">
      <c r="A7795" s="2">
        <v>48975.0</v>
      </c>
      <c r="B7795" s="2" t="s">
        <v>3847</v>
      </c>
      <c r="C7795" s="2" t="s">
        <v>14488</v>
      </c>
      <c r="D7795" s="2" t="s">
        <v>47</v>
      </c>
      <c r="E7795" s="2" t="s">
        <v>2090</v>
      </c>
      <c r="F7795" s="2">
        <v>1.0</v>
      </c>
      <c r="G7795" s="2">
        <v>500.0</v>
      </c>
      <c r="H7795" s="3" t="str">
        <f>HYPERLINK("http://ca.linkedin.com/in/victorsarmiento","http://ca.linkedin.com/in/victorsarmiento")</f>
        <v>http://ca.linkedin.com/in/victorsarmiento</v>
      </c>
      <c r="I7795" s="2" t="s">
        <v>15</v>
      </c>
      <c r="J7795" s="2" t="s">
        <v>44</v>
      </c>
      <c r="K7795" s="2" t="s">
        <v>14142</v>
      </c>
    </row>
    <row r="7796" ht="15.75" customHeight="1">
      <c r="A7796" s="2">
        <v>49082.0</v>
      </c>
      <c r="B7796" s="2" t="s">
        <v>14489</v>
      </c>
      <c r="C7796" s="2" t="s">
        <v>14490</v>
      </c>
      <c r="D7796" s="2" t="s">
        <v>13</v>
      </c>
      <c r="E7796" s="2" t="s">
        <v>20</v>
      </c>
      <c r="F7796" s="2">
        <v>0.0</v>
      </c>
      <c r="G7796" s="2">
        <v>500.0</v>
      </c>
      <c r="H7796" s="3" t="str">
        <f>HYPERLINK("http://www.linkedin.com/pub/guillermo-tom%C3%A1s-chialvo/6/127/45b","http://www.linkedin.com/pub/guillermo-tom%C3%A1s-chialvo/6/127/45b")</f>
        <v>http://www.linkedin.com/pub/guillermo-tom%C3%A1s-chialvo/6/127/45b</v>
      </c>
      <c r="I7796" s="2" t="s">
        <v>195</v>
      </c>
      <c r="J7796" s="2" t="s">
        <v>21</v>
      </c>
      <c r="K7796" s="2" t="s">
        <v>14115</v>
      </c>
    </row>
    <row r="7797" ht="15.75" customHeight="1">
      <c r="A7797" s="2">
        <v>49137.0</v>
      </c>
      <c r="B7797" s="2" t="s">
        <v>5200</v>
      </c>
      <c r="C7797" s="2" t="s">
        <v>14491</v>
      </c>
      <c r="D7797" s="2" t="s">
        <v>14492</v>
      </c>
      <c r="E7797" s="2" t="s">
        <v>136</v>
      </c>
      <c r="F7797" s="2">
        <v>16.0</v>
      </c>
      <c r="G7797" s="2">
        <v>487.0</v>
      </c>
      <c r="H7797" s="3" t="str">
        <f>HYPERLINK("http://www.linkedin.com/in/cynthiacorpuz","http://www.linkedin.com/in/cynthiacorpuz")</f>
        <v>http://www.linkedin.com/in/cynthiacorpuz</v>
      </c>
      <c r="I7797" s="2" t="s">
        <v>69</v>
      </c>
      <c r="J7797" s="2" t="s">
        <v>102</v>
      </c>
      <c r="K7797" s="2" t="s">
        <v>14055</v>
      </c>
    </row>
    <row r="7798" ht="15.75" customHeight="1">
      <c r="A7798" s="2">
        <v>49181.0</v>
      </c>
      <c r="B7798" s="2" t="s">
        <v>3313</v>
      </c>
      <c r="C7798" s="2" t="s">
        <v>14493</v>
      </c>
      <c r="D7798" s="2" t="s">
        <v>14494</v>
      </c>
      <c r="E7798" s="2" t="s">
        <v>1190</v>
      </c>
      <c r="F7798" s="2" t="s">
        <v>13</v>
      </c>
      <c r="G7798" s="2">
        <v>219.0</v>
      </c>
      <c r="H7798" s="3" t="str">
        <f>HYPERLINK("http://www.linkedin.com/pub/luiz-meisler/19/A3A/356","http://www.linkedin.com/pub/luiz-meisler/19/A3A/356")</f>
        <v>http://www.linkedin.com/pub/luiz-meisler/19/A3A/356</v>
      </c>
      <c r="I7798" s="2" t="s">
        <v>15</v>
      </c>
      <c r="J7798" s="2" t="s">
        <v>102</v>
      </c>
      <c r="K7798" s="2" t="s">
        <v>14495</v>
      </c>
    </row>
    <row r="7799" ht="15.75" customHeight="1">
      <c r="A7799" s="2">
        <v>49528.0</v>
      </c>
      <c r="B7799" s="2" t="s">
        <v>1015</v>
      </c>
      <c r="C7799" s="2" t="s">
        <v>3028</v>
      </c>
      <c r="D7799" s="2" t="s">
        <v>14496</v>
      </c>
      <c r="E7799" s="2" t="s">
        <v>1407</v>
      </c>
      <c r="F7799" s="2">
        <v>3.0</v>
      </c>
      <c r="G7799" s="2">
        <v>500.0</v>
      </c>
      <c r="H7799" s="3" t="str">
        <f>HYPERLINK("http://ca.linkedin.com/in/bdwallace","http://ca.linkedin.com/in/bdwallace")</f>
        <v>http://ca.linkedin.com/in/bdwallace</v>
      </c>
      <c r="I7799" s="2" t="s">
        <v>1496</v>
      </c>
      <c r="J7799" s="2" t="s">
        <v>102</v>
      </c>
      <c r="K7799" s="2" t="s">
        <v>14460</v>
      </c>
    </row>
    <row r="7800" ht="15.75" customHeight="1">
      <c r="A7800" s="2">
        <v>49913.0</v>
      </c>
      <c r="B7800" s="2" t="s">
        <v>2665</v>
      </c>
      <c r="C7800" s="2" t="s">
        <v>2635</v>
      </c>
      <c r="D7800" s="2" t="s">
        <v>14497</v>
      </c>
      <c r="E7800" s="2" t="s">
        <v>457</v>
      </c>
      <c r="F7800" s="2">
        <v>7.0</v>
      </c>
      <c r="G7800" s="2">
        <v>491.0</v>
      </c>
      <c r="H7800" s="3" t="str">
        <f>HYPERLINK("http://www.linkedin.com/pub/kurt-jackson/0/A96/4B9","http://www.linkedin.com/pub/kurt-jackson/0/A96/4B9")</f>
        <v>http://www.linkedin.com/pub/kurt-jackson/0/A96/4B9</v>
      </c>
      <c r="I7800" s="2" t="s">
        <v>48</v>
      </c>
      <c r="J7800" s="2" t="s">
        <v>102</v>
      </c>
      <c r="K7800" s="2" t="s">
        <v>14117</v>
      </c>
    </row>
    <row r="7801" ht="15.75" customHeight="1">
      <c r="A7801" s="2">
        <v>50483.0</v>
      </c>
      <c r="B7801" s="2" t="s">
        <v>7655</v>
      </c>
      <c r="C7801" s="2" t="s">
        <v>14498</v>
      </c>
      <c r="D7801" s="2" t="s">
        <v>14203</v>
      </c>
      <c r="E7801" s="2" t="s">
        <v>20</v>
      </c>
      <c r="F7801" s="2">
        <v>2.0</v>
      </c>
      <c r="G7801" s="2">
        <v>500.0</v>
      </c>
      <c r="H7801" s="3" t="str">
        <f>HYPERLINK("http://ar.linkedin.com/pub/edgardo-grinblat/12/477/112","http://ar.linkedin.com/pub/edgardo-grinblat/12/477/112")</f>
        <v>http://ar.linkedin.com/pub/edgardo-grinblat/12/477/112</v>
      </c>
      <c r="I7801" s="2" t="s">
        <v>15</v>
      </c>
      <c r="J7801" s="2" t="s">
        <v>21</v>
      </c>
      <c r="K7801" s="2" t="s">
        <v>14055</v>
      </c>
    </row>
    <row r="7802" ht="15.75" customHeight="1">
      <c r="A7802" s="2">
        <v>50706.0</v>
      </c>
      <c r="B7802" s="2" t="s">
        <v>5871</v>
      </c>
      <c r="C7802" s="2" t="s">
        <v>13691</v>
      </c>
      <c r="D7802" s="2" t="s">
        <v>14499</v>
      </c>
      <c r="E7802" s="2" t="s">
        <v>1190</v>
      </c>
      <c r="F7802" s="2" t="s">
        <v>13</v>
      </c>
      <c r="G7802" s="2">
        <v>322.0</v>
      </c>
      <c r="H7802" s="3" t="str">
        <f>HYPERLINK("http://www.linkedin.com/in/sabrinabrt","http://www.linkedin.com/in/sabrinabrt")</f>
        <v>http://www.linkedin.com/in/sabrinabrt</v>
      </c>
      <c r="I7802" s="2" t="s">
        <v>844</v>
      </c>
      <c r="J7802" s="2" t="s">
        <v>102</v>
      </c>
      <c r="K7802" s="2" t="s">
        <v>14078</v>
      </c>
    </row>
    <row r="7803" ht="15.75" customHeight="1">
      <c r="A7803" s="2">
        <v>50985.0</v>
      </c>
      <c r="B7803" s="2" t="s">
        <v>677</v>
      </c>
      <c r="C7803" s="2" t="s">
        <v>11783</v>
      </c>
      <c r="D7803" s="2" t="s">
        <v>14500</v>
      </c>
      <c r="E7803" s="2" t="s">
        <v>12475</v>
      </c>
      <c r="F7803" s="2">
        <v>11.0</v>
      </c>
      <c r="G7803" s="2">
        <v>500.0</v>
      </c>
      <c r="H7803" s="3" t="str">
        <f>HYPERLINK("http://www.linkedin.com/in/danielbaudino","http://www.linkedin.com/in/danielbaudino")</f>
        <v>http://www.linkedin.com/in/danielbaudino</v>
      </c>
      <c r="I7803" s="2" t="s">
        <v>77</v>
      </c>
      <c r="J7803" s="2" t="s">
        <v>102</v>
      </c>
      <c r="K7803" s="2" t="s">
        <v>14211</v>
      </c>
    </row>
    <row r="7804" ht="15.75" customHeight="1">
      <c r="A7804" s="2">
        <v>51468.0</v>
      </c>
      <c r="B7804" s="2" t="s">
        <v>14501</v>
      </c>
      <c r="C7804" s="2" t="s">
        <v>14502</v>
      </c>
      <c r="D7804" s="2" t="s">
        <v>47</v>
      </c>
      <c r="E7804" s="2" t="s">
        <v>136</v>
      </c>
      <c r="F7804" s="2">
        <v>21.0</v>
      </c>
      <c r="G7804" s="2">
        <v>500.0</v>
      </c>
      <c r="H7804" s="3" t="str">
        <f>HYPERLINK("http://www.linkedin.com/in/ghalimi","http://www.linkedin.com/in/ghalimi")</f>
        <v>http://www.linkedin.com/in/ghalimi</v>
      </c>
      <c r="I7804" s="2" t="s">
        <v>48</v>
      </c>
      <c r="J7804" s="2" t="s">
        <v>102</v>
      </c>
      <c r="K7804" s="2" t="s">
        <v>14073</v>
      </c>
    </row>
    <row r="7805" ht="15.75" customHeight="1">
      <c r="A7805" s="2">
        <v>51545.0</v>
      </c>
      <c r="B7805" s="2" t="s">
        <v>14503</v>
      </c>
      <c r="C7805" s="2" t="s">
        <v>14504</v>
      </c>
      <c r="D7805" s="2" t="s">
        <v>14505</v>
      </c>
      <c r="E7805" s="2" t="s">
        <v>20</v>
      </c>
      <c r="F7805" s="2">
        <v>1.0</v>
      </c>
      <c r="G7805" s="2">
        <v>500.0</v>
      </c>
      <c r="H7805" s="3" t="str">
        <f>HYPERLINK("http://www.linkedin.com/in/emilianatorrens","http://www.linkedin.com/in/emilianatorrens")</f>
        <v>http://www.linkedin.com/in/emilianatorrens</v>
      </c>
      <c r="I7805" s="2" t="s">
        <v>105</v>
      </c>
      <c r="J7805" s="2" t="s">
        <v>21</v>
      </c>
      <c r="K7805" s="2" t="s">
        <v>14057</v>
      </c>
    </row>
    <row r="7806" ht="15.75" customHeight="1">
      <c r="A7806" s="2">
        <v>51666.0</v>
      </c>
      <c r="B7806" s="2" t="s">
        <v>14506</v>
      </c>
      <c r="C7806" s="2" t="s">
        <v>14507</v>
      </c>
      <c r="D7806" s="2" t="s">
        <v>47</v>
      </c>
      <c r="E7806" s="2" t="s">
        <v>20</v>
      </c>
      <c r="F7806" s="2">
        <v>11.0</v>
      </c>
      <c r="G7806" s="2">
        <v>500.0</v>
      </c>
      <c r="H7806" s="3" t="str">
        <f>HYPERLINK("http://ar.linkedin.com/pub/carlos-matias-baglieri/25/B49/7A4","http://ar.linkedin.com/pub/carlos-matias-baglieri/25/B49/7A4")</f>
        <v>http://ar.linkedin.com/pub/carlos-matias-baglieri/25/B49/7A4</v>
      </c>
      <c r="I7806" s="2" t="s">
        <v>69</v>
      </c>
      <c r="J7806" s="2" t="s">
        <v>21</v>
      </c>
      <c r="K7806" s="2" t="s">
        <v>14082</v>
      </c>
    </row>
    <row r="7807" ht="15.75" customHeight="1">
      <c r="A7807" s="2">
        <v>51824.0</v>
      </c>
      <c r="B7807" s="2" t="s">
        <v>637</v>
      </c>
      <c r="C7807" s="2" t="s">
        <v>14508</v>
      </c>
      <c r="D7807" s="2" t="s">
        <v>13</v>
      </c>
      <c r="E7807" s="2" t="s">
        <v>20</v>
      </c>
      <c r="F7807" s="2">
        <v>0.0</v>
      </c>
      <c r="G7807" s="2">
        <v>500.0</v>
      </c>
      <c r="H7807" s="3" t="str">
        <f>HYPERLINK("http://www.linkedin.com/pub/leonardo-rubinstein/8/a29/946","http://www.linkedin.com/pub/leonardo-rubinstein/8/a29/946")</f>
        <v>http://www.linkedin.com/pub/leonardo-rubinstein/8/a29/946</v>
      </c>
      <c r="I7807" s="2" t="s">
        <v>69</v>
      </c>
      <c r="J7807" s="2" t="s">
        <v>21</v>
      </c>
      <c r="K7807" s="2" t="s">
        <v>14242</v>
      </c>
    </row>
    <row r="7808" ht="15.75" customHeight="1">
      <c r="A7808" s="2">
        <v>52023.0</v>
      </c>
      <c r="B7808" s="2" t="s">
        <v>14509</v>
      </c>
      <c r="C7808" s="2" t="s">
        <v>14510</v>
      </c>
      <c r="D7808" s="2" t="s">
        <v>1935</v>
      </c>
      <c r="E7808" s="2" t="s">
        <v>4087</v>
      </c>
      <c r="F7808" s="2">
        <v>15.0</v>
      </c>
      <c r="G7808" s="2">
        <v>500.0</v>
      </c>
      <c r="H7808" s="3" t="str">
        <f>HYPERLINK("http://www.linkedin.com/in/bsantoshkumar","http://www.linkedin.com/in/bsantoshkumar")</f>
        <v>http://www.linkedin.com/in/bsantoshkumar</v>
      </c>
      <c r="I7808" s="2" t="s">
        <v>248</v>
      </c>
      <c r="J7808" s="2" t="s">
        <v>102</v>
      </c>
      <c r="K7808" s="2" t="s">
        <v>14105</v>
      </c>
    </row>
    <row r="7809" ht="15.75" customHeight="1">
      <c r="A7809" s="2">
        <v>53075.0</v>
      </c>
      <c r="B7809" s="2" t="s">
        <v>6442</v>
      </c>
      <c r="C7809" s="2" t="s">
        <v>14511</v>
      </c>
      <c r="D7809" s="2" t="s">
        <v>13</v>
      </c>
      <c r="E7809" s="2" t="s">
        <v>20</v>
      </c>
      <c r="F7809" s="2">
        <v>0.0</v>
      </c>
      <c r="G7809" s="2">
        <v>500.0</v>
      </c>
      <c r="H7809" s="3" t="str">
        <f>HYPERLINK("http://www.linkedin.com/in/juansotuyo","http://www.linkedin.com/in/juansotuyo")</f>
        <v>http://www.linkedin.com/in/juansotuyo</v>
      </c>
      <c r="I7809" s="2" t="s">
        <v>15</v>
      </c>
      <c r="J7809" s="2" t="s">
        <v>21</v>
      </c>
      <c r="K7809" s="2" t="s">
        <v>14106</v>
      </c>
    </row>
    <row r="7810" ht="15.75" customHeight="1">
      <c r="A7810" s="2">
        <v>53117.0</v>
      </c>
      <c r="B7810" s="2" t="s">
        <v>14512</v>
      </c>
      <c r="C7810" s="2" t="s">
        <v>3452</v>
      </c>
      <c r="D7810" s="2" t="s">
        <v>47</v>
      </c>
      <c r="E7810" s="2" t="s">
        <v>301</v>
      </c>
      <c r="F7810" s="2">
        <v>10.0</v>
      </c>
      <c r="G7810" s="2">
        <v>500.0</v>
      </c>
      <c r="H7810" s="3" t="str">
        <f>HYPERLINK("http://www.linkedin.com/in/hamiltonjones","http://www.linkedin.com/in/hamiltonjones")</f>
        <v>http://www.linkedin.com/in/hamiltonjones</v>
      </c>
      <c r="I7810" s="2" t="s">
        <v>57</v>
      </c>
      <c r="J7810" s="2" t="s">
        <v>102</v>
      </c>
      <c r="K7810" s="2" t="s">
        <v>14074</v>
      </c>
    </row>
    <row r="7811" ht="15.75" customHeight="1">
      <c r="A7811" s="2">
        <v>53331.0</v>
      </c>
      <c r="B7811" s="2" t="s">
        <v>238</v>
      </c>
      <c r="C7811" s="2" t="s">
        <v>2547</v>
      </c>
      <c r="D7811" s="2" t="s">
        <v>14513</v>
      </c>
      <c r="E7811" s="2" t="s">
        <v>1190</v>
      </c>
      <c r="F7811" s="2">
        <v>3.0</v>
      </c>
      <c r="G7811" s="2">
        <v>500.0</v>
      </c>
      <c r="H7811" s="3" t="str">
        <f>HYPERLINK("http://www.linkedin.com/in/juanfranco","http://www.linkedin.com/in/juanfranco")</f>
        <v>http://www.linkedin.com/in/juanfranco</v>
      </c>
      <c r="I7811" s="2" t="s">
        <v>15</v>
      </c>
      <c r="J7811" s="2" t="s">
        <v>102</v>
      </c>
      <c r="K7811" s="2" t="s">
        <v>14080</v>
      </c>
    </row>
    <row r="7812" ht="15.75" customHeight="1">
      <c r="A7812" s="2">
        <v>53379.0</v>
      </c>
      <c r="B7812" s="2" t="s">
        <v>287</v>
      </c>
      <c r="C7812" s="2" t="s">
        <v>14514</v>
      </c>
      <c r="D7812" s="2" t="s">
        <v>114</v>
      </c>
      <c r="E7812" s="2" t="s">
        <v>1407</v>
      </c>
      <c r="F7812" s="2">
        <v>11.0</v>
      </c>
      <c r="G7812" s="2">
        <v>500.0</v>
      </c>
      <c r="H7812" s="3" t="str">
        <f>HYPERLINK("https://www.linkedin.com/in/fonolla","https://www.linkedin.com/in/fonolla")</f>
        <v>https://www.linkedin.com/in/fonolla</v>
      </c>
      <c r="I7812" s="2" t="s">
        <v>15</v>
      </c>
      <c r="J7812" s="2" t="s">
        <v>102</v>
      </c>
      <c r="K7812" s="2" t="s">
        <v>14080</v>
      </c>
    </row>
    <row r="7813" ht="15.75" customHeight="1">
      <c r="A7813" s="2">
        <v>53738.0</v>
      </c>
      <c r="B7813" s="2" t="s">
        <v>1366</v>
      </c>
      <c r="C7813" s="2" t="s">
        <v>755</v>
      </c>
      <c r="D7813" s="2" t="s">
        <v>14515</v>
      </c>
      <c r="E7813" s="2" t="s">
        <v>14516</v>
      </c>
      <c r="F7813" s="2">
        <v>38.0</v>
      </c>
      <c r="G7813" s="2">
        <v>500.0</v>
      </c>
      <c r="H7813" s="3" t="str">
        <f>HYPERLINK("http://www.linkedin.com/in/peterwalshxj8","http://www.linkedin.com/in/peterwalshxj8")</f>
        <v>http://www.linkedin.com/in/peterwalshxj8</v>
      </c>
      <c r="I7813" s="2" t="s">
        <v>15</v>
      </c>
      <c r="J7813" s="2" t="s">
        <v>102</v>
      </c>
      <c r="K7813" s="2" t="s">
        <v>14073</v>
      </c>
    </row>
    <row r="7814" ht="15.75" customHeight="1">
      <c r="A7814" s="2">
        <v>53808.0</v>
      </c>
      <c r="B7814" s="2" t="s">
        <v>677</v>
      </c>
      <c r="C7814" s="2" t="s">
        <v>14517</v>
      </c>
      <c r="D7814" s="2" t="s">
        <v>2560</v>
      </c>
      <c r="E7814" s="2" t="s">
        <v>20</v>
      </c>
      <c r="F7814" s="2">
        <v>0.0</v>
      </c>
      <c r="G7814" s="2">
        <v>500.0</v>
      </c>
      <c r="H7814" s="3" t="str">
        <f>HYPERLINK("http://www.linkedin.com/in/danielserra","http://www.linkedin.com/in/danielserra")</f>
        <v>http://www.linkedin.com/in/danielserra</v>
      </c>
      <c r="I7814" s="2" t="s">
        <v>69</v>
      </c>
      <c r="J7814" s="2" t="s">
        <v>21</v>
      </c>
      <c r="K7814" s="2" t="s">
        <v>14057</v>
      </c>
    </row>
    <row r="7815" ht="15.75" customHeight="1">
      <c r="A7815" s="2">
        <v>53814.0</v>
      </c>
      <c r="B7815" s="2" t="s">
        <v>862</v>
      </c>
      <c r="C7815" s="2" t="s">
        <v>1325</v>
      </c>
      <c r="D7815" s="2" t="s">
        <v>633</v>
      </c>
      <c r="E7815" s="2" t="s">
        <v>20</v>
      </c>
      <c r="F7815" s="2">
        <v>11.0</v>
      </c>
      <c r="G7815" s="2">
        <v>500.0</v>
      </c>
      <c r="H7815" s="3" t="str">
        <f>HYPERLINK("http://ar.linkedin.com/in/gabrielmiller","http://ar.linkedin.com/in/gabrielmiller")</f>
        <v>http://ar.linkedin.com/in/gabrielmiller</v>
      </c>
      <c r="I7815" s="2" t="s">
        <v>69</v>
      </c>
      <c r="J7815" s="2" t="s">
        <v>21</v>
      </c>
      <c r="K7815" s="2" t="s">
        <v>14082</v>
      </c>
    </row>
    <row r="7816" ht="15.75" customHeight="1">
      <c r="A7816" s="2">
        <v>53854.0</v>
      </c>
      <c r="B7816" s="2" t="s">
        <v>329</v>
      </c>
      <c r="C7816" s="2" t="s">
        <v>6378</v>
      </c>
      <c r="D7816" s="2" t="s">
        <v>517</v>
      </c>
      <c r="E7816" s="2" t="s">
        <v>235</v>
      </c>
      <c r="F7816" s="2">
        <v>3.0</v>
      </c>
      <c r="G7816" s="2">
        <v>319.0</v>
      </c>
      <c r="H7816" s="3" t="str">
        <f>HYPERLINK("http://www.linkedin.com/in/juano23","http://www.linkedin.com/in/juano23")</f>
        <v>http://www.linkedin.com/in/juano23</v>
      </c>
      <c r="I7816" s="2" t="s">
        <v>69</v>
      </c>
      <c r="J7816" s="2" t="s">
        <v>102</v>
      </c>
      <c r="K7816" s="2" t="s">
        <v>14078</v>
      </c>
    </row>
    <row r="7817" ht="15.75" customHeight="1">
      <c r="A7817" s="2">
        <v>54374.0</v>
      </c>
      <c r="B7817" s="2" t="s">
        <v>7275</v>
      </c>
      <c r="C7817" s="2" t="s">
        <v>14518</v>
      </c>
      <c r="D7817" s="2" t="s">
        <v>14519</v>
      </c>
      <c r="E7817" s="2" t="s">
        <v>1190</v>
      </c>
      <c r="F7817" s="2">
        <v>7.0</v>
      </c>
      <c r="G7817" s="2">
        <v>500.0</v>
      </c>
      <c r="H7817" s="3" t="str">
        <f>HYPERLINK("http://www.linkedin.com/in/mariajoseezquerra","http://www.linkedin.com/in/mariajoseezquerra")</f>
        <v>http://www.linkedin.com/in/mariajoseezquerra</v>
      </c>
      <c r="I7817" s="2" t="s">
        <v>105</v>
      </c>
      <c r="J7817" s="2" t="s">
        <v>102</v>
      </c>
      <c r="K7817" s="2" t="s">
        <v>14074</v>
      </c>
    </row>
    <row r="7818" ht="15.75" customHeight="1">
      <c r="A7818" s="2">
        <v>54377.0</v>
      </c>
      <c r="B7818" s="2" t="s">
        <v>5585</v>
      </c>
      <c r="C7818" s="2" t="s">
        <v>14520</v>
      </c>
      <c r="D7818" s="2" t="s">
        <v>14521</v>
      </c>
      <c r="E7818" s="2" t="s">
        <v>136</v>
      </c>
      <c r="F7818" s="2">
        <v>3.0</v>
      </c>
      <c r="G7818" s="2">
        <v>500.0</v>
      </c>
      <c r="H7818" s="3" t="str">
        <f>HYPERLINK("http://www.linkedin.com/pub/julie-parrish/0/6A1/116","http://www.linkedin.com/pub/julie-parrish/0/6A1/116")</f>
        <v>http://www.linkedin.com/pub/julie-parrish/0/6A1/116</v>
      </c>
      <c r="I7818" s="2" t="s">
        <v>48</v>
      </c>
      <c r="J7818" s="2" t="s">
        <v>102</v>
      </c>
      <c r="K7818" s="2" t="s">
        <v>14052</v>
      </c>
    </row>
    <row r="7819" ht="15.75" customHeight="1">
      <c r="A7819" s="2">
        <v>54682.0</v>
      </c>
      <c r="B7819" s="2" t="s">
        <v>14522</v>
      </c>
      <c r="C7819" s="2" t="s">
        <v>14523</v>
      </c>
      <c r="D7819" s="2" t="s">
        <v>14524</v>
      </c>
      <c r="E7819" s="2" t="s">
        <v>1862</v>
      </c>
      <c r="F7819" s="2">
        <v>195.0</v>
      </c>
      <c r="G7819" s="2">
        <v>500.0</v>
      </c>
      <c r="H7819" s="3" t="str">
        <f>HYPERLINK("http://www.linkedin.com/in/rickamorris","http://www.linkedin.com/in/rickamorris")</f>
        <v>http://www.linkedin.com/in/rickamorris</v>
      </c>
      <c r="I7819" s="2" t="s">
        <v>15</v>
      </c>
      <c r="J7819" s="2" t="s">
        <v>102</v>
      </c>
      <c r="K7819" s="2" t="s">
        <v>14121</v>
      </c>
    </row>
    <row r="7820" ht="15.75" customHeight="1">
      <c r="A7820" s="2">
        <v>54704.0</v>
      </c>
      <c r="B7820" s="2" t="s">
        <v>7065</v>
      </c>
      <c r="C7820" s="2" t="s">
        <v>14525</v>
      </c>
      <c r="D7820" s="2" t="s">
        <v>14526</v>
      </c>
      <c r="E7820" s="2" t="s">
        <v>14527</v>
      </c>
      <c r="F7820" s="2">
        <v>1.0</v>
      </c>
      <c r="G7820" s="2">
        <v>408.0</v>
      </c>
      <c r="H7820" s="3" t="str">
        <f>HYPERLINK("http://www.linkedin.com/pub/lourdes-godfrey/3/B66/832","http://www.linkedin.com/pub/lourdes-godfrey/3/B66/832")</f>
        <v>http://www.linkedin.com/pub/lourdes-godfrey/3/B66/832</v>
      </c>
      <c r="I7820" s="2" t="s">
        <v>15</v>
      </c>
      <c r="J7820" s="2" t="s">
        <v>102</v>
      </c>
      <c r="K7820" s="2" t="s">
        <v>14078</v>
      </c>
    </row>
    <row r="7821" ht="15.75" customHeight="1">
      <c r="A7821" s="2">
        <v>54705.0</v>
      </c>
      <c r="B7821" s="2" t="s">
        <v>70</v>
      </c>
      <c r="C7821" s="2" t="s">
        <v>14528</v>
      </c>
      <c r="D7821" s="2" t="s">
        <v>14529</v>
      </c>
      <c r="E7821" s="2" t="s">
        <v>13208</v>
      </c>
      <c r="F7821" s="2">
        <v>0.0</v>
      </c>
      <c r="G7821" s="2">
        <v>500.0</v>
      </c>
      <c r="H7821" s="3" t="str">
        <f>HYPERLINK("http://www.linkedin.com/pub/gustavo-merchan/4/497/A0B","http://www.linkedin.com/pub/gustavo-merchan/4/497/A0B")</f>
        <v>http://www.linkedin.com/pub/gustavo-merchan/4/497/A0B</v>
      </c>
      <c r="I7821" s="2" t="s">
        <v>15</v>
      </c>
      <c r="J7821" s="2" t="s">
        <v>102</v>
      </c>
      <c r="K7821" s="2" t="s">
        <v>14095</v>
      </c>
    </row>
    <row r="7822" ht="15.75" customHeight="1">
      <c r="A7822" s="2">
        <v>54749.0</v>
      </c>
      <c r="B7822" s="2" t="s">
        <v>133</v>
      </c>
      <c r="C7822" s="2" t="s">
        <v>14530</v>
      </c>
      <c r="D7822" s="2" t="s">
        <v>114</v>
      </c>
      <c r="E7822" s="2" t="s">
        <v>14531</v>
      </c>
      <c r="F7822" s="2">
        <v>8.0</v>
      </c>
      <c r="G7822" s="2">
        <v>500.0</v>
      </c>
      <c r="H7822" s="3" t="str">
        <f>HYPERLINK("http://www.linkedin.com/in/michaelobrochta","http://www.linkedin.com/in/michaelobrochta")</f>
        <v>http://www.linkedin.com/in/michaelobrochta</v>
      </c>
      <c r="I7822" s="2" t="s">
        <v>57</v>
      </c>
      <c r="J7822" s="2" t="s">
        <v>102</v>
      </c>
      <c r="K7822" s="2" t="s">
        <v>14055</v>
      </c>
    </row>
    <row r="7823" ht="15.75" customHeight="1">
      <c r="A7823" s="2">
        <v>55419.0</v>
      </c>
      <c r="B7823" s="2" t="s">
        <v>133</v>
      </c>
      <c r="C7823" s="2" t="s">
        <v>14532</v>
      </c>
      <c r="D7823" s="2" t="s">
        <v>14533</v>
      </c>
      <c r="E7823" s="2" t="s">
        <v>971</v>
      </c>
      <c r="F7823" s="2">
        <v>0.0</v>
      </c>
      <c r="G7823" s="2">
        <v>500.0</v>
      </c>
      <c r="H7823" s="3" t="str">
        <f>HYPERLINK("http://www.linkedin.com/pub/michael-ditchfield/8/22A/63B","http://www.linkedin.com/pub/michael-ditchfield/8/22A/63B")</f>
        <v>http://www.linkedin.com/pub/michael-ditchfield/8/22A/63B</v>
      </c>
      <c r="I7823" s="2" t="s">
        <v>579</v>
      </c>
      <c r="J7823" s="2" t="s">
        <v>102</v>
      </c>
      <c r="K7823" s="2" t="s">
        <v>14125</v>
      </c>
    </row>
    <row r="7824" ht="15.75" customHeight="1">
      <c r="A7824" s="2">
        <v>55428.0</v>
      </c>
      <c r="B7824" s="2" t="s">
        <v>14534</v>
      </c>
      <c r="C7824" s="2" t="s">
        <v>14535</v>
      </c>
      <c r="D7824" s="2" t="s">
        <v>47</v>
      </c>
      <c r="E7824" s="2" t="s">
        <v>1190</v>
      </c>
      <c r="F7824" s="2">
        <v>12.0</v>
      </c>
      <c r="G7824" s="2">
        <v>500.0</v>
      </c>
      <c r="H7824" s="3" t="str">
        <f>HYPERLINK("http://www.linkedin.com/pub/mariano-j-doble/1/163/B75","http://www.linkedin.com/pub/mariano-j-doble/1/163/B75")</f>
        <v>http://www.linkedin.com/pub/mariano-j-doble/1/163/B75</v>
      </c>
      <c r="I7824" s="2" t="s">
        <v>15</v>
      </c>
      <c r="J7824" s="2" t="s">
        <v>102</v>
      </c>
      <c r="K7824" s="2" t="s">
        <v>14197</v>
      </c>
    </row>
    <row r="7825" ht="15.75" customHeight="1">
      <c r="A7825" s="2">
        <v>55822.0</v>
      </c>
      <c r="B7825" s="2" t="s">
        <v>7086</v>
      </c>
      <c r="C7825" s="2" t="s">
        <v>206</v>
      </c>
      <c r="D7825" s="2" t="s">
        <v>13</v>
      </c>
      <c r="E7825" s="2" t="s">
        <v>20</v>
      </c>
      <c r="F7825" s="2">
        <v>0.0</v>
      </c>
      <c r="G7825" s="2">
        <v>178.0</v>
      </c>
      <c r="H7825" s="3" t="str">
        <f>HYPERLINK("http://www.linkedin.com/in/maurogarcia","http://www.linkedin.com/in/maurogarcia")</f>
        <v>http://www.linkedin.com/in/maurogarcia</v>
      </c>
      <c r="I7825" s="2" t="s">
        <v>15</v>
      </c>
      <c r="J7825" s="2" t="s">
        <v>21</v>
      </c>
      <c r="K7825" s="2" t="s">
        <v>14197</v>
      </c>
    </row>
    <row r="7826" ht="15.75" customHeight="1">
      <c r="A7826" s="2">
        <v>56607.0</v>
      </c>
      <c r="B7826" s="2" t="s">
        <v>1593</v>
      </c>
      <c r="C7826" s="2" t="s">
        <v>14536</v>
      </c>
      <c r="D7826" s="2" t="s">
        <v>108</v>
      </c>
      <c r="E7826" s="2" t="s">
        <v>122</v>
      </c>
      <c r="F7826" s="2">
        <v>0.0</v>
      </c>
      <c r="G7826" s="2">
        <v>500.0</v>
      </c>
      <c r="H7826" s="3" t="str">
        <f>HYPERLINK("http://uk.linkedin.com/pub/adam-deane/1B/5B/2A6","http://uk.linkedin.com/pub/adam-deane/1B/5B/2A6")</f>
        <v>http://uk.linkedin.com/pub/adam-deane/1B/5B/2A6</v>
      </c>
      <c r="I7826" s="2" t="s">
        <v>48</v>
      </c>
      <c r="J7826" s="2" t="s">
        <v>53</v>
      </c>
      <c r="K7826" s="2" t="s">
        <v>14106</v>
      </c>
    </row>
    <row r="7827" ht="15.75" customHeight="1">
      <c r="A7827" s="2">
        <v>56804.0</v>
      </c>
      <c r="B7827" s="2" t="s">
        <v>14537</v>
      </c>
      <c r="C7827" s="2" t="s">
        <v>14538</v>
      </c>
      <c r="D7827" s="2" t="s">
        <v>14539</v>
      </c>
      <c r="E7827" s="2" t="s">
        <v>1190</v>
      </c>
      <c r="F7827" s="2" t="s">
        <v>13</v>
      </c>
      <c r="G7827" s="2">
        <v>241.0</v>
      </c>
      <c r="H7827" s="3" t="str">
        <f>HYPERLINK("http://www.linkedin.com/pub/ludwig-haderer/1A/44A/A8A","http://www.linkedin.com/pub/ludwig-haderer/1A/44A/A8A")</f>
        <v>http://www.linkedin.com/pub/ludwig-haderer/1A/44A/A8A</v>
      </c>
      <c r="I7827" s="2" t="s">
        <v>105</v>
      </c>
      <c r="J7827" s="2" t="s">
        <v>102</v>
      </c>
      <c r="K7827" s="2" t="s">
        <v>14105</v>
      </c>
    </row>
    <row r="7828" ht="15.75" customHeight="1">
      <c r="A7828" s="2">
        <v>57485.0</v>
      </c>
      <c r="B7828" s="2" t="s">
        <v>5078</v>
      </c>
      <c r="C7828" s="2" t="s">
        <v>14540</v>
      </c>
      <c r="D7828" s="2" t="s">
        <v>13</v>
      </c>
      <c r="E7828" s="2" t="s">
        <v>1182</v>
      </c>
      <c r="F7828" s="2">
        <v>0.0</v>
      </c>
      <c r="G7828" s="2">
        <v>500.0</v>
      </c>
      <c r="H7828" s="3" t="str">
        <f>HYPERLINK("http://www.linkedin.com/pub/diego-lopez-casanello/10/300/b85","http://www.linkedin.com/pub/diego-lopez-casanello/10/300/b85")</f>
        <v>http://www.linkedin.com/pub/diego-lopez-casanello/10/300/b85</v>
      </c>
      <c r="I7828" s="2" t="s">
        <v>1841</v>
      </c>
      <c r="J7828" s="2" t="s">
        <v>1184</v>
      </c>
      <c r="K7828" s="2" t="s">
        <v>14092</v>
      </c>
    </row>
    <row r="7829" ht="15.75" customHeight="1">
      <c r="A7829" s="2">
        <v>57865.0</v>
      </c>
      <c r="B7829" s="2" t="s">
        <v>14205</v>
      </c>
      <c r="C7829" s="2" t="s">
        <v>1336</v>
      </c>
      <c r="D7829" s="2" t="s">
        <v>14541</v>
      </c>
      <c r="E7829" s="2" t="s">
        <v>1407</v>
      </c>
      <c r="F7829" s="2">
        <v>5.0</v>
      </c>
      <c r="G7829" s="2">
        <v>500.0</v>
      </c>
      <c r="H7829" s="3" t="str">
        <f>HYPERLINK("http://www.linkedin.com/in/josefigueroa112","http://www.linkedin.com/in/josefigueroa112")</f>
        <v>http://www.linkedin.com/in/josefigueroa112</v>
      </c>
      <c r="I7829" s="2" t="s">
        <v>77</v>
      </c>
      <c r="J7829" s="2" t="s">
        <v>102</v>
      </c>
      <c r="K7829" s="2" t="s">
        <v>14542</v>
      </c>
    </row>
    <row r="7830" ht="15.75" customHeight="1">
      <c r="A7830" s="2">
        <v>57896.0</v>
      </c>
      <c r="B7830" s="2" t="s">
        <v>1523</v>
      </c>
      <c r="C7830" s="2" t="s">
        <v>4748</v>
      </c>
      <c r="D7830" s="2" t="s">
        <v>1921</v>
      </c>
      <c r="E7830" s="2" t="s">
        <v>728</v>
      </c>
      <c r="F7830" s="2">
        <v>16.0</v>
      </c>
      <c r="G7830" s="2">
        <v>500.0</v>
      </c>
      <c r="H7830" s="3" t="str">
        <f>HYPERLINK("http://www.linkedin.com/in/philrosenberg","http://www.linkedin.com/in/philrosenberg")</f>
        <v>http://www.linkedin.com/in/philrosenberg</v>
      </c>
      <c r="I7830" s="2" t="s">
        <v>458</v>
      </c>
      <c r="J7830" s="2" t="s">
        <v>102</v>
      </c>
      <c r="K7830" s="2" t="s">
        <v>14055</v>
      </c>
    </row>
    <row r="7831" ht="15.75" customHeight="1">
      <c r="A7831" s="2">
        <v>57982.0</v>
      </c>
      <c r="B7831" s="2" t="s">
        <v>14543</v>
      </c>
      <c r="C7831" s="2" t="s">
        <v>14544</v>
      </c>
      <c r="D7831" s="2" t="s">
        <v>14545</v>
      </c>
      <c r="E7831" s="2" t="s">
        <v>136</v>
      </c>
      <c r="F7831" s="2">
        <v>3.0</v>
      </c>
      <c r="G7831" s="2">
        <v>400.0</v>
      </c>
      <c r="H7831" s="3" t="str">
        <f>HYPERLINK("http://www.linkedin.com/pub/amaury-gallisa/0/11B/B56","http://www.linkedin.com/pub/amaury-gallisa/0/11B/B56")</f>
        <v>http://www.linkedin.com/pub/amaury-gallisa/0/11B/B56</v>
      </c>
      <c r="I7831" s="2" t="s">
        <v>15</v>
      </c>
      <c r="J7831" s="2" t="s">
        <v>102</v>
      </c>
      <c r="K7831" s="2" t="s">
        <v>14052</v>
      </c>
    </row>
    <row r="7832" ht="15.75" customHeight="1">
      <c r="A7832" s="2">
        <v>58075.0</v>
      </c>
      <c r="B7832" s="2" t="s">
        <v>1362</v>
      </c>
      <c r="C7832" s="2" t="s">
        <v>14546</v>
      </c>
      <c r="D7832" s="2" t="s">
        <v>14547</v>
      </c>
      <c r="E7832" s="2" t="s">
        <v>1407</v>
      </c>
      <c r="F7832" s="2">
        <v>36.0</v>
      </c>
      <c r="G7832" s="2">
        <v>500.0</v>
      </c>
      <c r="H7832" s="3" t="str">
        <f>HYPERLINK("http://www.linkedin.com/in/williamgiba","http://www.linkedin.com/in/williamgiba")</f>
        <v>http://www.linkedin.com/in/williamgiba</v>
      </c>
      <c r="I7832" s="2" t="s">
        <v>15</v>
      </c>
      <c r="J7832" s="2" t="s">
        <v>102</v>
      </c>
      <c r="K7832" s="2" t="s">
        <v>14092</v>
      </c>
    </row>
    <row r="7833" ht="15.75" customHeight="1">
      <c r="A7833" s="2">
        <v>58187.0</v>
      </c>
      <c r="B7833" s="2" t="s">
        <v>993</v>
      </c>
      <c r="C7833" s="2" t="s">
        <v>14548</v>
      </c>
      <c r="D7833" s="2" t="s">
        <v>14549</v>
      </c>
      <c r="E7833" s="2" t="s">
        <v>14287</v>
      </c>
      <c r="F7833" s="2">
        <v>2.0</v>
      </c>
      <c r="G7833" s="2">
        <v>500.0</v>
      </c>
      <c r="H7833" s="3" t="str">
        <f>HYPERLINK("http://www.linkedin.com/in/jonwilliamson","http://www.linkedin.com/in/jonwilliamson")</f>
        <v>http://www.linkedin.com/in/jonwilliamson</v>
      </c>
      <c r="I7833" s="2" t="s">
        <v>69</v>
      </c>
      <c r="J7833" s="2" t="s">
        <v>102</v>
      </c>
      <c r="K7833" s="2" t="s">
        <v>14197</v>
      </c>
    </row>
    <row r="7834" ht="15.75" customHeight="1">
      <c r="A7834" s="2">
        <v>58227.0</v>
      </c>
      <c r="B7834" s="2" t="s">
        <v>5078</v>
      </c>
      <c r="C7834" s="2" t="s">
        <v>8414</v>
      </c>
      <c r="D7834" s="2" t="s">
        <v>47</v>
      </c>
      <c r="E7834" s="2" t="s">
        <v>20</v>
      </c>
      <c r="F7834" s="2">
        <v>6.0</v>
      </c>
      <c r="G7834" s="2">
        <v>212.0</v>
      </c>
      <c r="H7834" s="3" t="str">
        <f>HYPERLINK("http://ar.linkedin.com/in/diegorucci","http://ar.linkedin.com/in/diegorucci")</f>
        <v>http://ar.linkedin.com/in/diegorucci</v>
      </c>
      <c r="I7834" s="2" t="s">
        <v>15</v>
      </c>
      <c r="J7834" s="2" t="s">
        <v>21</v>
      </c>
      <c r="K7834" s="2" t="s">
        <v>14204</v>
      </c>
    </row>
    <row r="7835" ht="15.75" customHeight="1">
      <c r="A7835" s="2">
        <v>58432.0</v>
      </c>
      <c r="B7835" s="2" t="s">
        <v>146</v>
      </c>
      <c r="C7835" s="2" t="s">
        <v>14550</v>
      </c>
      <c r="D7835" s="2" t="s">
        <v>114</v>
      </c>
      <c r="E7835" s="2" t="s">
        <v>20</v>
      </c>
      <c r="F7835" s="2">
        <v>1.0</v>
      </c>
      <c r="G7835" s="2">
        <v>500.0</v>
      </c>
      <c r="H7835" s="3" t="str">
        <f>HYPERLINK("http://ar.linkedin.com/in/eestigarribia","http://ar.linkedin.com/in/eestigarribia")</f>
        <v>http://ar.linkedin.com/in/eestigarribia</v>
      </c>
      <c r="I7835" s="2" t="s">
        <v>15</v>
      </c>
      <c r="J7835" s="2" t="s">
        <v>21</v>
      </c>
      <c r="K7835" s="2" t="s">
        <v>14055</v>
      </c>
    </row>
    <row r="7836" ht="15.75" customHeight="1">
      <c r="A7836" s="2">
        <v>58447.0</v>
      </c>
      <c r="B7836" s="2" t="s">
        <v>11</v>
      </c>
      <c r="C7836" s="2" t="s">
        <v>14551</v>
      </c>
      <c r="D7836" s="2" t="s">
        <v>517</v>
      </c>
      <c r="E7836" s="2" t="s">
        <v>11025</v>
      </c>
      <c r="F7836" s="2">
        <v>60.0</v>
      </c>
      <c r="G7836" s="2">
        <v>500.0</v>
      </c>
      <c r="H7836" s="3" t="str">
        <f>HYPERLINK("http://www.linkedin.com/in/edroberson","http://www.linkedin.com/in/edroberson")</f>
        <v>http://www.linkedin.com/in/edroberson</v>
      </c>
      <c r="I7836" s="2" t="s">
        <v>57</v>
      </c>
      <c r="J7836" s="2" t="s">
        <v>102</v>
      </c>
      <c r="K7836" s="2" t="s">
        <v>14074</v>
      </c>
    </row>
    <row r="7837" ht="15.75" customHeight="1">
      <c r="A7837" s="2">
        <v>58525.0</v>
      </c>
      <c r="B7837" s="2" t="s">
        <v>398</v>
      </c>
      <c r="C7837" s="2" t="s">
        <v>14552</v>
      </c>
      <c r="D7837" s="2" t="s">
        <v>517</v>
      </c>
      <c r="E7837" s="2" t="s">
        <v>14553</v>
      </c>
      <c r="F7837" s="2">
        <v>0.0</v>
      </c>
      <c r="G7837" s="2">
        <v>500.0</v>
      </c>
      <c r="H7837" s="3" t="str">
        <f>HYPERLINK("http://uk.linkedin.com/pub/colin-pickering/26/4B2/B21","http://uk.linkedin.com/pub/colin-pickering/26/4B2/B21")</f>
        <v>http://uk.linkedin.com/pub/colin-pickering/26/4B2/B21</v>
      </c>
      <c r="I7837" s="2" t="s">
        <v>15</v>
      </c>
      <c r="J7837" s="2" t="s">
        <v>53</v>
      </c>
      <c r="K7837" s="2" t="s">
        <v>14057</v>
      </c>
    </row>
    <row r="7838" ht="15.75" customHeight="1">
      <c r="A7838" s="2">
        <v>58547.0</v>
      </c>
      <c r="B7838" s="2" t="s">
        <v>940</v>
      </c>
      <c r="C7838" s="2" t="s">
        <v>14554</v>
      </c>
      <c r="D7838" s="2" t="s">
        <v>47</v>
      </c>
      <c r="E7838" s="2" t="s">
        <v>1407</v>
      </c>
      <c r="F7838" s="2">
        <v>13.0</v>
      </c>
      <c r="G7838" s="2">
        <v>500.0</v>
      </c>
      <c r="H7838" s="3" t="str">
        <f>HYPERLINK("http://www.linkedin.com/in/bobgetz","http://www.linkedin.com/in/bobgetz")</f>
        <v>http://www.linkedin.com/in/bobgetz</v>
      </c>
      <c r="I7838" s="2" t="s">
        <v>105</v>
      </c>
      <c r="J7838" s="2" t="s">
        <v>102</v>
      </c>
      <c r="K7838" s="2" t="s">
        <v>14092</v>
      </c>
    </row>
    <row r="7839" ht="15.75" customHeight="1">
      <c r="A7839" s="2">
        <v>58631.0</v>
      </c>
      <c r="B7839" s="2" t="s">
        <v>133</v>
      </c>
      <c r="C7839" s="2" t="s">
        <v>14555</v>
      </c>
      <c r="D7839" s="2" t="s">
        <v>42</v>
      </c>
      <c r="E7839" s="2" t="s">
        <v>14556</v>
      </c>
      <c r="F7839" s="2">
        <v>17.0</v>
      </c>
      <c r="G7839" s="2">
        <v>500.0</v>
      </c>
      <c r="H7839" s="3" t="str">
        <f>HYPERLINK("http://at.linkedin.com/in/michaelhaschek","http://at.linkedin.com/in/michaelhaschek")</f>
        <v>http://at.linkedin.com/in/michaelhaschek</v>
      </c>
      <c r="I7839" s="2" t="s">
        <v>2443</v>
      </c>
      <c r="J7839" s="2" t="s">
        <v>566</v>
      </c>
      <c r="K7839" s="2" t="s">
        <v>14082</v>
      </c>
    </row>
    <row r="7840" ht="15.75" customHeight="1">
      <c r="A7840" s="2">
        <v>59034.0</v>
      </c>
      <c r="B7840" s="2" t="s">
        <v>133</v>
      </c>
      <c r="C7840" s="2" t="s">
        <v>14557</v>
      </c>
      <c r="D7840" s="2" t="s">
        <v>2802</v>
      </c>
      <c r="E7840" s="2" t="s">
        <v>301</v>
      </c>
      <c r="F7840" s="2">
        <v>13.0</v>
      </c>
      <c r="G7840" s="2">
        <v>500.0</v>
      </c>
      <c r="H7840" s="3" t="str">
        <f>HYPERLINK("http://www.linkedin.com/in/zetsui","http://www.linkedin.com/in/zetsui")</f>
        <v>http://www.linkedin.com/in/zetsui</v>
      </c>
      <c r="I7840" s="2" t="s">
        <v>15</v>
      </c>
      <c r="J7840" s="2" t="s">
        <v>102</v>
      </c>
      <c r="K7840" s="2" t="s">
        <v>14071</v>
      </c>
    </row>
    <row r="7841" ht="15.75" customHeight="1">
      <c r="A7841" s="2">
        <v>59085.0</v>
      </c>
      <c r="B7841" s="2" t="s">
        <v>631</v>
      </c>
      <c r="C7841" s="2" t="s">
        <v>13019</v>
      </c>
      <c r="D7841" s="2" t="s">
        <v>2802</v>
      </c>
      <c r="E7841" s="2" t="s">
        <v>1407</v>
      </c>
      <c r="F7841" s="2">
        <v>15.0</v>
      </c>
      <c r="G7841" s="2">
        <v>500.0</v>
      </c>
      <c r="H7841" s="3" t="str">
        <f>HYPERLINK("http://www.linkedin.com/in/chrislawsonelidanielgroup","http://www.linkedin.com/in/chrislawsonelidanielgroup")</f>
        <v>http://www.linkedin.com/in/chrislawsonelidanielgroup</v>
      </c>
      <c r="I7841" s="2" t="s">
        <v>248</v>
      </c>
      <c r="J7841" s="2" t="s">
        <v>102</v>
      </c>
      <c r="K7841" s="2" t="s">
        <v>14055</v>
      </c>
    </row>
    <row r="7842" ht="15.75" customHeight="1">
      <c r="A7842" s="2">
        <v>59134.0</v>
      </c>
      <c r="B7842" s="2" t="s">
        <v>1096</v>
      </c>
      <c r="C7842" s="2" t="s">
        <v>14558</v>
      </c>
      <c r="D7842" s="2" t="s">
        <v>14559</v>
      </c>
      <c r="E7842" s="2" t="s">
        <v>14560</v>
      </c>
      <c r="F7842" s="2">
        <v>68.0</v>
      </c>
      <c r="G7842" s="2">
        <v>500.0</v>
      </c>
      <c r="H7842" s="3" t="str">
        <f>HYPERLINK("http://www.linkedin.com/in/tonyk","http://www.linkedin.com/in/tonyk")</f>
        <v>http://www.linkedin.com/in/tonyk</v>
      </c>
      <c r="I7842" s="2" t="s">
        <v>188</v>
      </c>
      <c r="J7842" s="2" t="s">
        <v>102</v>
      </c>
      <c r="K7842" s="2" t="s">
        <v>14074</v>
      </c>
    </row>
    <row r="7843" ht="15.75" customHeight="1">
      <c r="A7843" s="2">
        <v>59265.0</v>
      </c>
      <c r="B7843" s="2" t="s">
        <v>721</v>
      </c>
      <c r="C7843" s="2" t="s">
        <v>14561</v>
      </c>
      <c r="D7843" s="2" t="s">
        <v>14562</v>
      </c>
      <c r="E7843" s="2" t="s">
        <v>136</v>
      </c>
      <c r="F7843" s="2">
        <v>36.0</v>
      </c>
      <c r="G7843" s="2">
        <v>500.0</v>
      </c>
      <c r="H7843" s="3" t="str">
        <f>HYPERLINK("http://www.linkedin.com/in/acarges","http://www.linkedin.com/in/acarges")</f>
        <v>http://www.linkedin.com/in/acarges</v>
      </c>
      <c r="I7843" s="2" t="s">
        <v>69</v>
      </c>
      <c r="J7843" s="2" t="s">
        <v>102</v>
      </c>
      <c r="K7843" s="2" t="s">
        <v>14052</v>
      </c>
    </row>
    <row r="7844" ht="15.75" customHeight="1">
      <c r="A7844" s="2">
        <v>59312.0</v>
      </c>
      <c r="B7844" s="2" t="s">
        <v>152</v>
      </c>
      <c r="C7844" s="2" t="s">
        <v>14563</v>
      </c>
      <c r="D7844" s="2" t="s">
        <v>14564</v>
      </c>
      <c r="E7844" s="2" t="s">
        <v>628</v>
      </c>
      <c r="F7844" s="2">
        <v>0.0</v>
      </c>
      <c r="G7844" s="2">
        <v>500.0</v>
      </c>
      <c r="H7844" s="3" t="str">
        <f>HYPERLINK("http://www.linkedin.com/in/eduardoconrado","http://www.linkedin.com/in/eduardoconrado")</f>
        <v>http://www.linkedin.com/in/eduardoconrado</v>
      </c>
      <c r="I7844" s="2" t="s">
        <v>15</v>
      </c>
      <c r="J7844" s="2" t="s">
        <v>102</v>
      </c>
      <c r="K7844" s="2" t="s">
        <v>14565</v>
      </c>
    </row>
    <row r="7845" ht="15.75" customHeight="1">
      <c r="A7845" s="2">
        <v>59558.0</v>
      </c>
      <c r="B7845" s="2" t="s">
        <v>6064</v>
      </c>
      <c r="C7845" s="2" t="s">
        <v>14566</v>
      </c>
      <c r="D7845" s="2" t="s">
        <v>13</v>
      </c>
      <c r="E7845" s="2" t="s">
        <v>20</v>
      </c>
      <c r="F7845" s="2">
        <v>0.0</v>
      </c>
      <c r="G7845" s="2">
        <v>500.0</v>
      </c>
      <c r="H7845" s="3" t="str">
        <f>HYPERLINK("http://www.linkedin.com/pub/romina-cavanna/24/9ab/336","http://www.linkedin.com/pub/romina-cavanna/24/9ab/336")</f>
        <v>http://www.linkedin.com/pub/romina-cavanna/24/9ab/336</v>
      </c>
      <c r="I7845" s="2" t="s">
        <v>458</v>
      </c>
      <c r="J7845" s="2" t="s">
        <v>21</v>
      </c>
      <c r="K7845" s="2" t="s">
        <v>14085</v>
      </c>
    </row>
    <row r="7846" ht="15.75" customHeight="1">
      <c r="A7846" s="2">
        <v>59650.0</v>
      </c>
      <c r="B7846" s="2" t="s">
        <v>1230</v>
      </c>
      <c r="C7846" s="2" t="s">
        <v>7304</v>
      </c>
      <c r="D7846" s="2" t="s">
        <v>380</v>
      </c>
      <c r="E7846" s="2" t="s">
        <v>20</v>
      </c>
      <c r="F7846" s="2">
        <v>0.0</v>
      </c>
      <c r="G7846" s="2">
        <v>500.0</v>
      </c>
      <c r="H7846" s="3" t="str">
        <f>HYPERLINK("http://ar.linkedin.com/pub/alberto-morelli/8/848/222","http://ar.linkedin.com/pub/alberto-morelli/8/848/222")</f>
        <v>http://ar.linkedin.com/pub/alberto-morelli/8/848/222</v>
      </c>
      <c r="I7846" s="2" t="s">
        <v>15</v>
      </c>
      <c r="J7846" s="2" t="s">
        <v>21</v>
      </c>
      <c r="K7846" s="2" t="s">
        <v>14204</v>
      </c>
    </row>
    <row r="7847" ht="15.75" customHeight="1">
      <c r="A7847" s="2">
        <v>60358.0</v>
      </c>
      <c r="B7847" s="2" t="s">
        <v>752</v>
      </c>
      <c r="C7847" s="2" t="s">
        <v>14567</v>
      </c>
      <c r="D7847" s="2" t="s">
        <v>410</v>
      </c>
      <c r="E7847" s="2" t="s">
        <v>166</v>
      </c>
      <c r="F7847" s="2">
        <v>14.0</v>
      </c>
      <c r="G7847" s="2">
        <v>500.0</v>
      </c>
      <c r="H7847" s="3" t="str">
        <f>HYPERLINK("http://www.linkedin.com/in/jimsinur","http://www.linkedin.com/in/jimsinur")</f>
        <v>http://www.linkedin.com/in/jimsinur</v>
      </c>
      <c r="I7847" s="2" t="s">
        <v>48</v>
      </c>
      <c r="J7847" s="2" t="s">
        <v>102</v>
      </c>
      <c r="K7847" s="2" t="s">
        <v>14052</v>
      </c>
    </row>
    <row r="7848" ht="15.75" customHeight="1">
      <c r="A7848" s="2">
        <v>60390.0</v>
      </c>
      <c r="B7848" s="2" t="s">
        <v>4181</v>
      </c>
      <c r="C7848" s="2" t="s">
        <v>14568</v>
      </c>
      <c r="D7848" s="2" t="s">
        <v>400</v>
      </c>
      <c r="E7848" s="2" t="s">
        <v>136</v>
      </c>
      <c r="F7848" s="2">
        <v>3.0</v>
      </c>
      <c r="G7848" s="2">
        <v>500.0</v>
      </c>
      <c r="H7848" s="3" t="str">
        <f>HYPERLINK("http://www.linkedin.com/in/aleinwand","http://www.linkedin.com/in/aleinwand")</f>
        <v>http://www.linkedin.com/in/aleinwand</v>
      </c>
      <c r="I7848" s="2" t="s">
        <v>143</v>
      </c>
      <c r="J7848" s="2" t="s">
        <v>102</v>
      </c>
      <c r="K7848" s="2" t="s">
        <v>14065</v>
      </c>
    </row>
    <row r="7849" ht="15.75" customHeight="1">
      <c r="A7849" s="2">
        <v>60586.0</v>
      </c>
      <c r="B7849" s="2" t="s">
        <v>1173</v>
      </c>
      <c r="C7849" s="2" t="s">
        <v>680</v>
      </c>
      <c r="D7849" s="2" t="s">
        <v>1145</v>
      </c>
      <c r="E7849" s="2" t="s">
        <v>2090</v>
      </c>
      <c r="F7849" s="2">
        <v>8.0</v>
      </c>
      <c r="G7849" s="2">
        <v>500.0</v>
      </c>
      <c r="H7849" s="3" t="str">
        <f>HYPERLINK("http://ca.linkedin.com/in/stevebateman","http://ca.linkedin.com/in/stevebateman")</f>
        <v>http://ca.linkedin.com/in/stevebateman</v>
      </c>
      <c r="I7849" s="2" t="s">
        <v>105</v>
      </c>
      <c r="J7849" s="2" t="s">
        <v>44</v>
      </c>
      <c r="K7849" s="2" t="s">
        <v>14055</v>
      </c>
    </row>
    <row r="7850" ht="15.75" customHeight="1">
      <c r="A7850" s="2">
        <v>60723.0</v>
      </c>
      <c r="B7850" s="2" t="s">
        <v>1173</v>
      </c>
      <c r="C7850" s="2" t="s">
        <v>8003</v>
      </c>
      <c r="D7850" s="2" t="s">
        <v>13</v>
      </c>
      <c r="E7850" s="2" t="s">
        <v>713</v>
      </c>
      <c r="F7850" s="2">
        <v>21.0</v>
      </c>
      <c r="G7850" s="2">
        <v>500.0</v>
      </c>
      <c r="H7850" s="3" t="str">
        <f>HYPERLINK("http://www.linkedin.com/in/stevepace60","http://www.linkedin.com/in/stevepace60")</f>
        <v>http://www.linkedin.com/in/stevepace60</v>
      </c>
      <c r="I7850" s="2" t="s">
        <v>15</v>
      </c>
      <c r="J7850" s="2" t="s">
        <v>102</v>
      </c>
      <c r="K7850" s="2" t="s">
        <v>14095</v>
      </c>
    </row>
    <row r="7851" ht="15.75" customHeight="1">
      <c r="A7851" s="2">
        <v>60750.0</v>
      </c>
      <c r="B7851" s="2" t="s">
        <v>2350</v>
      </c>
      <c r="C7851" s="2" t="s">
        <v>14569</v>
      </c>
      <c r="D7851" s="2" t="s">
        <v>14570</v>
      </c>
      <c r="E7851" s="2" t="s">
        <v>713</v>
      </c>
      <c r="F7851" s="2">
        <v>2.0</v>
      </c>
      <c r="G7851" s="2">
        <v>376.0</v>
      </c>
      <c r="H7851" s="3" t="str">
        <f>HYPERLINK("http://www.linkedin.com/pub/fred-pinkett/1/22/843","http://www.linkedin.com/pub/fred-pinkett/1/22/843")</f>
        <v>http://www.linkedin.com/pub/fred-pinkett/1/22/843</v>
      </c>
      <c r="I7851" s="2" t="s">
        <v>160</v>
      </c>
      <c r="J7851" s="2" t="s">
        <v>102</v>
      </c>
      <c r="K7851" s="2" t="s">
        <v>14074</v>
      </c>
    </row>
    <row r="7852" ht="15.75" customHeight="1">
      <c r="A7852" s="2">
        <v>60824.0</v>
      </c>
      <c r="B7852" s="2" t="s">
        <v>1004</v>
      </c>
      <c r="C7852" s="2" t="s">
        <v>14571</v>
      </c>
      <c r="D7852" s="2" t="s">
        <v>14572</v>
      </c>
      <c r="E7852" s="2" t="s">
        <v>14180</v>
      </c>
      <c r="F7852" s="2">
        <v>4.0</v>
      </c>
      <c r="G7852" s="2">
        <v>500.0</v>
      </c>
      <c r="H7852" s="3" t="str">
        <f>HYPERLINK("http://www.linkedin.com/in/scottcamarotti08","http://www.linkedin.com/in/scottcamarotti08")</f>
        <v>http://www.linkedin.com/in/scottcamarotti08</v>
      </c>
      <c r="I7852" s="2" t="s">
        <v>48</v>
      </c>
      <c r="J7852" s="2" t="s">
        <v>102</v>
      </c>
      <c r="K7852" s="2" t="s">
        <v>14052</v>
      </c>
    </row>
    <row r="7853" ht="15.75" customHeight="1">
      <c r="A7853" s="2">
        <v>60907.0</v>
      </c>
      <c r="B7853" s="2" t="s">
        <v>14573</v>
      </c>
      <c r="C7853" s="2" t="s">
        <v>14574</v>
      </c>
      <c r="D7853" s="2" t="s">
        <v>14575</v>
      </c>
      <c r="E7853" s="2" t="s">
        <v>2058</v>
      </c>
      <c r="F7853" s="2" t="s">
        <v>13</v>
      </c>
      <c r="G7853" s="2">
        <v>372.0</v>
      </c>
      <c r="H7853" s="3" t="str">
        <f>HYPERLINK("http://www.linkedin.com/in/noamlotan","http://www.linkedin.com/in/noamlotan")</f>
        <v>http://www.linkedin.com/in/noamlotan</v>
      </c>
      <c r="I7853" s="2" t="s">
        <v>873</v>
      </c>
      <c r="J7853" s="2" t="s">
        <v>102</v>
      </c>
      <c r="K7853" s="2" t="s">
        <v>14105</v>
      </c>
    </row>
    <row r="7854" ht="15.75" customHeight="1">
      <c r="A7854" s="2">
        <v>60977.0</v>
      </c>
      <c r="B7854" s="2" t="s">
        <v>5322</v>
      </c>
      <c r="C7854" s="2" t="s">
        <v>14576</v>
      </c>
      <c r="D7854" s="2" t="s">
        <v>1910</v>
      </c>
      <c r="E7854" s="2" t="s">
        <v>628</v>
      </c>
      <c r="F7854" s="2">
        <v>21.0</v>
      </c>
      <c r="G7854" s="2">
        <v>500.0</v>
      </c>
      <c r="H7854" s="3" t="str">
        <f>HYPERLINK("http://www.linkedin.com/in/ambernaslund","http://www.linkedin.com/in/ambernaslund")</f>
        <v>http://www.linkedin.com/in/ambernaslund</v>
      </c>
      <c r="I7854" s="2" t="s">
        <v>57</v>
      </c>
      <c r="J7854" s="2" t="s">
        <v>102</v>
      </c>
      <c r="K7854" s="2" t="s">
        <v>14074</v>
      </c>
    </row>
    <row r="7855" ht="15.75" customHeight="1">
      <c r="A7855" s="2">
        <v>61144.0</v>
      </c>
      <c r="B7855" s="2" t="s">
        <v>353</v>
      </c>
      <c r="C7855" s="2" t="s">
        <v>14577</v>
      </c>
      <c r="D7855" s="2" t="s">
        <v>14578</v>
      </c>
      <c r="E7855" s="2" t="s">
        <v>1190</v>
      </c>
      <c r="F7855" s="2">
        <v>35.0</v>
      </c>
      <c r="G7855" s="2">
        <v>500.0</v>
      </c>
      <c r="H7855" s="3" t="str">
        <f>HYPERLINK("http://www.linkedin.com/in/amainetto","http://www.linkedin.com/in/amainetto")</f>
        <v>http://www.linkedin.com/in/amainetto</v>
      </c>
      <c r="I7855" s="2" t="s">
        <v>15</v>
      </c>
      <c r="J7855" s="2" t="s">
        <v>102</v>
      </c>
      <c r="K7855" s="2" t="s">
        <v>14074</v>
      </c>
    </row>
    <row r="7856" ht="15.75" customHeight="1">
      <c r="A7856" s="2">
        <v>61199.0</v>
      </c>
      <c r="B7856" s="2" t="s">
        <v>45</v>
      </c>
      <c r="C7856" s="2" t="s">
        <v>6543</v>
      </c>
      <c r="D7856" s="2" t="s">
        <v>14579</v>
      </c>
      <c r="E7856" s="2" t="s">
        <v>1190</v>
      </c>
      <c r="F7856" s="2">
        <v>9.0</v>
      </c>
      <c r="G7856" s="2">
        <v>500.0</v>
      </c>
      <c r="H7856" s="3" t="str">
        <f>HYPERLINK("http://www.linkedin.com/pub/carlos-blanco/1/6B2/780","http://www.linkedin.com/pub/carlos-blanco/1/6B2/780")</f>
        <v>http://www.linkedin.com/pub/carlos-blanco/1/6B2/780</v>
      </c>
      <c r="I7856" s="2" t="s">
        <v>77</v>
      </c>
      <c r="J7856" s="2" t="s">
        <v>102</v>
      </c>
      <c r="K7856" s="2" t="s">
        <v>14211</v>
      </c>
    </row>
    <row r="7857" ht="15.75" customHeight="1">
      <c r="A7857" s="2">
        <v>61300.0</v>
      </c>
      <c r="B7857" s="2" t="s">
        <v>14580</v>
      </c>
      <c r="C7857" s="2" t="s">
        <v>4264</v>
      </c>
      <c r="D7857" s="2" t="s">
        <v>14581</v>
      </c>
      <c r="E7857" s="2" t="s">
        <v>14582</v>
      </c>
      <c r="F7857" s="2" t="s">
        <v>13</v>
      </c>
      <c r="G7857" s="2">
        <v>380.0</v>
      </c>
      <c r="H7857" s="3" t="str">
        <f>HYPERLINK("http://www.linkedin.com/pub/francisco-gonz%C3%A1lez/13/29A/917","http://www.linkedin.com/pub/francisco-gonz%C3%A1lez/13/29A/917")</f>
        <v>http://www.linkedin.com/pub/francisco-gonz%C3%A1lez/13/29A/917</v>
      </c>
      <c r="I7857" s="2" t="s">
        <v>4394</v>
      </c>
      <c r="J7857" s="2" t="s">
        <v>102</v>
      </c>
      <c r="K7857" s="2" t="s">
        <v>14207</v>
      </c>
    </row>
    <row r="7858" ht="15.75" customHeight="1">
      <c r="A7858" s="2">
        <v>61326.0</v>
      </c>
      <c r="B7858" s="2" t="s">
        <v>264</v>
      </c>
      <c r="C7858" s="2" t="s">
        <v>4233</v>
      </c>
      <c r="D7858" s="2" t="s">
        <v>6567</v>
      </c>
      <c r="E7858" s="2" t="s">
        <v>1190</v>
      </c>
      <c r="F7858" s="2">
        <v>5.0</v>
      </c>
      <c r="G7858" s="2">
        <v>500.0</v>
      </c>
      <c r="H7858" s="3" t="str">
        <f>HYPERLINK("http://www.linkedin.com/in/andresgonzalezhorovitz","http://www.linkedin.com/in/andresgonzalezhorovitz")</f>
        <v>http://www.linkedin.com/in/andresgonzalezhorovitz</v>
      </c>
      <c r="I7858" s="2" t="s">
        <v>15</v>
      </c>
      <c r="J7858" s="2" t="s">
        <v>102</v>
      </c>
      <c r="K7858" s="2" t="s">
        <v>14092</v>
      </c>
    </row>
    <row r="7859" ht="15.75" customHeight="1">
      <c r="A7859" s="2">
        <v>61506.0</v>
      </c>
      <c r="B7859" s="2" t="s">
        <v>3072</v>
      </c>
      <c r="C7859" s="2" t="s">
        <v>14583</v>
      </c>
      <c r="D7859" s="2" t="s">
        <v>400</v>
      </c>
      <c r="E7859" s="2" t="s">
        <v>235</v>
      </c>
      <c r="F7859" s="2">
        <v>2.0</v>
      </c>
      <c r="G7859" s="2">
        <v>500.0</v>
      </c>
      <c r="H7859" s="3" t="str">
        <f>HYPERLINK("http://www.linkedin.com/pub/luis-derechin/0/6/31B","http://www.linkedin.com/pub/luis-derechin/0/6/31B")</f>
        <v>http://www.linkedin.com/pub/luis-derechin/0/6/31B</v>
      </c>
      <c r="I7859" s="2" t="s">
        <v>15</v>
      </c>
      <c r="J7859" s="2" t="s">
        <v>102</v>
      </c>
      <c r="K7859" s="2" t="s">
        <v>14088</v>
      </c>
    </row>
    <row r="7860" ht="15.75" customHeight="1">
      <c r="A7860" s="2">
        <v>61545.0</v>
      </c>
      <c r="B7860" s="2" t="s">
        <v>12292</v>
      </c>
      <c r="C7860" s="2" t="s">
        <v>14584</v>
      </c>
      <c r="D7860" s="2" t="s">
        <v>14585</v>
      </c>
      <c r="E7860" s="2" t="s">
        <v>136</v>
      </c>
      <c r="F7860" s="2">
        <v>12.0</v>
      </c>
      <c r="G7860" s="2">
        <v>439.0</v>
      </c>
      <c r="H7860" s="3" t="str">
        <f>HYPERLINK("http://www.linkedin.com/in/ilanbluvstein","http://www.linkedin.com/in/ilanbluvstein")</f>
        <v>http://www.linkedin.com/in/ilanbluvstein</v>
      </c>
      <c r="I7860" s="2" t="s">
        <v>77</v>
      </c>
      <c r="J7860" s="2" t="s">
        <v>102</v>
      </c>
      <c r="K7860" s="2" t="s">
        <v>14085</v>
      </c>
    </row>
    <row r="7861" ht="15.75" customHeight="1">
      <c r="A7861" s="2">
        <v>61703.0</v>
      </c>
      <c r="B7861" s="2" t="s">
        <v>506</v>
      </c>
      <c r="C7861" s="2" t="s">
        <v>6600</v>
      </c>
      <c r="D7861" s="2" t="s">
        <v>125</v>
      </c>
      <c r="E7861" s="2" t="s">
        <v>1190</v>
      </c>
      <c r="F7861" s="2">
        <v>5.0</v>
      </c>
      <c r="G7861" s="2">
        <v>500.0</v>
      </c>
      <c r="H7861" s="3" t="str">
        <f>HYPERLINK("http://www.linkedin.com/in/josegflores","http://www.linkedin.com/in/josegflores")</f>
        <v>http://www.linkedin.com/in/josegflores</v>
      </c>
      <c r="I7861" s="2" t="s">
        <v>160</v>
      </c>
      <c r="J7861" s="2" t="s">
        <v>102</v>
      </c>
      <c r="K7861" s="2" t="s">
        <v>14085</v>
      </c>
    </row>
    <row r="7862" ht="15.75" customHeight="1">
      <c r="A7862" s="2">
        <v>61956.0</v>
      </c>
      <c r="B7862" s="2" t="s">
        <v>3299</v>
      </c>
      <c r="C7862" s="2" t="s">
        <v>14586</v>
      </c>
      <c r="D7862" s="2" t="s">
        <v>14587</v>
      </c>
      <c r="E7862" s="2" t="s">
        <v>1190</v>
      </c>
      <c r="F7862" s="2">
        <v>0.0</v>
      </c>
      <c r="G7862" s="2">
        <v>500.0</v>
      </c>
      <c r="H7862" s="3" t="str">
        <f>HYPERLINK("http://www.linkedin.com/pub/fabian-sperman/4/460/496","http://www.linkedin.com/pub/fabian-sperman/4/460/496")</f>
        <v>http://www.linkedin.com/pub/fabian-sperman/4/460/496</v>
      </c>
      <c r="I7862" s="2" t="s">
        <v>15</v>
      </c>
      <c r="J7862" s="2" t="s">
        <v>102</v>
      </c>
      <c r="K7862" s="2" t="s">
        <v>14088</v>
      </c>
    </row>
    <row r="7863" ht="15.75" customHeight="1">
      <c r="A7863" s="2">
        <v>61980.0</v>
      </c>
      <c r="B7863" s="2" t="s">
        <v>2727</v>
      </c>
      <c r="C7863" s="2" t="s">
        <v>14588</v>
      </c>
      <c r="D7863" s="2" t="s">
        <v>42</v>
      </c>
      <c r="E7863" s="2" t="s">
        <v>457</v>
      </c>
      <c r="F7863" s="2">
        <v>1.0</v>
      </c>
      <c r="G7863" s="2">
        <v>392.0</v>
      </c>
      <c r="H7863" s="3" t="str">
        <f>HYPERLINK("http://www.linkedin.com/pub/monica-d-amore/9/A3A/AAB","http://www.linkedin.com/pub/monica-d-amore/9/A3A/AAB")</f>
        <v>http://www.linkedin.com/pub/monica-d-amore/9/A3A/AAB</v>
      </c>
      <c r="I7863" s="2" t="s">
        <v>48</v>
      </c>
      <c r="J7863" s="2" t="s">
        <v>102</v>
      </c>
      <c r="K7863" s="2" t="s">
        <v>14074</v>
      </c>
    </row>
    <row r="7864" ht="15.75" customHeight="1">
      <c r="A7864" s="2">
        <v>62040.0</v>
      </c>
      <c r="B7864" s="2" t="s">
        <v>6639</v>
      </c>
      <c r="C7864" s="2" t="s">
        <v>7390</v>
      </c>
      <c r="D7864" s="2" t="s">
        <v>832</v>
      </c>
      <c r="E7864" s="2" t="s">
        <v>1190</v>
      </c>
      <c r="F7864" s="2">
        <v>11.0</v>
      </c>
      <c r="G7864" s="2">
        <v>500.0</v>
      </c>
      <c r="H7864" s="3" t="str">
        <f>HYPERLINK("http://www.linkedin.com/in/transearch","http://www.linkedin.com/in/transearch")</f>
        <v>http://www.linkedin.com/in/transearch</v>
      </c>
      <c r="I7864" s="2" t="s">
        <v>248</v>
      </c>
      <c r="J7864" s="2" t="s">
        <v>102</v>
      </c>
      <c r="K7864" s="2" t="s">
        <v>14055</v>
      </c>
    </row>
    <row r="7865" ht="15.75" customHeight="1">
      <c r="A7865" s="2">
        <v>62352.0</v>
      </c>
      <c r="B7865" s="2" t="s">
        <v>1275</v>
      </c>
      <c r="C7865" s="2" t="s">
        <v>5611</v>
      </c>
      <c r="D7865" s="2" t="s">
        <v>47</v>
      </c>
      <c r="E7865" s="2" t="s">
        <v>14589</v>
      </c>
      <c r="F7865" s="2">
        <v>59.0</v>
      </c>
      <c r="G7865" s="2">
        <v>500.0</v>
      </c>
      <c r="H7865" s="3" t="str">
        <f>HYPERLINK("http://www.linkedin.com/in/bradhanks","http://www.linkedin.com/in/bradhanks")</f>
        <v>http://www.linkedin.com/in/bradhanks</v>
      </c>
      <c r="I7865" s="2" t="s">
        <v>475</v>
      </c>
      <c r="J7865" s="2" t="s">
        <v>102</v>
      </c>
      <c r="K7865" s="2" t="s">
        <v>14074</v>
      </c>
    </row>
    <row r="7866" ht="15.75" customHeight="1">
      <c r="A7866" s="2">
        <v>62398.0</v>
      </c>
      <c r="B7866" s="2" t="s">
        <v>14590</v>
      </c>
      <c r="C7866" s="2" t="s">
        <v>14591</v>
      </c>
      <c r="D7866" s="2" t="s">
        <v>14592</v>
      </c>
      <c r="E7866" s="2" t="s">
        <v>11025</v>
      </c>
      <c r="F7866" s="2">
        <v>1.0</v>
      </c>
      <c r="G7866" s="2">
        <v>500.0</v>
      </c>
      <c r="H7866" s="3" t="str">
        <f>HYPERLINK("http://www.linkedin.com/pub/clif-critchlow/13/370/AB3","http://www.linkedin.com/pub/clif-critchlow/13/370/AB3")</f>
        <v>http://www.linkedin.com/pub/clif-critchlow/13/370/AB3</v>
      </c>
      <c r="I7866" s="2" t="s">
        <v>252</v>
      </c>
      <c r="J7866" s="2" t="s">
        <v>102</v>
      </c>
      <c r="K7866" s="2" t="s">
        <v>14055</v>
      </c>
    </row>
    <row r="7867" ht="15.75" customHeight="1">
      <c r="A7867" s="2">
        <v>62413.0</v>
      </c>
      <c r="B7867" s="2" t="s">
        <v>845</v>
      </c>
      <c r="C7867" s="2" t="s">
        <v>548</v>
      </c>
      <c r="D7867" s="2" t="s">
        <v>14593</v>
      </c>
      <c r="E7867" s="2" t="s">
        <v>14594</v>
      </c>
      <c r="F7867" s="2">
        <v>2.0</v>
      </c>
      <c r="G7867" s="2">
        <v>462.0</v>
      </c>
      <c r="H7867" s="3" t="str">
        <f>HYPERLINK("http://www.linkedin.com/pub/david-cook/2/215/5B","http://www.linkedin.com/pub/david-cook/2/215/5B")</f>
        <v>http://www.linkedin.com/pub/david-cook/2/215/5B</v>
      </c>
      <c r="I7867" s="2" t="s">
        <v>252</v>
      </c>
      <c r="J7867" s="2" t="s">
        <v>102</v>
      </c>
      <c r="K7867" s="2" t="s">
        <v>14055</v>
      </c>
    </row>
    <row r="7868" ht="15.75" customHeight="1">
      <c r="A7868" s="2">
        <v>62425.0</v>
      </c>
      <c r="B7868" s="2" t="s">
        <v>14595</v>
      </c>
      <c r="C7868" s="2" t="s">
        <v>14596</v>
      </c>
      <c r="D7868" s="2" t="s">
        <v>14597</v>
      </c>
      <c r="E7868" s="2" t="s">
        <v>1147</v>
      </c>
      <c r="F7868" s="2">
        <v>21.0</v>
      </c>
      <c r="G7868" s="2">
        <v>500.0</v>
      </c>
      <c r="H7868" s="3" t="str">
        <f>HYPERLINK("http://www.linkedin.com/in/charlesarizmendi","http://www.linkedin.com/in/charlesarizmendi")</f>
        <v>http://www.linkedin.com/in/charlesarizmendi</v>
      </c>
      <c r="I7868" s="2" t="s">
        <v>15</v>
      </c>
      <c r="J7868" s="2" t="s">
        <v>102</v>
      </c>
      <c r="K7868" s="2" t="s">
        <v>14088</v>
      </c>
    </row>
    <row r="7869" ht="15.75" customHeight="1">
      <c r="A7869" s="2">
        <v>62452.0</v>
      </c>
      <c r="B7869" s="2" t="s">
        <v>4754</v>
      </c>
      <c r="C7869" s="2" t="s">
        <v>14598</v>
      </c>
      <c r="D7869" s="2" t="s">
        <v>42</v>
      </c>
      <c r="E7869" s="2" t="s">
        <v>971</v>
      </c>
      <c r="F7869" s="2">
        <v>10.0</v>
      </c>
      <c r="G7869" s="2">
        <v>500.0</v>
      </c>
      <c r="H7869" s="3" t="str">
        <f>HYPERLINK("http://www.linkedin.com/in/kylep","http://www.linkedin.com/in/kylep")</f>
        <v>http://www.linkedin.com/in/kylep</v>
      </c>
      <c r="I7869" s="2" t="s">
        <v>77</v>
      </c>
      <c r="J7869" s="2" t="s">
        <v>102</v>
      </c>
      <c r="K7869" s="2" t="s">
        <v>14105</v>
      </c>
    </row>
    <row r="7870" ht="15.75" customHeight="1">
      <c r="A7870" s="2">
        <v>62522.0</v>
      </c>
      <c r="B7870" s="2" t="s">
        <v>511</v>
      </c>
      <c r="C7870" s="2" t="s">
        <v>14599</v>
      </c>
      <c r="D7870" s="2" t="s">
        <v>14600</v>
      </c>
      <c r="E7870" s="2" t="s">
        <v>136</v>
      </c>
      <c r="F7870" s="2">
        <v>10.0</v>
      </c>
      <c r="G7870" s="2">
        <v>500.0</v>
      </c>
      <c r="H7870" s="3" t="str">
        <f>HYPERLINK("https://www.linkedin.com/in/mikeperusse","https://www.linkedin.com/in/mikeperusse")</f>
        <v>https://www.linkedin.com/in/mikeperusse</v>
      </c>
      <c r="I7870" s="2" t="s">
        <v>77</v>
      </c>
      <c r="J7870" s="2" t="s">
        <v>102</v>
      </c>
      <c r="K7870" s="2" t="s">
        <v>14601</v>
      </c>
    </row>
    <row r="7871" ht="15.75" customHeight="1">
      <c r="A7871" s="2">
        <v>62569.0</v>
      </c>
      <c r="B7871" s="2" t="s">
        <v>14602</v>
      </c>
      <c r="C7871" s="2" t="s">
        <v>4773</v>
      </c>
      <c r="D7871" s="2" t="s">
        <v>14603</v>
      </c>
      <c r="E7871" s="2" t="s">
        <v>3987</v>
      </c>
      <c r="F7871" s="2">
        <v>2.0</v>
      </c>
      <c r="G7871" s="2">
        <v>500.0</v>
      </c>
      <c r="H7871" s="3" t="str">
        <f>HYPERLINK("http://www.linkedin.com/in/michaelcprice","http://www.linkedin.com/in/michaelcprice")</f>
        <v>http://www.linkedin.com/in/michaelcprice</v>
      </c>
      <c r="I7871" s="2" t="s">
        <v>15</v>
      </c>
      <c r="J7871" s="2" t="s">
        <v>102</v>
      </c>
      <c r="K7871" s="2" t="s">
        <v>14052</v>
      </c>
    </row>
    <row r="7872" ht="15.75" customHeight="1">
      <c r="A7872" s="2">
        <v>62634.0</v>
      </c>
      <c r="B7872" s="2" t="s">
        <v>5495</v>
      </c>
      <c r="C7872" s="2" t="s">
        <v>14604</v>
      </c>
      <c r="D7872" s="2" t="s">
        <v>14605</v>
      </c>
      <c r="E7872" s="2" t="s">
        <v>13542</v>
      </c>
      <c r="F7872" s="2">
        <v>6.0</v>
      </c>
      <c r="G7872" s="2">
        <v>500.0</v>
      </c>
      <c r="H7872" s="3" t="str">
        <f>HYPERLINK("http://www.linkedin.com/in/fabiotylim","http://www.linkedin.com/in/fabiotylim")</f>
        <v>http://www.linkedin.com/in/fabiotylim</v>
      </c>
      <c r="I7872" s="2" t="s">
        <v>77</v>
      </c>
      <c r="J7872" s="2" t="s">
        <v>102</v>
      </c>
      <c r="K7872" s="2" t="s">
        <v>14102</v>
      </c>
    </row>
    <row r="7873" ht="15.75" customHeight="1">
      <c r="A7873" s="2">
        <v>62650.0</v>
      </c>
      <c r="B7873" s="2" t="s">
        <v>14606</v>
      </c>
      <c r="C7873" s="2" t="s">
        <v>14607</v>
      </c>
      <c r="D7873" s="2" t="s">
        <v>14608</v>
      </c>
      <c r="E7873" s="2" t="s">
        <v>1407</v>
      </c>
      <c r="F7873" s="2">
        <v>62.0</v>
      </c>
      <c r="G7873" s="2">
        <v>500.0</v>
      </c>
      <c r="H7873" s="3" t="str">
        <f>HYPERLINK("http://www.linkedin.com/in/melzeledon","http://www.linkedin.com/in/melzeledon")</f>
        <v>http://www.linkedin.com/in/melzeledon</v>
      </c>
      <c r="I7873" s="2" t="s">
        <v>48</v>
      </c>
      <c r="J7873" s="2" t="s">
        <v>102</v>
      </c>
      <c r="K7873" s="2" t="s">
        <v>14609</v>
      </c>
    </row>
    <row r="7874" ht="15.75" customHeight="1">
      <c r="A7874" s="2">
        <v>62732.0</v>
      </c>
      <c r="B7874" s="2" t="s">
        <v>146</v>
      </c>
      <c r="C7874" s="2" t="s">
        <v>14610</v>
      </c>
      <c r="D7874" s="2" t="s">
        <v>14611</v>
      </c>
      <c r="E7874" s="2" t="s">
        <v>1190</v>
      </c>
      <c r="F7874" s="2">
        <v>2.0</v>
      </c>
      <c r="G7874" s="2">
        <v>449.0</v>
      </c>
      <c r="H7874" s="3" t="str">
        <f>HYPERLINK("http://www.linkedin.com/in/ealbizu","http://www.linkedin.com/in/ealbizu")</f>
        <v>http://www.linkedin.com/in/ealbizu</v>
      </c>
      <c r="I7874" s="2" t="s">
        <v>15</v>
      </c>
      <c r="J7874" s="2" t="s">
        <v>102</v>
      </c>
      <c r="K7874" s="2" t="s">
        <v>14092</v>
      </c>
    </row>
    <row r="7875" ht="15.75" customHeight="1">
      <c r="A7875" s="2">
        <v>62833.0</v>
      </c>
      <c r="B7875" s="2" t="s">
        <v>14612</v>
      </c>
      <c r="C7875" s="2" t="s">
        <v>14613</v>
      </c>
      <c r="D7875" s="2" t="s">
        <v>13</v>
      </c>
      <c r="E7875" s="2" t="s">
        <v>992</v>
      </c>
      <c r="F7875" s="2">
        <v>0.0</v>
      </c>
      <c r="G7875" s="2">
        <v>500.0</v>
      </c>
      <c r="H7875" s="3" t="str">
        <f>HYPERLINK("http://www.linkedin.com/in/kramer","http://www.linkedin.com/in/kramer")</f>
        <v>http://www.linkedin.com/in/kramer</v>
      </c>
      <c r="I7875" s="2" t="s">
        <v>57</v>
      </c>
      <c r="J7875" s="2" t="s">
        <v>102</v>
      </c>
      <c r="K7875" s="2" t="s">
        <v>14078</v>
      </c>
    </row>
    <row r="7876" ht="15.75" customHeight="1">
      <c r="A7876" s="2">
        <v>62884.0</v>
      </c>
      <c r="B7876" s="2" t="s">
        <v>14614</v>
      </c>
      <c r="C7876" s="2" t="s">
        <v>6508</v>
      </c>
      <c r="D7876" s="2" t="s">
        <v>14615</v>
      </c>
      <c r="E7876" s="2" t="s">
        <v>325</v>
      </c>
      <c r="F7876" s="2">
        <v>20.0</v>
      </c>
      <c r="G7876" s="2">
        <v>500.0</v>
      </c>
      <c r="H7876" s="3" t="str">
        <f>HYPERLINK("http://www.linkedin.com/pub/laz-sanchez/3/546/913","http://www.linkedin.com/pub/laz-sanchez/3/546/913")</f>
        <v>http://www.linkedin.com/pub/laz-sanchez/3/546/913</v>
      </c>
      <c r="I7876" s="2" t="s">
        <v>77</v>
      </c>
      <c r="J7876" s="2" t="s">
        <v>102</v>
      </c>
      <c r="K7876" s="2" t="s">
        <v>14105</v>
      </c>
    </row>
    <row r="7877" ht="15.75" customHeight="1">
      <c r="A7877" s="2">
        <v>63007.0</v>
      </c>
      <c r="B7877" s="2" t="s">
        <v>1366</v>
      </c>
      <c r="C7877" s="2" t="s">
        <v>14616</v>
      </c>
      <c r="D7877" s="2" t="s">
        <v>114</v>
      </c>
      <c r="E7877" s="2" t="s">
        <v>1190</v>
      </c>
      <c r="F7877" s="2">
        <v>1.0</v>
      </c>
      <c r="G7877" s="2">
        <v>332.0</v>
      </c>
      <c r="H7877" s="3" t="str">
        <f>HYPERLINK("http://www.linkedin.com/pub/peter-tan/4/640/746","http://www.linkedin.com/pub/peter-tan/4/640/746")</f>
        <v>http://www.linkedin.com/pub/peter-tan/4/640/746</v>
      </c>
      <c r="I7877" s="2" t="s">
        <v>1452</v>
      </c>
      <c r="J7877" s="2" t="s">
        <v>102</v>
      </c>
      <c r="K7877" s="2" t="s">
        <v>14617</v>
      </c>
    </row>
    <row r="7878" ht="15.75" customHeight="1">
      <c r="A7878" s="2">
        <v>63115.0</v>
      </c>
      <c r="B7878" s="2" t="s">
        <v>1068</v>
      </c>
      <c r="C7878" s="2" t="s">
        <v>14618</v>
      </c>
      <c r="D7878" s="2" t="s">
        <v>14619</v>
      </c>
      <c r="E7878" s="2" t="s">
        <v>1190</v>
      </c>
      <c r="F7878" s="2">
        <v>2.0</v>
      </c>
      <c r="G7878" s="2">
        <v>500.0</v>
      </c>
      <c r="H7878" s="3" t="str">
        <f>HYPERLINK("http://www.linkedin.com/in/jerrypelosi","http://www.linkedin.com/in/jerrypelosi")</f>
        <v>http://www.linkedin.com/in/jerrypelosi</v>
      </c>
      <c r="I7878" s="2" t="s">
        <v>119</v>
      </c>
      <c r="J7878" s="2" t="s">
        <v>102</v>
      </c>
      <c r="K7878" s="2" t="s">
        <v>14074</v>
      </c>
    </row>
    <row r="7879" ht="15.75" customHeight="1">
      <c r="A7879" s="2">
        <v>63443.0</v>
      </c>
      <c r="B7879" s="2" t="s">
        <v>1015</v>
      </c>
      <c r="C7879" s="2" t="s">
        <v>12006</v>
      </c>
      <c r="D7879" s="2" t="s">
        <v>14620</v>
      </c>
      <c r="E7879" s="2" t="s">
        <v>301</v>
      </c>
      <c r="F7879" s="2">
        <v>6.0</v>
      </c>
      <c r="G7879" s="2">
        <v>500.0</v>
      </c>
      <c r="H7879" s="3" t="str">
        <f>HYPERLINK("http://www.linkedin.com/pub/brian-yang/16/603/874","http://www.linkedin.com/pub/brian-yang/16/603/874")</f>
        <v>http://www.linkedin.com/pub/brian-yang/16/603/874</v>
      </c>
      <c r="I7879" s="2" t="s">
        <v>77</v>
      </c>
      <c r="J7879" s="2" t="s">
        <v>102</v>
      </c>
      <c r="K7879" s="2" t="s">
        <v>14105</v>
      </c>
    </row>
    <row r="7880" ht="15.75" customHeight="1">
      <c r="A7880" s="2">
        <v>63561.0</v>
      </c>
      <c r="B7880" s="2" t="s">
        <v>2153</v>
      </c>
      <c r="C7880" s="2" t="s">
        <v>3864</v>
      </c>
      <c r="D7880" s="2" t="s">
        <v>1145</v>
      </c>
      <c r="E7880" s="2" t="s">
        <v>2058</v>
      </c>
      <c r="F7880" s="2">
        <v>10.0</v>
      </c>
      <c r="G7880" s="2">
        <v>500.0</v>
      </c>
      <c r="H7880" s="3" t="str">
        <f>HYPERLINK("http://www.linkedin.com/in/nickmbishop","http://www.linkedin.com/in/nickmbishop")</f>
        <v>http://www.linkedin.com/in/nickmbishop</v>
      </c>
      <c r="I7880" s="2" t="s">
        <v>105</v>
      </c>
      <c r="J7880" s="2" t="s">
        <v>102</v>
      </c>
      <c r="K7880" s="2" t="s">
        <v>14092</v>
      </c>
    </row>
    <row r="7881" ht="15.75" customHeight="1">
      <c r="A7881" s="2">
        <v>63709.0</v>
      </c>
      <c r="B7881" s="2" t="s">
        <v>275</v>
      </c>
      <c r="C7881" s="2" t="s">
        <v>14621</v>
      </c>
      <c r="D7881" s="2" t="s">
        <v>108</v>
      </c>
      <c r="E7881" s="2" t="s">
        <v>5294</v>
      </c>
      <c r="F7881" s="2">
        <v>8.0</v>
      </c>
      <c r="G7881" s="2">
        <v>500.0</v>
      </c>
      <c r="H7881" s="3" t="str">
        <f>HYPERLINK("http://www.linkedin.com/in/fetherolf","http://www.linkedin.com/in/fetherolf")</f>
        <v>http://www.linkedin.com/in/fetherolf</v>
      </c>
      <c r="I7881" s="2" t="s">
        <v>48</v>
      </c>
      <c r="J7881" s="2" t="s">
        <v>102</v>
      </c>
      <c r="K7881" s="2" t="s">
        <v>14065</v>
      </c>
    </row>
    <row r="7882" ht="15.75" customHeight="1">
      <c r="A7882" s="2">
        <v>63744.0</v>
      </c>
      <c r="B7882" s="2" t="s">
        <v>8772</v>
      </c>
      <c r="C7882" s="2" t="s">
        <v>8336</v>
      </c>
      <c r="D7882" s="2" t="s">
        <v>14622</v>
      </c>
      <c r="E7882" s="2" t="s">
        <v>914</v>
      </c>
      <c r="F7882" s="2">
        <v>30.0</v>
      </c>
      <c r="G7882" s="2">
        <v>500.0</v>
      </c>
      <c r="H7882" s="3" t="str">
        <f>HYPERLINK("http://www.linkedin.com/in/erickrivas","http://www.linkedin.com/in/erickrivas")</f>
        <v>http://www.linkedin.com/in/erickrivas</v>
      </c>
      <c r="I7882" s="2" t="s">
        <v>69</v>
      </c>
      <c r="J7882" s="2" t="s">
        <v>102</v>
      </c>
      <c r="K7882" s="2" t="s">
        <v>14078</v>
      </c>
    </row>
    <row r="7883" ht="15.75" customHeight="1">
      <c r="A7883" s="2">
        <v>63773.0</v>
      </c>
      <c r="B7883" s="2" t="s">
        <v>2567</v>
      </c>
      <c r="C7883" s="2" t="s">
        <v>14623</v>
      </c>
      <c r="D7883" s="2" t="s">
        <v>1674</v>
      </c>
      <c r="E7883" s="2" t="s">
        <v>762</v>
      </c>
      <c r="F7883" s="2">
        <v>42.0</v>
      </c>
      <c r="G7883" s="2">
        <v>500.0</v>
      </c>
      <c r="H7883" s="3" t="str">
        <f>HYPERLINK("http://www.linkedin.com/in/christopherjustice","http://www.linkedin.com/in/christopherjustice")</f>
        <v>http://www.linkedin.com/in/christopherjustice</v>
      </c>
      <c r="I7883" s="2" t="s">
        <v>105</v>
      </c>
      <c r="J7883" s="2" t="s">
        <v>102</v>
      </c>
      <c r="K7883" s="2" t="s">
        <v>14074</v>
      </c>
    </row>
    <row r="7884" ht="15.75" customHeight="1">
      <c r="A7884" s="2">
        <v>63853.0</v>
      </c>
      <c r="B7884" s="2" t="s">
        <v>5723</v>
      </c>
      <c r="C7884" s="2" t="s">
        <v>6276</v>
      </c>
      <c r="D7884" s="2" t="s">
        <v>14624</v>
      </c>
      <c r="E7884" s="2" t="s">
        <v>20</v>
      </c>
      <c r="F7884" s="2" t="s">
        <v>13</v>
      </c>
      <c r="G7884" s="2">
        <v>500.0</v>
      </c>
      <c r="H7884" s="3" t="str">
        <f>HYPERLINK("http://ar.linkedin.com/pub/pablo-cavallo/6/385/4B7","http://ar.linkedin.com/pub/pablo-cavallo/6/385/4B7")</f>
        <v>http://ar.linkedin.com/pub/pablo-cavallo/6/385/4B7</v>
      </c>
      <c r="I7884" s="2" t="s">
        <v>326</v>
      </c>
      <c r="J7884" s="2" t="s">
        <v>21</v>
      </c>
      <c r="K7884" s="2" t="s">
        <v>14055</v>
      </c>
    </row>
    <row r="7885" ht="15.75" customHeight="1">
      <c r="A7885" s="2">
        <v>64956.0</v>
      </c>
      <c r="B7885" s="2" t="s">
        <v>1235</v>
      </c>
      <c r="C7885" s="2" t="s">
        <v>9567</v>
      </c>
      <c r="D7885" s="2" t="s">
        <v>1145</v>
      </c>
      <c r="E7885" s="2" t="s">
        <v>1918</v>
      </c>
      <c r="F7885" s="2">
        <v>6.0</v>
      </c>
      <c r="G7885" s="2">
        <v>500.0</v>
      </c>
      <c r="H7885" s="3" t="str">
        <f>HYPERLINK("http://www.linkedin.com/in/ramontoledo","http://www.linkedin.com/in/ramontoledo")</f>
        <v>http://www.linkedin.com/in/ramontoledo</v>
      </c>
      <c r="I7885" s="2" t="s">
        <v>69</v>
      </c>
      <c r="J7885" s="2" t="s">
        <v>102</v>
      </c>
      <c r="K7885" s="2" t="s">
        <v>14073</v>
      </c>
    </row>
    <row r="7886" ht="15.75" customHeight="1">
      <c r="A7886" s="2">
        <v>65046.0</v>
      </c>
      <c r="B7886" s="2" t="s">
        <v>14625</v>
      </c>
      <c r="C7886" s="2" t="s">
        <v>14626</v>
      </c>
      <c r="D7886" s="2" t="s">
        <v>14627</v>
      </c>
      <c r="E7886" s="2" t="s">
        <v>1190</v>
      </c>
      <c r="F7886" s="2">
        <v>52.0</v>
      </c>
      <c r="G7886" s="2">
        <v>500.0</v>
      </c>
      <c r="H7886" s="3" t="str">
        <f>HYPERLINK("http://www.linkedin.com/in/pbolgar","http://www.linkedin.com/in/pbolgar")</f>
        <v>http://www.linkedin.com/in/pbolgar</v>
      </c>
      <c r="I7886" s="2" t="s">
        <v>374</v>
      </c>
      <c r="J7886" s="2" t="s">
        <v>102</v>
      </c>
      <c r="K7886" s="2" t="s">
        <v>14092</v>
      </c>
    </row>
    <row r="7887" ht="15.75" customHeight="1">
      <c r="A7887" s="2">
        <v>65094.0</v>
      </c>
      <c r="B7887" s="2" t="s">
        <v>1821</v>
      </c>
      <c r="C7887" s="2" t="s">
        <v>11086</v>
      </c>
      <c r="D7887" s="2" t="s">
        <v>400</v>
      </c>
      <c r="E7887" s="2" t="s">
        <v>14628</v>
      </c>
      <c r="F7887" s="2">
        <v>0.0</v>
      </c>
      <c r="G7887" s="2">
        <v>500.0</v>
      </c>
      <c r="H7887" s="3" t="str">
        <f>HYPERLINK("http://www.linkedin.com/pub/keith-donald/0/A1A/151","http://www.linkedin.com/pub/keith-donald/0/A1A/151")</f>
        <v>http://www.linkedin.com/pub/keith-donald/0/A1A/151</v>
      </c>
      <c r="I7887" s="2" t="s">
        <v>48</v>
      </c>
      <c r="J7887" s="2" t="s">
        <v>102</v>
      </c>
      <c r="K7887" s="2" t="s">
        <v>14211</v>
      </c>
    </row>
    <row r="7888" ht="15.75" customHeight="1">
      <c r="A7888" s="2">
        <v>65186.0</v>
      </c>
      <c r="B7888" s="2" t="s">
        <v>845</v>
      </c>
      <c r="C7888" s="2" t="s">
        <v>14629</v>
      </c>
      <c r="D7888" s="2" t="s">
        <v>14630</v>
      </c>
      <c r="E7888" s="2" t="s">
        <v>4060</v>
      </c>
      <c r="F7888" s="2">
        <v>2.0</v>
      </c>
      <c r="G7888" s="2">
        <v>500.0</v>
      </c>
      <c r="H7888" s="3" t="str">
        <f>HYPERLINK("http://www.linkedin.com/in/davidschroeder","http://www.linkedin.com/in/davidschroeder")</f>
        <v>http://www.linkedin.com/in/davidschroeder</v>
      </c>
      <c r="I7888" s="2" t="s">
        <v>663</v>
      </c>
      <c r="J7888" s="2" t="s">
        <v>102</v>
      </c>
      <c r="K7888" s="2" t="s">
        <v>14074</v>
      </c>
    </row>
    <row r="7889" ht="15.75" customHeight="1">
      <c r="A7889" s="2">
        <v>65223.0</v>
      </c>
      <c r="B7889" s="2" t="s">
        <v>3692</v>
      </c>
      <c r="C7889" s="2" t="s">
        <v>14631</v>
      </c>
      <c r="D7889" s="2" t="s">
        <v>14632</v>
      </c>
      <c r="E7889" s="2" t="s">
        <v>1190</v>
      </c>
      <c r="F7889" s="2">
        <v>4.0</v>
      </c>
      <c r="G7889" s="2">
        <v>500.0</v>
      </c>
      <c r="H7889" s="3" t="str">
        <f>HYPERLINK("http://www.linkedin.com/in/montemurro","http://www.linkedin.com/in/montemurro")</f>
        <v>http://www.linkedin.com/in/montemurro</v>
      </c>
      <c r="I7889" s="2" t="s">
        <v>105</v>
      </c>
      <c r="J7889" s="2" t="s">
        <v>102</v>
      </c>
      <c r="K7889" s="2" t="s">
        <v>14074</v>
      </c>
    </row>
    <row r="7890" ht="15.75" customHeight="1">
      <c r="A7890" s="2">
        <v>65386.0</v>
      </c>
      <c r="B7890" s="2" t="s">
        <v>412</v>
      </c>
      <c r="C7890" s="2" t="s">
        <v>13018</v>
      </c>
      <c r="D7890" s="2" t="s">
        <v>42</v>
      </c>
      <c r="E7890" s="2" t="s">
        <v>235</v>
      </c>
      <c r="F7890" s="2">
        <v>22.0</v>
      </c>
      <c r="G7890" s="2">
        <v>500.0</v>
      </c>
      <c r="H7890" s="3" t="str">
        <f>HYPERLINK("http://www.linkedin.com/in/rwaguilera","http://www.linkedin.com/in/rwaguilera")</f>
        <v>http://www.linkedin.com/in/rwaguilera</v>
      </c>
      <c r="I7890" s="2" t="s">
        <v>306</v>
      </c>
      <c r="J7890" s="2" t="s">
        <v>102</v>
      </c>
      <c r="K7890" s="2" t="s">
        <v>14078</v>
      </c>
    </row>
    <row r="7891" ht="15.75" customHeight="1">
      <c r="A7891" s="2">
        <v>65400.0</v>
      </c>
      <c r="B7891" s="2" t="s">
        <v>14633</v>
      </c>
      <c r="C7891" s="2" t="s">
        <v>2956</v>
      </c>
      <c r="D7891" s="2" t="s">
        <v>14634</v>
      </c>
      <c r="E7891" s="2" t="s">
        <v>720</v>
      </c>
      <c r="F7891" s="2">
        <v>0.0</v>
      </c>
      <c r="G7891" s="2">
        <v>91.0</v>
      </c>
      <c r="H7891" s="3" t="str">
        <f>HYPERLINK("http://www.linkedin.com/pub/syed-ahmad/7/59A/287","http://www.linkedin.com/pub/syed-ahmad/7/59A/287")</f>
        <v>http://www.linkedin.com/pub/syed-ahmad/7/59A/287</v>
      </c>
      <c r="I7891" s="2" t="s">
        <v>15</v>
      </c>
      <c r="J7891" s="2" t="s">
        <v>102</v>
      </c>
      <c r="K7891" s="2" t="s">
        <v>14095</v>
      </c>
    </row>
    <row r="7892" ht="15.75" customHeight="1">
      <c r="A7892" s="2">
        <v>65460.0</v>
      </c>
      <c r="B7892" s="2" t="s">
        <v>511</v>
      </c>
      <c r="C7892" s="2" t="s">
        <v>1144</v>
      </c>
      <c r="D7892" s="2" t="s">
        <v>14635</v>
      </c>
      <c r="E7892" s="2" t="s">
        <v>7844</v>
      </c>
      <c r="F7892" s="2">
        <v>15.0</v>
      </c>
      <c r="G7892" s="2">
        <v>500.0</v>
      </c>
      <c r="H7892" s="3" t="str">
        <f>HYPERLINK("http://www.linkedin.com/in/mikeallenmn","http://www.linkedin.com/in/mikeallenmn")</f>
        <v>http://www.linkedin.com/in/mikeallenmn</v>
      </c>
      <c r="I7892" s="2" t="s">
        <v>48</v>
      </c>
      <c r="J7892" s="2" t="s">
        <v>102</v>
      </c>
      <c r="K7892" s="2" t="s">
        <v>14057</v>
      </c>
    </row>
    <row r="7893" ht="15.75" customHeight="1">
      <c r="A7893" s="2">
        <v>65466.0</v>
      </c>
      <c r="B7893" s="2" t="s">
        <v>14636</v>
      </c>
      <c r="C7893" s="3" t="str">
        <f>HYPERLINK("http://britany.allengmail.com","britany.allengmail.com")</f>
        <v>britany.allengmail.com</v>
      </c>
      <c r="D7893" s="2" t="s">
        <v>3118</v>
      </c>
      <c r="E7893" s="2" t="s">
        <v>1190</v>
      </c>
      <c r="F7893" s="2">
        <v>11.0</v>
      </c>
      <c r="G7893" s="2">
        <v>500.0</v>
      </c>
      <c r="H7893" s="3" t="str">
        <f>HYPERLINK("http://www.linkedin.com/in/britanyallen","http://www.linkedin.com/in/britanyallen")</f>
        <v>http://www.linkedin.com/in/britanyallen</v>
      </c>
      <c r="I7893" s="2" t="s">
        <v>612</v>
      </c>
      <c r="J7893" s="2" t="s">
        <v>102</v>
      </c>
      <c r="K7893" s="2" t="s">
        <v>14074</v>
      </c>
    </row>
    <row r="7894" ht="15.75" customHeight="1">
      <c r="A7894" s="2">
        <v>65617.0</v>
      </c>
      <c r="B7894" s="2" t="s">
        <v>665</v>
      </c>
      <c r="C7894" s="2" t="s">
        <v>13193</v>
      </c>
      <c r="D7894" s="2" t="s">
        <v>14483</v>
      </c>
      <c r="E7894" s="2" t="s">
        <v>14047</v>
      </c>
      <c r="F7894" s="2">
        <v>4.0</v>
      </c>
      <c r="G7894" s="2">
        <v>500.0</v>
      </c>
      <c r="H7894" s="3" t="str">
        <f>HYPERLINK("http://www.linkedin.com/in/jaimearroyofl","http://www.linkedin.com/in/jaimearroyofl")</f>
        <v>http://www.linkedin.com/in/jaimearroyofl</v>
      </c>
      <c r="I7894" s="2" t="s">
        <v>669</v>
      </c>
      <c r="J7894" s="2" t="s">
        <v>102</v>
      </c>
      <c r="K7894" s="2" t="s">
        <v>14074</v>
      </c>
    </row>
    <row r="7895" ht="15.75" customHeight="1">
      <c r="A7895" s="2">
        <v>65697.0</v>
      </c>
      <c r="B7895" s="2" t="s">
        <v>14637</v>
      </c>
      <c r="C7895" s="2" t="s">
        <v>14638</v>
      </c>
      <c r="D7895" s="2" t="s">
        <v>114</v>
      </c>
      <c r="E7895" s="2" t="s">
        <v>971</v>
      </c>
      <c r="F7895" s="2">
        <v>2.0</v>
      </c>
      <c r="G7895" s="2">
        <v>500.0</v>
      </c>
      <c r="H7895" s="3" t="str">
        <f>HYPERLINK("http://www.linkedin.com/in/balbin","http://www.linkedin.com/in/balbin")</f>
        <v>http://www.linkedin.com/in/balbin</v>
      </c>
      <c r="I7895" s="2" t="s">
        <v>105</v>
      </c>
      <c r="J7895" s="2" t="s">
        <v>102</v>
      </c>
      <c r="K7895" s="2" t="s">
        <v>14055</v>
      </c>
    </row>
    <row r="7896" ht="15.75" customHeight="1">
      <c r="A7896" s="2">
        <v>65861.0</v>
      </c>
      <c r="B7896" s="2" t="s">
        <v>14639</v>
      </c>
      <c r="C7896" s="2" t="s">
        <v>3743</v>
      </c>
      <c r="D7896" s="2" t="s">
        <v>1320</v>
      </c>
      <c r="E7896" s="2" t="s">
        <v>1918</v>
      </c>
      <c r="F7896" s="2">
        <v>7.0</v>
      </c>
      <c r="G7896" s="2">
        <v>500.0</v>
      </c>
      <c r="H7896" s="3" t="str">
        <f>HYPERLINK("http://www.linkedin.com/in/copywritingforcoaches","http://www.linkedin.com/in/copywritingforcoaches")</f>
        <v>http://www.linkedin.com/in/copywritingforcoaches</v>
      </c>
      <c r="I7896" s="2" t="s">
        <v>105</v>
      </c>
      <c r="J7896" s="2" t="s">
        <v>102</v>
      </c>
      <c r="K7896" s="2" t="s">
        <v>14092</v>
      </c>
    </row>
    <row r="7897" ht="15.75" customHeight="1">
      <c r="A7897" s="2">
        <v>65890.0</v>
      </c>
      <c r="B7897" s="2" t="s">
        <v>14640</v>
      </c>
      <c r="C7897" s="2" t="s">
        <v>14641</v>
      </c>
      <c r="D7897" s="2" t="s">
        <v>13</v>
      </c>
      <c r="E7897" s="2" t="s">
        <v>20</v>
      </c>
      <c r="F7897" s="2">
        <v>1.0</v>
      </c>
      <c r="G7897" s="2">
        <v>178.0</v>
      </c>
      <c r="H7897" s="3" t="str">
        <f>HYPERLINK("http://ar.linkedin.com/in/braianbressan","http://ar.linkedin.com/in/braianbressan")</f>
        <v>http://ar.linkedin.com/in/braianbressan</v>
      </c>
      <c r="I7897" s="2" t="s">
        <v>15</v>
      </c>
      <c r="J7897" s="2" t="s">
        <v>21</v>
      </c>
      <c r="K7897" s="2" t="s">
        <v>14197</v>
      </c>
    </row>
    <row r="7898" ht="15.75" customHeight="1">
      <c r="A7898" s="2">
        <v>65940.0</v>
      </c>
      <c r="B7898" s="2" t="s">
        <v>14642</v>
      </c>
      <c r="C7898" s="2" t="s">
        <v>13</v>
      </c>
      <c r="D7898" s="2" t="s">
        <v>13</v>
      </c>
      <c r="E7898" s="2" t="s">
        <v>1190</v>
      </c>
      <c r="F7898" s="2">
        <v>0.0</v>
      </c>
      <c r="G7898" s="2">
        <v>500.0</v>
      </c>
      <c r="H7898" s="3" t="str">
        <f>HYPERLINK("http://www.linkedin.com/pub/carlos-blanco/13/331/58","http://www.linkedin.com/pub/carlos-blanco/13/331/58")</f>
        <v>http://www.linkedin.com/pub/carlos-blanco/13/331/58</v>
      </c>
      <c r="I7898" s="2" t="s">
        <v>15</v>
      </c>
      <c r="J7898" s="2" t="s">
        <v>102</v>
      </c>
      <c r="K7898" s="2" t="s">
        <v>14092</v>
      </c>
    </row>
    <row r="7899" ht="15.75" customHeight="1">
      <c r="A7899" s="2">
        <v>65978.0</v>
      </c>
      <c r="B7899" s="2" t="s">
        <v>197</v>
      </c>
      <c r="C7899" s="2" t="s">
        <v>14643</v>
      </c>
      <c r="D7899" s="2" t="s">
        <v>14644</v>
      </c>
      <c r="E7899" s="2" t="s">
        <v>5503</v>
      </c>
      <c r="F7899" s="2">
        <v>24.0</v>
      </c>
      <c r="G7899" s="2">
        <v>343.0</v>
      </c>
      <c r="H7899" s="3" t="str">
        <f>HYPERLINK("http://www.linkedin.com/in/hectorboirie","http://www.linkedin.com/in/hectorboirie")</f>
        <v>http://www.linkedin.com/in/hectorboirie</v>
      </c>
      <c r="I7899" s="2" t="s">
        <v>172</v>
      </c>
      <c r="J7899" s="2" t="s">
        <v>102</v>
      </c>
      <c r="K7899" s="2" t="s">
        <v>14055</v>
      </c>
    </row>
    <row r="7900" ht="15.75" customHeight="1">
      <c r="A7900" s="2">
        <v>66028.0</v>
      </c>
      <c r="B7900" s="2" t="s">
        <v>8117</v>
      </c>
      <c r="C7900" s="2" t="s">
        <v>14645</v>
      </c>
      <c r="D7900" s="2" t="s">
        <v>410</v>
      </c>
      <c r="E7900" s="2" t="s">
        <v>1190</v>
      </c>
      <c r="F7900" s="2">
        <v>4.0</v>
      </c>
      <c r="G7900" s="2">
        <v>500.0</v>
      </c>
      <c r="H7900" s="3" t="str">
        <f>HYPERLINK("http://www.linkedin.com/in/leticiaborges","http://www.linkedin.com/in/leticiaborges")</f>
        <v>http://www.linkedin.com/in/leticiaborges</v>
      </c>
      <c r="I7900" s="2" t="s">
        <v>252</v>
      </c>
      <c r="J7900" s="2" t="s">
        <v>102</v>
      </c>
      <c r="K7900" s="2" t="s">
        <v>14197</v>
      </c>
    </row>
    <row r="7901" ht="15.75" customHeight="1">
      <c r="A7901" s="2">
        <v>66063.0</v>
      </c>
      <c r="B7901" s="2" t="s">
        <v>14646</v>
      </c>
      <c r="C7901" s="2" t="s">
        <v>14647</v>
      </c>
      <c r="D7901" s="2" t="s">
        <v>2422</v>
      </c>
      <c r="E7901" s="2" t="s">
        <v>14648</v>
      </c>
      <c r="F7901" s="2">
        <v>9.0</v>
      </c>
      <c r="G7901" s="2">
        <v>500.0</v>
      </c>
      <c r="H7901" s="3" t="str">
        <f>HYPERLINK("http://www.linkedin.com/in/everettbracken","http://www.linkedin.com/in/everettbracken")</f>
        <v>http://www.linkedin.com/in/everettbracken</v>
      </c>
      <c r="I7901" s="2" t="s">
        <v>248</v>
      </c>
      <c r="J7901" s="2" t="s">
        <v>102</v>
      </c>
      <c r="K7901" s="2" t="s">
        <v>14481</v>
      </c>
    </row>
    <row r="7902" ht="15.75" customHeight="1">
      <c r="A7902" s="2">
        <v>66098.0</v>
      </c>
      <c r="B7902" s="2" t="s">
        <v>3776</v>
      </c>
      <c r="C7902" s="2" t="s">
        <v>14649</v>
      </c>
      <c r="D7902" s="2" t="s">
        <v>13</v>
      </c>
      <c r="E7902" s="2" t="s">
        <v>20</v>
      </c>
      <c r="F7902" s="2">
        <v>4.0</v>
      </c>
      <c r="G7902" s="2">
        <v>500.0</v>
      </c>
      <c r="H7902" s="3" t="str">
        <f>HYPERLINK("http://www.linkedin.com/pub/pedro-moreno-albarracin/1/234/580","http://www.linkedin.com/pub/pedro-moreno-albarracin/1/234/580")</f>
        <v>http://www.linkedin.com/pub/pedro-moreno-albarracin/1/234/580</v>
      </c>
      <c r="I7902" s="2" t="s">
        <v>105</v>
      </c>
      <c r="J7902" s="2" t="s">
        <v>21</v>
      </c>
      <c r="K7902" s="2" t="s">
        <v>14068</v>
      </c>
    </row>
    <row r="7903" ht="15.75" customHeight="1">
      <c r="A7903" s="2">
        <v>66105.0</v>
      </c>
      <c r="B7903" s="2" t="s">
        <v>1454</v>
      </c>
      <c r="C7903" s="2" t="s">
        <v>2019</v>
      </c>
      <c r="D7903" s="2" t="s">
        <v>14650</v>
      </c>
      <c r="E7903" s="2" t="s">
        <v>1918</v>
      </c>
      <c r="F7903" s="2">
        <v>11.0</v>
      </c>
      <c r="G7903" s="2">
        <v>500.0</v>
      </c>
      <c r="H7903" s="3" t="str">
        <f>HYPERLINK("http://www.linkedin.com/in/williamalanturner","http://www.linkedin.com/in/williamalanturner")</f>
        <v>http://www.linkedin.com/in/williamalanturner</v>
      </c>
      <c r="I7903" s="2" t="s">
        <v>15</v>
      </c>
      <c r="J7903" s="2" t="s">
        <v>102</v>
      </c>
      <c r="K7903" s="2" t="s">
        <v>14651</v>
      </c>
    </row>
    <row r="7904" ht="15.75" customHeight="1">
      <c r="A7904" s="2">
        <v>66113.0</v>
      </c>
      <c r="B7904" s="2" t="s">
        <v>5413</v>
      </c>
      <c r="C7904" s="2" t="s">
        <v>14652</v>
      </c>
      <c r="D7904" s="2" t="s">
        <v>14653</v>
      </c>
      <c r="E7904" s="2" t="s">
        <v>14648</v>
      </c>
      <c r="F7904" s="2">
        <v>15.0</v>
      </c>
      <c r="G7904" s="2">
        <v>500.0</v>
      </c>
      <c r="H7904" s="3" t="str">
        <f>HYPERLINK("http://www.linkedin.com/in/sharonbrindley","http://www.linkedin.com/in/sharonbrindley")</f>
        <v>http://www.linkedin.com/in/sharonbrindley</v>
      </c>
      <c r="I7904" s="2" t="s">
        <v>669</v>
      </c>
      <c r="J7904" s="2" t="s">
        <v>102</v>
      </c>
      <c r="K7904" s="2" t="s">
        <v>14266</v>
      </c>
    </row>
    <row r="7905" ht="15.75" customHeight="1">
      <c r="A7905" s="2">
        <v>66218.0</v>
      </c>
      <c r="B7905" s="2" t="s">
        <v>1187</v>
      </c>
      <c r="C7905" s="2" t="s">
        <v>14654</v>
      </c>
      <c r="D7905" s="2" t="s">
        <v>8349</v>
      </c>
      <c r="E7905" s="2" t="s">
        <v>14655</v>
      </c>
      <c r="F7905" s="2">
        <v>3.0</v>
      </c>
      <c r="G7905" s="2">
        <v>440.0</v>
      </c>
      <c r="H7905" s="3" t="str">
        <f>HYPERLINK("http://www.linkedin.com/pub/tania-adar/2/117/16","http://www.linkedin.com/pub/tania-adar/2/117/16")</f>
        <v>http://www.linkedin.com/pub/tania-adar/2/117/16</v>
      </c>
      <c r="I7905" s="2" t="s">
        <v>15</v>
      </c>
      <c r="J7905" s="2" t="s">
        <v>102</v>
      </c>
      <c r="K7905" s="2" t="s">
        <v>14173</v>
      </c>
    </row>
    <row r="7906" ht="15.75" customHeight="1">
      <c r="A7906" s="2">
        <v>66249.0</v>
      </c>
      <c r="B7906" s="2" t="s">
        <v>2609</v>
      </c>
      <c r="C7906" s="2" t="s">
        <v>14656</v>
      </c>
      <c r="D7906" s="2" t="s">
        <v>14657</v>
      </c>
      <c r="E7906" s="2" t="s">
        <v>713</v>
      </c>
      <c r="F7906" s="2" t="s">
        <v>13</v>
      </c>
      <c r="G7906" s="2">
        <v>500.0</v>
      </c>
      <c r="H7906" s="3" t="str">
        <f>HYPERLINK("http://www.linkedin.com/in/carlcalabria","http://www.linkedin.com/in/carlcalabria")</f>
        <v>http://www.linkedin.com/in/carlcalabria</v>
      </c>
      <c r="I7906" s="2" t="s">
        <v>306</v>
      </c>
      <c r="J7906" s="2" t="s">
        <v>102</v>
      </c>
      <c r="K7906" s="2" t="s">
        <v>14617</v>
      </c>
    </row>
    <row r="7907" ht="15.75" customHeight="1">
      <c r="A7907" s="2">
        <v>66407.0</v>
      </c>
      <c r="B7907" s="2" t="s">
        <v>471</v>
      </c>
      <c r="C7907" s="2" t="s">
        <v>14658</v>
      </c>
      <c r="D7907" s="2" t="s">
        <v>114</v>
      </c>
      <c r="E7907" s="2" t="s">
        <v>14659</v>
      </c>
      <c r="F7907" s="2">
        <v>3.0</v>
      </c>
      <c r="G7907" s="2">
        <v>500.0</v>
      </c>
      <c r="H7907" s="3" t="str">
        <f>HYPERLINK("http://www.linkedin.com/in/dancheadle","http://www.linkedin.com/in/dancheadle")</f>
        <v>http://www.linkedin.com/in/dancheadle</v>
      </c>
      <c r="I7907" s="2" t="s">
        <v>2936</v>
      </c>
      <c r="J7907" s="2" t="s">
        <v>102</v>
      </c>
      <c r="K7907" s="2" t="s">
        <v>14055</v>
      </c>
    </row>
    <row r="7908" ht="15.75" customHeight="1">
      <c r="A7908" s="2">
        <v>66415.0</v>
      </c>
      <c r="B7908" s="2" t="s">
        <v>275</v>
      </c>
      <c r="C7908" s="2" t="s">
        <v>3726</v>
      </c>
      <c r="D7908" s="2" t="s">
        <v>14660</v>
      </c>
      <c r="E7908" s="2" t="s">
        <v>713</v>
      </c>
      <c r="F7908" s="2">
        <v>8.0</v>
      </c>
      <c r="G7908" s="2">
        <v>500.0</v>
      </c>
      <c r="H7908" s="3" t="str">
        <f>HYPERLINK("http://www.linkedin.com/in/markchiappetta","http://www.linkedin.com/in/markchiappetta")</f>
        <v>http://www.linkedin.com/in/markchiappetta</v>
      </c>
      <c r="I7908" s="2" t="s">
        <v>865</v>
      </c>
      <c r="J7908" s="2" t="s">
        <v>102</v>
      </c>
      <c r="K7908" s="2" t="s">
        <v>14055</v>
      </c>
    </row>
    <row r="7909" ht="15.75" customHeight="1">
      <c r="A7909" s="2">
        <v>66467.0</v>
      </c>
      <c r="B7909" s="2" t="s">
        <v>8607</v>
      </c>
      <c r="C7909" s="2" t="s">
        <v>14661</v>
      </c>
      <c r="D7909" s="2" t="s">
        <v>114</v>
      </c>
      <c r="E7909" s="2" t="s">
        <v>14662</v>
      </c>
      <c r="F7909" s="2">
        <v>23.0</v>
      </c>
      <c r="G7909" s="2">
        <v>500.0</v>
      </c>
      <c r="H7909" s="3" t="str">
        <f>HYPERLINK("http://www.linkedin.com/in/dalecollie","http://www.linkedin.com/in/dalecollie")</f>
        <v>http://www.linkedin.com/in/dalecollie</v>
      </c>
      <c r="I7909" s="2" t="s">
        <v>1390</v>
      </c>
      <c r="J7909" s="2" t="s">
        <v>102</v>
      </c>
      <c r="K7909" s="2" t="s">
        <v>14055</v>
      </c>
    </row>
    <row r="7910" ht="15.75" customHeight="1">
      <c r="A7910" s="2">
        <v>67313.0</v>
      </c>
      <c r="B7910" s="2" t="s">
        <v>14663</v>
      </c>
      <c r="C7910" s="2" t="s">
        <v>14664</v>
      </c>
      <c r="D7910" s="2" t="s">
        <v>14665</v>
      </c>
      <c r="E7910" s="2" t="s">
        <v>136</v>
      </c>
      <c r="F7910" s="2">
        <v>5.0</v>
      </c>
      <c r="G7910" s="2">
        <v>500.0</v>
      </c>
      <c r="H7910" s="3" t="str">
        <f>HYPERLINK("http://www.linkedin.com/in/khirman","http://www.linkedin.com/in/khirman")</f>
        <v>http://www.linkedin.com/in/khirman</v>
      </c>
      <c r="I7910" s="2" t="s">
        <v>709</v>
      </c>
      <c r="J7910" s="2" t="s">
        <v>102</v>
      </c>
      <c r="K7910" s="2" t="s">
        <v>14071</v>
      </c>
    </row>
    <row r="7911" ht="15.75" customHeight="1">
      <c r="A7911" s="2">
        <v>67342.0</v>
      </c>
      <c r="B7911" s="2" t="s">
        <v>433</v>
      </c>
      <c r="C7911" s="2" t="s">
        <v>14666</v>
      </c>
      <c r="D7911" s="2" t="s">
        <v>14667</v>
      </c>
      <c r="E7911" s="2" t="s">
        <v>136</v>
      </c>
      <c r="F7911" s="2">
        <v>8.0</v>
      </c>
      <c r="G7911" s="2">
        <v>500.0</v>
      </c>
      <c r="H7911" s="3" t="str">
        <f>HYPERLINK("http://www.linkedin.com/in/aexeconsulting","http://www.linkedin.com/in/aexeconsulting")</f>
        <v>http://www.linkedin.com/in/aexeconsulting</v>
      </c>
      <c r="I7911" s="2" t="s">
        <v>48</v>
      </c>
      <c r="J7911" s="2" t="s">
        <v>102</v>
      </c>
      <c r="K7911" s="2" t="s">
        <v>14668</v>
      </c>
    </row>
    <row r="7912" ht="15.75" customHeight="1">
      <c r="A7912" s="2">
        <v>67408.0</v>
      </c>
      <c r="B7912" s="2" t="s">
        <v>2727</v>
      </c>
      <c r="C7912" s="2" t="s">
        <v>14669</v>
      </c>
      <c r="D7912" s="2" t="s">
        <v>14670</v>
      </c>
      <c r="E7912" s="2" t="s">
        <v>628</v>
      </c>
      <c r="F7912" s="2">
        <v>0.0</v>
      </c>
      <c r="G7912" s="2">
        <v>500.0</v>
      </c>
      <c r="H7912" s="3" t="str">
        <f>HYPERLINK("http://www.linkedin.com/pub/monica-gadsby/7/39/525","http://www.linkedin.com/pub/monica-gadsby/7/39/525")</f>
        <v>http://www.linkedin.com/pub/monica-gadsby/7/39/525</v>
      </c>
      <c r="I7912" s="2" t="s">
        <v>105</v>
      </c>
      <c r="J7912" s="2" t="s">
        <v>102</v>
      </c>
      <c r="K7912" s="2" t="s">
        <v>14092</v>
      </c>
    </row>
    <row r="7913" ht="15.75" customHeight="1">
      <c r="A7913" s="2">
        <v>67583.0</v>
      </c>
      <c r="B7913" s="2" t="s">
        <v>14671</v>
      </c>
      <c r="C7913" s="2" t="s">
        <v>11201</v>
      </c>
      <c r="D7913" s="2" t="s">
        <v>14672</v>
      </c>
      <c r="E7913" s="2" t="s">
        <v>1329</v>
      </c>
      <c r="F7913" s="2">
        <v>29.0</v>
      </c>
      <c r="G7913" s="2">
        <v>500.0</v>
      </c>
      <c r="H7913" s="3" t="str">
        <f>HYPERLINK("http://www.linkedin.com/pub/dario-a-cruz/2/58A/847","http://www.linkedin.com/pub/dario-a-cruz/2/58A/847")</f>
        <v>http://www.linkedin.com/pub/dario-a-cruz/2/58A/847</v>
      </c>
      <c r="I7913" s="2" t="s">
        <v>344</v>
      </c>
      <c r="J7913" s="2" t="s">
        <v>102</v>
      </c>
      <c r="K7913" s="2" t="s">
        <v>14078</v>
      </c>
    </row>
    <row r="7914" ht="15.75" customHeight="1">
      <c r="A7914" s="2">
        <v>67614.0</v>
      </c>
      <c r="B7914" s="2" t="s">
        <v>839</v>
      </c>
      <c r="C7914" s="2" t="s">
        <v>14673</v>
      </c>
      <c r="D7914" s="2" t="s">
        <v>14674</v>
      </c>
      <c r="E7914" s="2" t="s">
        <v>5072</v>
      </c>
      <c r="F7914" s="2">
        <v>4.0</v>
      </c>
      <c r="G7914" s="2">
        <v>500.0</v>
      </c>
      <c r="H7914" s="3" t="str">
        <f>HYPERLINK("http://www.linkedin.com/in/dmessinger","http://www.linkedin.com/in/dmessinger")</f>
        <v>http://www.linkedin.com/in/dmessinger</v>
      </c>
      <c r="I7914" s="2" t="s">
        <v>15</v>
      </c>
      <c r="J7914" s="2" t="s">
        <v>102</v>
      </c>
      <c r="K7914" s="2" t="s">
        <v>14092</v>
      </c>
    </row>
    <row r="7915" ht="15.75" customHeight="1">
      <c r="A7915" s="2">
        <v>67703.0</v>
      </c>
      <c r="B7915" s="2" t="s">
        <v>11642</v>
      </c>
      <c r="C7915" s="2" t="s">
        <v>8259</v>
      </c>
      <c r="D7915" s="2" t="s">
        <v>14675</v>
      </c>
      <c r="E7915" s="2" t="s">
        <v>1234</v>
      </c>
      <c r="F7915" s="2">
        <v>8.0</v>
      </c>
      <c r="G7915" s="2">
        <v>500.0</v>
      </c>
      <c r="H7915" s="3" t="str">
        <f>HYPERLINK("http://www.linkedin.com/in/igoework","http://www.linkedin.com/in/igoework")</f>
        <v>http://www.linkedin.com/in/igoework</v>
      </c>
      <c r="I7915" s="2" t="s">
        <v>252</v>
      </c>
      <c r="J7915" s="2" t="s">
        <v>102</v>
      </c>
      <c r="K7915" s="2" t="s">
        <v>14074</v>
      </c>
    </row>
    <row r="7916" ht="15.75" customHeight="1">
      <c r="A7916" s="2">
        <v>67932.0</v>
      </c>
      <c r="B7916" s="2" t="s">
        <v>14676</v>
      </c>
      <c r="C7916" s="2" t="s">
        <v>14677</v>
      </c>
      <c r="D7916" s="2" t="s">
        <v>2491</v>
      </c>
      <c r="E7916" s="2" t="s">
        <v>301</v>
      </c>
      <c r="F7916" s="2">
        <v>38.0</v>
      </c>
      <c r="G7916" s="2">
        <v>500.0</v>
      </c>
      <c r="H7916" s="3" t="str">
        <f>HYPERLINK("http://www.linkedin.com/in/alexeialankin","http://www.linkedin.com/in/alexeialankin")</f>
        <v>http://www.linkedin.com/in/alexeialankin</v>
      </c>
      <c r="I7916" s="2" t="s">
        <v>105</v>
      </c>
      <c r="J7916" s="2" t="s">
        <v>102</v>
      </c>
      <c r="K7916" s="2" t="s">
        <v>14074</v>
      </c>
    </row>
    <row r="7917" ht="15.75" customHeight="1">
      <c r="A7917" s="2">
        <v>67957.0</v>
      </c>
      <c r="B7917" s="2" t="s">
        <v>677</v>
      </c>
      <c r="C7917" s="2" t="s">
        <v>14678</v>
      </c>
      <c r="D7917" s="2" t="s">
        <v>380</v>
      </c>
      <c r="E7917" s="2" t="s">
        <v>20</v>
      </c>
      <c r="F7917" s="2">
        <v>0.0</v>
      </c>
      <c r="G7917" s="2">
        <v>500.0</v>
      </c>
      <c r="H7917" s="3" t="str">
        <f>HYPERLINK("http://ar.linkedin.com/pub/daniel-seva/0/350/310","http://ar.linkedin.com/pub/daniel-seva/0/350/310")</f>
        <v>http://ar.linkedin.com/pub/daniel-seva/0/350/310</v>
      </c>
      <c r="I7917" s="2" t="s">
        <v>279</v>
      </c>
      <c r="J7917" s="2" t="s">
        <v>21</v>
      </c>
      <c r="K7917" s="2" t="s">
        <v>14074</v>
      </c>
    </row>
    <row r="7918" ht="15.75" customHeight="1">
      <c r="A7918" s="2">
        <v>68117.0</v>
      </c>
      <c r="B7918" s="2" t="s">
        <v>14679</v>
      </c>
      <c r="C7918" s="2" t="s">
        <v>14680</v>
      </c>
      <c r="D7918" s="2" t="s">
        <v>13</v>
      </c>
      <c r="E7918" s="2" t="s">
        <v>1190</v>
      </c>
      <c r="F7918" s="2">
        <v>0.0</v>
      </c>
      <c r="G7918" s="2">
        <v>500.0</v>
      </c>
      <c r="H7918" s="3" t="str">
        <f>HYPERLINK("http://www.linkedin.com/pub/perez-soto-alfonso-javier/3/766/668","http://www.linkedin.com/pub/perez-soto-alfonso-javier/3/766/668")</f>
        <v>http://www.linkedin.com/pub/perez-soto-alfonso-javier/3/766/668</v>
      </c>
      <c r="I7918" s="2" t="s">
        <v>910</v>
      </c>
      <c r="J7918" s="2" t="s">
        <v>102</v>
      </c>
      <c r="K7918" s="2" t="s">
        <v>14055</v>
      </c>
    </row>
    <row r="7919" ht="15.75" customHeight="1">
      <c r="A7919" s="2">
        <v>68128.0</v>
      </c>
      <c r="B7919" s="2" t="s">
        <v>14681</v>
      </c>
      <c r="C7919" s="2" t="s">
        <v>7653</v>
      </c>
      <c r="D7919" s="2" t="s">
        <v>14682</v>
      </c>
      <c r="E7919" s="2" t="s">
        <v>7035</v>
      </c>
      <c r="F7919" s="2">
        <v>18.0</v>
      </c>
      <c r="G7919" s="2">
        <v>500.0</v>
      </c>
      <c r="H7919" s="3" t="str">
        <f>HYPERLINK("http://www.linkedin.com/in/analuisapatino","http://www.linkedin.com/in/analuisapatino")</f>
        <v>http://www.linkedin.com/in/analuisapatino</v>
      </c>
      <c r="I7919" s="2" t="s">
        <v>910</v>
      </c>
      <c r="J7919" s="2" t="s">
        <v>102</v>
      </c>
      <c r="K7919" s="2" t="s">
        <v>14683</v>
      </c>
    </row>
    <row r="7920" ht="15.75" customHeight="1">
      <c r="A7920" s="2">
        <v>68262.0</v>
      </c>
      <c r="B7920" s="2" t="s">
        <v>14684</v>
      </c>
      <c r="C7920" s="2" t="s">
        <v>2021</v>
      </c>
      <c r="D7920" s="2" t="s">
        <v>14685</v>
      </c>
      <c r="E7920" s="2" t="s">
        <v>136</v>
      </c>
      <c r="F7920" s="2">
        <v>3.0</v>
      </c>
      <c r="G7920" s="2">
        <v>500.0</v>
      </c>
      <c r="H7920" s="3" t="str">
        <f>HYPERLINK("http://www.linkedin.com/pub/michael-mike-bailey/A/6AB/187","http://www.linkedin.com/pub/michael-mike-bailey/A/6AB/187")</f>
        <v>http://www.linkedin.com/pub/michael-mike-bailey/A/6AB/187</v>
      </c>
      <c r="I7920" s="2" t="s">
        <v>15</v>
      </c>
      <c r="J7920" s="2" t="s">
        <v>102</v>
      </c>
      <c r="K7920" s="2" t="s">
        <v>14057</v>
      </c>
    </row>
    <row r="7921" ht="15.75" customHeight="1">
      <c r="A7921" s="2">
        <v>68336.0</v>
      </c>
      <c r="B7921" s="2" t="s">
        <v>14686</v>
      </c>
      <c r="C7921" s="2" t="s">
        <v>593</v>
      </c>
      <c r="D7921" s="2" t="s">
        <v>47</v>
      </c>
      <c r="E7921" s="2" t="s">
        <v>301</v>
      </c>
      <c r="F7921" s="2">
        <v>57.0</v>
      </c>
      <c r="G7921" s="2">
        <v>500.0</v>
      </c>
      <c r="H7921" s="3" t="str">
        <f>HYPERLINK("http://www.linkedin.com/in/mosheweiss","http://www.linkedin.com/in/mosheweiss")</f>
        <v>http://www.linkedin.com/in/mosheweiss</v>
      </c>
      <c r="I7921" s="2" t="s">
        <v>105</v>
      </c>
      <c r="J7921" s="2" t="s">
        <v>102</v>
      </c>
      <c r="K7921" s="2" t="s">
        <v>14074</v>
      </c>
    </row>
    <row r="7922" ht="15.75" customHeight="1">
      <c r="A7922" s="2">
        <v>68337.0</v>
      </c>
      <c r="B7922" s="2" t="s">
        <v>1096</v>
      </c>
      <c r="C7922" s="2" t="s">
        <v>14687</v>
      </c>
      <c r="D7922" s="2" t="s">
        <v>14688</v>
      </c>
      <c r="E7922" s="2" t="s">
        <v>1918</v>
      </c>
      <c r="F7922" s="2">
        <v>3.0</v>
      </c>
      <c r="G7922" s="2">
        <v>500.0</v>
      </c>
      <c r="H7922" s="3" t="str">
        <f>HYPERLINK("http://www.linkedin.com/pub/tony-balistrieri/2/1B7/899","http://www.linkedin.com/pub/tony-balistrieri/2/1B7/899")</f>
        <v>http://www.linkedin.com/pub/tony-balistrieri/2/1B7/899</v>
      </c>
      <c r="I7922" s="2" t="s">
        <v>15</v>
      </c>
      <c r="J7922" s="2" t="s">
        <v>102</v>
      </c>
      <c r="K7922" s="2" t="s">
        <v>14095</v>
      </c>
    </row>
    <row r="7923" ht="15.75" customHeight="1">
      <c r="A7923" s="2">
        <v>68367.0</v>
      </c>
      <c r="B7923" s="2" t="s">
        <v>1275</v>
      </c>
      <c r="C7923" s="2" t="s">
        <v>1153</v>
      </c>
      <c r="D7923" s="2" t="s">
        <v>14689</v>
      </c>
      <c r="E7923" s="2" t="s">
        <v>417</v>
      </c>
      <c r="F7923" s="2">
        <v>57.0</v>
      </c>
      <c r="G7923" s="2">
        <v>500.0</v>
      </c>
      <c r="H7923" s="3" t="str">
        <f>HYPERLINK("http://www.linkedin.com/in/brownb","http://www.linkedin.com/in/brownb")</f>
        <v>http://www.linkedin.com/in/brownb</v>
      </c>
      <c r="I7923" s="2" t="s">
        <v>48</v>
      </c>
      <c r="J7923" s="2" t="s">
        <v>102</v>
      </c>
      <c r="K7923" s="2" t="s">
        <v>14282</v>
      </c>
    </row>
    <row r="7924" ht="15.75" customHeight="1">
      <c r="A7924" s="2">
        <v>68407.0</v>
      </c>
      <c r="B7924" s="2" t="s">
        <v>116</v>
      </c>
      <c r="C7924" s="2" t="s">
        <v>14690</v>
      </c>
      <c r="D7924" s="2" t="s">
        <v>943</v>
      </c>
      <c r="E7924" s="2" t="s">
        <v>136</v>
      </c>
      <c r="F7924" s="2">
        <v>5.0</v>
      </c>
      <c r="G7924" s="2">
        <v>500.0</v>
      </c>
      <c r="H7924" s="3" t="str">
        <f>HYPERLINK("http://www.linkedin.com/in/alexdeve","http://www.linkedin.com/in/alexdeve")</f>
        <v>http://www.linkedin.com/in/alexdeve</v>
      </c>
      <c r="I7924" s="2" t="s">
        <v>248</v>
      </c>
      <c r="J7924" s="2" t="s">
        <v>102</v>
      </c>
      <c r="K7924" s="2" t="s">
        <v>14481</v>
      </c>
    </row>
    <row r="7925" ht="15.75" customHeight="1">
      <c r="A7925" s="2">
        <v>68418.0</v>
      </c>
      <c r="B7925" s="2" t="s">
        <v>11849</v>
      </c>
      <c r="C7925" s="2" t="s">
        <v>1325</v>
      </c>
      <c r="D7925" s="2" t="s">
        <v>3590</v>
      </c>
      <c r="E7925" s="2" t="s">
        <v>136</v>
      </c>
      <c r="F7925" s="2">
        <v>15.0</v>
      </c>
      <c r="G7925" s="2">
        <v>500.0</v>
      </c>
      <c r="H7925" s="3" t="str">
        <f>HYPERLINK("http://www.linkedin.com/in/fraziermiller","http://www.linkedin.com/in/fraziermiller")</f>
        <v>http://www.linkedin.com/in/fraziermiller</v>
      </c>
      <c r="I7925" s="2" t="s">
        <v>69</v>
      </c>
      <c r="J7925" s="2" t="s">
        <v>102</v>
      </c>
      <c r="K7925" s="2" t="s">
        <v>14057</v>
      </c>
    </row>
    <row r="7926" ht="15.75" customHeight="1">
      <c r="A7926" s="2">
        <v>68447.0</v>
      </c>
      <c r="B7926" s="2" t="s">
        <v>5763</v>
      </c>
      <c r="C7926" s="2" t="s">
        <v>14691</v>
      </c>
      <c r="D7926" s="2" t="s">
        <v>13</v>
      </c>
      <c r="E7926" s="2" t="s">
        <v>1190</v>
      </c>
      <c r="F7926" s="2">
        <v>1.0</v>
      </c>
      <c r="G7926" s="2">
        <v>500.0</v>
      </c>
      <c r="H7926" s="3" t="str">
        <f>HYPERLINK("http://www.linkedin.com/pub/ezequiel-olivero/6/A14/7BB","http://www.linkedin.com/pub/ezequiel-olivero/6/A14/7BB")</f>
        <v>http://www.linkedin.com/pub/ezequiel-olivero/6/A14/7BB</v>
      </c>
      <c r="I7926" s="2" t="s">
        <v>1135</v>
      </c>
      <c r="J7926" s="2" t="s">
        <v>102</v>
      </c>
      <c r="K7926" s="2" t="s">
        <v>14092</v>
      </c>
    </row>
    <row r="7927" ht="15.75" customHeight="1">
      <c r="A7927" s="2">
        <v>68508.0</v>
      </c>
      <c r="B7927" s="2" t="s">
        <v>414</v>
      </c>
      <c r="C7927" s="2" t="s">
        <v>14692</v>
      </c>
      <c r="D7927" s="2" t="s">
        <v>14693</v>
      </c>
      <c r="E7927" s="2" t="s">
        <v>628</v>
      </c>
      <c r="F7927" s="2">
        <v>0.0</v>
      </c>
      <c r="G7927" s="2">
        <v>500.0</v>
      </c>
      <c r="H7927" s="3" t="str">
        <f>HYPERLINK("http://www.linkedin.com/in/thomasfcahill","http://www.linkedin.com/in/thomasfcahill")</f>
        <v>http://www.linkedin.com/in/thomasfcahill</v>
      </c>
      <c r="I7927" s="2" t="s">
        <v>48</v>
      </c>
      <c r="J7927" s="2" t="s">
        <v>102</v>
      </c>
      <c r="K7927" s="2" t="s">
        <v>14197</v>
      </c>
    </row>
    <row r="7928" ht="15.75" customHeight="1">
      <c r="A7928" s="2">
        <v>68544.0</v>
      </c>
      <c r="B7928" s="2" t="s">
        <v>287</v>
      </c>
      <c r="C7928" s="2" t="s">
        <v>14694</v>
      </c>
      <c r="D7928" s="2" t="s">
        <v>14695</v>
      </c>
      <c r="E7928" s="2" t="s">
        <v>1179</v>
      </c>
      <c r="F7928" s="2">
        <v>1.0</v>
      </c>
      <c r="G7928" s="2">
        <v>500.0</v>
      </c>
      <c r="H7928" s="3" t="str">
        <f>HYPERLINK("http://www.linkedin.com/pub/paul-cairns/0/A01/338","http://www.linkedin.com/pub/paul-cairns/0/A01/338")</f>
        <v>http://www.linkedin.com/pub/paul-cairns/0/A01/338</v>
      </c>
      <c r="I7928" s="2" t="s">
        <v>48</v>
      </c>
      <c r="J7928" s="2" t="s">
        <v>102</v>
      </c>
      <c r="K7928" s="2" t="s">
        <v>14696</v>
      </c>
    </row>
    <row r="7929" ht="15.75" customHeight="1">
      <c r="A7929" s="2">
        <v>68564.0</v>
      </c>
      <c r="B7929" s="2" t="s">
        <v>6252</v>
      </c>
      <c r="C7929" s="2" t="s">
        <v>5891</v>
      </c>
      <c r="D7929" s="2" t="s">
        <v>14697</v>
      </c>
      <c r="E7929" s="2" t="s">
        <v>1190</v>
      </c>
      <c r="F7929" s="2">
        <v>0.0</v>
      </c>
      <c r="G7929" s="2">
        <v>500.0</v>
      </c>
      <c r="H7929" s="3" t="str">
        <f>HYPERLINK("http://www.linkedin.com/pub/santiago-herrera/5/816/B58","http://www.linkedin.com/pub/santiago-herrera/5/816/B58")</f>
        <v>http://www.linkedin.com/pub/santiago-herrera/5/816/B58</v>
      </c>
      <c r="I7929" s="2" t="s">
        <v>195</v>
      </c>
      <c r="J7929" s="2" t="s">
        <v>102</v>
      </c>
      <c r="K7929" s="2" t="s">
        <v>14698</v>
      </c>
    </row>
    <row r="7930" ht="15.75" customHeight="1">
      <c r="A7930" s="2">
        <v>68614.0</v>
      </c>
      <c r="B7930" s="2" t="s">
        <v>3776</v>
      </c>
      <c r="C7930" s="2" t="s">
        <v>4264</v>
      </c>
      <c r="D7930" s="2" t="s">
        <v>47</v>
      </c>
      <c r="E7930" s="2" t="s">
        <v>20</v>
      </c>
      <c r="F7930" s="2">
        <v>15.0</v>
      </c>
      <c r="G7930" s="2">
        <v>348.0</v>
      </c>
      <c r="H7930" s="3" t="str">
        <f>HYPERLINK("http://ar.linkedin.com/in/qapedrogonzalez","http://ar.linkedin.com/in/qapedrogonzalez")</f>
        <v>http://ar.linkedin.com/in/qapedrogonzalez</v>
      </c>
      <c r="I7930" s="2" t="s">
        <v>15</v>
      </c>
      <c r="J7930" s="2" t="s">
        <v>21</v>
      </c>
      <c r="K7930" s="2" t="s">
        <v>14082</v>
      </c>
    </row>
    <row r="7931" ht="15.75" customHeight="1">
      <c r="A7931" s="2">
        <v>68703.0</v>
      </c>
      <c r="B7931" s="2" t="s">
        <v>1275</v>
      </c>
      <c r="C7931" s="2" t="s">
        <v>3178</v>
      </c>
      <c r="D7931" s="2" t="s">
        <v>309</v>
      </c>
      <c r="E7931" s="2" t="s">
        <v>301</v>
      </c>
      <c r="F7931" s="2">
        <v>7.0</v>
      </c>
      <c r="G7931" s="2">
        <v>500.0</v>
      </c>
      <c r="H7931" s="3" t="str">
        <f>HYPERLINK("http://www.linkedin.com/in/bradlucas","http://www.linkedin.com/in/bradlucas")</f>
        <v>http://www.linkedin.com/in/bradlucas</v>
      </c>
      <c r="I7931" s="2" t="s">
        <v>15</v>
      </c>
      <c r="J7931" s="2" t="s">
        <v>102</v>
      </c>
      <c r="K7931" s="2" t="s">
        <v>14073</v>
      </c>
    </row>
    <row r="7932" ht="15.75" customHeight="1">
      <c r="A7932" s="2">
        <v>68750.0</v>
      </c>
      <c r="B7932" s="2" t="s">
        <v>14699</v>
      </c>
      <c r="C7932" s="2" t="s">
        <v>1581</v>
      </c>
      <c r="D7932" s="2" t="s">
        <v>14700</v>
      </c>
      <c r="E7932" s="2" t="s">
        <v>136</v>
      </c>
      <c r="F7932" s="2">
        <v>10.0</v>
      </c>
      <c r="G7932" s="2">
        <v>500.0</v>
      </c>
      <c r="H7932" s="3" t="str">
        <f>HYPERLINK("http://www.linkedin.com/in/mchadha","http://www.linkedin.com/in/mchadha")</f>
        <v>http://www.linkedin.com/in/mchadha</v>
      </c>
      <c r="I7932" s="2" t="s">
        <v>15</v>
      </c>
      <c r="J7932" s="2" t="s">
        <v>102</v>
      </c>
      <c r="K7932" s="2" t="s">
        <v>14080</v>
      </c>
    </row>
    <row r="7933" ht="15.75" customHeight="1">
      <c r="A7933" s="2">
        <v>68759.0</v>
      </c>
      <c r="B7933" s="2" t="s">
        <v>1458</v>
      </c>
      <c r="C7933" s="2" t="s">
        <v>14701</v>
      </c>
      <c r="D7933" s="2" t="s">
        <v>642</v>
      </c>
      <c r="E7933" s="2" t="s">
        <v>14702</v>
      </c>
      <c r="F7933" s="2">
        <v>18.0</v>
      </c>
      <c r="G7933" s="2">
        <v>500.0</v>
      </c>
      <c r="H7933" s="3" t="str">
        <f>HYPERLINK("http://www.linkedin.com/in/toddabowman","http://www.linkedin.com/in/toddabowman")</f>
        <v>http://www.linkedin.com/in/toddabowman</v>
      </c>
      <c r="I7933" s="2" t="s">
        <v>69</v>
      </c>
      <c r="J7933" s="2" t="s">
        <v>102</v>
      </c>
      <c r="K7933" s="2" t="s">
        <v>14078</v>
      </c>
    </row>
    <row r="7934" ht="15.75" customHeight="1">
      <c r="A7934" s="2">
        <v>68762.0</v>
      </c>
      <c r="B7934" s="2" t="s">
        <v>1173</v>
      </c>
      <c r="C7934" s="2" t="s">
        <v>14703</v>
      </c>
      <c r="D7934" s="2" t="s">
        <v>1145</v>
      </c>
      <c r="E7934" s="2" t="s">
        <v>14704</v>
      </c>
      <c r="F7934" s="2">
        <v>4.0</v>
      </c>
      <c r="G7934" s="2">
        <v>500.0</v>
      </c>
      <c r="H7934" s="3" t="str">
        <f>HYPERLINK("http://www.linkedin.com/in/stevehillman","http://www.linkedin.com/in/stevehillman")</f>
        <v>http://www.linkedin.com/in/stevehillman</v>
      </c>
      <c r="I7934" s="2" t="s">
        <v>248</v>
      </c>
      <c r="J7934" s="2" t="s">
        <v>102</v>
      </c>
      <c r="K7934" s="2" t="s">
        <v>14481</v>
      </c>
    </row>
    <row r="7935" ht="15.75" customHeight="1">
      <c r="A7935" s="2">
        <v>68801.0</v>
      </c>
      <c r="B7935" s="2" t="s">
        <v>2522</v>
      </c>
      <c r="C7935" s="2" t="s">
        <v>14705</v>
      </c>
      <c r="D7935" s="2" t="s">
        <v>14706</v>
      </c>
      <c r="E7935" s="2" t="s">
        <v>181</v>
      </c>
      <c r="F7935" s="2">
        <v>0.0</v>
      </c>
      <c r="G7935" s="2">
        <v>500.0</v>
      </c>
      <c r="H7935" s="3" t="str">
        <f>HYPERLINK("http://www.linkedin.com/in/laurenadelson","http://www.linkedin.com/in/laurenadelson")</f>
        <v>http://www.linkedin.com/in/laurenadelson</v>
      </c>
      <c r="I7935" s="2" t="s">
        <v>77</v>
      </c>
      <c r="J7935" s="2" t="s">
        <v>102</v>
      </c>
      <c r="K7935" s="2" t="s">
        <v>14106</v>
      </c>
    </row>
    <row r="7936" ht="15.75" customHeight="1">
      <c r="A7936" s="2">
        <v>68913.0</v>
      </c>
      <c r="B7936" s="2" t="s">
        <v>3250</v>
      </c>
      <c r="C7936" s="2" t="s">
        <v>1153</v>
      </c>
      <c r="D7936" s="2" t="s">
        <v>3590</v>
      </c>
      <c r="E7936" s="2" t="s">
        <v>762</v>
      </c>
      <c r="F7936" s="2">
        <v>7.0</v>
      </c>
      <c r="G7936" s="2">
        <v>500.0</v>
      </c>
      <c r="H7936" s="3" t="str">
        <f>HYPERLINK("http://www.linkedin.com/in/msbrandonbrown","http://www.linkedin.com/in/msbrandonbrown")</f>
        <v>http://www.linkedin.com/in/msbrandonbrown</v>
      </c>
      <c r="I7936" s="2" t="s">
        <v>48</v>
      </c>
      <c r="J7936" s="2" t="s">
        <v>102</v>
      </c>
      <c r="K7936" s="2" t="s">
        <v>14057</v>
      </c>
    </row>
    <row r="7937" ht="15.75" customHeight="1">
      <c r="A7937" s="2">
        <v>68920.0</v>
      </c>
      <c r="B7937" s="2" t="s">
        <v>4183</v>
      </c>
      <c r="C7937" s="2" t="s">
        <v>14707</v>
      </c>
      <c r="D7937" s="2" t="s">
        <v>14708</v>
      </c>
      <c r="E7937" s="2" t="s">
        <v>457</v>
      </c>
      <c r="F7937" s="2">
        <v>38.0</v>
      </c>
      <c r="G7937" s="2">
        <v>500.0</v>
      </c>
      <c r="H7937" s="3" t="str">
        <f>HYPERLINK("http://www.linkedin.com/in/kendiamond","http://www.linkedin.com/in/kendiamond")</f>
        <v>http://www.linkedin.com/in/kendiamond</v>
      </c>
      <c r="I7937" s="2" t="s">
        <v>248</v>
      </c>
      <c r="J7937" s="2" t="s">
        <v>102</v>
      </c>
      <c r="K7937" s="2" t="s">
        <v>14105</v>
      </c>
    </row>
    <row r="7938" ht="15.75" customHeight="1">
      <c r="A7938" s="2">
        <v>69077.0</v>
      </c>
      <c r="B7938" s="2" t="s">
        <v>414</v>
      </c>
      <c r="C7938" s="2" t="s">
        <v>13366</v>
      </c>
      <c r="D7938" s="2" t="s">
        <v>1966</v>
      </c>
      <c r="E7938" s="2" t="s">
        <v>136</v>
      </c>
      <c r="F7938" s="2">
        <v>8.0</v>
      </c>
      <c r="G7938" s="2">
        <v>179.0</v>
      </c>
      <c r="H7938" s="3" t="str">
        <f>HYPERLINK("http://www.linkedin.com/pub/tom-love/11/956/AB4","http://www.linkedin.com/pub/tom-love/11/956/AB4")</f>
        <v>http://www.linkedin.com/pub/tom-love/11/956/AB4</v>
      </c>
      <c r="I7938" s="2" t="s">
        <v>69</v>
      </c>
      <c r="J7938" s="2" t="s">
        <v>102</v>
      </c>
      <c r="K7938" s="2" t="s">
        <v>14071</v>
      </c>
    </row>
    <row r="7939" ht="15.75" customHeight="1">
      <c r="A7939" s="2">
        <v>69125.0</v>
      </c>
      <c r="B7939" s="2" t="s">
        <v>1027</v>
      </c>
      <c r="C7939" s="2" t="s">
        <v>14709</v>
      </c>
      <c r="D7939" s="2" t="s">
        <v>400</v>
      </c>
      <c r="E7939" s="2" t="s">
        <v>14710</v>
      </c>
      <c r="F7939" s="2" t="s">
        <v>13</v>
      </c>
      <c r="G7939" s="2">
        <v>500.0</v>
      </c>
      <c r="H7939" s="3" t="str">
        <f>HYPERLINK("http://www.linkedin.com/pub/george-burroughs-open-networker%5D/28/130/29","http://www.linkedin.com/pub/george-burroughs-open-networker%5D/28/130/29")</f>
        <v>http://www.linkedin.com/pub/george-burroughs-open-networker%5D/28/130/29</v>
      </c>
      <c r="I7939" s="2" t="s">
        <v>105</v>
      </c>
      <c r="J7939" s="2" t="s">
        <v>102</v>
      </c>
      <c r="K7939" s="2" t="s">
        <v>14074</v>
      </c>
    </row>
    <row r="7940" ht="15.75" customHeight="1">
      <c r="A7940" s="2">
        <v>69343.0</v>
      </c>
      <c r="B7940" s="2" t="s">
        <v>784</v>
      </c>
      <c r="C7940" s="2" t="s">
        <v>1646</v>
      </c>
      <c r="D7940" s="2" t="s">
        <v>114</v>
      </c>
      <c r="E7940" s="2" t="s">
        <v>14711</v>
      </c>
      <c r="F7940" s="2">
        <v>105.0</v>
      </c>
      <c r="G7940" s="2">
        <v>500.0</v>
      </c>
      <c r="H7940" s="3" t="str">
        <f>HYPERLINK("http://www.linkedin.com/in/securityrecruiter","http://www.linkedin.com/in/securityrecruiter")</f>
        <v>http://www.linkedin.com/in/securityrecruiter</v>
      </c>
      <c r="I7940" s="2" t="s">
        <v>248</v>
      </c>
      <c r="J7940" s="2" t="s">
        <v>102</v>
      </c>
      <c r="K7940" s="2" t="s">
        <v>14115</v>
      </c>
    </row>
    <row r="7941" ht="15.75" customHeight="1">
      <c r="A7941" s="2">
        <v>69406.0</v>
      </c>
      <c r="B7941" s="2" t="s">
        <v>1523</v>
      </c>
      <c r="C7941" s="2" t="s">
        <v>14712</v>
      </c>
      <c r="D7941" s="2" t="s">
        <v>3466</v>
      </c>
      <c r="E7941" s="2" t="s">
        <v>166</v>
      </c>
      <c r="F7941" s="2">
        <v>58.0</v>
      </c>
      <c r="G7941" s="2">
        <v>500.0</v>
      </c>
      <c r="H7941" s="3" t="str">
        <f>HYPERLINK("http://www.linkedin.com/in/philvella","http://www.linkedin.com/in/philvella")</f>
        <v>http://www.linkedin.com/in/philvella</v>
      </c>
      <c r="I7941" s="2" t="s">
        <v>48</v>
      </c>
      <c r="J7941" s="2" t="s">
        <v>102</v>
      </c>
      <c r="K7941" s="2" t="s">
        <v>14092</v>
      </c>
    </row>
    <row r="7942" ht="15.75" customHeight="1">
      <c r="A7942" s="2">
        <v>69448.0</v>
      </c>
      <c r="B7942" s="2" t="s">
        <v>14713</v>
      </c>
      <c r="C7942" s="2" t="s">
        <v>3249</v>
      </c>
      <c r="D7942" s="2" t="s">
        <v>14714</v>
      </c>
      <c r="E7942" s="2" t="s">
        <v>136</v>
      </c>
      <c r="F7942" s="2">
        <v>13.0</v>
      </c>
      <c r="G7942" s="2">
        <v>500.0</v>
      </c>
      <c r="H7942" s="3" t="str">
        <f>HYPERLINK("http://www.linkedin.com/in/mayawalker","http://www.linkedin.com/in/mayawalker")</f>
        <v>http://www.linkedin.com/in/mayawalker</v>
      </c>
      <c r="I7942" s="2" t="s">
        <v>248</v>
      </c>
      <c r="J7942" s="2" t="s">
        <v>102</v>
      </c>
      <c r="K7942" s="2" t="s">
        <v>14055</v>
      </c>
    </row>
    <row r="7943" ht="15.75" customHeight="1">
      <c r="A7943" s="2">
        <v>69465.0</v>
      </c>
      <c r="B7943" s="2" t="s">
        <v>2168</v>
      </c>
      <c r="C7943" s="2" t="s">
        <v>489</v>
      </c>
      <c r="D7943" s="2" t="s">
        <v>300</v>
      </c>
      <c r="E7943" s="2" t="s">
        <v>325</v>
      </c>
      <c r="F7943" s="2">
        <v>13.0</v>
      </c>
      <c r="G7943" s="2">
        <v>500.0</v>
      </c>
      <c r="H7943" s="3" t="str">
        <f>HYPERLINK("http://www.linkedin.com/in/louiscarter","http://www.linkedin.com/in/louiscarter")</f>
        <v>http://www.linkedin.com/in/louiscarter</v>
      </c>
      <c r="I7943" s="2" t="s">
        <v>1390</v>
      </c>
      <c r="J7943" s="2" t="s">
        <v>102</v>
      </c>
      <c r="K7943" s="2" t="s">
        <v>14074</v>
      </c>
    </row>
    <row r="7944" ht="15.75" customHeight="1">
      <c r="A7944" s="2">
        <v>69492.0</v>
      </c>
      <c r="B7944" s="2" t="s">
        <v>245</v>
      </c>
      <c r="C7944" s="2" t="s">
        <v>14715</v>
      </c>
      <c r="D7944" s="2" t="s">
        <v>14716</v>
      </c>
      <c r="E7944" s="2" t="s">
        <v>14717</v>
      </c>
      <c r="F7944" s="2">
        <v>3.0</v>
      </c>
      <c r="G7944" s="2">
        <v>428.0</v>
      </c>
      <c r="H7944" s="3" t="str">
        <f>HYPERLINK("http://www.linkedin.com/pub/steven-croft/B/BA2/B74","http://www.linkedin.com/pub/steven-croft/B/BA2/B74")</f>
        <v>http://www.linkedin.com/pub/steven-croft/B/BA2/B74</v>
      </c>
      <c r="I7944" s="2" t="s">
        <v>69</v>
      </c>
      <c r="J7944" s="2" t="s">
        <v>102</v>
      </c>
      <c r="K7944" s="2" t="s">
        <v>14718</v>
      </c>
    </row>
    <row r="7945" ht="15.75" customHeight="1">
      <c r="A7945" s="2">
        <v>69544.0</v>
      </c>
      <c r="B7945" s="2" t="s">
        <v>625</v>
      </c>
      <c r="C7945" s="2" t="s">
        <v>4628</v>
      </c>
      <c r="D7945" s="2" t="s">
        <v>42</v>
      </c>
      <c r="E7945" s="2" t="s">
        <v>4060</v>
      </c>
      <c r="F7945" s="2">
        <v>8.0</v>
      </c>
      <c r="G7945" s="2">
        <v>500.0</v>
      </c>
      <c r="H7945" s="3" t="str">
        <f>HYPERLINK("http://www.linkedin.com/in/timcummingspe","http://www.linkedin.com/in/timcummingspe")</f>
        <v>http://www.linkedin.com/in/timcummingspe</v>
      </c>
      <c r="I7945" s="2" t="s">
        <v>57</v>
      </c>
      <c r="J7945" s="2" t="s">
        <v>102</v>
      </c>
      <c r="K7945" s="2" t="s">
        <v>14092</v>
      </c>
    </row>
    <row r="7946" ht="15.75" customHeight="1">
      <c r="A7946" s="2">
        <v>69557.0</v>
      </c>
      <c r="B7946" s="2" t="s">
        <v>353</v>
      </c>
      <c r="C7946" s="2" t="s">
        <v>14719</v>
      </c>
      <c r="D7946" s="2" t="s">
        <v>2957</v>
      </c>
      <c r="E7946" s="2" t="s">
        <v>20</v>
      </c>
      <c r="F7946" s="2">
        <v>4.0</v>
      </c>
      <c r="G7946" s="2">
        <v>500.0</v>
      </c>
      <c r="H7946" s="3" t="str">
        <f>HYPERLINK("http://ar.linkedin.com/in/alejandrobaldo","http://ar.linkedin.com/in/alejandrobaldo")</f>
        <v>http://ar.linkedin.com/in/alejandrobaldo</v>
      </c>
      <c r="I7946" s="2" t="s">
        <v>15</v>
      </c>
      <c r="J7946" s="2" t="s">
        <v>21</v>
      </c>
      <c r="K7946" s="2" t="s">
        <v>14057</v>
      </c>
    </row>
    <row r="7947" ht="15.75" customHeight="1">
      <c r="A7947" s="2">
        <v>69560.0</v>
      </c>
      <c r="B7947" s="2" t="s">
        <v>285</v>
      </c>
      <c r="C7947" s="2" t="s">
        <v>14720</v>
      </c>
      <c r="D7947" s="2" t="s">
        <v>13</v>
      </c>
      <c r="E7947" s="2" t="s">
        <v>2058</v>
      </c>
      <c r="F7947" s="2">
        <v>0.0</v>
      </c>
      <c r="G7947" s="2">
        <v>500.0</v>
      </c>
      <c r="H7947" s="3" t="str">
        <f>HYPERLINK("http://www.linkedin.com/in/marcrochman","http://www.linkedin.com/in/marcrochman")</f>
        <v>http://www.linkedin.com/in/marcrochman</v>
      </c>
      <c r="I7947" s="2" t="s">
        <v>69</v>
      </c>
      <c r="J7947" s="2" t="s">
        <v>102</v>
      </c>
      <c r="K7947" s="2" t="s">
        <v>14073</v>
      </c>
    </row>
    <row r="7948" ht="15.75" customHeight="1">
      <c r="A7948" s="2">
        <v>69610.0</v>
      </c>
      <c r="B7948" s="2" t="s">
        <v>14721</v>
      </c>
      <c r="C7948" s="2" t="s">
        <v>14722</v>
      </c>
      <c r="D7948" s="2" t="s">
        <v>14723</v>
      </c>
      <c r="E7948" s="2" t="s">
        <v>255</v>
      </c>
      <c r="F7948" s="2">
        <v>0.0</v>
      </c>
      <c r="G7948" s="2">
        <v>500.0</v>
      </c>
      <c r="H7948" s="3" t="str">
        <f>HYPERLINK("http://www.linkedin.com/pub/miljan-milan/A/862/880","http://www.linkedin.com/pub/miljan-milan/A/862/880")</f>
        <v>http://www.linkedin.com/pub/miljan-milan/A/862/880</v>
      </c>
      <c r="I7948" s="2" t="s">
        <v>77</v>
      </c>
      <c r="J7948" s="2" t="s">
        <v>102</v>
      </c>
      <c r="K7948" s="2" t="s">
        <v>14085</v>
      </c>
    </row>
    <row r="7949" ht="15.75" customHeight="1">
      <c r="A7949" s="2">
        <v>69671.0</v>
      </c>
      <c r="B7949" s="2" t="s">
        <v>631</v>
      </c>
      <c r="C7949" s="2" t="s">
        <v>14724</v>
      </c>
      <c r="D7949" s="2" t="s">
        <v>42</v>
      </c>
      <c r="E7949" s="2" t="s">
        <v>1041</v>
      </c>
      <c r="F7949" s="2">
        <v>17.0</v>
      </c>
      <c r="G7949" s="2">
        <v>500.0</v>
      </c>
      <c r="H7949" s="3" t="str">
        <f>HYPERLINK("http://www.linkedin.com/in/chrishanburger","http://www.linkedin.com/in/chrishanburger")</f>
        <v>http://www.linkedin.com/in/chrishanburger</v>
      </c>
      <c r="I7949" s="2" t="s">
        <v>326</v>
      </c>
      <c r="J7949" s="2" t="s">
        <v>102</v>
      </c>
      <c r="K7949" s="2" t="s">
        <v>14057</v>
      </c>
    </row>
    <row r="7950" ht="15.75" customHeight="1">
      <c r="A7950" s="2">
        <v>69698.0</v>
      </c>
      <c r="B7950" s="2" t="s">
        <v>2383</v>
      </c>
      <c r="C7950" s="2" t="s">
        <v>2696</v>
      </c>
      <c r="D7950" s="2" t="s">
        <v>114</v>
      </c>
      <c r="E7950" s="2" t="s">
        <v>1234</v>
      </c>
      <c r="F7950" s="2">
        <v>15.0</v>
      </c>
      <c r="G7950" s="2">
        <v>500.0</v>
      </c>
      <c r="H7950" s="3" t="str">
        <f>HYPERLINK("http://www.linkedin.com/pub/shawn-morris/0/157/199","http://www.linkedin.com/pub/shawn-morris/0/157/199")</f>
        <v>http://www.linkedin.com/pub/shawn-morris/0/157/199</v>
      </c>
      <c r="I7950" s="2" t="s">
        <v>248</v>
      </c>
      <c r="J7950" s="2" t="s">
        <v>102</v>
      </c>
      <c r="K7950" s="2" t="s">
        <v>14204</v>
      </c>
    </row>
    <row r="7951" ht="15.75" customHeight="1">
      <c r="A7951" s="2">
        <v>69706.0</v>
      </c>
      <c r="B7951" s="2" t="s">
        <v>2277</v>
      </c>
      <c r="C7951" s="2" t="s">
        <v>4791</v>
      </c>
      <c r="D7951" s="2" t="s">
        <v>42</v>
      </c>
      <c r="E7951" s="2" t="s">
        <v>1407</v>
      </c>
      <c r="F7951" s="2">
        <v>31.0</v>
      </c>
      <c r="G7951" s="2">
        <v>500.0</v>
      </c>
      <c r="H7951" s="3" t="str">
        <f>HYPERLINK("http://www.linkedin.com/in/renegomez","http://www.linkedin.com/in/renegomez")</f>
        <v>http://www.linkedin.com/in/renegomez</v>
      </c>
      <c r="I7951" s="2" t="s">
        <v>77</v>
      </c>
      <c r="J7951" s="2" t="s">
        <v>102</v>
      </c>
      <c r="K7951" s="2" t="s">
        <v>14125</v>
      </c>
    </row>
    <row r="7952" ht="15.75" customHeight="1">
      <c r="A7952" s="2">
        <v>69942.0</v>
      </c>
      <c r="B7952" s="2" t="s">
        <v>1570</v>
      </c>
      <c r="C7952" s="2" t="s">
        <v>14725</v>
      </c>
      <c r="D7952" s="2" t="s">
        <v>3799</v>
      </c>
      <c r="E7952" s="2" t="s">
        <v>4060</v>
      </c>
      <c r="F7952" s="2">
        <v>2.0</v>
      </c>
      <c r="G7952" s="2">
        <v>500.0</v>
      </c>
      <c r="H7952" s="3" t="str">
        <f>HYPERLINK("http://www.linkedin.com/pub/drew-fassett/8/97/613","http://www.linkedin.com/pub/drew-fassett/8/97/613")</f>
        <v>http://www.linkedin.com/pub/drew-fassett/8/97/613</v>
      </c>
      <c r="I7952" s="2" t="s">
        <v>15</v>
      </c>
      <c r="J7952" s="2" t="s">
        <v>102</v>
      </c>
      <c r="K7952" s="2" t="s">
        <v>14088</v>
      </c>
    </row>
    <row r="7953" ht="15.75" customHeight="1">
      <c r="A7953" s="2">
        <v>69946.0</v>
      </c>
      <c r="B7953" s="2" t="s">
        <v>14726</v>
      </c>
      <c r="C7953" s="2" t="s">
        <v>14727</v>
      </c>
      <c r="D7953" s="2" t="s">
        <v>14728</v>
      </c>
      <c r="E7953" s="2" t="s">
        <v>3148</v>
      </c>
      <c r="F7953" s="2">
        <v>1.0</v>
      </c>
      <c r="G7953" s="2">
        <v>500.0</v>
      </c>
      <c r="H7953" s="3" t="str">
        <f>HYPERLINK("http://www.linkedin.com/pub/len-fechter/1A/B96/54B","http://www.linkedin.com/pub/len-fechter/1A/B96/54B")</f>
        <v>http://www.linkedin.com/pub/len-fechter/1A/B96/54B</v>
      </c>
      <c r="I7953" s="2" t="s">
        <v>599</v>
      </c>
      <c r="J7953" s="2" t="s">
        <v>102</v>
      </c>
      <c r="K7953" s="2" t="s">
        <v>14055</v>
      </c>
    </row>
    <row r="7954" ht="15.75" customHeight="1">
      <c r="A7954" s="2">
        <v>69955.0</v>
      </c>
      <c r="B7954" s="2" t="s">
        <v>549</v>
      </c>
      <c r="C7954" s="2" t="s">
        <v>14729</v>
      </c>
      <c r="D7954" s="2" t="s">
        <v>959</v>
      </c>
      <c r="E7954" s="2" t="s">
        <v>20</v>
      </c>
      <c r="F7954" s="2">
        <v>3.0</v>
      </c>
      <c r="G7954" s="2">
        <v>500.0</v>
      </c>
      <c r="H7954" s="3" t="str">
        <f>HYPERLINK("http://www.linkedin.com/in/nextcomm","http://www.linkedin.com/in/nextcomm")</f>
        <v>http://www.linkedin.com/in/nextcomm</v>
      </c>
      <c r="I7954" s="2" t="s">
        <v>15</v>
      </c>
      <c r="J7954" s="2" t="s">
        <v>21</v>
      </c>
      <c r="K7954" s="2" t="s">
        <v>14125</v>
      </c>
    </row>
    <row r="7955" ht="15.75" customHeight="1">
      <c r="A7955" s="2">
        <v>70072.0</v>
      </c>
      <c r="B7955" s="2" t="s">
        <v>3227</v>
      </c>
      <c r="C7955" s="2" t="s">
        <v>1479</v>
      </c>
      <c r="D7955" s="2" t="s">
        <v>14730</v>
      </c>
      <c r="E7955" s="2" t="s">
        <v>3902</v>
      </c>
      <c r="F7955" s="2">
        <v>0.0</v>
      </c>
      <c r="G7955" s="2">
        <v>363.0</v>
      </c>
      <c r="H7955" s="3" t="str">
        <f>HYPERLINK("http://www.linkedin.com/in/chadfrank","http://www.linkedin.com/in/chadfrank")</f>
        <v>http://www.linkedin.com/in/chadfrank</v>
      </c>
      <c r="I7955" s="2" t="s">
        <v>69</v>
      </c>
      <c r="J7955" s="2" t="s">
        <v>102</v>
      </c>
      <c r="K7955" s="2" t="s">
        <v>14142</v>
      </c>
    </row>
    <row r="7956" ht="15.75" customHeight="1">
      <c r="A7956" s="2">
        <v>70123.0</v>
      </c>
      <c r="B7956" s="2" t="s">
        <v>752</v>
      </c>
      <c r="C7956" s="2" t="s">
        <v>14731</v>
      </c>
      <c r="D7956" s="2" t="s">
        <v>1825</v>
      </c>
      <c r="E7956" s="2" t="s">
        <v>4060</v>
      </c>
      <c r="F7956" s="2">
        <v>0.0</v>
      </c>
      <c r="G7956" s="2">
        <v>500.0</v>
      </c>
      <c r="H7956" s="3" t="str">
        <f>HYPERLINK("http://www.linkedin.com/pub/jim-genet/12/566/A19","http://www.linkedin.com/pub/jim-genet/12/566/A19")</f>
        <v>http://www.linkedin.com/pub/jim-genet/12/566/A19</v>
      </c>
      <c r="I7956" s="2" t="s">
        <v>27</v>
      </c>
      <c r="J7956" s="2" t="s">
        <v>102</v>
      </c>
      <c r="K7956" s="2" t="s">
        <v>14055</v>
      </c>
    </row>
    <row r="7957" ht="15.75" customHeight="1">
      <c r="A7957" s="2">
        <v>70201.0</v>
      </c>
      <c r="B7957" s="2" t="s">
        <v>1829</v>
      </c>
      <c r="C7957" s="2" t="s">
        <v>14732</v>
      </c>
      <c r="D7957" s="2" t="s">
        <v>1062</v>
      </c>
      <c r="E7957" s="2" t="s">
        <v>882</v>
      </c>
      <c r="F7957" s="2">
        <v>33.0</v>
      </c>
      <c r="G7957" s="2">
        <v>500.0</v>
      </c>
      <c r="H7957" s="3" t="str">
        <f>HYPERLINK("http://www.linkedin.com/in/brozman","http://www.linkedin.com/in/brozman")</f>
        <v>http://www.linkedin.com/in/brozman</v>
      </c>
      <c r="I7957" s="2" t="s">
        <v>248</v>
      </c>
      <c r="J7957" s="2" t="s">
        <v>102</v>
      </c>
      <c r="K7957" s="2" t="s">
        <v>14481</v>
      </c>
    </row>
    <row r="7958" ht="15.75" customHeight="1">
      <c r="A7958" s="2">
        <v>70332.0</v>
      </c>
      <c r="B7958" s="2" t="s">
        <v>8172</v>
      </c>
      <c r="C7958" s="2" t="s">
        <v>14733</v>
      </c>
      <c r="D7958" s="2" t="s">
        <v>1966</v>
      </c>
      <c r="E7958" s="2" t="s">
        <v>1329</v>
      </c>
      <c r="F7958" s="2">
        <v>199.0</v>
      </c>
      <c r="G7958" s="2">
        <v>500.0</v>
      </c>
      <c r="H7958" s="3" t="str">
        <f>HYPERLINK("http://www.linkedin.com/in/geraldhaman","http://www.linkedin.com/in/geraldhaman")</f>
        <v>http://www.linkedin.com/in/geraldhaman</v>
      </c>
      <c r="I7958" s="2" t="s">
        <v>1390</v>
      </c>
      <c r="J7958" s="2" t="s">
        <v>102</v>
      </c>
      <c r="K7958" s="2" t="s">
        <v>14074</v>
      </c>
    </row>
    <row r="7959" ht="15.75" customHeight="1">
      <c r="A7959" s="2">
        <v>70536.0</v>
      </c>
      <c r="B7959" s="2" t="s">
        <v>14734</v>
      </c>
      <c r="C7959" s="2" t="s">
        <v>1157</v>
      </c>
      <c r="D7959" s="2" t="s">
        <v>14735</v>
      </c>
      <c r="E7959" s="2" t="s">
        <v>4060</v>
      </c>
      <c r="F7959" s="2">
        <v>7.0</v>
      </c>
      <c r="G7959" s="2">
        <v>500.0</v>
      </c>
      <c r="H7959" s="3" t="str">
        <f>HYPERLINK("http://www.linkedin.com/in/bjhoward7","http://www.linkedin.com/in/bjhoward7")</f>
        <v>http://www.linkedin.com/in/bjhoward7</v>
      </c>
      <c r="I7959" s="2" t="s">
        <v>57</v>
      </c>
      <c r="J7959" s="2" t="s">
        <v>102</v>
      </c>
      <c r="K7959" s="2" t="s">
        <v>14092</v>
      </c>
    </row>
    <row r="7960" ht="15.75" customHeight="1">
      <c r="A7960" s="2">
        <v>70679.0</v>
      </c>
      <c r="B7960" s="2" t="s">
        <v>511</v>
      </c>
      <c r="C7960" s="2" t="s">
        <v>14736</v>
      </c>
      <c r="D7960" s="2" t="s">
        <v>47</v>
      </c>
      <c r="E7960" s="2" t="s">
        <v>4060</v>
      </c>
      <c r="F7960" s="2">
        <v>9.0</v>
      </c>
      <c r="G7960" s="2">
        <v>500.0</v>
      </c>
      <c r="H7960" s="3" t="str">
        <f>HYPERLINK("http://www.linkedin.com/pub/mike-kasick/18/138/527","http://www.linkedin.com/pub/mike-kasick/18/138/527")</f>
        <v>http://www.linkedin.com/pub/mike-kasick/18/138/527</v>
      </c>
      <c r="I7960" s="2" t="s">
        <v>105</v>
      </c>
      <c r="J7960" s="2" t="s">
        <v>102</v>
      </c>
      <c r="K7960" s="2" t="s">
        <v>14055</v>
      </c>
    </row>
    <row r="7961" ht="15.75" customHeight="1">
      <c r="A7961" s="2">
        <v>70751.0</v>
      </c>
      <c r="B7961" s="2" t="s">
        <v>5200</v>
      </c>
      <c r="C7961" s="2" t="s">
        <v>14737</v>
      </c>
      <c r="D7961" s="2" t="s">
        <v>14738</v>
      </c>
      <c r="E7961" s="2" t="s">
        <v>14739</v>
      </c>
      <c r="F7961" s="2">
        <v>8.0</v>
      </c>
      <c r="G7961" s="2">
        <v>500.0</v>
      </c>
      <c r="H7961" s="3" t="str">
        <f>HYPERLINK("http://www.linkedin.com/in/cynthiakincaid","http://www.linkedin.com/in/cynthiakincaid")</f>
        <v>http://www.linkedin.com/in/cynthiakincaid</v>
      </c>
      <c r="I7961" s="2" t="s">
        <v>1679</v>
      </c>
      <c r="J7961" s="2" t="s">
        <v>102</v>
      </c>
      <c r="K7961" s="2" t="s">
        <v>14055</v>
      </c>
    </row>
    <row r="7962" ht="15.75" customHeight="1">
      <c r="A7962" s="2">
        <v>70956.0</v>
      </c>
      <c r="B7962" s="2" t="s">
        <v>460</v>
      </c>
      <c r="C7962" s="2" t="s">
        <v>14740</v>
      </c>
      <c r="D7962" s="2" t="s">
        <v>14741</v>
      </c>
      <c r="E7962" s="2" t="s">
        <v>4060</v>
      </c>
      <c r="F7962" s="2">
        <v>16.0</v>
      </c>
      <c r="G7962" s="2">
        <v>500.0</v>
      </c>
      <c r="H7962" s="3" t="str">
        <f>HYPERLINK("http://www.linkedin.com/pub/john-mckay/8/93A/AA9","http://www.linkedin.com/pub/john-mckay/8/93A/AA9")</f>
        <v>http://www.linkedin.com/pub/john-mckay/8/93A/AA9</v>
      </c>
      <c r="I7962" s="2" t="s">
        <v>714</v>
      </c>
      <c r="J7962" s="2" t="s">
        <v>102</v>
      </c>
      <c r="K7962" s="2" t="s">
        <v>14055</v>
      </c>
    </row>
    <row r="7963" ht="15.75" customHeight="1">
      <c r="A7963" s="2">
        <v>71153.0</v>
      </c>
      <c r="B7963" s="2" t="s">
        <v>3409</v>
      </c>
      <c r="C7963" s="2" t="s">
        <v>1632</v>
      </c>
      <c r="D7963" s="2" t="s">
        <v>14742</v>
      </c>
      <c r="E7963" s="2" t="s">
        <v>14743</v>
      </c>
      <c r="F7963" s="2">
        <v>20.0</v>
      </c>
      <c r="G7963" s="2">
        <v>500.0</v>
      </c>
      <c r="H7963" s="3" t="str">
        <f>HYPERLINK("http://www.linkedin.com/in/judyreynoldsrecruiterdfw","http://www.linkedin.com/in/judyreynoldsrecruiterdfw")</f>
        <v>http://www.linkedin.com/in/judyreynoldsrecruiterdfw</v>
      </c>
      <c r="I7963" s="2" t="s">
        <v>15</v>
      </c>
      <c r="J7963" s="2" t="s">
        <v>102</v>
      </c>
      <c r="K7963" s="2" t="s">
        <v>14142</v>
      </c>
    </row>
    <row r="7964" ht="15.75" customHeight="1">
      <c r="A7964" s="2">
        <v>71289.0</v>
      </c>
      <c r="B7964" s="2" t="s">
        <v>14744</v>
      </c>
      <c r="C7964" s="2" t="s">
        <v>14745</v>
      </c>
      <c r="D7964" s="2" t="s">
        <v>410</v>
      </c>
      <c r="E7964" s="2" t="s">
        <v>5549</v>
      </c>
      <c r="F7964" s="2">
        <v>4.0</v>
      </c>
      <c r="G7964" s="2">
        <v>500.0</v>
      </c>
      <c r="H7964" s="3" t="str">
        <f>HYPERLINK("http://www.linkedin.com/in/jeredhaddad","http://www.linkedin.com/in/jeredhaddad")</f>
        <v>http://www.linkedin.com/in/jeredhaddad</v>
      </c>
      <c r="I7964" s="2" t="s">
        <v>248</v>
      </c>
      <c r="J7964" s="2" t="s">
        <v>102</v>
      </c>
      <c r="K7964" s="2" t="s">
        <v>14121</v>
      </c>
    </row>
    <row r="7965" ht="15.75" customHeight="1">
      <c r="A7965" s="2">
        <v>71499.0</v>
      </c>
      <c r="B7965" s="2" t="s">
        <v>14746</v>
      </c>
      <c r="C7965" s="2" t="s">
        <v>14747</v>
      </c>
      <c r="D7965" s="2"/>
      <c r="E7965" s="2" t="s">
        <v>397</v>
      </c>
      <c r="F7965" s="2">
        <v>2.0</v>
      </c>
      <c r="G7965" s="2">
        <v>500.0</v>
      </c>
      <c r="H7965" s="3" t="str">
        <f>HYPERLINK("http://www.linkedin.com/in/nicokicillof","http://www.linkedin.com/in/nicokicillof")</f>
        <v>http://www.linkedin.com/in/nicokicillof</v>
      </c>
      <c r="I7965" s="2" t="s">
        <v>279</v>
      </c>
      <c r="J7965" s="2" t="s">
        <v>102</v>
      </c>
      <c r="K7965" s="2" t="s">
        <v>14197</v>
      </c>
    </row>
    <row r="7966" ht="15.75" customHeight="1">
      <c r="A7966" s="2">
        <v>71518.0</v>
      </c>
      <c r="B7966" s="2" t="s">
        <v>1173</v>
      </c>
      <c r="C7966" s="2" t="s">
        <v>1586</v>
      </c>
      <c r="D7966" s="2" t="s">
        <v>14748</v>
      </c>
      <c r="E7966" s="2" t="s">
        <v>301</v>
      </c>
      <c r="F7966" s="2">
        <v>10.0</v>
      </c>
      <c r="G7966" s="2">
        <v>500.0</v>
      </c>
      <c r="H7966" s="3" t="str">
        <f>HYPERLINK("http://www.linkedin.com/in/stevenhughes","http://www.linkedin.com/in/stevenhughes")</f>
        <v>http://www.linkedin.com/in/stevenhughes</v>
      </c>
      <c r="I7966" s="2" t="s">
        <v>160</v>
      </c>
      <c r="J7966" s="2" t="s">
        <v>102</v>
      </c>
      <c r="K7966" s="2" t="s">
        <v>14085</v>
      </c>
    </row>
    <row r="7967" ht="15.75" customHeight="1">
      <c r="A7967" s="2">
        <v>71568.0</v>
      </c>
      <c r="B7967" s="2" t="s">
        <v>431</v>
      </c>
      <c r="C7967" s="2" t="s">
        <v>6956</v>
      </c>
      <c r="D7967" s="2" t="s">
        <v>14749</v>
      </c>
      <c r="E7967" s="2" t="s">
        <v>20</v>
      </c>
      <c r="F7967" s="2" t="s">
        <v>13</v>
      </c>
      <c r="G7967" s="2">
        <v>204.0</v>
      </c>
      <c r="H7967" s="3" t="str">
        <f>HYPERLINK("http://ar.linkedin.com/pub/rodrigo-arce/21/170/841","http://ar.linkedin.com/pub/rodrigo-arce/21/170/841")</f>
        <v>http://ar.linkedin.com/pub/rodrigo-arce/21/170/841</v>
      </c>
      <c r="I7967" s="2" t="s">
        <v>48</v>
      </c>
      <c r="J7967" s="2" t="s">
        <v>21</v>
      </c>
      <c r="K7967" s="2" t="s">
        <v>14750</v>
      </c>
    </row>
    <row r="7968" ht="15.75" customHeight="1">
      <c r="A7968" s="2">
        <v>71701.0</v>
      </c>
      <c r="B7968" s="2" t="s">
        <v>1405</v>
      </c>
      <c r="C7968" s="2" t="s">
        <v>14751</v>
      </c>
      <c r="D7968" s="2" t="s">
        <v>4415</v>
      </c>
      <c r="E7968" s="2" t="s">
        <v>1190</v>
      </c>
      <c r="F7968" s="2">
        <v>4.0</v>
      </c>
      <c r="G7968" s="2">
        <v>500.0</v>
      </c>
      <c r="H7968" s="3" t="str">
        <f>HYPERLINK("http://www.linkedin.com/in/ronsas","http://www.linkedin.com/in/ronsas")</f>
        <v>http://www.linkedin.com/in/ronsas</v>
      </c>
      <c r="I7968" s="2" t="s">
        <v>105</v>
      </c>
      <c r="J7968" s="2" t="s">
        <v>102</v>
      </c>
      <c r="K7968" s="2" t="s">
        <v>14074</v>
      </c>
    </row>
    <row r="7969" ht="15.75" customHeight="1">
      <c r="A7969" s="2">
        <v>71722.0</v>
      </c>
      <c r="B7969" s="2" t="s">
        <v>1173</v>
      </c>
      <c r="C7969" s="2" t="s">
        <v>3178</v>
      </c>
      <c r="D7969" s="2" t="s">
        <v>14752</v>
      </c>
      <c r="E7969" s="2" t="s">
        <v>728</v>
      </c>
      <c r="F7969" s="2">
        <v>4.0</v>
      </c>
      <c r="G7969" s="2">
        <v>500.0</v>
      </c>
      <c r="H7969" s="3" t="str">
        <f>HYPERLINK("http://www.linkedin.com/in/nstevenlucas","http://www.linkedin.com/in/nstevenlucas")</f>
        <v>http://www.linkedin.com/in/nstevenlucas</v>
      </c>
      <c r="I7969" s="2" t="s">
        <v>48</v>
      </c>
      <c r="J7969" s="2" t="s">
        <v>102</v>
      </c>
      <c r="K7969" s="2" t="s">
        <v>14142</v>
      </c>
    </row>
    <row r="7970" ht="15.75" customHeight="1">
      <c r="A7970" s="2">
        <v>71748.0</v>
      </c>
      <c r="B7970" s="2" t="s">
        <v>631</v>
      </c>
      <c r="C7970" s="2" t="s">
        <v>14753</v>
      </c>
      <c r="D7970" s="2" t="s">
        <v>7962</v>
      </c>
      <c r="E7970" s="2" t="s">
        <v>14754</v>
      </c>
      <c r="F7970" s="2">
        <v>2.0</v>
      </c>
      <c r="G7970" s="2">
        <v>500.0</v>
      </c>
      <c r="H7970" s="3" t="str">
        <f>HYPERLINK("http://www.linkedin.com/in/chrisjmacdonald","http://www.linkedin.com/in/chrisjmacdonald")</f>
        <v>http://www.linkedin.com/in/chrisjmacdonald</v>
      </c>
      <c r="I7970" s="2" t="s">
        <v>15</v>
      </c>
      <c r="J7970" s="2" t="s">
        <v>44</v>
      </c>
      <c r="K7970" s="2" t="s">
        <v>14082</v>
      </c>
    </row>
    <row r="7971" ht="15.75" customHeight="1">
      <c r="A7971" s="2">
        <v>71793.0</v>
      </c>
      <c r="B7971" s="2" t="s">
        <v>7395</v>
      </c>
      <c r="C7971" s="2" t="s">
        <v>6508</v>
      </c>
      <c r="D7971" s="2" t="s">
        <v>14755</v>
      </c>
      <c r="E7971" s="2" t="s">
        <v>20</v>
      </c>
      <c r="F7971" s="2">
        <v>4.0</v>
      </c>
      <c r="G7971" s="2">
        <v>500.0</v>
      </c>
      <c r="H7971" s="3" t="str">
        <f>HYPERLINK("http://ar.linkedin.com/in/pfsanchez","http://ar.linkedin.com/in/pfsanchez")</f>
        <v>http://ar.linkedin.com/in/pfsanchez</v>
      </c>
      <c r="I7971" s="2" t="s">
        <v>15</v>
      </c>
      <c r="J7971" s="2" t="s">
        <v>21</v>
      </c>
      <c r="K7971" s="2" t="s">
        <v>14082</v>
      </c>
    </row>
    <row r="7972" ht="15.75" customHeight="1">
      <c r="A7972" s="2">
        <v>71811.0</v>
      </c>
      <c r="B7972" s="2" t="s">
        <v>14756</v>
      </c>
      <c r="C7972" s="2" t="s">
        <v>14757</v>
      </c>
      <c r="D7972" s="2" t="s">
        <v>14758</v>
      </c>
      <c r="E7972" s="2" t="s">
        <v>1190</v>
      </c>
      <c r="F7972" s="2">
        <v>34.0</v>
      </c>
      <c r="G7972" s="2">
        <v>500.0</v>
      </c>
      <c r="H7972" s="3" t="str">
        <f>HYPERLINK("http://www.linkedin.com/in/jesushoyos","http://www.linkedin.com/in/jesushoyos")</f>
        <v>http://www.linkedin.com/in/jesushoyos</v>
      </c>
      <c r="I7972" s="2" t="s">
        <v>69</v>
      </c>
      <c r="J7972" s="2" t="s">
        <v>102</v>
      </c>
      <c r="K7972" s="2" t="s">
        <v>14088</v>
      </c>
    </row>
    <row r="7973" ht="15.75" customHeight="1">
      <c r="A7973" s="2">
        <v>71922.0</v>
      </c>
      <c r="B7973" s="2" t="s">
        <v>302</v>
      </c>
      <c r="C7973" s="2" t="s">
        <v>14759</v>
      </c>
      <c r="D7973" s="2" t="s">
        <v>14760</v>
      </c>
      <c r="E7973" s="2" t="s">
        <v>3005</v>
      </c>
      <c r="F7973" s="2">
        <v>6.0</v>
      </c>
      <c r="G7973" s="2">
        <v>500.0</v>
      </c>
      <c r="H7973" s="3" t="str">
        <f>HYPERLINK("http://www.linkedin.com/in/billstankiewicz2006","http://www.linkedin.com/in/billstankiewicz2006")</f>
        <v>http://www.linkedin.com/in/billstankiewicz2006</v>
      </c>
      <c r="I7973" s="2" t="s">
        <v>231</v>
      </c>
      <c r="J7973" s="2" t="s">
        <v>102</v>
      </c>
      <c r="K7973" s="2" t="s">
        <v>14055</v>
      </c>
    </row>
    <row r="7974" ht="15.75" customHeight="1">
      <c r="A7974" s="2">
        <v>72284.0</v>
      </c>
      <c r="B7974" s="2" t="s">
        <v>341</v>
      </c>
      <c r="C7974" s="2" t="s">
        <v>14761</v>
      </c>
      <c r="D7974" s="2" t="s">
        <v>114</v>
      </c>
      <c r="E7974" s="2" t="s">
        <v>1041</v>
      </c>
      <c r="F7974" s="2" t="s">
        <v>13</v>
      </c>
      <c r="G7974" s="2">
        <v>500.0</v>
      </c>
      <c r="H7974" s="3" t="str">
        <f>HYPERLINK("http://www.linkedin.com/in/kevinduerr","http://www.linkedin.com/in/kevinduerr")</f>
        <v>http://www.linkedin.com/in/kevinduerr</v>
      </c>
      <c r="I7974" s="2" t="s">
        <v>15</v>
      </c>
      <c r="J7974" s="2" t="s">
        <v>102</v>
      </c>
      <c r="K7974" s="2" t="s">
        <v>14088</v>
      </c>
    </row>
    <row r="7975" ht="15.75" customHeight="1">
      <c r="A7975" s="2">
        <v>72310.0</v>
      </c>
      <c r="B7975" s="2" t="s">
        <v>625</v>
      </c>
      <c r="C7975" s="2" t="s">
        <v>292</v>
      </c>
      <c r="D7975" s="2" t="s">
        <v>14762</v>
      </c>
      <c r="E7975" s="2" t="s">
        <v>4060</v>
      </c>
      <c r="F7975" s="2">
        <v>8.0</v>
      </c>
      <c r="G7975" s="2">
        <v>500.0</v>
      </c>
      <c r="H7975" s="3" t="str">
        <f>HYPERLINK("http://www.linkedin.com/in/timrsmith","http://www.linkedin.com/in/timrsmith")</f>
        <v>http://www.linkedin.com/in/timrsmith</v>
      </c>
      <c r="I7975" s="2" t="s">
        <v>15</v>
      </c>
      <c r="J7975" s="2" t="s">
        <v>102</v>
      </c>
      <c r="K7975" s="2" t="s">
        <v>14080</v>
      </c>
    </row>
    <row r="7976" ht="15.75" customHeight="1">
      <c r="A7976" s="2">
        <v>72377.0</v>
      </c>
      <c r="B7976" s="2" t="s">
        <v>291</v>
      </c>
      <c r="C7976" s="2" t="s">
        <v>14763</v>
      </c>
      <c r="D7976" s="2" t="s">
        <v>2802</v>
      </c>
      <c r="E7976" s="2" t="s">
        <v>4060</v>
      </c>
      <c r="F7976" s="2">
        <v>4.0</v>
      </c>
      <c r="G7976" s="2">
        <v>500.0</v>
      </c>
      <c r="H7976" s="3" t="str">
        <f>HYPERLINK("http://www.linkedin.com/pub/gary-soloway/8/31/741","http://www.linkedin.com/pub/gary-soloway/8/31/741")</f>
        <v>http://www.linkedin.com/pub/gary-soloway/8/31/741</v>
      </c>
      <c r="I7976" s="2" t="s">
        <v>57</v>
      </c>
      <c r="J7976" s="2" t="s">
        <v>102</v>
      </c>
      <c r="K7976" s="2" t="s">
        <v>14092</v>
      </c>
    </row>
    <row r="7977" ht="15.75" customHeight="1">
      <c r="A7977" s="2">
        <v>72381.0</v>
      </c>
      <c r="B7977" s="2" t="s">
        <v>1545</v>
      </c>
      <c r="C7977" s="2" t="s">
        <v>14764</v>
      </c>
      <c r="D7977" s="2" t="s">
        <v>13</v>
      </c>
      <c r="E7977" s="2" t="s">
        <v>136</v>
      </c>
      <c r="F7977" s="2">
        <v>0.0</v>
      </c>
      <c r="G7977" s="2">
        <v>500.0</v>
      </c>
      <c r="H7977" s="3" t="str">
        <f>HYPERLINK("http://www.linkedin.com/in/patrickconsorti","http://www.linkedin.com/in/patrickconsorti")</f>
        <v>http://www.linkedin.com/in/patrickconsorti</v>
      </c>
      <c r="I7977" s="2" t="s">
        <v>15</v>
      </c>
      <c r="J7977" s="2" t="s">
        <v>102</v>
      </c>
      <c r="K7977" s="2" t="s">
        <v>14197</v>
      </c>
    </row>
    <row r="7978" ht="15.75" customHeight="1">
      <c r="A7978" s="2">
        <v>72558.0</v>
      </c>
      <c r="B7978" s="2" t="s">
        <v>408</v>
      </c>
      <c r="C7978" s="2" t="s">
        <v>14765</v>
      </c>
      <c r="D7978" s="2" t="s">
        <v>14766</v>
      </c>
      <c r="E7978" s="2" t="s">
        <v>4060</v>
      </c>
      <c r="F7978" s="2">
        <v>12.0</v>
      </c>
      <c r="G7978" s="2">
        <v>500.0</v>
      </c>
      <c r="H7978" s="3" t="str">
        <f>HYPERLINK("http://www.linkedin.com/in/estringfellow","http://www.linkedin.com/in/estringfellow")</f>
        <v>http://www.linkedin.com/in/estringfellow</v>
      </c>
      <c r="I7978" s="2" t="s">
        <v>15</v>
      </c>
      <c r="J7978" s="2" t="s">
        <v>102</v>
      </c>
      <c r="K7978" s="2" t="s">
        <v>14080</v>
      </c>
    </row>
    <row r="7979" ht="15.75" customHeight="1">
      <c r="A7979" s="2">
        <v>72562.0</v>
      </c>
      <c r="B7979" s="2" t="s">
        <v>1096</v>
      </c>
      <c r="C7979" s="2" t="s">
        <v>14767</v>
      </c>
      <c r="D7979" s="2" t="s">
        <v>14768</v>
      </c>
      <c r="E7979" s="2" t="s">
        <v>136</v>
      </c>
      <c r="F7979" s="2">
        <v>4.0</v>
      </c>
      <c r="G7979" s="2">
        <v>500.0</v>
      </c>
      <c r="H7979" s="3" t="str">
        <f>HYPERLINK("http://www.linkedin.com/pub/tony-farne-cpm-cpmm/1/10B/899","http://www.linkedin.com/pub/tony-farne-cpm-cpmm/1/10B/899")</f>
        <v>http://www.linkedin.com/pub/tony-farne-cpm-cpmm/1/10B/899</v>
      </c>
      <c r="I7979" s="2" t="s">
        <v>1679</v>
      </c>
      <c r="J7979" s="2" t="s">
        <v>102</v>
      </c>
      <c r="K7979" s="2" t="s">
        <v>14055</v>
      </c>
    </row>
    <row r="7980" ht="15.75" customHeight="1">
      <c r="A7980" s="2">
        <v>72565.0</v>
      </c>
      <c r="B7980" s="2" t="s">
        <v>784</v>
      </c>
      <c r="C7980" s="2" t="s">
        <v>4019</v>
      </c>
      <c r="D7980" s="2" t="s">
        <v>1145</v>
      </c>
      <c r="E7980" s="2" t="s">
        <v>1190</v>
      </c>
      <c r="F7980" s="2">
        <v>11.0</v>
      </c>
      <c r="G7980" s="2">
        <v>500.0</v>
      </c>
      <c r="H7980" s="3" t="str">
        <f>HYPERLINK("http://www.linkedin.com/in/jlhunter","http://www.linkedin.com/in/jlhunter")</f>
        <v>http://www.linkedin.com/in/jlhunter</v>
      </c>
      <c r="I7980" s="2" t="s">
        <v>77</v>
      </c>
      <c r="J7980" s="2" t="s">
        <v>102</v>
      </c>
      <c r="K7980" s="2" t="s">
        <v>14218</v>
      </c>
    </row>
    <row r="7981" ht="15.75" customHeight="1">
      <c r="A7981" s="2">
        <v>72576.0</v>
      </c>
      <c r="B7981" s="2" t="s">
        <v>1405</v>
      </c>
      <c r="C7981" s="2" t="s">
        <v>14769</v>
      </c>
      <c r="D7981" s="2" t="s">
        <v>100</v>
      </c>
      <c r="E7981" s="2" t="s">
        <v>4060</v>
      </c>
      <c r="F7981" s="2">
        <v>3.0</v>
      </c>
      <c r="G7981" s="2">
        <v>500.0</v>
      </c>
      <c r="H7981" s="3" t="str">
        <f>HYPERLINK("http://www.linkedin.com/in/ronstyers","http://www.linkedin.com/in/ronstyers")</f>
        <v>http://www.linkedin.com/in/ronstyers</v>
      </c>
      <c r="I7981" s="2" t="s">
        <v>48</v>
      </c>
      <c r="J7981" s="2" t="s">
        <v>102</v>
      </c>
      <c r="K7981" s="2" t="s">
        <v>14204</v>
      </c>
    </row>
    <row r="7982" ht="15.75" customHeight="1">
      <c r="A7982" s="2">
        <v>72625.0</v>
      </c>
      <c r="B7982" s="2" t="s">
        <v>721</v>
      </c>
      <c r="C7982" s="2" t="s">
        <v>14770</v>
      </c>
      <c r="D7982" s="2" t="s">
        <v>1145</v>
      </c>
      <c r="E7982" s="2" t="s">
        <v>5294</v>
      </c>
      <c r="F7982" s="2">
        <v>0.0</v>
      </c>
      <c r="G7982" s="2">
        <v>348.0</v>
      </c>
      <c r="H7982" s="3" t="str">
        <f>HYPERLINK("http://www.linkedin.com/in/andrewfilipowski","http://www.linkedin.com/in/andrewfilipowski")</f>
        <v>http://www.linkedin.com/in/andrewfilipowski</v>
      </c>
      <c r="I7982" s="2" t="s">
        <v>15</v>
      </c>
      <c r="J7982" s="2" t="s">
        <v>102</v>
      </c>
      <c r="K7982" s="2" t="s">
        <v>14197</v>
      </c>
    </row>
    <row r="7983" ht="15.75" customHeight="1">
      <c r="A7983" s="2">
        <v>72628.0</v>
      </c>
      <c r="B7983" s="2" t="s">
        <v>12135</v>
      </c>
      <c r="C7983" s="2" t="s">
        <v>5555</v>
      </c>
      <c r="D7983" s="2" t="s">
        <v>14771</v>
      </c>
      <c r="E7983" s="2" t="s">
        <v>1190</v>
      </c>
      <c r="F7983" s="2">
        <v>4.0</v>
      </c>
      <c r="G7983" s="2">
        <v>500.0</v>
      </c>
      <c r="H7983" s="3" t="str">
        <f>HYPERLINK("http://www.linkedin.com/pub/rui-da-costa/0/125/869","http://www.linkedin.com/pub/rui-da-costa/0/125/869")</f>
        <v>http://www.linkedin.com/pub/rui-da-costa/0/125/869</v>
      </c>
      <c r="I7983" s="2" t="s">
        <v>15</v>
      </c>
      <c r="J7983" s="2" t="s">
        <v>102</v>
      </c>
      <c r="K7983" s="2" t="s">
        <v>14095</v>
      </c>
    </row>
    <row r="7984" ht="15.75" customHeight="1">
      <c r="A7984" s="2">
        <v>72696.0</v>
      </c>
      <c r="B7984" s="2" t="s">
        <v>1076</v>
      </c>
      <c r="C7984" s="2" t="s">
        <v>14772</v>
      </c>
      <c r="D7984" s="2" t="s">
        <v>114</v>
      </c>
      <c r="E7984" s="2" t="s">
        <v>14704</v>
      </c>
      <c r="F7984" s="2">
        <v>8.0</v>
      </c>
      <c r="G7984" s="2">
        <v>500.0</v>
      </c>
      <c r="H7984" s="3" t="str">
        <f>HYPERLINK("http://www.linkedin.com/in/jfahlsing","http://www.linkedin.com/in/jfahlsing")</f>
        <v>http://www.linkedin.com/in/jfahlsing</v>
      </c>
      <c r="I7984" s="2" t="s">
        <v>248</v>
      </c>
      <c r="J7984" s="2" t="s">
        <v>102</v>
      </c>
      <c r="K7984" s="2" t="s">
        <v>14115</v>
      </c>
    </row>
    <row r="7985" ht="15.75" customHeight="1">
      <c r="A7985" s="2">
        <v>72727.0</v>
      </c>
      <c r="B7985" s="2" t="s">
        <v>14773</v>
      </c>
      <c r="C7985" s="2" t="s">
        <v>14774</v>
      </c>
      <c r="D7985" s="2" t="s">
        <v>1145</v>
      </c>
      <c r="E7985" s="2" t="s">
        <v>235</v>
      </c>
      <c r="F7985" s="2">
        <v>3.0</v>
      </c>
      <c r="G7985" s="2">
        <v>500.0</v>
      </c>
      <c r="H7985" s="3" t="str">
        <f>HYPERLINK("http://www.linkedin.com/in/rafantauzzi","http://www.linkedin.com/in/rafantauzzi")</f>
        <v>http://www.linkedin.com/in/rafantauzzi</v>
      </c>
      <c r="I7985" s="2" t="s">
        <v>4327</v>
      </c>
      <c r="J7985" s="2" t="s">
        <v>102</v>
      </c>
      <c r="K7985" s="2" t="s">
        <v>14074</v>
      </c>
    </row>
    <row r="7986" ht="15.75" customHeight="1">
      <c r="A7986" s="2">
        <v>72904.0</v>
      </c>
      <c r="B7986" s="2" t="s">
        <v>14775</v>
      </c>
      <c r="C7986" s="2" t="s">
        <v>14776</v>
      </c>
      <c r="D7986" s="2" t="s">
        <v>14777</v>
      </c>
      <c r="E7986" s="2" t="s">
        <v>136</v>
      </c>
      <c r="F7986" s="2">
        <v>14.0</v>
      </c>
      <c r="G7986" s="2">
        <v>500.0</v>
      </c>
      <c r="H7986" s="3" t="str">
        <f>HYPERLINK("http://www.linkedin.com/in/courtneygartin","http://www.linkedin.com/in/courtneygartin")</f>
        <v>http://www.linkedin.com/in/courtneygartin</v>
      </c>
      <c r="I7986" s="2" t="s">
        <v>48</v>
      </c>
      <c r="J7986" s="2" t="s">
        <v>102</v>
      </c>
      <c r="K7986" s="2" t="s">
        <v>14085</v>
      </c>
    </row>
    <row r="7987" ht="15.75" customHeight="1">
      <c r="A7987" s="2">
        <v>72923.0</v>
      </c>
      <c r="B7987" s="2" t="s">
        <v>1015</v>
      </c>
      <c r="C7987" s="2" t="s">
        <v>1088</v>
      </c>
      <c r="D7987" s="2" t="s">
        <v>536</v>
      </c>
      <c r="E7987" s="2" t="s">
        <v>235</v>
      </c>
      <c r="F7987" s="2">
        <v>7.0</v>
      </c>
      <c r="G7987" s="2">
        <v>500.0</v>
      </c>
      <c r="H7987" s="3" t="str">
        <f>HYPERLINK("http://www.linkedin.com/pub/brian-roberts/0/93/4A6","http://www.linkedin.com/pub/brian-roberts/0/93/4A6")</f>
        <v>http://www.linkedin.com/pub/brian-roberts/0/93/4A6</v>
      </c>
      <c r="I7987" s="2" t="s">
        <v>15</v>
      </c>
      <c r="J7987" s="2" t="s">
        <v>102</v>
      </c>
      <c r="K7987" s="2" t="s">
        <v>14073</v>
      </c>
    </row>
    <row r="7988" ht="15.75" customHeight="1">
      <c r="A7988" s="2">
        <v>72945.0</v>
      </c>
      <c r="B7988" s="2" t="s">
        <v>1617</v>
      </c>
      <c r="C7988" s="2" t="s">
        <v>14778</v>
      </c>
      <c r="D7988" s="2" t="s">
        <v>114</v>
      </c>
      <c r="E7988" s="2" t="s">
        <v>4060</v>
      </c>
      <c r="F7988" s="2">
        <v>17.0</v>
      </c>
      <c r="G7988" s="2">
        <v>500.0</v>
      </c>
      <c r="H7988" s="3" t="str">
        <f>HYPERLINK("http://www.linkedin.com/pub/ryan-vinett/14/A65/B16","http://www.linkedin.com/pub/ryan-vinett/14/A65/B16")</f>
        <v>http://www.linkedin.com/pub/ryan-vinett/14/A65/B16</v>
      </c>
      <c r="I7988" s="2" t="s">
        <v>105</v>
      </c>
      <c r="J7988" s="2" t="s">
        <v>102</v>
      </c>
      <c r="K7988" s="2" t="s">
        <v>14105</v>
      </c>
    </row>
    <row r="7989" ht="15.75" customHeight="1">
      <c r="A7989" s="2">
        <v>73521.0</v>
      </c>
      <c r="B7989" s="2" t="s">
        <v>677</v>
      </c>
      <c r="C7989" s="2" t="s">
        <v>14779</v>
      </c>
      <c r="D7989" s="2" t="s">
        <v>1145</v>
      </c>
      <c r="E7989" s="2" t="s">
        <v>1190</v>
      </c>
      <c r="F7989" s="2">
        <v>2.0</v>
      </c>
      <c r="G7989" s="2">
        <v>346.0</v>
      </c>
      <c r="H7989" s="3" t="str">
        <f>HYPERLINK("http://www.linkedin.com/in/danfreitas","http://www.linkedin.com/in/danfreitas")</f>
        <v>http://www.linkedin.com/in/danfreitas</v>
      </c>
      <c r="I7989" s="2" t="s">
        <v>1421</v>
      </c>
      <c r="J7989" s="2" t="s">
        <v>102</v>
      </c>
      <c r="K7989" s="2" t="s">
        <v>14074</v>
      </c>
    </row>
    <row r="7990" ht="15.75" customHeight="1">
      <c r="A7990" s="2">
        <v>73537.0</v>
      </c>
      <c r="B7990" s="2" t="s">
        <v>11138</v>
      </c>
      <c r="C7990" s="2" t="s">
        <v>134</v>
      </c>
      <c r="D7990" s="2" t="s">
        <v>14780</v>
      </c>
      <c r="E7990" s="2" t="s">
        <v>804</v>
      </c>
      <c r="F7990" s="2">
        <v>17.0</v>
      </c>
      <c r="G7990" s="2">
        <v>500.0</v>
      </c>
      <c r="H7990" s="3" t="str">
        <f>HYPERLINK("http://www.linkedin.com/in/nealfrick","http://www.linkedin.com/in/nealfrick")</f>
        <v>http://www.linkedin.com/in/nealfrick</v>
      </c>
      <c r="I7990" s="2" t="s">
        <v>15</v>
      </c>
      <c r="J7990" s="2" t="s">
        <v>102</v>
      </c>
      <c r="K7990" s="2" t="s">
        <v>14071</v>
      </c>
    </row>
    <row r="7991" ht="15.75" customHeight="1">
      <c r="A7991" s="2">
        <v>73565.0</v>
      </c>
      <c r="B7991" s="2" t="s">
        <v>302</v>
      </c>
      <c r="C7991" s="2" t="s">
        <v>14781</v>
      </c>
      <c r="D7991" s="2" t="s">
        <v>2802</v>
      </c>
      <c r="E7991" s="2" t="s">
        <v>14782</v>
      </c>
      <c r="F7991" s="2">
        <v>1.0</v>
      </c>
      <c r="G7991" s="2">
        <v>500.0</v>
      </c>
      <c r="H7991" s="3" t="str">
        <f>HYPERLINK("http://www.linkedin.com/pub/bill-yoder/10/742/565","http://www.linkedin.com/pub/bill-yoder/10/742/565")</f>
        <v>http://www.linkedin.com/pub/bill-yoder/10/742/565</v>
      </c>
      <c r="I7991" s="2" t="s">
        <v>1679</v>
      </c>
      <c r="J7991" s="2" t="s">
        <v>102</v>
      </c>
      <c r="K7991" s="2" t="s">
        <v>14055</v>
      </c>
    </row>
    <row r="7992" ht="15.75" customHeight="1">
      <c r="A7992" s="2">
        <v>73617.0</v>
      </c>
      <c r="B7992" s="2" t="s">
        <v>2329</v>
      </c>
      <c r="C7992" s="2" t="s">
        <v>4396</v>
      </c>
      <c r="D7992" s="2" t="s">
        <v>13</v>
      </c>
      <c r="E7992" s="2" t="s">
        <v>136</v>
      </c>
      <c r="F7992" s="2">
        <v>4.0</v>
      </c>
      <c r="G7992" s="2">
        <v>500.0</v>
      </c>
      <c r="H7992" s="3" t="str">
        <f>HYPERLINK("http://www.linkedin.com/pub/paulo-lerner/3/748/B14","http://www.linkedin.com/pub/paulo-lerner/3/748/B14")</f>
        <v>http://www.linkedin.com/pub/paulo-lerner/3/748/B14</v>
      </c>
      <c r="I7992" s="2" t="s">
        <v>69</v>
      </c>
      <c r="J7992" s="2" t="s">
        <v>102</v>
      </c>
      <c r="K7992" s="2" t="s">
        <v>14073</v>
      </c>
    </row>
    <row r="7993" ht="15.75" customHeight="1">
      <c r="A7993" s="2">
        <v>73899.0</v>
      </c>
      <c r="B7993" s="2" t="s">
        <v>2578</v>
      </c>
      <c r="C7993" s="2" t="s">
        <v>313</v>
      </c>
      <c r="D7993" s="2" t="s">
        <v>47</v>
      </c>
      <c r="E7993" s="2" t="s">
        <v>713</v>
      </c>
      <c r="F7993" s="2">
        <v>11.0</v>
      </c>
      <c r="G7993" s="2">
        <v>500.0</v>
      </c>
      <c r="H7993" s="3" t="str">
        <f>HYPERLINK("http://www.linkedin.com/in/philiplee","http://www.linkedin.com/in/philiplee")</f>
        <v>http://www.linkedin.com/in/philiplee</v>
      </c>
      <c r="I7993" s="2" t="s">
        <v>374</v>
      </c>
      <c r="J7993" s="2" t="s">
        <v>102</v>
      </c>
      <c r="K7993" s="2" t="s">
        <v>14055</v>
      </c>
    </row>
    <row r="7994" ht="15.75" customHeight="1">
      <c r="A7994" s="2">
        <v>73917.0</v>
      </c>
      <c r="B7994" s="2" t="s">
        <v>1015</v>
      </c>
      <c r="C7994" s="2" t="s">
        <v>14783</v>
      </c>
      <c r="D7994" s="2" t="s">
        <v>47</v>
      </c>
      <c r="E7994" s="2" t="s">
        <v>136</v>
      </c>
      <c r="F7994" s="2">
        <v>13.0</v>
      </c>
      <c r="G7994" s="2">
        <v>500.0</v>
      </c>
      <c r="H7994" s="3" t="str">
        <f>HYPERLINK("http://www.linkedin.com/in/brianlawley","http://www.linkedin.com/in/brianlawley")</f>
        <v>http://www.linkedin.com/in/brianlawley</v>
      </c>
      <c r="I7994" s="2" t="s">
        <v>1390</v>
      </c>
      <c r="J7994" s="2" t="s">
        <v>102</v>
      </c>
      <c r="K7994" s="2" t="s">
        <v>14074</v>
      </c>
    </row>
    <row r="7995" ht="15.75" customHeight="1">
      <c r="A7995" s="2">
        <v>74082.0</v>
      </c>
      <c r="B7995" s="2" t="s">
        <v>3262</v>
      </c>
      <c r="C7995" s="2" t="s">
        <v>383</v>
      </c>
      <c r="D7995" s="2" t="s">
        <v>14784</v>
      </c>
      <c r="E7995" s="2" t="s">
        <v>181</v>
      </c>
      <c r="F7995" s="2">
        <v>0.0</v>
      </c>
      <c r="G7995" s="2">
        <v>500.0</v>
      </c>
      <c r="H7995" s="3" t="str">
        <f>HYPERLINK("http://www.linkedin.com/in/joymarcus","http://www.linkedin.com/in/joymarcus")</f>
        <v>http://www.linkedin.com/in/joymarcus</v>
      </c>
      <c r="I7995" s="2" t="s">
        <v>69</v>
      </c>
      <c r="J7995" s="2" t="s">
        <v>102</v>
      </c>
      <c r="K7995" s="2" t="s">
        <v>14078</v>
      </c>
    </row>
    <row r="7996" ht="15.75" customHeight="1">
      <c r="A7996" s="2">
        <v>74108.0</v>
      </c>
      <c r="B7996" s="2" t="s">
        <v>3477</v>
      </c>
      <c r="C7996" s="2" t="s">
        <v>12092</v>
      </c>
      <c r="D7996" s="2" t="s">
        <v>13</v>
      </c>
      <c r="E7996" s="2" t="s">
        <v>4258</v>
      </c>
      <c r="F7996" s="2">
        <v>5.0</v>
      </c>
      <c r="G7996" s="2">
        <v>500.0</v>
      </c>
      <c r="H7996" s="3" t="str">
        <f>HYPERLINK("http://www.linkedin.com/in/webmarketingrecruiter","http://www.linkedin.com/in/webmarketingrecruiter")</f>
        <v>http://www.linkedin.com/in/webmarketingrecruiter</v>
      </c>
      <c r="I7996" s="2" t="s">
        <v>69</v>
      </c>
      <c r="J7996" s="2" t="s">
        <v>102</v>
      </c>
      <c r="K7996" s="2" t="s">
        <v>14140</v>
      </c>
    </row>
    <row r="7997" ht="15.75" customHeight="1">
      <c r="A7997" s="2">
        <v>74152.0</v>
      </c>
      <c r="B7997" s="2" t="s">
        <v>178</v>
      </c>
      <c r="C7997" s="2" t="s">
        <v>14785</v>
      </c>
      <c r="D7997" s="2" t="s">
        <v>14786</v>
      </c>
      <c r="E7997" s="2" t="s">
        <v>628</v>
      </c>
      <c r="F7997" s="2">
        <v>12.0</v>
      </c>
      <c r="G7997" s="2">
        <v>500.0</v>
      </c>
      <c r="H7997" s="3" t="str">
        <f>HYPERLINK("http://www.linkedin.com/in/gillespie","http://www.linkedin.com/in/gillespie")</f>
        <v>http://www.linkedin.com/in/gillespie</v>
      </c>
      <c r="I7997" s="2" t="s">
        <v>15</v>
      </c>
      <c r="J7997" s="2" t="s">
        <v>102</v>
      </c>
      <c r="K7997" s="2" t="s">
        <v>14092</v>
      </c>
    </row>
    <row r="7998" ht="15.75" customHeight="1">
      <c r="A7998" s="2">
        <v>74219.0</v>
      </c>
      <c r="B7998" s="2" t="s">
        <v>291</v>
      </c>
      <c r="C7998" s="2" t="s">
        <v>14787</v>
      </c>
      <c r="D7998" s="2" t="s">
        <v>14788</v>
      </c>
      <c r="E7998" s="2" t="s">
        <v>14789</v>
      </c>
      <c r="F7998" s="2">
        <v>7.0</v>
      </c>
      <c r="G7998" s="2">
        <v>500.0</v>
      </c>
      <c r="H7998" s="3" t="str">
        <f>HYPERLINK("http://www.linkedin.com/in/garyzukowski","http://www.linkedin.com/in/garyzukowski")</f>
        <v>http://www.linkedin.com/in/garyzukowski</v>
      </c>
      <c r="I7998" s="2" t="s">
        <v>69</v>
      </c>
      <c r="J7998" s="2" t="s">
        <v>102</v>
      </c>
      <c r="K7998" s="2" t="s">
        <v>14088</v>
      </c>
    </row>
    <row r="7999" ht="15.75" customHeight="1">
      <c r="A7999" s="2">
        <v>74248.0</v>
      </c>
      <c r="B7999" s="2" t="s">
        <v>1821</v>
      </c>
      <c r="C7999" s="2" t="s">
        <v>14790</v>
      </c>
      <c r="D7999" s="2" t="s">
        <v>114</v>
      </c>
      <c r="E7999" s="2" t="s">
        <v>136</v>
      </c>
      <c r="F7999" s="2">
        <v>12.0</v>
      </c>
      <c r="G7999" s="2">
        <v>500.0</v>
      </c>
      <c r="H7999" s="3" t="str">
        <f>HYPERLINK("http://www.linkedin.com/pub/keith-uchida/2/459/316","http://www.linkedin.com/pub/keith-uchida/2/459/316")</f>
        <v>http://www.linkedin.com/pub/keith-uchida/2/459/316</v>
      </c>
      <c r="I7999" s="2" t="s">
        <v>48</v>
      </c>
      <c r="J7999" s="2" t="s">
        <v>102</v>
      </c>
      <c r="K7999" s="2" t="s">
        <v>14197</v>
      </c>
    </row>
    <row r="8000" ht="15.75" customHeight="1">
      <c r="A8000" s="2">
        <v>74312.0</v>
      </c>
      <c r="B8000" s="2" t="s">
        <v>178</v>
      </c>
      <c r="C8000" s="2" t="s">
        <v>1911</v>
      </c>
      <c r="D8000" s="2" t="s">
        <v>13289</v>
      </c>
      <c r="E8000" s="2" t="s">
        <v>2058</v>
      </c>
      <c r="F8000" s="2">
        <v>35.0</v>
      </c>
      <c r="G8000" s="2">
        <v>500.0</v>
      </c>
      <c r="H8000" s="3" t="str">
        <f>HYPERLINK("http://www.linkedin.com/in/joefeldman","http://www.linkedin.com/in/joefeldman")</f>
        <v>http://www.linkedin.com/in/joefeldman</v>
      </c>
      <c r="I8000" s="2" t="s">
        <v>446</v>
      </c>
      <c r="J8000" s="2" t="s">
        <v>102</v>
      </c>
      <c r="K8000" s="2" t="s">
        <v>14125</v>
      </c>
    </row>
    <row r="8001" ht="15.75" customHeight="1">
      <c r="A8001" s="2">
        <v>74336.0</v>
      </c>
      <c r="B8001" s="2" t="s">
        <v>710</v>
      </c>
      <c r="C8001" s="2" t="s">
        <v>14791</v>
      </c>
      <c r="D8001" s="2" t="s">
        <v>13</v>
      </c>
      <c r="E8001" s="2" t="s">
        <v>136</v>
      </c>
      <c r="F8001" s="2">
        <v>0.0</v>
      </c>
      <c r="G8001" s="2">
        <v>500.0</v>
      </c>
      <c r="H8001" s="3" t="str">
        <f>HYPERLINK("https://www.linkedin.com/in/mktgstrategist","https://www.linkedin.com/in/mktgstrategist")</f>
        <v>https://www.linkedin.com/in/mktgstrategist</v>
      </c>
      <c r="I8001" s="2" t="s">
        <v>105</v>
      </c>
      <c r="J8001" s="2" t="s">
        <v>102</v>
      </c>
      <c r="K8001" s="2" t="s">
        <v>14074</v>
      </c>
    </row>
    <row r="8002" ht="15.75" customHeight="1">
      <c r="A8002" s="2">
        <v>74805.0</v>
      </c>
      <c r="B8002" s="2" t="s">
        <v>133</v>
      </c>
      <c r="C8002" s="2" t="s">
        <v>14792</v>
      </c>
      <c r="D8002" s="2" t="s">
        <v>13</v>
      </c>
      <c r="E8002" s="2" t="s">
        <v>5503</v>
      </c>
      <c r="F8002" s="2">
        <v>0.0</v>
      </c>
      <c r="G8002" s="2">
        <v>500.0</v>
      </c>
      <c r="H8002" s="3" t="str">
        <f>HYPERLINK("http://www.linkedin.com/in/michaelgruen","http://www.linkedin.com/in/michaelgruen")</f>
        <v>http://www.linkedin.com/in/michaelgruen</v>
      </c>
      <c r="I8002" s="2" t="s">
        <v>248</v>
      </c>
      <c r="J8002" s="2" t="s">
        <v>102</v>
      </c>
      <c r="K8002" s="2" t="s">
        <v>14074</v>
      </c>
    </row>
    <row r="8003" ht="15.75" customHeight="1">
      <c r="A8003" s="2">
        <v>74825.0</v>
      </c>
      <c r="B8003" s="2" t="s">
        <v>940</v>
      </c>
      <c r="C8003" s="2" t="s">
        <v>14793</v>
      </c>
      <c r="D8003" s="2" t="s">
        <v>114</v>
      </c>
      <c r="E8003" s="2" t="s">
        <v>14789</v>
      </c>
      <c r="F8003" s="2">
        <v>28.0</v>
      </c>
      <c r="G8003" s="2">
        <v>500.0</v>
      </c>
      <c r="H8003" s="3" t="str">
        <f>HYPERLINK("http://www.linkedin.com/pub/bob-henricks/30/775/137","http://www.linkedin.com/pub/bob-henricks/30/775/137")</f>
        <v>http://www.linkedin.com/pub/bob-henricks/30/775/137</v>
      </c>
      <c r="I8003" s="2" t="s">
        <v>1390</v>
      </c>
      <c r="J8003" s="2" t="s">
        <v>102</v>
      </c>
      <c r="K8003" s="2" t="s">
        <v>14055</v>
      </c>
    </row>
    <row r="8004" ht="15.75" customHeight="1">
      <c r="A8004" s="2">
        <v>74844.0</v>
      </c>
      <c r="B8004" s="2" t="s">
        <v>2350</v>
      </c>
      <c r="C8004" s="2" t="s">
        <v>4043</v>
      </c>
      <c r="D8004" s="2" t="s">
        <v>14794</v>
      </c>
      <c r="E8004" s="2" t="s">
        <v>301</v>
      </c>
      <c r="F8004" s="2">
        <v>2.0</v>
      </c>
      <c r="G8004" s="2">
        <v>433.0</v>
      </c>
      <c r="H8004" s="3" t="str">
        <f>HYPERLINK("http://www.linkedin.com/pub/fred-m-guerra/4/858/B56","http://www.linkedin.com/pub/fred-m-guerra/4/858/B56")</f>
        <v>http://www.linkedin.com/pub/fred-m-guerra/4/858/B56</v>
      </c>
      <c r="I8004" s="2" t="s">
        <v>1452</v>
      </c>
      <c r="J8004" s="2" t="s">
        <v>102</v>
      </c>
      <c r="K8004" s="2" t="s">
        <v>14115</v>
      </c>
    </row>
    <row r="8005" ht="15.75" customHeight="1">
      <c r="A8005" s="2">
        <v>74959.0</v>
      </c>
      <c r="B8005" s="2" t="s">
        <v>1483</v>
      </c>
      <c r="C8005" s="2" t="s">
        <v>14795</v>
      </c>
      <c r="D8005" s="2" t="s">
        <v>14796</v>
      </c>
      <c r="E8005" s="2" t="s">
        <v>136</v>
      </c>
      <c r="F8005" s="2">
        <v>33.0</v>
      </c>
      <c r="G8005" s="2">
        <v>500.0</v>
      </c>
      <c r="H8005" s="3" t="str">
        <f>HYPERLINK("http://www.linkedin.com/in/trevorpoapst","http://www.linkedin.com/in/trevorpoapst")</f>
        <v>http://www.linkedin.com/in/trevorpoapst</v>
      </c>
      <c r="I8005" s="2" t="s">
        <v>105</v>
      </c>
      <c r="J8005" s="2" t="s">
        <v>102</v>
      </c>
      <c r="K8005" s="2" t="s">
        <v>14074</v>
      </c>
    </row>
    <row r="8006" ht="15.75" customHeight="1">
      <c r="A8006" s="2">
        <v>75061.0</v>
      </c>
      <c r="B8006" s="2" t="s">
        <v>754</v>
      </c>
      <c r="C8006" s="2" t="s">
        <v>14797</v>
      </c>
      <c r="D8006" s="2" t="s">
        <v>14798</v>
      </c>
      <c r="E8006" s="2" t="s">
        <v>1190</v>
      </c>
      <c r="F8006" s="2">
        <v>2.0</v>
      </c>
      <c r="G8006" s="2">
        <v>500.0</v>
      </c>
      <c r="H8006" s="3" t="str">
        <f>HYPERLINK("http://www.linkedin.com/in/gregvanhorn","http://www.linkedin.com/in/gregvanhorn")</f>
        <v>http://www.linkedin.com/in/gregvanhorn</v>
      </c>
      <c r="I8006" s="2" t="s">
        <v>105</v>
      </c>
      <c r="J8006" s="2" t="s">
        <v>102</v>
      </c>
      <c r="K8006" s="2" t="s">
        <v>14074</v>
      </c>
    </row>
    <row r="8007" ht="15.75" customHeight="1">
      <c r="A8007" s="2">
        <v>75098.0</v>
      </c>
      <c r="B8007" s="2" t="s">
        <v>14799</v>
      </c>
      <c r="C8007" s="2" t="s">
        <v>2610</v>
      </c>
      <c r="D8007" s="2" t="s">
        <v>13</v>
      </c>
      <c r="E8007" s="2" t="s">
        <v>12475</v>
      </c>
      <c r="F8007" s="2">
        <v>5.0</v>
      </c>
      <c r="G8007" s="2">
        <v>500.0</v>
      </c>
      <c r="H8007" s="3" t="str">
        <f>HYPERLINK("http://www.linkedin.com/in/sherryhall1","http://www.linkedin.com/in/sherryhall1")</f>
        <v>http://www.linkedin.com/in/sherryhall1</v>
      </c>
      <c r="I8007" s="2" t="s">
        <v>248</v>
      </c>
      <c r="J8007" s="2" t="s">
        <v>102</v>
      </c>
      <c r="K8007" s="2" t="s">
        <v>14115</v>
      </c>
    </row>
    <row r="8008" ht="15.75" customHeight="1">
      <c r="A8008" s="2">
        <v>75208.0</v>
      </c>
      <c r="B8008" s="2" t="s">
        <v>14800</v>
      </c>
      <c r="C8008" s="2" t="s">
        <v>14801</v>
      </c>
      <c r="D8008" s="2" t="s">
        <v>14802</v>
      </c>
      <c r="E8008" s="2" t="s">
        <v>728</v>
      </c>
      <c r="F8008" s="2">
        <v>1.0</v>
      </c>
      <c r="G8008" s="2">
        <v>192.0</v>
      </c>
      <c r="H8008" s="3" t="str">
        <f>HYPERLINK("http://www.linkedin.com/pub/paramita-chakraborty-pmp-csm/4/885/879","http://www.linkedin.com/pub/paramita-chakraborty-pmp-csm/4/885/879")</f>
        <v>http://www.linkedin.com/pub/paramita-chakraborty-pmp-csm/4/885/879</v>
      </c>
      <c r="I8008" s="2" t="s">
        <v>15</v>
      </c>
      <c r="J8008" s="2" t="s">
        <v>102</v>
      </c>
      <c r="K8008" s="2" t="s">
        <v>14617</v>
      </c>
    </row>
    <row r="8009" ht="15.75" customHeight="1">
      <c r="A8009" s="2">
        <v>75344.0</v>
      </c>
      <c r="B8009" s="2" t="s">
        <v>1004</v>
      </c>
      <c r="C8009" s="2" t="s">
        <v>3419</v>
      </c>
      <c r="D8009" s="2" t="s">
        <v>47</v>
      </c>
      <c r="E8009" s="2" t="s">
        <v>1317</v>
      </c>
      <c r="F8009" s="2">
        <v>33.0</v>
      </c>
      <c r="G8009" s="2">
        <v>500.0</v>
      </c>
      <c r="H8009" s="3" t="str">
        <f>HYPERLINK("http://www.linkedin.com/in/scottrhayes","http://www.linkedin.com/in/scottrhayes")</f>
        <v>http://www.linkedin.com/in/scottrhayes</v>
      </c>
      <c r="I8009" s="2" t="s">
        <v>48</v>
      </c>
      <c r="J8009" s="2" t="s">
        <v>102</v>
      </c>
      <c r="K8009" s="2" t="s">
        <v>14142</v>
      </c>
    </row>
    <row r="8010" ht="15.75" customHeight="1">
      <c r="A8010" s="2">
        <v>75364.0</v>
      </c>
      <c r="B8010" s="2" t="s">
        <v>11932</v>
      </c>
      <c r="C8010" s="2" t="s">
        <v>14803</v>
      </c>
      <c r="D8010" s="2" t="s">
        <v>14804</v>
      </c>
      <c r="E8010" s="2" t="s">
        <v>2058</v>
      </c>
      <c r="F8010" s="2">
        <v>26.0</v>
      </c>
      <c r="G8010" s="2">
        <v>500.0</v>
      </c>
      <c r="H8010" s="3" t="str">
        <f>HYPERLINK("http://www.linkedin.com/in/clintschaff","http://www.linkedin.com/in/clintschaff")</f>
        <v>http://www.linkedin.com/in/clintschaff</v>
      </c>
      <c r="I8010" s="2" t="s">
        <v>844</v>
      </c>
      <c r="J8010" s="2" t="s">
        <v>102</v>
      </c>
      <c r="K8010" s="2" t="s">
        <v>14078</v>
      </c>
    </row>
    <row r="8011" ht="15.75" customHeight="1">
      <c r="A8011" s="2">
        <v>75761.0</v>
      </c>
      <c r="B8011" s="2" t="s">
        <v>1786</v>
      </c>
      <c r="C8011" s="2" t="s">
        <v>14805</v>
      </c>
      <c r="D8011" s="2" t="s">
        <v>42</v>
      </c>
      <c r="E8011" s="2" t="s">
        <v>914</v>
      </c>
      <c r="F8011" s="2">
        <v>1.0</v>
      </c>
      <c r="G8011" s="2">
        <v>500.0</v>
      </c>
      <c r="H8011" s="3" t="str">
        <f>HYPERLINK("http://www.linkedin.com/in/attagirlsattic","http://www.linkedin.com/in/attagirlsattic")</f>
        <v>http://www.linkedin.com/in/attagirlsattic</v>
      </c>
      <c r="I8011" s="2" t="s">
        <v>69</v>
      </c>
      <c r="J8011" s="2" t="s">
        <v>102</v>
      </c>
      <c r="K8011" s="2" t="s">
        <v>14242</v>
      </c>
    </row>
    <row r="8012" ht="15.75" customHeight="1">
      <c r="A8012" s="2">
        <v>76135.0</v>
      </c>
      <c r="B8012" s="2" t="s">
        <v>433</v>
      </c>
      <c r="C8012" s="2" t="s">
        <v>14806</v>
      </c>
      <c r="D8012" s="2" t="s">
        <v>536</v>
      </c>
      <c r="E8012" s="2" t="s">
        <v>1918</v>
      </c>
      <c r="F8012" s="2">
        <v>19.0</v>
      </c>
      <c r="G8012" s="2">
        <v>500.0</v>
      </c>
      <c r="H8012" s="3" t="str">
        <f>HYPERLINK("http://www.linkedin.com/in/andrewfields","http://www.linkedin.com/in/andrewfields")</f>
        <v>http://www.linkedin.com/in/andrewfields</v>
      </c>
      <c r="I8012" s="2" t="s">
        <v>48</v>
      </c>
      <c r="J8012" s="2" t="s">
        <v>102</v>
      </c>
      <c r="K8012" s="2" t="s">
        <v>14197</v>
      </c>
    </row>
    <row r="8013" ht="15.75" customHeight="1">
      <c r="A8013" s="2">
        <v>76228.0</v>
      </c>
      <c r="B8013" s="2" t="s">
        <v>10647</v>
      </c>
      <c r="C8013" s="2" t="s">
        <v>14807</v>
      </c>
      <c r="D8013" s="2" t="s">
        <v>13</v>
      </c>
      <c r="E8013" s="2" t="s">
        <v>1190</v>
      </c>
      <c r="F8013" s="2">
        <v>12.0</v>
      </c>
      <c r="G8013" s="2">
        <v>500.0</v>
      </c>
      <c r="H8013" s="3" t="str">
        <f>HYPERLINK("http://www.linkedin.com/in/marceloalejandrorusso","http://www.linkedin.com/in/marceloalejandrorusso")</f>
        <v>http://www.linkedin.com/in/marceloalejandrorusso</v>
      </c>
      <c r="I8013" s="2" t="s">
        <v>15</v>
      </c>
      <c r="J8013" s="2" t="s">
        <v>102</v>
      </c>
      <c r="K8013" s="2" t="s">
        <v>14808</v>
      </c>
    </row>
    <row r="8014" ht="15.75" customHeight="1">
      <c r="A8014" s="2">
        <v>76283.0</v>
      </c>
      <c r="B8014" s="2" t="s">
        <v>460</v>
      </c>
      <c r="C8014" s="2" t="s">
        <v>14809</v>
      </c>
      <c r="D8014" s="2" t="s">
        <v>114</v>
      </c>
      <c r="E8014" s="2" t="s">
        <v>971</v>
      </c>
      <c r="F8014" s="2">
        <v>0.0</v>
      </c>
      <c r="G8014" s="2">
        <v>437.0</v>
      </c>
      <c r="H8014" s="3" t="str">
        <f>HYPERLINK("http://www.linkedin.com/pub/john-blocker/9/116/694","http://www.linkedin.com/pub/john-blocker/9/116/694")</f>
        <v>http://www.linkedin.com/pub/john-blocker/9/116/694</v>
      </c>
      <c r="I8014" s="2" t="s">
        <v>579</v>
      </c>
      <c r="J8014" s="2" t="s">
        <v>102</v>
      </c>
      <c r="K8014" s="2" t="s">
        <v>14085</v>
      </c>
    </row>
    <row r="8015" ht="15.75" customHeight="1">
      <c r="A8015" s="2">
        <v>76370.0</v>
      </c>
      <c r="B8015" s="2" t="s">
        <v>5828</v>
      </c>
      <c r="C8015" s="2" t="s">
        <v>14810</v>
      </c>
      <c r="D8015" s="2"/>
      <c r="E8015" s="2" t="s">
        <v>992</v>
      </c>
      <c r="F8015" s="2">
        <v>0.0</v>
      </c>
      <c r="G8015" s="2">
        <v>500.0</v>
      </c>
      <c r="H8015" s="3" t="str">
        <f>HYPERLINK("http://www.linkedin.com/pub/silvia-yaber/0/14B/618","http://www.linkedin.com/pub/silvia-yaber/0/14B/618")</f>
        <v>http://www.linkedin.com/pub/silvia-yaber/0/14B/618</v>
      </c>
      <c r="I8015" s="2" t="s">
        <v>15</v>
      </c>
      <c r="J8015" s="2" t="s">
        <v>102</v>
      </c>
      <c r="K8015" s="2" t="s">
        <v>14092</v>
      </c>
    </row>
    <row r="8016" ht="15.75" customHeight="1">
      <c r="A8016" s="2">
        <v>76499.0</v>
      </c>
      <c r="B8016" s="2" t="s">
        <v>14811</v>
      </c>
      <c r="C8016" s="2" t="s">
        <v>3452</v>
      </c>
      <c r="D8016" s="2" t="s">
        <v>13</v>
      </c>
      <c r="E8016" s="2" t="s">
        <v>181</v>
      </c>
      <c r="F8016" s="2">
        <v>9.0</v>
      </c>
      <c r="G8016" s="2">
        <v>500.0</v>
      </c>
      <c r="H8016" s="3" t="str">
        <f>HYPERLINK("http://www.linkedin.com/in/joneszachary","http://www.linkedin.com/in/joneszachary")</f>
        <v>http://www.linkedin.com/in/joneszachary</v>
      </c>
      <c r="I8016" s="2" t="s">
        <v>15</v>
      </c>
      <c r="J8016" s="2" t="s">
        <v>102</v>
      </c>
      <c r="K8016" s="2" t="s">
        <v>14617</v>
      </c>
    </row>
    <row r="8017" ht="15.75" customHeight="1">
      <c r="A8017" s="2">
        <v>76820.0</v>
      </c>
      <c r="B8017" s="2" t="s">
        <v>2752</v>
      </c>
      <c r="C8017" s="2" t="s">
        <v>14812</v>
      </c>
      <c r="D8017" s="2"/>
      <c r="E8017" s="2" t="s">
        <v>181</v>
      </c>
      <c r="F8017" s="2">
        <v>2.0</v>
      </c>
      <c r="G8017" s="2">
        <v>500.0</v>
      </c>
      <c r="H8017" s="3" t="str">
        <f>HYPERLINK("http://www.linkedin.com/in/cbesnoy","http://www.linkedin.com/in/cbesnoy")</f>
        <v>http://www.linkedin.com/in/cbesnoy</v>
      </c>
      <c r="I8017" s="2" t="s">
        <v>15</v>
      </c>
      <c r="J8017" s="2" t="s">
        <v>102</v>
      </c>
      <c r="K8017" s="2" t="s">
        <v>14057</v>
      </c>
    </row>
    <row r="8018" ht="15.75" customHeight="1">
      <c r="A8018" s="2">
        <v>76829.0</v>
      </c>
      <c r="B8018" s="2" t="s">
        <v>302</v>
      </c>
      <c r="C8018" s="2" t="s">
        <v>14813</v>
      </c>
      <c r="D8018" s="2" t="s">
        <v>14814</v>
      </c>
      <c r="E8018" s="2" t="s">
        <v>301</v>
      </c>
      <c r="F8018" s="2">
        <v>13.0</v>
      </c>
      <c r="G8018" s="2">
        <v>500.0</v>
      </c>
      <c r="H8018" s="3" t="str">
        <f>HYPERLINK("http://www.linkedin.com/in/billcampbell","http://www.linkedin.com/in/billcampbell")</f>
        <v>http://www.linkedin.com/in/billcampbell</v>
      </c>
      <c r="I8018" s="2" t="s">
        <v>910</v>
      </c>
      <c r="J8018" s="2" t="s">
        <v>102</v>
      </c>
      <c r="K8018" s="2" t="s">
        <v>14055</v>
      </c>
    </row>
    <row r="8019" ht="15.75" customHeight="1">
      <c r="A8019" s="2">
        <v>76897.0</v>
      </c>
      <c r="B8019" s="2" t="s">
        <v>10719</v>
      </c>
      <c r="C8019" s="2" t="s">
        <v>14815</v>
      </c>
      <c r="D8019" s="2" t="s">
        <v>14816</v>
      </c>
      <c r="E8019" s="2" t="s">
        <v>136</v>
      </c>
      <c r="F8019" s="2">
        <v>7.0</v>
      </c>
      <c r="G8019" s="2">
        <v>430.0</v>
      </c>
      <c r="H8019" s="3" t="str">
        <f>HYPERLINK("http://www.linkedin.com/in/stacymdc","http://www.linkedin.com/in/stacymdc")</f>
        <v>http://www.linkedin.com/in/stacymdc</v>
      </c>
      <c r="I8019" s="2" t="s">
        <v>48</v>
      </c>
      <c r="J8019" s="2" t="s">
        <v>102</v>
      </c>
      <c r="K8019" s="2" t="s">
        <v>14080</v>
      </c>
    </row>
    <row r="8020" ht="15.75" customHeight="1">
      <c r="A8020" s="2">
        <v>76957.0</v>
      </c>
      <c r="B8020" s="2" t="s">
        <v>221</v>
      </c>
      <c r="C8020" s="2" t="s">
        <v>14817</v>
      </c>
      <c r="D8020" s="2" t="s">
        <v>14818</v>
      </c>
      <c r="E8020" s="2" t="s">
        <v>971</v>
      </c>
      <c r="F8020" s="2" t="s">
        <v>13</v>
      </c>
      <c r="G8020" s="2">
        <v>500.0</v>
      </c>
      <c r="H8020" s="3" t="str">
        <f>HYPERLINK("http://www.linkedin.com/pub/miguel-di-vincenzo/15/10B/15","http://www.linkedin.com/pub/miguel-di-vincenzo/15/10B/15")</f>
        <v>http://www.linkedin.com/pub/miguel-di-vincenzo/15/10B/15</v>
      </c>
      <c r="I8020" s="2" t="s">
        <v>579</v>
      </c>
      <c r="J8020" s="2" t="s">
        <v>102</v>
      </c>
      <c r="K8020" s="2" t="s">
        <v>14460</v>
      </c>
    </row>
    <row r="8021" ht="15.75" customHeight="1">
      <c r="A8021" s="2">
        <v>77047.0</v>
      </c>
      <c r="B8021" s="2" t="s">
        <v>14819</v>
      </c>
      <c r="C8021" s="2" t="s">
        <v>1789</v>
      </c>
      <c r="D8021" s="2" t="s">
        <v>309</v>
      </c>
      <c r="E8021" s="2" t="s">
        <v>1329</v>
      </c>
      <c r="F8021" s="2">
        <v>3.0</v>
      </c>
      <c r="G8021" s="2">
        <v>500.0</v>
      </c>
      <c r="H8021" s="3" t="str">
        <f>HYPERLINK("http://www.linkedin.com/pub/mario-wilson/22/294/139","http://www.linkedin.com/pub/mario-wilson/22/294/139")</f>
        <v>http://www.linkedin.com/pub/mario-wilson/22/294/139</v>
      </c>
      <c r="I8021" s="2" t="s">
        <v>69</v>
      </c>
      <c r="J8021" s="2" t="s">
        <v>102</v>
      </c>
      <c r="K8021" s="2" t="s">
        <v>14071</v>
      </c>
    </row>
    <row r="8022" ht="15.75" customHeight="1">
      <c r="A8022" s="2">
        <v>77076.0</v>
      </c>
      <c r="B8022" s="2" t="s">
        <v>2752</v>
      </c>
      <c r="C8022" s="2" t="s">
        <v>14820</v>
      </c>
      <c r="D8022" s="2" t="s">
        <v>14821</v>
      </c>
      <c r="E8022" s="2" t="s">
        <v>971</v>
      </c>
      <c r="F8022" s="2">
        <v>27.0</v>
      </c>
      <c r="G8022" s="2">
        <v>500.0</v>
      </c>
      <c r="H8022" s="3" t="str">
        <f>HYPERLINK("http://www.linkedin.com/in/craigmullins","http://www.linkedin.com/in/craigmullins")</f>
        <v>http://www.linkedin.com/in/craigmullins</v>
      </c>
      <c r="I8022" s="2" t="s">
        <v>48</v>
      </c>
      <c r="J8022" s="2" t="s">
        <v>102</v>
      </c>
      <c r="K8022" s="2" t="s">
        <v>14822</v>
      </c>
    </row>
    <row r="8023" ht="15.75" customHeight="1">
      <c r="A8023" s="2">
        <v>77121.0</v>
      </c>
      <c r="B8023" s="2" t="s">
        <v>784</v>
      </c>
      <c r="C8023" s="2" t="s">
        <v>292</v>
      </c>
      <c r="D8023" s="2" t="s">
        <v>13</v>
      </c>
      <c r="E8023" s="2" t="s">
        <v>101</v>
      </c>
      <c r="F8023" s="2">
        <v>0.0</v>
      </c>
      <c r="G8023" s="2">
        <v>500.0</v>
      </c>
      <c r="H8023" s="3" t="str">
        <f>HYPERLINK("https://www.linkedin.com/in/jeffreylsmith","https://www.linkedin.com/in/jeffreylsmith")</f>
        <v>https://www.linkedin.com/in/jeffreylsmith</v>
      </c>
      <c r="I8023" s="2" t="s">
        <v>1698</v>
      </c>
      <c r="J8023" s="2" t="s">
        <v>102</v>
      </c>
      <c r="K8023" s="2" t="s">
        <v>14073</v>
      </c>
    </row>
    <row r="8024" ht="15.75" customHeight="1">
      <c r="A8024" s="2">
        <v>77285.0</v>
      </c>
      <c r="B8024" s="2" t="s">
        <v>1071</v>
      </c>
      <c r="C8024" s="2" t="s">
        <v>14823</v>
      </c>
      <c r="D8024" s="2" t="s">
        <v>410</v>
      </c>
      <c r="E8024" s="2" t="s">
        <v>628</v>
      </c>
      <c r="F8024" s="2">
        <v>21.0</v>
      </c>
      <c r="G8024" s="2">
        <v>500.0</v>
      </c>
      <c r="H8024" s="3" t="str">
        <f>HYPERLINK("http://www.linkedin.com/in/earache","http://www.linkedin.com/in/earache")</f>
        <v>http://www.linkedin.com/in/earache</v>
      </c>
      <c r="I8024" s="2" t="s">
        <v>143</v>
      </c>
      <c r="J8024" s="2" t="s">
        <v>102</v>
      </c>
      <c r="K8024" s="2" t="s">
        <v>14117</v>
      </c>
    </row>
    <row r="8025" ht="15.75" customHeight="1">
      <c r="A8025" s="2">
        <v>77299.0</v>
      </c>
      <c r="B8025" s="2" t="s">
        <v>1934</v>
      </c>
      <c r="C8025" s="2" t="s">
        <v>14824</v>
      </c>
      <c r="D8025" s="2" t="s">
        <v>309</v>
      </c>
      <c r="E8025" s="2" t="s">
        <v>914</v>
      </c>
      <c r="F8025" s="2">
        <v>11.0</v>
      </c>
      <c r="G8025" s="2">
        <v>500.0</v>
      </c>
      <c r="H8025" s="3" t="str">
        <f>HYPERLINK("http://www.linkedin.com/in/kellysmith","http://www.linkedin.com/in/kellysmith")</f>
        <v>http://www.linkedin.com/in/kellysmith</v>
      </c>
      <c r="I8025" s="2" t="s">
        <v>48</v>
      </c>
      <c r="J8025" s="2" t="s">
        <v>102</v>
      </c>
      <c r="K8025" s="2" t="s">
        <v>14197</v>
      </c>
    </row>
    <row r="8026" ht="15.75" customHeight="1">
      <c r="A8026" s="2">
        <v>77342.0</v>
      </c>
      <c r="B8026" s="2" t="s">
        <v>784</v>
      </c>
      <c r="C8026" s="2" t="s">
        <v>14825</v>
      </c>
      <c r="D8026" s="2" t="s">
        <v>14826</v>
      </c>
      <c r="E8026" s="2" t="s">
        <v>301</v>
      </c>
      <c r="F8026" s="2">
        <v>8.0</v>
      </c>
      <c r="G8026" s="2">
        <v>500.0</v>
      </c>
      <c r="H8026" s="3" t="str">
        <f>HYPERLINK("http://www.linkedin.com/pub/jeff-pulver/0/1/B50","http://www.linkedin.com/pub/jeff-pulver/0/1/B50")</f>
        <v>http://www.linkedin.com/pub/jeff-pulver/0/1/B50</v>
      </c>
      <c r="I8026" s="2" t="s">
        <v>69</v>
      </c>
      <c r="J8026" s="2" t="s">
        <v>102</v>
      </c>
      <c r="K8026" s="2" t="s">
        <v>14078</v>
      </c>
    </row>
    <row r="8027" ht="15.75" customHeight="1">
      <c r="A8027" s="2">
        <v>77375.0</v>
      </c>
      <c r="B8027" s="2" t="s">
        <v>12039</v>
      </c>
      <c r="C8027" s="2" t="s">
        <v>4237</v>
      </c>
      <c r="D8027" s="2"/>
      <c r="E8027" s="2" t="s">
        <v>628</v>
      </c>
      <c r="F8027" s="2">
        <v>7.0</v>
      </c>
      <c r="G8027" s="2">
        <v>500.0</v>
      </c>
      <c r="H8027" s="3" t="str">
        <f>HYPERLINK("http://www.linkedin.com/pub/theresa-o-neil/2/A37/499","http://www.linkedin.com/pub/theresa-o-neil/2/A37/499")</f>
        <v>http://www.linkedin.com/pub/theresa-o-neil/2/A37/499</v>
      </c>
      <c r="I8027" s="2" t="s">
        <v>48</v>
      </c>
      <c r="J8027" s="2" t="s">
        <v>102</v>
      </c>
      <c r="K8027" s="2" t="s">
        <v>14092</v>
      </c>
    </row>
    <row r="8028" ht="15.75" customHeight="1">
      <c r="A8028" s="2">
        <v>77581.0</v>
      </c>
      <c r="B8028" s="2" t="s">
        <v>1071</v>
      </c>
      <c r="C8028" s="2" t="s">
        <v>14827</v>
      </c>
      <c r="D8028" s="2" t="s">
        <v>13</v>
      </c>
      <c r="E8028" s="2" t="s">
        <v>728</v>
      </c>
      <c r="F8028" s="2">
        <v>0.0</v>
      </c>
      <c r="G8028" s="2">
        <v>500.0</v>
      </c>
      <c r="H8028" s="3" t="str">
        <f>HYPERLINK("http://www.linkedin.com/in/ericgrenier1","http://www.linkedin.com/in/ericgrenier1")</f>
        <v>http://www.linkedin.com/in/ericgrenier1</v>
      </c>
      <c r="I8028" s="2" t="s">
        <v>15</v>
      </c>
      <c r="J8028" s="2" t="s">
        <v>102</v>
      </c>
      <c r="K8028" s="2" t="s">
        <v>14080</v>
      </c>
    </row>
    <row r="8029" ht="15.75" customHeight="1">
      <c r="A8029" s="2">
        <v>77739.0</v>
      </c>
      <c r="B8029" s="2" t="s">
        <v>10450</v>
      </c>
      <c r="C8029" s="2" t="s">
        <v>14828</v>
      </c>
      <c r="D8029" s="2" t="s">
        <v>114</v>
      </c>
      <c r="E8029" s="2" t="s">
        <v>301</v>
      </c>
      <c r="F8029" s="2">
        <v>4.0</v>
      </c>
      <c r="G8029" s="2">
        <v>500.0</v>
      </c>
      <c r="H8029" s="3" t="str">
        <f>HYPERLINK("http://www.linkedin.com/in/bberson1","http://www.linkedin.com/in/bberson1")</f>
        <v>http://www.linkedin.com/in/bberson1</v>
      </c>
      <c r="I8029" s="2" t="s">
        <v>621</v>
      </c>
      <c r="J8029" s="2" t="s">
        <v>102</v>
      </c>
      <c r="K8029" s="2" t="s">
        <v>14055</v>
      </c>
    </row>
    <row r="8030" ht="15.75" customHeight="1">
      <c r="A8030" s="2">
        <v>77758.0</v>
      </c>
      <c r="B8030" s="2" t="s">
        <v>302</v>
      </c>
      <c r="C8030" s="2" t="s">
        <v>14829</v>
      </c>
      <c r="D8030" s="2" t="s">
        <v>14830</v>
      </c>
      <c r="E8030" s="2" t="s">
        <v>457</v>
      </c>
      <c r="F8030" s="2">
        <v>8.0</v>
      </c>
      <c r="G8030" s="2">
        <v>500.0</v>
      </c>
      <c r="H8030" s="3" t="str">
        <f>HYPERLINK("http://www.linkedin.com/pub/bill-porreca/0/4B5/B73","http://www.linkedin.com/pub/bill-porreca/0/4B5/B73")</f>
        <v>http://www.linkedin.com/pub/bill-porreca/0/4B5/B73</v>
      </c>
      <c r="I8030" s="2" t="s">
        <v>48</v>
      </c>
      <c r="J8030" s="2" t="s">
        <v>102</v>
      </c>
      <c r="K8030" s="2" t="s">
        <v>14452</v>
      </c>
    </row>
    <row r="8031" ht="15.75" customHeight="1">
      <c r="A8031" s="2">
        <v>77908.0</v>
      </c>
      <c r="B8031" s="2" t="s">
        <v>14831</v>
      </c>
      <c r="C8031" s="2" t="s">
        <v>14832</v>
      </c>
      <c r="D8031" s="2" t="s">
        <v>14833</v>
      </c>
      <c r="E8031" s="2" t="s">
        <v>1190</v>
      </c>
      <c r="F8031" s="2" t="s">
        <v>13</v>
      </c>
      <c r="G8031" s="2">
        <v>500.0</v>
      </c>
      <c r="H8031" s="3" t="str">
        <f>HYPERLINK("http://www.linkedin.com/pub/alvio-barrios/4/40A/83A","http://www.linkedin.com/pub/alvio-barrios/4/40A/83A")</f>
        <v>http://www.linkedin.com/pub/alvio-barrios/4/40A/83A</v>
      </c>
      <c r="I8031" s="2" t="s">
        <v>15</v>
      </c>
      <c r="J8031" s="2" t="s">
        <v>102</v>
      </c>
      <c r="K8031" s="2" t="s">
        <v>14092</v>
      </c>
    </row>
    <row r="8032" ht="15.75" customHeight="1">
      <c r="A8032" s="2">
        <v>77991.0</v>
      </c>
      <c r="B8032" s="2" t="s">
        <v>1104</v>
      </c>
      <c r="C8032" s="2" t="s">
        <v>4781</v>
      </c>
      <c r="D8032" s="2" t="s">
        <v>13</v>
      </c>
      <c r="E8032" s="2" t="s">
        <v>713</v>
      </c>
      <c r="F8032" s="2">
        <v>0.0</v>
      </c>
      <c r="G8032" s="2">
        <v>500.0</v>
      </c>
      <c r="H8032" s="3" t="str">
        <f>HYPERLINK("http://www.linkedin.com/pub/jay-leader/B/B34/1A1","http://www.linkedin.com/pub/jay-leader/B/B34/1A1")</f>
        <v>http://www.linkedin.com/pub/jay-leader/B/B34/1A1</v>
      </c>
      <c r="I8032" s="2" t="s">
        <v>1452</v>
      </c>
      <c r="J8032" s="2" t="s">
        <v>102</v>
      </c>
      <c r="K8032" s="2" t="s">
        <v>14142</v>
      </c>
    </row>
    <row r="8033" ht="15.75" customHeight="1">
      <c r="A8033" s="2">
        <v>78077.0</v>
      </c>
      <c r="B8033" s="2" t="s">
        <v>1405</v>
      </c>
      <c r="C8033" s="2" t="s">
        <v>14834</v>
      </c>
      <c r="D8033" s="2" t="s">
        <v>13</v>
      </c>
      <c r="E8033" s="2" t="s">
        <v>181</v>
      </c>
      <c r="F8033" s="2">
        <v>0.0</v>
      </c>
      <c r="G8033" s="2">
        <v>500.0</v>
      </c>
      <c r="H8033" s="3" t="str">
        <f>HYPERLINK("http://www.linkedin.com/in/rromanchik","http://www.linkedin.com/in/rromanchik")</f>
        <v>http://www.linkedin.com/in/rromanchik</v>
      </c>
      <c r="I8033" s="2" t="s">
        <v>77</v>
      </c>
      <c r="J8033" s="2" t="s">
        <v>102</v>
      </c>
      <c r="K8033" s="2" t="s">
        <v>14211</v>
      </c>
    </row>
    <row r="8034" ht="15.75" customHeight="1">
      <c r="A8034" s="2">
        <v>78133.0</v>
      </c>
      <c r="B8034" s="2" t="s">
        <v>14835</v>
      </c>
      <c r="C8034" s="2" t="s">
        <v>14836</v>
      </c>
      <c r="D8034" s="2" t="s">
        <v>47</v>
      </c>
      <c r="E8034" s="2" t="s">
        <v>2426</v>
      </c>
      <c r="F8034" s="2">
        <v>8.0</v>
      </c>
      <c r="G8034" s="2">
        <v>500.0</v>
      </c>
      <c r="H8034" s="3" t="str">
        <f>HYPERLINK("http://www.linkedin.com/in/lsrtechnology","http://www.linkedin.com/in/lsrtechnology")</f>
        <v>http://www.linkedin.com/in/lsrtechnology</v>
      </c>
      <c r="I8034" s="2" t="s">
        <v>279</v>
      </c>
      <c r="J8034" s="2" t="s">
        <v>102</v>
      </c>
      <c r="K8034" s="2" t="s">
        <v>14105</v>
      </c>
    </row>
    <row r="8035" ht="15.75" customHeight="1">
      <c r="A8035" s="2">
        <v>78491.0</v>
      </c>
      <c r="B8035" s="2" t="s">
        <v>14837</v>
      </c>
      <c r="C8035" s="2" t="s">
        <v>14838</v>
      </c>
      <c r="D8035" s="2" t="s">
        <v>13</v>
      </c>
      <c r="E8035" s="2" t="s">
        <v>10885</v>
      </c>
      <c r="F8035" s="2">
        <v>56.0</v>
      </c>
      <c r="G8035" s="2">
        <v>500.0</v>
      </c>
      <c r="H8035" s="3" t="str">
        <f>HYPERLINK("http://www.linkedin.com/in/jonathanlogan","http://www.linkedin.com/in/jonathanlogan")</f>
        <v>http://www.linkedin.com/in/jonathanlogan</v>
      </c>
      <c r="I8035" s="2" t="s">
        <v>48</v>
      </c>
      <c r="J8035" s="2" t="s">
        <v>102</v>
      </c>
      <c r="K8035" s="2" t="s">
        <v>14074</v>
      </c>
    </row>
    <row r="8036" ht="15.75" customHeight="1">
      <c r="A8036" s="2">
        <v>78572.0</v>
      </c>
      <c r="B8036" s="2" t="s">
        <v>14839</v>
      </c>
      <c r="C8036" s="2" t="s">
        <v>4206</v>
      </c>
      <c r="D8036" s="2" t="s">
        <v>1145</v>
      </c>
      <c r="E8036" s="2" t="s">
        <v>457</v>
      </c>
      <c r="F8036" s="2">
        <v>4.0</v>
      </c>
      <c r="G8036" s="2">
        <v>500.0</v>
      </c>
      <c r="H8036" s="3" t="str">
        <f>HYPERLINK("http://www.linkedin.com/pub/john-c-molloy/B/288/18A","http://www.linkedin.com/pub/john-c-molloy/B/288/18A")</f>
        <v>http://www.linkedin.com/pub/john-c-molloy/B/288/18A</v>
      </c>
      <c r="I8036" s="2" t="s">
        <v>2023</v>
      </c>
      <c r="J8036" s="2" t="s">
        <v>102</v>
      </c>
      <c r="K8036" s="2" t="s">
        <v>14105</v>
      </c>
    </row>
    <row r="8037" ht="15.75" customHeight="1">
      <c r="A8037" s="2">
        <v>78748.0</v>
      </c>
      <c r="B8037" s="2" t="s">
        <v>14840</v>
      </c>
      <c r="C8037" s="2" t="s">
        <v>8906</v>
      </c>
      <c r="D8037" s="2" t="s">
        <v>14841</v>
      </c>
      <c r="E8037" s="2" t="s">
        <v>1190</v>
      </c>
      <c r="F8037" s="2" t="s">
        <v>13</v>
      </c>
      <c r="G8037" s="2">
        <v>500.0</v>
      </c>
      <c r="H8037" s="3" t="str">
        <f>HYPERLINK("http://www.linkedin.com/pub/yali-luna/9/332/88B","http://www.linkedin.com/pub/yali-luna/9/332/88B")</f>
        <v>http://www.linkedin.com/pub/yali-luna/9/332/88B</v>
      </c>
      <c r="I8037" s="2" t="s">
        <v>119</v>
      </c>
      <c r="J8037" s="2" t="s">
        <v>102</v>
      </c>
      <c r="K8037" s="2" t="s">
        <v>14071</v>
      </c>
    </row>
    <row r="8038" ht="15.75" customHeight="1">
      <c r="A8038" s="2">
        <v>78876.0</v>
      </c>
      <c r="B8038" s="2" t="s">
        <v>460</v>
      </c>
      <c r="C8038" s="2" t="s">
        <v>14842</v>
      </c>
      <c r="D8038" s="2" t="s">
        <v>47</v>
      </c>
      <c r="E8038" s="2" t="s">
        <v>4935</v>
      </c>
      <c r="F8038" s="2">
        <v>11.0</v>
      </c>
      <c r="G8038" s="2">
        <v>500.0</v>
      </c>
      <c r="H8038" s="3" t="str">
        <f>HYPERLINK("http://www.linkedin.com/in/johncostigan","http://www.linkedin.com/in/johncostigan")</f>
        <v>http://www.linkedin.com/in/johncostigan</v>
      </c>
      <c r="I8038" s="2" t="s">
        <v>1390</v>
      </c>
      <c r="J8038" s="2" t="s">
        <v>102</v>
      </c>
      <c r="K8038" s="2" t="s">
        <v>14074</v>
      </c>
    </row>
    <row r="8039" ht="15.75" customHeight="1">
      <c r="A8039" s="2">
        <v>78982.0</v>
      </c>
      <c r="B8039" s="2" t="s">
        <v>14843</v>
      </c>
      <c r="C8039" s="2" t="s">
        <v>7431</v>
      </c>
      <c r="D8039" s="2" t="s">
        <v>47</v>
      </c>
      <c r="E8039" s="2" t="s">
        <v>1190</v>
      </c>
      <c r="F8039" s="2">
        <v>9.0</v>
      </c>
      <c r="G8039" s="2">
        <v>500.0</v>
      </c>
      <c r="H8039" s="3" t="str">
        <f>HYPERLINK("http://www.linkedin.com/in/johnluismaldonado","http://www.linkedin.com/in/johnluismaldonado")</f>
        <v>http://www.linkedin.com/in/johnluismaldonado</v>
      </c>
      <c r="I8039" s="2" t="s">
        <v>2725</v>
      </c>
      <c r="J8039" s="2" t="s">
        <v>102</v>
      </c>
      <c r="K8039" s="2" t="s">
        <v>14055</v>
      </c>
    </row>
    <row r="8040" ht="15.75" customHeight="1">
      <c r="A8040" s="2">
        <v>79134.0</v>
      </c>
      <c r="B8040" s="2" t="s">
        <v>14844</v>
      </c>
      <c r="C8040" s="2" t="s">
        <v>14845</v>
      </c>
      <c r="D8040" s="2" t="s">
        <v>2683</v>
      </c>
      <c r="E8040" s="2" t="s">
        <v>2058</v>
      </c>
      <c r="F8040" s="2">
        <v>13.0</v>
      </c>
      <c r="G8040" s="2">
        <v>500.0</v>
      </c>
      <c r="H8040" s="3" t="str">
        <f>HYPERLINK("http://www.linkedin.com/in/christiecordes","http://www.linkedin.com/in/christiecordes")</f>
        <v>http://www.linkedin.com/in/christiecordes</v>
      </c>
      <c r="I8040" s="2" t="s">
        <v>105</v>
      </c>
      <c r="J8040" s="2" t="s">
        <v>102</v>
      </c>
      <c r="K8040" s="2" t="s">
        <v>14092</v>
      </c>
    </row>
    <row r="8041" ht="15.75" customHeight="1">
      <c r="A8041" s="2">
        <v>79399.0</v>
      </c>
      <c r="B8041" s="2" t="s">
        <v>1027</v>
      </c>
      <c r="C8041" s="2" t="s">
        <v>14846</v>
      </c>
      <c r="D8041" s="2" t="s">
        <v>2705</v>
      </c>
      <c r="E8041" s="2" t="s">
        <v>136</v>
      </c>
      <c r="F8041" s="2">
        <v>11.0</v>
      </c>
      <c r="G8041" s="2">
        <v>500.0</v>
      </c>
      <c r="H8041" s="3" t="str">
        <f>HYPERLINK("http://www.linkedin.com/in/gmcgehrin","http://www.linkedin.com/in/gmcgehrin")</f>
        <v>http://www.linkedin.com/in/gmcgehrin</v>
      </c>
      <c r="I8041" s="2" t="s">
        <v>248</v>
      </c>
      <c r="J8041" s="2" t="s">
        <v>102</v>
      </c>
      <c r="K8041" s="2" t="s">
        <v>14074</v>
      </c>
    </row>
    <row r="8042" ht="15.75" customHeight="1">
      <c r="A8042" s="2">
        <v>79677.0</v>
      </c>
      <c r="B8042" s="2" t="s">
        <v>14847</v>
      </c>
      <c r="C8042" s="2" t="s">
        <v>2504</v>
      </c>
      <c r="D8042" s="2" t="s">
        <v>410</v>
      </c>
      <c r="E8042" s="2" t="s">
        <v>628</v>
      </c>
      <c r="F8042" s="2">
        <v>0.0</v>
      </c>
      <c r="G8042" s="2">
        <v>500.0</v>
      </c>
      <c r="H8042" s="3" t="str">
        <f>HYPERLINK("http://www.linkedin.com/pub/jaxon-reilly/8/554/123","http://www.linkedin.com/pub/jaxon-reilly/8/554/123")</f>
        <v>http://www.linkedin.com/pub/jaxon-reilly/8/554/123</v>
      </c>
      <c r="I8042" s="2" t="s">
        <v>248</v>
      </c>
      <c r="J8042" s="2" t="s">
        <v>102</v>
      </c>
      <c r="K8042" s="2" t="s">
        <v>14481</v>
      </c>
    </row>
    <row r="8043" ht="15.75" customHeight="1">
      <c r="A8043" s="2">
        <v>80118.0</v>
      </c>
      <c r="B8043" s="2" t="s">
        <v>275</v>
      </c>
      <c r="C8043" s="2" t="s">
        <v>14848</v>
      </c>
      <c r="D8043" s="2" t="s">
        <v>400</v>
      </c>
      <c r="E8043" s="2" t="s">
        <v>136</v>
      </c>
      <c r="F8043" s="2">
        <v>0.0</v>
      </c>
      <c r="G8043" s="2">
        <v>500.0</v>
      </c>
      <c r="H8043" s="3" t="str">
        <f>HYPERLINK("http://www.linkedin.com/in/icannotfindit","http://www.linkedin.com/in/icannotfindit")</f>
        <v>http://www.linkedin.com/in/icannotfindit</v>
      </c>
      <c r="I8043" s="2" t="s">
        <v>48</v>
      </c>
      <c r="J8043" s="2" t="s">
        <v>102</v>
      </c>
      <c r="K8043" s="2" t="s">
        <v>14092</v>
      </c>
    </row>
    <row r="8044" ht="15.75" customHeight="1">
      <c r="A8044" s="2">
        <v>80295.0</v>
      </c>
      <c r="B8044" s="2" t="s">
        <v>1479</v>
      </c>
      <c r="C8044" s="2" t="s">
        <v>14849</v>
      </c>
      <c r="D8044" s="2" t="s">
        <v>1145</v>
      </c>
      <c r="E8044" s="2" t="s">
        <v>1190</v>
      </c>
      <c r="F8044" s="2">
        <v>2.0</v>
      </c>
      <c r="G8044" s="2">
        <v>500.0</v>
      </c>
      <c r="H8044" s="3" t="str">
        <f>HYPERLINK("http://www.linkedin.com/in/prfiestaspatronales","http://www.linkedin.com/in/prfiestaspatronales")</f>
        <v>http://www.linkedin.com/in/prfiestaspatronales</v>
      </c>
      <c r="I8044" s="2" t="s">
        <v>105</v>
      </c>
      <c r="J8044" s="2" t="s">
        <v>102</v>
      </c>
      <c r="K8044" s="2" t="s">
        <v>14092</v>
      </c>
    </row>
    <row r="8045" ht="15.75" customHeight="1">
      <c r="A8045" s="2">
        <v>80337.0</v>
      </c>
      <c r="B8045" s="2" t="s">
        <v>14850</v>
      </c>
      <c r="C8045" s="2" t="s">
        <v>4729</v>
      </c>
      <c r="D8045" s="2" t="s">
        <v>114</v>
      </c>
      <c r="E8045" s="2" t="s">
        <v>255</v>
      </c>
      <c r="F8045" s="2">
        <v>11.0</v>
      </c>
      <c r="G8045" s="2">
        <v>500.0</v>
      </c>
      <c r="H8045" s="3" t="str">
        <f>HYPERLINK("http://www.linkedin.com/in/pabloperezbarreiro","http://www.linkedin.com/in/pabloperezbarreiro")</f>
        <v>http://www.linkedin.com/in/pabloperezbarreiro</v>
      </c>
      <c r="I8045" s="2" t="s">
        <v>1390</v>
      </c>
      <c r="J8045" s="2" t="s">
        <v>102</v>
      </c>
      <c r="K8045" s="2" t="s">
        <v>14055</v>
      </c>
    </row>
    <row r="8046" ht="15.75" customHeight="1">
      <c r="A8046" s="2">
        <v>80353.0</v>
      </c>
      <c r="B8046" s="2" t="s">
        <v>3131</v>
      </c>
      <c r="C8046" s="2" t="s">
        <v>14851</v>
      </c>
      <c r="D8046" s="2" t="s">
        <v>42</v>
      </c>
      <c r="E8046" s="2" t="s">
        <v>2058</v>
      </c>
      <c r="F8046" s="2">
        <v>0.0</v>
      </c>
      <c r="G8046" s="2">
        <v>500.0</v>
      </c>
      <c r="H8046" s="3" t="str">
        <f>HYPERLINK("http://www.linkedin.com/in/fitzgeraldoatis","http://www.linkedin.com/in/fitzgeraldoatis")</f>
        <v>http://www.linkedin.com/in/fitzgeraldoatis</v>
      </c>
      <c r="I8046" s="2" t="s">
        <v>69</v>
      </c>
      <c r="J8046" s="2" t="s">
        <v>102</v>
      </c>
      <c r="K8046" s="2" t="s">
        <v>14105</v>
      </c>
    </row>
    <row r="8047" ht="15.75" customHeight="1">
      <c r="A8047" s="2">
        <v>80395.0</v>
      </c>
      <c r="B8047" s="2" t="s">
        <v>14852</v>
      </c>
      <c r="C8047" s="2" t="s">
        <v>14853</v>
      </c>
      <c r="D8047" s="2" t="s">
        <v>47</v>
      </c>
      <c r="E8047" s="2" t="s">
        <v>14854</v>
      </c>
      <c r="F8047" s="2" t="s">
        <v>13</v>
      </c>
      <c r="G8047" s="2">
        <v>500.0</v>
      </c>
      <c r="H8047" s="3" t="str">
        <f>HYPERLINK("http://www.linkedin.com/in/governorjaneswift","http://www.linkedin.com/in/governorjaneswift")</f>
        <v>http://www.linkedin.com/in/governorjaneswift</v>
      </c>
      <c r="I8047" s="2" t="s">
        <v>440</v>
      </c>
      <c r="J8047" s="2" t="s">
        <v>102</v>
      </c>
      <c r="K8047" s="2" t="s">
        <v>14211</v>
      </c>
    </row>
    <row r="8048" ht="15.75" customHeight="1">
      <c r="A8048" s="2">
        <v>80493.0</v>
      </c>
      <c r="B8048" s="2" t="s">
        <v>253</v>
      </c>
      <c r="C8048" s="2" t="s">
        <v>14855</v>
      </c>
      <c r="D8048" s="2" t="s">
        <v>47</v>
      </c>
      <c r="E8048" s="2" t="s">
        <v>2058</v>
      </c>
      <c r="F8048" s="2">
        <v>4.0</v>
      </c>
      <c r="G8048" s="2">
        <v>500.0</v>
      </c>
      <c r="H8048" s="3" t="str">
        <f>HYPERLINK("http://www.linkedin.com/in/fernandoespuelas","http://www.linkedin.com/in/fernandoespuelas")</f>
        <v>http://www.linkedin.com/in/fernandoespuelas</v>
      </c>
      <c r="I8048" s="2" t="s">
        <v>195</v>
      </c>
      <c r="J8048" s="2" t="s">
        <v>102</v>
      </c>
      <c r="K8048" s="2" t="s">
        <v>14092</v>
      </c>
    </row>
    <row r="8049" ht="15.75" customHeight="1">
      <c r="A8049" s="2">
        <v>80699.0</v>
      </c>
      <c r="B8049" s="2" t="s">
        <v>14856</v>
      </c>
      <c r="C8049" s="2" t="s">
        <v>14857</v>
      </c>
      <c r="D8049" s="2" t="s">
        <v>14858</v>
      </c>
      <c r="E8049" s="2" t="s">
        <v>255</v>
      </c>
      <c r="F8049" s="2">
        <v>1.0</v>
      </c>
      <c r="G8049" s="2">
        <v>292.0</v>
      </c>
      <c r="H8049" s="3" t="str">
        <f>HYPERLINK("http://www.linkedin.com/pub/sinval-medeiros/10/6/A49","http://www.linkedin.com/pub/sinval-medeiros/10/6/A49")</f>
        <v>http://www.linkedin.com/pub/sinval-medeiros/10/6/A49</v>
      </c>
      <c r="I8049" s="2" t="s">
        <v>15</v>
      </c>
      <c r="J8049" s="2" t="s">
        <v>102</v>
      </c>
      <c r="K8049" s="2" t="s">
        <v>14859</v>
      </c>
    </row>
    <row r="8050" ht="15.75" customHeight="1">
      <c r="A8050" s="2">
        <v>80884.0</v>
      </c>
      <c r="B8050" s="2" t="s">
        <v>14860</v>
      </c>
      <c r="C8050" s="2" t="s">
        <v>2695</v>
      </c>
      <c r="D8050" s="2" t="s">
        <v>14861</v>
      </c>
      <c r="E8050" s="2" t="s">
        <v>1190</v>
      </c>
      <c r="F8050" s="2">
        <v>7.0</v>
      </c>
      <c r="G8050" s="2">
        <v>500.0</v>
      </c>
      <c r="H8050" s="3" t="str">
        <f>HYPERLINK("http://www.linkedin.com/in/biamonteiro","http://www.linkedin.com/in/biamonteiro")</f>
        <v>http://www.linkedin.com/in/biamonteiro</v>
      </c>
      <c r="I8050" s="2" t="s">
        <v>279</v>
      </c>
      <c r="J8050" s="2" t="s">
        <v>102</v>
      </c>
      <c r="K8050" s="2" t="s">
        <v>14055</v>
      </c>
    </row>
    <row r="8051" ht="15.75" customHeight="1">
      <c r="A8051" s="2">
        <v>81190.0</v>
      </c>
      <c r="B8051" s="2" t="s">
        <v>6167</v>
      </c>
      <c r="C8051" s="2" t="s">
        <v>14862</v>
      </c>
      <c r="D8051" s="2" t="s">
        <v>14863</v>
      </c>
      <c r="E8051" s="2" t="s">
        <v>1190</v>
      </c>
      <c r="F8051" s="2">
        <v>0.0</v>
      </c>
      <c r="G8051" s="2">
        <v>205.0</v>
      </c>
      <c r="H8051" s="3" t="str">
        <f>HYPERLINK("http://www.linkedin.com/pub/jimena-urquijo/7/84B/811","http://www.linkedin.com/pub/jimena-urquijo/7/84B/811")</f>
        <v>http://www.linkedin.com/pub/jimena-urquijo/7/84B/811</v>
      </c>
      <c r="I8051" s="2" t="s">
        <v>2046</v>
      </c>
      <c r="J8051" s="2" t="s">
        <v>102</v>
      </c>
      <c r="K8051" s="2" t="s">
        <v>14055</v>
      </c>
    </row>
    <row r="8052" ht="15.75" customHeight="1">
      <c r="A8052" s="2">
        <v>81193.0</v>
      </c>
      <c r="B8052" s="2" t="s">
        <v>14864</v>
      </c>
      <c r="C8052" s="2" t="s">
        <v>14865</v>
      </c>
      <c r="D8052" s="2" t="s">
        <v>14866</v>
      </c>
      <c r="E8052" s="2" t="s">
        <v>1190</v>
      </c>
      <c r="F8052" s="2">
        <v>0.0</v>
      </c>
      <c r="G8052" s="2">
        <v>285.0</v>
      </c>
      <c r="H8052" s="3" t="str">
        <f>HYPERLINK("http://www.linkedin.com/pub/lissette-valdes-brito/16/6B6/878","http://www.linkedin.com/pub/lissette-valdes-brito/16/6B6/878")</f>
        <v>http://www.linkedin.com/pub/lissette-valdes-brito/16/6B6/878</v>
      </c>
      <c r="I8052" s="2" t="s">
        <v>910</v>
      </c>
      <c r="J8052" s="2" t="s">
        <v>102</v>
      </c>
      <c r="K8052" s="2" t="s">
        <v>14055</v>
      </c>
    </row>
    <row r="8053" ht="15.75" customHeight="1">
      <c r="A8053" s="2">
        <v>81670.0</v>
      </c>
      <c r="B8053" s="2" t="s">
        <v>13788</v>
      </c>
      <c r="C8053" s="2" t="s">
        <v>6896</v>
      </c>
      <c r="D8053" s="2" t="s">
        <v>14867</v>
      </c>
      <c r="E8053" s="2" t="s">
        <v>20</v>
      </c>
      <c r="F8053" s="2">
        <v>14.0</v>
      </c>
      <c r="G8053" s="2">
        <v>500.0</v>
      </c>
      <c r="H8053" s="3" t="str">
        <f>HYPERLINK("http://www.linkedin.com/in/miguelcastroutn","http://www.linkedin.com/in/miguelcastroutn")</f>
        <v>http://www.linkedin.com/in/miguelcastroutn</v>
      </c>
      <c r="I8053" s="2" t="s">
        <v>48</v>
      </c>
      <c r="J8053" s="2" t="s">
        <v>21</v>
      </c>
      <c r="K8053" s="2" t="s">
        <v>14074</v>
      </c>
    </row>
    <row r="8054" ht="15.75" customHeight="1">
      <c r="A8054" s="2">
        <v>81924.0</v>
      </c>
      <c r="B8054" s="2" t="s">
        <v>1659</v>
      </c>
      <c r="C8054" s="2" t="s">
        <v>14868</v>
      </c>
      <c r="D8054" s="2" t="s">
        <v>14869</v>
      </c>
      <c r="E8054" s="2" t="s">
        <v>101</v>
      </c>
      <c r="F8054" s="2">
        <v>8.0</v>
      </c>
      <c r="G8054" s="2">
        <v>500.0</v>
      </c>
      <c r="H8054" s="3" t="str">
        <f>HYPERLINK("http://www.linkedin.com/in/janlattunen","http://www.linkedin.com/in/janlattunen")</f>
        <v>http://www.linkedin.com/in/janlattunen</v>
      </c>
      <c r="I8054" s="2" t="s">
        <v>77</v>
      </c>
      <c r="J8054" s="2" t="s">
        <v>102</v>
      </c>
      <c r="K8054" s="2" t="s">
        <v>14105</v>
      </c>
    </row>
    <row r="8055" ht="15.75" customHeight="1">
      <c r="A8055" s="2">
        <v>82360.0</v>
      </c>
      <c r="B8055" s="2" t="s">
        <v>1618</v>
      </c>
      <c r="C8055" s="2" t="s">
        <v>3092</v>
      </c>
      <c r="D8055" s="2" t="s">
        <v>3013</v>
      </c>
      <c r="E8055" s="2" t="s">
        <v>136</v>
      </c>
      <c r="F8055" s="2">
        <v>4.0</v>
      </c>
      <c r="G8055" s="2">
        <v>500.0</v>
      </c>
      <c r="H8055" s="3" t="str">
        <f>HYPERLINK("http://www.linkedin.com/in/rahulpatel","http://www.linkedin.com/in/rahulpatel")</f>
        <v>http://www.linkedin.com/in/rahulpatel</v>
      </c>
      <c r="I8055" s="2" t="s">
        <v>69</v>
      </c>
      <c r="J8055" s="2" t="s">
        <v>102</v>
      </c>
      <c r="K8055" s="2" t="s">
        <v>14088</v>
      </c>
    </row>
    <row r="8056" ht="15.75" customHeight="1">
      <c r="A8056" s="2">
        <v>82373.0</v>
      </c>
      <c r="B8056" s="2" t="s">
        <v>14870</v>
      </c>
      <c r="C8056" s="2" t="s">
        <v>369</v>
      </c>
      <c r="D8056" s="2" t="s">
        <v>14871</v>
      </c>
      <c r="E8056" s="2" t="s">
        <v>136</v>
      </c>
      <c r="F8056" s="2">
        <v>15.0</v>
      </c>
      <c r="G8056" s="2">
        <v>500.0</v>
      </c>
      <c r="H8056" s="3" t="str">
        <f>HYPERLINK("http://www.linkedin.com/in/toanshu","http://www.linkedin.com/in/toanshu")</f>
        <v>http://www.linkedin.com/in/toanshu</v>
      </c>
      <c r="I8056" s="2" t="s">
        <v>48</v>
      </c>
      <c r="J8056" s="2" t="s">
        <v>102</v>
      </c>
      <c r="K8056" s="2" t="s">
        <v>14080</v>
      </c>
    </row>
    <row r="8057" ht="15.75" customHeight="1">
      <c r="A8057" s="2">
        <v>82653.0</v>
      </c>
      <c r="B8057" s="2" t="s">
        <v>70</v>
      </c>
      <c r="C8057" s="2" t="s">
        <v>14872</v>
      </c>
      <c r="D8057" s="2" t="s">
        <v>14873</v>
      </c>
      <c r="E8057" s="2" t="s">
        <v>628</v>
      </c>
      <c r="F8057" s="2">
        <v>15.0</v>
      </c>
      <c r="G8057" s="2">
        <v>500.0</v>
      </c>
      <c r="H8057" s="3" t="str">
        <f>HYPERLINK("http://www.linkedin.com/in/gustavorazzetti","http://www.linkedin.com/in/gustavorazzetti")</f>
        <v>http://www.linkedin.com/in/gustavorazzetti</v>
      </c>
      <c r="I8057" s="2" t="s">
        <v>105</v>
      </c>
      <c r="J8057" s="2" t="s">
        <v>102</v>
      </c>
      <c r="K8057" s="2" t="s">
        <v>14074</v>
      </c>
    </row>
    <row r="8058" ht="15.75" customHeight="1">
      <c r="A8058" s="2">
        <v>82804.0</v>
      </c>
      <c r="B8058" s="2" t="s">
        <v>1058</v>
      </c>
      <c r="C8058" s="2" t="s">
        <v>14874</v>
      </c>
      <c r="D8058" s="2" t="s">
        <v>14875</v>
      </c>
      <c r="E8058" s="2" t="s">
        <v>1407</v>
      </c>
      <c r="F8058" s="2">
        <v>0.0</v>
      </c>
      <c r="G8058" s="2">
        <v>500.0</v>
      </c>
      <c r="H8058" s="3" t="str">
        <f>HYPERLINK("http://www.linkedin.com/in/ankrishn","http://www.linkedin.com/in/ankrishn")</f>
        <v>http://www.linkedin.com/in/ankrishn</v>
      </c>
      <c r="I8058" s="2" t="s">
        <v>279</v>
      </c>
      <c r="J8058" s="2" t="s">
        <v>102</v>
      </c>
      <c r="K8058" s="2" t="s">
        <v>14259</v>
      </c>
    </row>
    <row r="8059" ht="15.75" customHeight="1">
      <c r="A8059" s="2">
        <v>83201.0</v>
      </c>
      <c r="B8059" s="2" t="s">
        <v>8519</v>
      </c>
      <c r="C8059" s="2" t="s">
        <v>6508</v>
      </c>
      <c r="D8059" s="2"/>
      <c r="E8059" s="2" t="s">
        <v>136</v>
      </c>
      <c r="F8059" s="2">
        <v>1.0</v>
      </c>
      <c r="G8059" s="2">
        <v>385.0</v>
      </c>
      <c r="H8059" s="3" t="str">
        <f>HYPERLINK("http://www.linkedin.com/pub/jose-luis-sanchez/2/268/219","http://www.linkedin.com/pub/jose-luis-sanchez/2/268/219")</f>
        <v>http://www.linkedin.com/pub/jose-luis-sanchez/2/268/219</v>
      </c>
      <c r="I8059" s="2" t="s">
        <v>15</v>
      </c>
      <c r="J8059" s="2" t="s">
        <v>102</v>
      </c>
      <c r="K8059" s="2" t="s">
        <v>14142</v>
      </c>
    </row>
    <row r="8060" ht="15.75" customHeight="1">
      <c r="A8060" s="2">
        <v>83215.0</v>
      </c>
      <c r="B8060" s="2" t="s">
        <v>845</v>
      </c>
      <c r="C8060" s="2" t="s">
        <v>13691</v>
      </c>
      <c r="D8060" s="2" t="s">
        <v>14876</v>
      </c>
      <c r="E8060" s="2" t="s">
        <v>2058</v>
      </c>
      <c r="F8060" s="2">
        <v>22.0</v>
      </c>
      <c r="G8060" s="2">
        <v>500.0</v>
      </c>
      <c r="H8060" s="3" t="str">
        <f>HYPERLINK("http://www.linkedin.com/in/davidrios","http://www.linkedin.com/in/davidrios")</f>
        <v>http://www.linkedin.com/in/davidrios</v>
      </c>
      <c r="I8060" s="2" t="s">
        <v>248</v>
      </c>
      <c r="J8060" s="2" t="s">
        <v>102</v>
      </c>
      <c r="K8060" s="2" t="s">
        <v>14055</v>
      </c>
    </row>
    <row r="8061" ht="15.75" customHeight="1">
      <c r="A8061" s="2">
        <v>83387.0</v>
      </c>
      <c r="B8061" s="2" t="s">
        <v>1104</v>
      </c>
      <c r="C8061" s="2" t="s">
        <v>12389</v>
      </c>
      <c r="D8061" s="2" t="s">
        <v>1145</v>
      </c>
      <c r="E8061" s="2" t="s">
        <v>1190</v>
      </c>
      <c r="F8061" s="2">
        <v>0.0</v>
      </c>
      <c r="G8061" s="2">
        <v>500.0</v>
      </c>
      <c r="H8061" s="3" t="str">
        <f>HYPERLINK("http://www.linkedin.com/in/jaypga","http://www.linkedin.com/in/jaypga")</f>
        <v>http://www.linkedin.com/in/jaypga</v>
      </c>
      <c r="I8061" s="2" t="s">
        <v>105</v>
      </c>
      <c r="J8061" s="2" t="s">
        <v>102</v>
      </c>
      <c r="K8061" s="2" t="s">
        <v>14105</v>
      </c>
    </row>
    <row r="8062" ht="15.75" customHeight="1">
      <c r="A8062" s="2">
        <v>83642.0</v>
      </c>
      <c r="B8062" s="2" t="s">
        <v>460</v>
      </c>
      <c r="C8062" s="2" t="s">
        <v>14877</v>
      </c>
      <c r="D8062" s="2" t="s">
        <v>13</v>
      </c>
      <c r="E8062" s="2" t="s">
        <v>1190</v>
      </c>
      <c r="F8062" s="2">
        <v>0.0</v>
      </c>
      <c r="G8062" s="2">
        <v>500.0</v>
      </c>
      <c r="H8062" s="3" t="str">
        <f>HYPERLINK("https://www.linkedin.com/pub/john-puente-msit/4/773/240","https://www.linkedin.com/pub/john-puente-msit/4/773/240")</f>
        <v>https://www.linkedin.com/pub/john-puente-msit/4/773/240</v>
      </c>
      <c r="I8062" s="2" t="s">
        <v>15</v>
      </c>
      <c r="J8062" s="2" t="s">
        <v>102</v>
      </c>
      <c r="K8062" s="2" t="s">
        <v>14092</v>
      </c>
    </row>
    <row r="8063" ht="15.75" customHeight="1">
      <c r="A8063" s="2">
        <v>83668.0</v>
      </c>
      <c r="B8063" s="2" t="s">
        <v>275</v>
      </c>
      <c r="C8063" s="2" t="s">
        <v>14878</v>
      </c>
      <c r="D8063" s="2" t="s">
        <v>841</v>
      </c>
      <c r="E8063" s="2" t="s">
        <v>214</v>
      </c>
      <c r="F8063" s="2">
        <v>4.0</v>
      </c>
      <c r="G8063" s="2">
        <v>500.0</v>
      </c>
      <c r="H8063" s="3" t="str">
        <f>HYPERLINK("http://www.linkedin.com/in/markpukita","http://www.linkedin.com/in/markpukita")</f>
        <v>http://www.linkedin.com/in/markpukita</v>
      </c>
      <c r="I8063" s="2" t="s">
        <v>15</v>
      </c>
      <c r="J8063" s="2" t="s">
        <v>102</v>
      </c>
      <c r="K8063" s="2" t="s">
        <v>14242</v>
      </c>
    </row>
    <row r="8064" ht="15.75" customHeight="1">
      <c r="A8064" s="2">
        <v>83719.0</v>
      </c>
      <c r="B8064" s="2" t="s">
        <v>14879</v>
      </c>
      <c r="C8064" s="2" t="s">
        <v>13955</v>
      </c>
      <c r="D8064" s="2" t="s">
        <v>14880</v>
      </c>
      <c r="E8064" s="2" t="s">
        <v>1190</v>
      </c>
      <c r="F8064" s="2" t="s">
        <v>13</v>
      </c>
      <c r="G8064" s="2">
        <v>500.0</v>
      </c>
      <c r="H8064" s="3" t="str">
        <f>HYPERLINK("http://www.linkedin.com/pub/abelicio-quintero/10/141/A93","http://www.linkedin.com/pub/abelicio-quintero/10/141/A93")</f>
        <v>http://www.linkedin.com/pub/abelicio-quintero/10/141/A93</v>
      </c>
      <c r="I8064" s="2" t="s">
        <v>119</v>
      </c>
      <c r="J8064" s="2" t="s">
        <v>102</v>
      </c>
      <c r="K8064" s="2" t="s">
        <v>14085</v>
      </c>
    </row>
    <row r="8065" ht="15.75" customHeight="1">
      <c r="A8065" s="2">
        <v>83855.0</v>
      </c>
      <c r="B8065" s="2" t="s">
        <v>116</v>
      </c>
      <c r="C8065" s="2" t="s">
        <v>6122</v>
      </c>
      <c r="D8065" s="2" t="s">
        <v>14881</v>
      </c>
      <c r="E8065" s="2" t="s">
        <v>1407</v>
      </c>
      <c r="F8065" s="2">
        <v>7.0</v>
      </c>
      <c r="G8065" s="2">
        <v>500.0</v>
      </c>
      <c r="H8065" s="3" t="str">
        <f>HYPERLINK("http://www.linkedin.com/pub/alex-ramirez/1A/72B/464","http://www.linkedin.com/pub/alex-ramirez/1A/72B/464")</f>
        <v>http://www.linkedin.com/pub/alex-ramirez/1A/72B/464</v>
      </c>
      <c r="I8065" s="2" t="s">
        <v>69</v>
      </c>
      <c r="J8065" s="2" t="s">
        <v>102</v>
      </c>
      <c r="K8065" s="2" t="s">
        <v>14882</v>
      </c>
    </row>
    <row r="8066" ht="15.75" customHeight="1">
      <c r="A8066" s="2">
        <v>83927.0</v>
      </c>
      <c r="B8066" s="2" t="s">
        <v>3679</v>
      </c>
      <c r="C8066" s="2" t="s">
        <v>6508</v>
      </c>
      <c r="D8066" s="2" t="s">
        <v>14883</v>
      </c>
      <c r="E8066" s="2" t="s">
        <v>1190</v>
      </c>
      <c r="F8066" s="2">
        <v>1.0</v>
      </c>
      <c r="G8066" s="2">
        <v>500.0</v>
      </c>
      <c r="H8066" s="3" t="str">
        <f>HYPERLINK("http://www.linkedin.com/in/edwinysanchez","http://www.linkedin.com/in/edwinysanchez")</f>
        <v>http://www.linkedin.com/in/edwinysanchez</v>
      </c>
      <c r="I8066" s="2" t="s">
        <v>48</v>
      </c>
      <c r="J8066" s="2" t="s">
        <v>102</v>
      </c>
      <c r="K8066" s="2" t="s">
        <v>14080</v>
      </c>
    </row>
    <row r="8067" ht="15.75" customHeight="1">
      <c r="A8067" s="2">
        <v>84003.0</v>
      </c>
      <c r="B8067" s="2" t="s">
        <v>6323</v>
      </c>
      <c r="C8067" s="2" t="s">
        <v>14884</v>
      </c>
      <c r="D8067" s="2" t="s">
        <v>13</v>
      </c>
      <c r="E8067" s="2" t="s">
        <v>7844</v>
      </c>
      <c r="F8067" s="2">
        <v>0.0</v>
      </c>
      <c r="G8067" s="2">
        <v>500.0</v>
      </c>
      <c r="H8067" s="3" t="str">
        <f>HYPERLINK("http://www.linkedin.com/in/jredwing","http://www.linkedin.com/in/jredwing")</f>
        <v>http://www.linkedin.com/in/jredwing</v>
      </c>
      <c r="I8067" s="2" t="s">
        <v>15</v>
      </c>
      <c r="J8067" s="2" t="s">
        <v>102</v>
      </c>
      <c r="K8067" s="2" t="s">
        <v>14092</v>
      </c>
    </row>
    <row r="8068" ht="15.75" customHeight="1">
      <c r="A8068" s="2">
        <v>84024.0</v>
      </c>
      <c r="B8068" s="2" t="s">
        <v>845</v>
      </c>
      <c r="C8068" s="2" t="s">
        <v>14885</v>
      </c>
      <c r="D8068" s="2" t="s">
        <v>3989</v>
      </c>
      <c r="E8068" s="2" t="s">
        <v>301</v>
      </c>
      <c r="F8068" s="2">
        <v>37.0</v>
      </c>
      <c r="G8068" s="2">
        <v>500.0</v>
      </c>
      <c r="H8068" s="3" t="str">
        <f>HYPERLINK("http://www.linkedin.com/in/davidreingold","http://www.linkedin.com/in/davidreingold")</f>
        <v>http://www.linkedin.com/in/davidreingold</v>
      </c>
      <c r="I8068" s="2" t="s">
        <v>15</v>
      </c>
      <c r="J8068" s="2" t="s">
        <v>102</v>
      </c>
      <c r="K8068" s="2" t="s">
        <v>14080</v>
      </c>
    </row>
    <row r="8069" ht="15.75" customHeight="1">
      <c r="A8069" s="2">
        <v>84313.0</v>
      </c>
      <c r="B8069" s="2" t="s">
        <v>14886</v>
      </c>
      <c r="C8069" s="3" t="str">
        <f>HYPERLINK("http://anakahliahotmail.com","anakahliahotmail.com")</f>
        <v>anakahliahotmail.com</v>
      </c>
      <c r="D8069" s="2" t="s">
        <v>14887</v>
      </c>
      <c r="E8069" s="2" t="s">
        <v>2058</v>
      </c>
      <c r="F8069" s="2">
        <v>1.0</v>
      </c>
      <c r="G8069" s="2">
        <v>500.0</v>
      </c>
      <c r="H8069" s="3" t="str">
        <f>HYPERLINK("http://www.linkedin.com/in/anakahlia","http://www.linkedin.com/in/anakahlia")</f>
        <v>http://www.linkedin.com/in/anakahlia</v>
      </c>
      <c r="I8069" s="2" t="s">
        <v>669</v>
      </c>
      <c r="J8069" s="2" t="s">
        <v>102</v>
      </c>
      <c r="K8069" s="2" t="s">
        <v>14092</v>
      </c>
    </row>
    <row r="8070" ht="15.75" customHeight="1">
      <c r="A8070" s="2">
        <v>84519.0</v>
      </c>
      <c r="B8070" s="2" t="s">
        <v>1254</v>
      </c>
      <c r="C8070" s="2" t="s">
        <v>1300</v>
      </c>
      <c r="D8070" s="2" t="s">
        <v>13</v>
      </c>
      <c r="E8070" s="2" t="s">
        <v>11867</v>
      </c>
      <c r="F8070" s="2">
        <v>0.0</v>
      </c>
      <c r="G8070" s="2">
        <v>500.0</v>
      </c>
      <c r="H8070" s="3" t="str">
        <f>HYPERLINK("http://www.linkedin.com/in/rickrossprofile/","http://www.linkedin.com/in/rickrossprofile/")</f>
        <v>http://www.linkedin.com/in/rickrossprofile/</v>
      </c>
      <c r="I8070" s="2" t="s">
        <v>15</v>
      </c>
      <c r="J8070" s="2" t="s">
        <v>102</v>
      </c>
      <c r="K8070" s="2" t="s">
        <v>14080</v>
      </c>
    </row>
    <row r="8071" ht="15.75" customHeight="1">
      <c r="A8071" s="2">
        <v>84786.0</v>
      </c>
      <c r="B8071" s="2" t="s">
        <v>1405</v>
      </c>
      <c r="C8071" s="2" t="s">
        <v>14888</v>
      </c>
      <c r="D8071" s="2" t="s">
        <v>100</v>
      </c>
      <c r="E8071" s="2" t="s">
        <v>5503</v>
      </c>
      <c r="F8071" s="2">
        <v>10.0</v>
      </c>
      <c r="G8071" s="2">
        <v>500.0</v>
      </c>
      <c r="H8071" s="3" t="str">
        <f>HYPERLINK("http://www.linkedin.com/in/ronadelman","http://www.linkedin.com/in/ronadelman")</f>
        <v>http://www.linkedin.com/in/ronadelman</v>
      </c>
      <c r="I8071" s="2" t="s">
        <v>69</v>
      </c>
      <c r="J8071" s="2" t="s">
        <v>102</v>
      </c>
      <c r="K8071" s="2" t="s">
        <v>14242</v>
      </c>
    </row>
    <row r="8072" ht="15.75" customHeight="1">
      <c r="A8072" s="2">
        <v>84970.0</v>
      </c>
      <c r="B8072" s="2" t="s">
        <v>14889</v>
      </c>
      <c r="C8072" s="2" t="s">
        <v>14890</v>
      </c>
      <c r="D8072" s="2" t="s">
        <v>13</v>
      </c>
      <c r="E8072" s="2" t="s">
        <v>1190</v>
      </c>
      <c r="F8072" s="2">
        <v>0.0</v>
      </c>
      <c r="G8072" s="2">
        <v>500.0</v>
      </c>
      <c r="H8072" s="3" t="str">
        <f>HYPERLINK("https://www.linkedin.com/in/yudasaydun","https://www.linkedin.com/in/yudasaydun")</f>
        <v>https://www.linkedin.com/in/yudasaydun</v>
      </c>
      <c r="I8072" s="2" t="s">
        <v>15</v>
      </c>
      <c r="J8072" s="2" t="s">
        <v>102</v>
      </c>
      <c r="K8072" s="2" t="s">
        <v>14078</v>
      </c>
    </row>
    <row r="8073" ht="15.75" customHeight="1">
      <c r="A8073" s="2">
        <v>85242.0</v>
      </c>
      <c r="B8073" s="2" t="s">
        <v>839</v>
      </c>
      <c r="C8073" s="2" t="s">
        <v>14891</v>
      </c>
      <c r="D8073" s="2" t="s">
        <v>14892</v>
      </c>
      <c r="E8073" s="2" t="s">
        <v>3148</v>
      </c>
      <c r="F8073" s="2">
        <v>17.0</v>
      </c>
      <c r="G8073" s="2">
        <v>500.0</v>
      </c>
      <c r="H8073" s="3" t="str">
        <f>HYPERLINK("http://www.linkedin.com/in/daveshutts","http://www.linkedin.com/in/daveshutts")</f>
        <v>http://www.linkedin.com/in/daveshutts</v>
      </c>
      <c r="I8073" s="2" t="s">
        <v>1496</v>
      </c>
      <c r="J8073" s="2" t="s">
        <v>102</v>
      </c>
      <c r="K8073" s="2" t="s">
        <v>14055</v>
      </c>
    </row>
    <row r="8074" ht="15.75" customHeight="1">
      <c r="A8074" s="2">
        <v>85267.0</v>
      </c>
      <c r="B8074" s="2" t="s">
        <v>302</v>
      </c>
      <c r="C8074" s="2" t="s">
        <v>14893</v>
      </c>
      <c r="D8074" s="2" t="s">
        <v>14894</v>
      </c>
      <c r="E8074" s="2" t="s">
        <v>713</v>
      </c>
      <c r="F8074" s="2">
        <v>3.0</v>
      </c>
      <c r="G8074" s="2">
        <v>500.0</v>
      </c>
      <c r="H8074" s="3" t="str">
        <f>HYPERLINK("http://www.linkedin.com/in/bsifflard","http://www.linkedin.com/in/bsifflard")</f>
        <v>http://www.linkedin.com/in/bsifflard</v>
      </c>
      <c r="I8074" s="2" t="s">
        <v>1012</v>
      </c>
      <c r="J8074" s="2" t="s">
        <v>102</v>
      </c>
      <c r="K8074" s="2" t="s">
        <v>14055</v>
      </c>
    </row>
    <row r="8075" ht="15.75" customHeight="1">
      <c r="A8075" s="2">
        <v>85325.0</v>
      </c>
      <c r="B8075" s="2" t="s">
        <v>845</v>
      </c>
      <c r="C8075" s="2" t="s">
        <v>14895</v>
      </c>
      <c r="D8075" s="2" t="s">
        <v>14896</v>
      </c>
      <c r="E8075" s="2" t="s">
        <v>1407</v>
      </c>
      <c r="F8075" s="2">
        <v>2.0</v>
      </c>
      <c r="G8075" s="2">
        <v>500.0</v>
      </c>
      <c r="H8075" s="3" t="str">
        <f>HYPERLINK("http://www.linkedin.com/in/davidsirbasku104","http://www.linkedin.com/in/davidsirbasku104")</f>
        <v>http://www.linkedin.com/in/davidsirbasku104</v>
      </c>
      <c r="I8075" s="2" t="s">
        <v>714</v>
      </c>
      <c r="J8075" s="2" t="s">
        <v>102</v>
      </c>
      <c r="K8075" s="2" t="s">
        <v>14074</v>
      </c>
    </row>
    <row r="8076" ht="15.75" customHeight="1">
      <c r="A8076" s="2">
        <v>85795.0</v>
      </c>
      <c r="B8076" s="2" t="s">
        <v>178</v>
      </c>
      <c r="C8076" s="2" t="s">
        <v>14897</v>
      </c>
      <c r="D8076" s="2" t="s">
        <v>114</v>
      </c>
      <c r="E8076" s="2" t="s">
        <v>2454</v>
      </c>
      <c r="F8076" s="2">
        <v>7.0</v>
      </c>
      <c r="G8076" s="2">
        <v>500.0</v>
      </c>
      <c r="H8076" s="3" t="str">
        <f>HYPERLINK("http://www.linkedin.com/in/joetoppi","http://www.linkedin.com/in/joetoppi")</f>
        <v>http://www.linkedin.com/in/joetoppi</v>
      </c>
      <c r="I8076" s="2" t="s">
        <v>248</v>
      </c>
      <c r="J8076" s="2" t="s">
        <v>102</v>
      </c>
      <c r="K8076" s="2" t="s">
        <v>14115</v>
      </c>
    </row>
    <row r="8077" ht="15.75" customHeight="1">
      <c r="A8077" s="2">
        <v>85848.0</v>
      </c>
      <c r="B8077" s="2" t="s">
        <v>14898</v>
      </c>
      <c r="C8077" s="2" t="s">
        <v>14899</v>
      </c>
      <c r="D8077" s="2" t="s">
        <v>13</v>
      </c>
      <c r="E8077" s="2" t="s">
        <v>8142</v>
      </c>
      <c r="F8077" s="2">
        <v>0.0</v>
      </c>
      <c r="G8077" s="2">
        <v>500.0</v>
      </c>
      <c r="H8077" s="3" t="str">
        <f>HYPERLINK("http://www.linkedin.com/in/gordbreese","http://www.linkedin.com/in/gordbreese")</f>
        <v>http://www.linkedin.com/in/gordbreese</v>
      </c>
      <c r="I8077" s="2" t="s">
        <v>48</v>
      </c>
      <c r="J8077" s="2" t="s">
        <v>44</v>
      </c>
      <c r="K8077" s="2" t="s">
        <v>14085</v>
      </c>
    </row>
    <row r="8078" ht="15.75" customHeight="1">
      <c r="A8078" s="2">
        <v>86200.0</v>
      </c>
      <c r="B8078" s="2" t="s">
        <v>13847</v>
      </c>
      <c r="C8078" s="2" t="s">
        <v>393</v>
      </c>
      <c r="D8078" s="2" t="s">
        <v>304</v>
      </c>
      <c r="E8078" s="2" t="s">
        <v>728</v>
      </c>
      <c r="F8078" s="2">
        <v>28.0</v>
      </c>
      <c r="G8078" s="2">
        <v>500.0</v>
      </c>
      <c r="H8078" s="3" t="str">
        <f>HYPERLINK("http://www.linkedin.com/in/kathleenerickson","http://www.linkedin.com/in/kathleenerickson")</f>
        <v>http://www.linkedin.com/in/kathleenerickson</v>
      </c>
      <c r="I8078" s="2" t="s">
        <v>69</v>
      </c>
      <c r="J8078" s="2" t="s">
        <v>102</v>
      </c>
      <c r="K8078" s="2" t="s">
        <v>14071</v>
      </c>
    </row>
    <row r="8079" ht="15.75" customHeight="1">
      <c r="A8079" s="2">
        <v>86291.0</v>
      </c>
      <c r="B8079" s="2" t="s">
        <v>133</v>
      </c>
      <c r="C8079" s="2" t="s">
        <v>14900</v>
      </c>
      <c r="D8079" s="2" t="s">
        <v>517</v>
      </c>
      <c r="E8079" s="2" t="s">
        <v>136</v>
      </c>
      <c r="F8079" s="2">
        <v>0.0</v>
      </c>
      <c r="G8079" s="2">
        <v>500.0</v>
      </c>
      <c r="H8079" s="3" t="str">
        <f>HYPERLINK("http://www.linkedin.com/pub/michael-douroux/4/300/BA6","http://www.linkedin.com/pub/michael-douroux/4/300/BA6")</f>
        <v>http://www.linkedin.com/pub/michael-douroux/4/300/BA6</v>
      </c>
      <c r="I8079" s="2" t="s">
        <v>48</v>
      </c>
      <c r="J8079" s="2" t="s">
        <v>102</v>
      </c>
      <c r="K8079" s="2" t="s">
        <v>14092</v>
      </c>
    </row>
    <row r="8080" ht="15.75" customHeight="1">
      <c r="A8080" s="2">
        <v>86364.0</v>
      </c>
      <c r="B8080" s="2" t="s">
        <v>14901</v>
      </c>
      <c r="C8080" s="2" t="s">
        <v>14902</v>
      </c>
      <c r="D8080" s="2" t="s">
        <v>47</v>
      </c>
      <c r="E8080" s="2" t="s">
        <v>1179</v>
      </c>
      <c r="F8080" s="2">
        <v>9.0</v>
      </c>
      <c r="G8080" s="2">
        <v>500.0</v>
      </c>
      <c r="H8080" s="3" t="str">
        <f>HYPERLINK("http://www.linkedin.com/pub/farid-askari-phd-pmp-csm/8/66B/690","http://www.linkedin.com/pub/farid-askari-phd-pmp-csm/8/66B/690")</f>
        <v>http://www.linkedin.com/pub/farid-askari-phd-pmp-csm/8/66B/690</v>
      </c>
      <c r="I8080" s="2" t="s">
        <v>57</v>
      </c>
      <c r="J8080" s="2" t="s">
        <v>102</v>
      </c>
      <c r="K8080" s="2" t="s">
        <v>14074</v>
      </c>
    </row>
    <row r="8081" ht="15.75" customHeight="1">
      <c r="A8081" s="2">
        <v>86557.0</v>
      </c>
      <c r="B8081" s="2" t="s">
        <v>45</v>
      </c>
      <c r="C8081" s="2" t="s">
        <v>14903</v>
      </c>
      <c r="D8081" s="2" t="s">
        <v>14904</v>
      </c>
      <c r="E8081" s="2" t="s">
        <v>1190</v>
      </c>
      <c r="F8081" s="2">
        <v>3.0</v>
      </c>
      <c r="G8081" s="2">
        <v>336.0</v>
      </c>
      <c r="H8081" s="3" t="str">
        <f>HYPERLINK("http://www.linkedin.com/in/ceochagavia","http://www.linkedin.com/in/ceochagavia")</f>
        <v>http://www.linkedin.com/in/ceochagavia</v>
      </c>
      <c r="I8081" s="2" t="s">
        <v>105</v>
      </c>
      <c r="J8081" s="2" t="s">
        <v>102</v>
      </c>
      <c r="K8081" s="2" t="s">
        <v>14074</v>
      </c>
    </row>
    <row r="8082" ht="15.75" customHeight="1">
      <c r="A8082" s="2">
        <v>86669.0</v>
      </c>
      <c r="B8082" s="2" t="s">
        <v>3178</v>
      </c>
      <c r="C8082" s="2" t="s">
        <v>8952</v>
      </c>
      <c r="D8082" s="2" t="s">
        <v>14905</v>
      </c>
      <c r="E8082" s="2" t="s">
        <v>20</v>
      </c>
      <c r="F8082" s="2">
        <v>3.0</v>
      </c>
      <c r="G8082" s="2">
        <v>479.0</v>
      </c>
      <c r="H8082" s="3" t="str">
        <f>HYPERLINK("http://www.linkedin.com/pub/lucas-tettamanti/26/35b/26","http://www.linkedin.com/pub/lucas-tettamanti/26/35b/26")</f>
        <v>http://www.linkedin.com/pub/lucas-tettamanti/26/35b/26</v>
      </c>
      <c r="I8082" s="2" t="s">
        <v>15</v>
      </c>
      <c r="J8082" s="2" t="s">
        <v>21</v>
      </c>
      <c r="K8082" s="2" t="s">
        <v>14237</v>
      </c>
    </row>
    <row r="8083" ht="15.75" customHeight="1">
      <c r="A8083" s="2">
        <v>86693.0</v>
      </c>
      <c r="B8083" s="2" t="s">
        <v>14906</v>
      </c>
      <c r="C8083" s="2" t="s">
        <v>348</v>
      </c>
      <c r="D8083" s="2" t="s">
        <v>114</v>
      </c>
      <c r="E8083" s="2" t="s">
        <v>971</v>
      </c>
      <c r="F8083" s="2">
        <v>3.0</v>
      </c>
      <c r="G8083" s="2">
        <v>500.0</v>
      </c>
      <c r="H8083" s="3" t="str">
        <f>HYPERLINK("http://www.linkedin.com/in/seonkim","http://www.linkedin.com/in/seonkim")</f>
        <v>http://www.linkedin.com/in/seonkim</v>
      </c>
      <c r="I8083" s="2" t="s">
        <v>696</v>
      </c>
      <c r="J8083" s="2" t="s">
        <v>102</v>
      </c>
      <c r="K8083" s="2" t="s">
        <v>14105</v>
      </c>
    </row>
    <row r="8084" ht="15.75" customHeight="1">
      <c r="A8084" s="2">
        <v>86700.0</v>
      </c>
      <c r="B8084" s="2" t="s">
        <v>845</v>
      </c>
      <c r="C8084" s="2" t="s">
        <v>14907</v>
      </c>
      <c r="D8084" s="2" t="s">
        <v>81</v>
      </c>
      <c r="E8084" s="2" t="s">
        <v>871</v>
      </c>
      <c r="F8084" s="2">
        <v>41.0</v>
      </c>
      <c r="G8084" s="2">
        <v>500.0</v>
      </c>
      <c r="H8084" s="3" t="str">
        <f>HYPERLINK("http://www.linkedin.com/in/davidrodnitzky","http://www.linkedin.com/in/davidrodnitzky")</f>
        <v>http://www.linkedin.com/in/davidrodnitzky</v>
      </c>
      <c r="I8084" s="2" t="s">
        <v>105</v>
      </c>
      <c r="J8084" s="2" t="s">
        <v>102</v>
      </c>
      <c r="K8084" s="2" t="s">
        <v>14074</v>
      </c>
    </row>
    <row r="8085" ht="15.75" customHeight="1">
      <c r="A8085" s="2">
        <v>86735.0</v>
      </c>
      <c r="B8085" s="2" t="s">
        <v>1617</v>
      </c>
      <c r="C8085" s="2" t="s">
        <v>14908</v>
      </c>
      <c r="D8085" s="2" t="s">
        <v>47</v>
      </c>
      <c r="E8085" s="2" t="s">
        <v>1918</v>
      </c>
      <c r="F8085" s="2">
        <v>0.0</v>
      </c>
      <c r="G8085" s="2">
        <v>500.0</v>
      </c>
      <c r="H8085" s="3" t="str">
        <f>HYPERLINK("http://www.linkedin.com/in/ryangoodmansd","http://www.linkedin.com/in/ryangoodmansd")</f>
        <v>http://www.linkedin.com/in/ryangoodmansd</v>
      </c>
      <c r="I8085" s="2" t="s">
        <v>48</v>
      </c>
      <c r="J8085" s="2" t="s">
        <v>102</v>
      </c>
      <c r="K8085" s="2" t="s">
        <v>14080</v>
      </c>
    </row>
    <row r="8086" ht="15.75" customHeight="1">
      <c r="A8086" s="2">
        <v>86764.0</v>
      </c>
      <c r="B8086" s="2" t="s">
        <v>5408</v>
      </c>
      <c r="C8086" s="2" t="s">
        <v>14909</v>
      </c>
      <c r="D8086" s="2" t="s">
        <v>14910</v>
      </c>
      <c r="E8086" s="2" t="s">
        <v>728</v>
      </c>
      <c r="F8086" s="2">
        <v>0.0</v>
      </c>
      <c r="G8086" s="2">
        <v>426.0</v>
      </c>
      <c r="H8086" s="3" t="str">
        <f>HYPERLINK("http://www.linkedin.com/in/agraber","http://www.linkedin.com/in/agraber")</f>
        <v>http://www.linkedin.com/in/agraber</v>
      </c>
      <c r="I8086" s="2" t="s">
        <v>48</v>
      </c>
      <c r="J8086" s="2" t="s">
        <v>102</v>
      </c>
      <c r="K8086" s="2" t="s">
        <v>14057</v>
      </c>
    </row>
    <row r="8087" ht="15.75" customHeight="1">
      <c r="A8087" s="2">
        <v>86795.0</v>
      </c>
      <c r="B8087" s="2" t="s">
        <v>511</v>
      </c>
      <c r="C8087" s="2" t="s">
        <v>14911</v>
      </c>
      <c r="D8087" s="2" t="s">
        <v>304</v>
      </c>
      <c r="E8087" s="2" t="s">
        <v>713</v>
      </c>
      <c r="F8087" s="2">
        <v>406.0</v>
      </c>
      <c r="G8087" s="2">
        <v>500.0</v>
      </c>
      <c r="H8087" s="3" t="str">
        <f>HYPERLINK("http://www.linkedin.com/in/mikegrandinetti","http://www.linkedin.com/in/mikegrandinetti")</f>
        <v>http://www.linkedin.com/in/mikegrandinetti</v>
      </c>
      <c r="I8087" s="2" t="s">
        <v>48</v>
      </c>
      <c r="J8087" s="2" t="s">
        <v>102</v>
      </c>
      <c r="K8087" s="2" t="s">
        <v>14105</v>
      </c>
    </row>
    <row r="8088" ht="15.75" customHeight="1">
      <c r="A8088" s="2">
        <v>86808.0</v>
      </c>
      <c r="B8088" s="2" t="s">
        <v>460</v>
      </c>
      <c r="C8088" s="2" t="s">
        <v>14912</v>
      </c>
      <c r="D8088" s="2" t="s">
        <v>1820</v>
      </c>
      <c r="E8088" s="2" t="s">
        <v>713</v>
      </c>
      <c r="F8088" s="2">
        <v>1.0</v>
      </c>
      <c r="G8088" s="2">
        <v>500.0</v>
      </c>
      <c r="H8088" s="3" t="str">
        <f>HYPERLINK("http://www.linkedin.com/in/leaddogvc","http://www.linkedin.com/in/leaddogvc")</f>
        <v>http://www.linkedin.com/in/leaddogvc</v>
      </c>
      <c r="I8088" s="2" t="s">
        <v>48</v>
      </c>
      <c r="J8088" s="2" t="s">
        <v>102</v>
      </c>
      <c r="K8088" s="2" t="s">
        <v>14197</v>
      </c>
    </row>
    <row r="8089" ht="15.75" customHeight="1">
      <c r="A8089" s="2">
        <v>86819.0</v>
      </c>
      <c r="B8089" s="2" t="s">
        <v>845</v>
      </c>
      <c r="C8089" s="2" t="s">
        <v>14913</v>
      </c>
      <c r="D8089" s="2" t="s">
        <v>14914</v>
      </c>
      <c r="E8089" s="2" t="s">
        <v>713</v>
      </c>
      <c r="F8089" s="2">
        <v>3.0</v>
      </c>
      <c r="G8089" s="2">
        <v>500.0</v>
      </c>
      <c r="H8089" s="3" t="str">
        <f>HYPERLINK("http://www.linkedin.com/in/davidbeisel","http://www.linkedin.com/in/davidbeisel")</f>
        <v>http://www.linkedin.com/in/davidbeisel</v>
      </c>
      <c r="I8089" s="2" t="s">
        <v>709</v>
      </c>
      <c r="J8089" s="2" t="s">
        <v>102</v>
      </c>
      <c r="K8089" s="2" t="s">
        <v>14055</v>
      </c>
    </row>
    <row r="8090" ht="15.75" customHeight="1">
      <c r="A8090" s="2">
        <v>86847.0</v>
      </c>
      <c r="B8090" s="2" t="s">
        <v>2109</v>
      </c>
      <c r="C8090" s="2" t="s">
        <v>14915</v>
      </c>
      <c r="D8090" s="2" t="s">
        <v>1912</v>
      </c>
      <c r="E8090" s="2" t="s">
        <v>713</v>
      </c>
      <c r="F8090" s="2">
        <v>7.0</v>
      </c>
      <c r="G8090" s="2">
        <v>500.0</v>
      </c>
      <c r="H8090" s="3" t="str">
        <f>HYPERLINK("http://www.linkedin.com/in/robgo","http://www.linkedin.com/in/robgo")</f>
        <v>http://www.linkedin.com/in/robgo</v>
      </c>
      <c r="I8090" s="2" t="s">
        <v>69</v>
      </c>
      <c r="J8090" s="2" t="s">
        <v>102</v>
      </c>
      <c r="K8090" s="2" t="s">
        <v>14078</v>
      </c>
    </row>
    <row r="8091" ht="15.75" customHeight="1">
      <c r="A8091" s="2">
        <v>87401.0</v>
      </c>
      <c r="B8091" s="2" t="s">
        <v>460</v>
      </c>
      <c r="C8091" s="2" t="s">
        <v>14916</v>
      </c>
      <c r="D8091" s="2" t="s">
        <v>14917</v>
      </c>
      <c r="E8091" s="2" t="s">
        <v>136</v>
      </c>
      <c r="F8091" s="2">
        <v>8.0</v>
      </c>
      <c r="G8091" s="2">
        <v>500.0</v>
      </c>
      <c r="H8091" s="3" t="str">
        <f>HYPERLINK("http://www.linkedin.com/pub/john-kreisa/0/164/920","http://www.linkedin.com/pub/john-kreisa/0/164/920")</f>
        <v>http://www.linkedin.com/pub/john-kreisa/0/164/920</v>
      </c>
      <c r="I8091" s="2" t="s">
        <v>48</v>
      </c>
      <c r="J8091" s="2" t="s">
        <v>102</v>
      </c>
      <c r="K8091" s="2" t="s">
        <v>14088</v>
      </c>
    </row>
    <row r="8092" ht="15.75" customHeight="1">
      <c r="A8092" s="2">
        <v>87472.0</v>
      </c>
      <c r="B8092" s="2" t="s">
        <v>2014</v>
      </c>
      <c r="C8092" s="2" t="s">
        <v>3456</v>
      </c>
      <c r="D8092" s="2" t="s">
        <v>14918</v>
      </c>
      <c r="E8092" s="2" t="s">
        <v>628</v>
      </c>
      <c r="F8092" s="2" t="s">
        <v>13</v>
      </c>
      <c r="G8092" s="2">
        <v>500.0</v>
      </c>
      <c r="H8092" s="3" t="str">
        <f>HYPERLINK("http://www.linkedin.com/in/kcorless","http://www.linkedin.com/in/kcorless")</f>
        <v>http://www.linkedin.com/in/kcorless</v>
      </c>
      <c r="I8092" s="2" t="s">
        <v>57</v>
      </c>
      <c r="J8092" s="2" t="s">
        <v>102</v>
      </c>
      <c r="K8092" s="2" t="s">
        <v>14092</v>
      </c>
    </row>
    <row r="8093" ht="15.75" customHeight="1">
      <c r="A8093" s="2">
        <v>87905.0</v>
      </c>
      <c r="B8093" s="2" t="s">
        <v>133</v>
      </c>
      <c r="C8093" s="2" t="s">
        <v>14919</v>
      </c>
      <c r="D8093" s="2" t="s">
        <v>14920</v>
      </c>
      <c r="E8093" s="2" t="s">
        <v>1190</v>
      </c>
      <c r="F8093" s="2">
        <v>10.0</v>
      </c>
      <c r="G8093" s="2">
        <v>443.0</v>
      </c>
      <c r="H8093" s="3" t="str">
        <f>HYPERLINK("http://www.linkedin.com/in/michaelmedipor","http://www.linkedin.com/in/michaelmedipor")</f>
        <v>http://www.linkedin.com/in/michaelmedipor</v>
      </c>
      <c r="I8093" s="2" t="s">
        <v>48</v>
      </c>
      <c r="J8093" s="2" t="s">
        <v>102</v>
      </c>
      <c r="K8093" s="2" t="s">
        <v>14080</v>
      </c>
    </row>
    <row r="8094" ht="15.75" customHeight="1">
      <c r="A8094" s="2">
        <v>88159.0</v>
      </c>
      <c r="B8094" s="2" t="s">
        <v>3847</v>
      </c>
      <c r="C8094" s="2" t="s">
        <v>14921</v>
      </c>
      <c r="D8094" s="2" t="s">
        <v>1320</v>
      </c>
      <c r="E8094" s="2" t="s">
        <v>1234</v>
      </c>
      <c r="F8094" s="2">
        <v>32.0</v>
      </c>
      <c r="G8094" s="2">
        <v>500.0</v>
      </c>
      <c r="H8094" s="3" t="str">
        <f>HYPERLINK("http://www.linkedin.com/in/victorgarcia73","http://www.linkedin.com/in/victorgarcia73")</f>
        <v>http://www.linkedin.com/in/victorgarcia73</v>
      </c>
      <c r="I8094" s="2" t="s">
        <v>252</v>
      </c>
      <c r="J8094" s="2" t="s">
        <v>102</v>
      </c>
      <c r="K8094" s="2" t="s">
        <v>14074</v>
      </c>
    </row>
    <row r="8095" ht="15.75" customHeight="1">
      <c r="A8095" s="2">
        <v>88543.0</v>
      </c>
      <c r="B8095" s="2" t="s">
        <v>460</v>
      </c>
      <c r="C8095" s="2" t="s">
        <v>14922</v>
      </c>
      <c r="D8095" s="2" t="s">
        <v>2624</v>
      </c>
      <c r="E8095" s="2" t="s">
        <v>1407</v>
      </c>
      <c r="F8095" s="2">
        <v>0.0</v>
      </c>
      <c r="G8095" s="2">
        <v>246.0</v>
      </c>
      <c r="H8095" s="3" t="str">
        <f>HYPERLINK("http://www.linkedin.com/pub/john-peketz/5/658/A02","http://www.linkedin.com/pub/john-peketz/5/658/A02")</f>
        <v>http://www.linkedin.com/pub/john-peketz/5/658/A02</v>
      </c>
      <c r="I8095" s="2" t="s">
        <v>15</v>
      </c>
      <c r="J8095" s="2" t="s">
        <v>102</v>
      </c>
      <c r="K8095" s="2" t="s">
        <v>14095</v>
      </c>
    </row>
    <row r="8096" ht="15.75" customHeight="1">
      <c r="A8096" s="2">
        <v>88692.0</v>
      </c>
      <c r="B8096" s="2" t="s">
        <v>4067</v>
      </c>
      <c r="C8096" s="2" t="s">
        <v>14923</v>
      </c>
      <c r="D8096" s="2" t="s">
        <v>14924</v>
      </c>
      <c r="E8096" s="2" t="s">
        <v>235</v>
      </c>
      <c r="F8096" s="2">
        <v>155.0</v>
      </c>
      <c r="G8096" s="2">
        <v>500.0</v>
      </c>
      <c r="H8096" s="3" t="str">
        <f>HYPERLINK("http://www.linkedin.com/in/jer979","http://www.linkedin.com/in/jer979")</f>
        <v>http://www.linkedin.com/in/jer979</v>
      </c>
      <c r="I8096" s="2" t="s">
        <v>15</v>
      </c>
      <c r="J8096" s="2" t="s">
        <v>102</v>
      </c>
      <c r="K8096" s="2" t="s">
        <v>14142</v>
      </c>
    </row>
    <row r="8097" ht="15.75" customHeight="1">
      <c r="A8097" s="2">
        <v>88741.0</v>
      </c>
      <c r="B8097" s="2" t="s">
        <v>14925</v>
      </c>
      <c r="C8097" s="2" t="s">
        <v>14926</v>
      </c>
      <c r="D8097" s="2" t="s">
        <v>14927</v>
      </c>
      <c r="E8097" s="2" t="s">
        <v>301</v>
      </c>
      <c r="F8097" s="2">
        <v>2.0</v>
      </c>
      <c r="G8097" s="2">
        <v>230.0</v>
      </c>
      <c r="H8097" s="3" t="str">
        <f>HYPERLINK("http://www.linkedin.com/pub/raul-bruno-pico/23/AB6/A04","http://www.linkedin.com/pub/raul-bruno-pico/23/AB6/A04")</f>
        <v>http://www.linkedin.com/pub/raul-bruno-pico/23/AB6/A04</v>
      </c>
      <c r="I8097" s="2" t="s">
        <v>15</v>
      </c>
      <c r="J8097" s="2" t="s">
        <v>102</v>
      </c>
      <c r="K8097" s="2" t="s">
        <v>14080</v>
      </c>
    </row>
    <row r="8098" ht="15.75" customHeight="1">
      <c r="A8098" s="2">
        <v>88866.0</v>
      </c>
      <c r="B8098" s="2" t="s">
        <v>14928</v>
      </c>
      <c r="C8098" s="2" t="s">
        <v>14929</v>
      </c>
      <c r="D8098" s="2" t="s">
        <v>410</v>
      </c>
      <c r="E8098" s="2" t="s">
        <v>1918</v>
      </c>
      <c r="F8098" s="2">
        <v>3.0</v>
      </c>
      <c r="G8098" s="2">
        <v>500.0</v>
      </c>
      <c r="H8098" s="3" t="str">
        <f>HYPERLINK("http://www.linkedin.com/in/obcomconsulting","http://www.linkedin.com/in/obcomconsulting")</f>
        <v>http://www.linkedin.com/in/obcomconsulting</v>
      </c>
      <c r="I8098" s="2" t="s">
        <v>57</v>
      </c>
      <c r="J8098" s="2" t="s">
        <v>102</v>
      </c>
      <c r="K8098" s="2" t="s">
        <v>14071</v>
      </c>
    </row>
    <row r="8099" ht="15.75" customHeight="1">
      <c r="A8099" s="2">
        <v>88925.0</v>
      </c>
      <c r="B8099" s="2" t="s">
        <v>14930</v>
      </c>
      <c r="C8099" s="2" t="s">
        <v>14931</v>
      </c>
      <c r="D8099" s="2" t="s">
        <v>410</v>
      </c>
      <c r="E8099" s="2" t="s">
        <v>11025</v>
      </c>
      <c r="F8099" s="2">
        <v>14.0</v>
      </c>
      <c r="G8099" s="2">
        <v>500.0</v>
      </c>
      <c r="H8099" s="3" t="str">
        <f>HYPERLINK("http://www.linkedin.com/in/lsm007","http://www.linkedin.com/in/lsm007")</f>
        <v>http://www.linkedin.com/in/lsm007</v>
      </c>
      <c r="I8099" s="2" t="s">
        <v>15</v>
      </c>
      <c r="J8099" s="2" t="s">
        <v>102</v>
      </c>
      <c r="K8099" s="2" t="s">
        <v>14117</v>
      </c>
    </row>
    <row r="8100" ht="15.75" customHeight="1">
      <c r="A8100" s="2">
        <v>89053.0</v>
      </c>
      <c r="B8100" s="2" t="s">
        <v>3592</v>
      </c>
      <c r="C8100" s="2" t="s">
        <v>4628</v>
      </c>
      <c r="D8100" s="2" t="s">
        <v>14748</v>
      </c>
      <c r="E8100" s="2" t="s">
        <v>12475</v>
      </c>
      <c r="F8100" s="2">
        <v>6.0</v>
      </c>
      <c r="G8100" s="2">
        <v>500.0</v>
      </c>
      <c r="H8100" s="3" t="str">
        <f>HYPERLINK("http://www.linkedin.com/in/4caseycummings","http://www.linkedin.com/in/4caseycummings")</f>
        <v>http://www.linkedin.com/in/4caseycummings</v>
      </c>
      <c r="I8100" s="2" t="s">
        <v>69</v>
      </c>
      <c r="J8100" s="2" t="s">
        <v>102</v>
      </c>
      <c r="K8100" s="2" t="s">
        <v>14197</v>
      </c>
    </row>
    <row r="8101" ht="15.75" customHeight="1">
      <c r="A8101" s="2">
        <v>89094.0</v>
      </c>
      <c r="B8101" s="2" t="s">
        <v>5322</v>
      </c>
      <c r="C8101" s="2" t="s">
        <v>287</v>
      </c>
      <c r="D8101" s="2" t="s">
        <v>4080</v>
      </c>
      <c r="E8101" s="2" t="s">
        <v>2058</v>
      </c>
      <c r="F8101" s="2">
        <v>10.0</v>
      </c>
      <c r="G8101" s="2">
        <v>500.0</v>
      </c>
      <c r="H8101" s="3" t="str">
        <f>HYPERLINK("http://www.linkedin.com/pub/amber-paul/3/72A/5","http://www.linkedin.com/pub/amber-paul/3/72A/5")</f>
        <v>http://www.linkedin.com/pub/amber-paul/3/72A/5</v>
      </c>
      <c r="I8101" s="2" t="s">
        <v>326</v>
      </c>
      <c r="J8101" s="2" t="s">
        <v>102</v>
      </c>
      <c r="K8101" s="2" t="s">
        <v>14055</v>
      </c>
    </row>
    <row r="8102" ht="15.75" customHeight="1">
      <c r="A8102" s="2">
        <v>89165.0</v>
      </c>
      <c r="B8102" s="2" t="s">
        <v>412</v>
      </c>
      <c r="C8102" s="2" t="s">
        <v>14932</v>
      </c>
      <c r="D8102" s="2" t="s">
        <v>14933</v>
      </c>
      <c r="E8102" s="2" t="s">
        <v>14934</v>
      </c>
      <c r="F8102" s="2">
        <v>17.0</v>
      </c>
      <c r="G8102" s="2">
        <v>500.0</v>
      </c>
      <c r="H8102" s="3" t="str">
        <f>HYPERLINK("http://www.linkedin.com/in/robertderow","http://www.linkedin.com/in/robertderow")</f>
        <v>http://www.linkedin.com/in/robertderow</v>
      </c>
      <c r="I8102" s="2" t="s">
        <v>69</v>
      </c>
      <c r="J8102" s="2" t="s">
        <v>102</v>
      </c>
      <c r="K8102" s="2" t="s">
        <v>14082</v>
      </c>
    </row>
    <row r="8103" ht="15.75" customHeight="1">
      <c r="A8103" s="2">
        <v>89388.0</v>
      </c>
      <c r="B8103" s="2" t="s">
        <v>14935</v>
      </c>
      <c r="C8103" s="2" t="s">
        <v>559</v>
      </c>
      <c r="D8103" s="2" t="s">
        <v>14936</v>
      </c>
      <c r="E8103" s="2" t="s">
        <v>14937</v>
      </c>
      <c r="F8103" s="2">
        <v>4.0</v>
      </c>
      <c r="G8103" s="2">
        <v>500.0</v>
      </c>
      <c r="H8103" s="3" t="str">
        <f>HYPERLINK("http://www.linkedin.com/pub/timothy-adams/2/6A3/852","http://www.linkedin.com/pub/timothy-adams/2/6A3/852")</f>
        <v>http://www.linkedin.com/pub/timothy-adams/2/6A3/852</v>
      </c>
      <c r="I8103" s="2" t="s">
        <v>15</v>
      </c>
      <c r="J8103" s="2" t="s">
        <v>102</v>
      </c>
      <c r="K8103" s="2" t="s">
        <v>14080</v>
      </c>
    </row>
    <row r="8104" ht="15.75" customHeight="1">
      <c r="A8104" s="2">
        <v>89390.0</v>
      </c>
      <c r="B8104" s="2" t="s">
        <v>1004</v>
      </c>
      <c r="C8104" s="2" t="s">
        <v>14938</v>
      </c>
      <c r="D8104" s="2" t="s">
        <v>47</v>
      </c>
      <c r="E8104" s="2" t="s">
        <v>2058</v>
      </c>
      <c r="F8104" s="2">
        <v>6.0</v>
      </c>
      <c r="G8104" s="2">
        <v>500.0</v>
      </c>
      <c r="H8104" s="3" t="str">
        <f>HYPERLINK("http://www.linkedin.com/in/scottyamano","http://www.linkedin.com/in/scottyamano")</f>
        <v>http://www.linkedin.com/in/scottyamano</v>
      </c>
      <c r="I8104" s="2" t="s">
        <v>105</v>
      </c>
      <c r="J8104" s="2" t="s">
        <v>102</v>
      </c>
      <c r="K8104" s="2" t="s">
        <v>14092</v>
      </c>
    </row>
    <row r="8105" ht="15.75" customHeight="1">
      <c r="A8105" s="2">
        <v>89429.0</v>
      </c>
      <c r="B8105" s="2" t="s">
        <v>14939</v>
      </c>
      <c r="C8105" s="2" t="s">
        <v>14940</v>
      </c>
      <c r="D8105" s="2" t="s">
        <v>47</v>
      </c>
      <c r="E8105" s="2" t="s">
        <v>1317</v>
      </c>
      <c r="F8105" s="2">
        <v>7.0</v>
      </c>
      <c r="G8105" s="2">
        <v>500.0</v>
      </c>
      <c r="H8105" s="3" t="str">
        <f>HYPERLINK("http://www.linkedin.com/pub/brook-schaaf/0/261/97A","http://www.linkedin.com/pub/brook-schaaf/0/261/97A")</f>
        <v>http://www.linkedin.com/pub/brook-schaaf/0/261/97A</v>
      </c>
      <c r="I8105" s="2" t="s">
        <v>69</v>
      </c>
      <c r="J8105" s="2" t="s">
        <v>102</v>
      </c>
      <c r="K8105" s="2" t="s">
        <v>14078</v>
      </c>
    </row>
    <row r="8106" ht="15.75" customHeight="1">
      <c r="A8106" s="2">
        <v>89500.0</v>
      </c>
      <c r="B8106" s="2" t="s">
        <v>14941</v>
      </c>
      <c r="C8106" s="2" t="s">
        <v>14942</v>
      </c>
      <c r="D8106" s="2" t="s">
        <v>114</v>
      </c>
      <c r="E8106" s="2" t="s">
        <v>136</v>
      </c>
      <c r="F8106" s="2">
        <v>26.0</v>
      </c>
      <c r="G8106" s="2">
        <v>500.0</v>
      </c>
      <c r="H8106" s="3" t="str">
        <f>HYPERLINK("http://www.linkedin.com/in/trishalyn","http://www.linkedin.com/in/trishalyn")</f>
        <v>http://www.linkedin.com/in/trishalyn</v>
      </c>
      <c r="I8106" s="2" t="s">
        <v>69</v>
      </c>
      <c r="J8106" s="2" t="s">
        <v>102</v>
      </c>
      <c r="K8106" s="2" t="s">
        <v>14080</v>
      </c>
    </row>
    <row r="8107" ht="15.75" customHeight="1">
      <c r="A8107" s="2">
        <v>89510.0</v>
      </c>
      <c r="B8107" s="2" t="s">
        <v>11897</v>
      </c>
      <c r="C8107" s="2" t="s">
        <v>1299</v>
      </c>
      <c r="D8107" s="2" t="s">
        <v>47</v>
      </c>
      <c r="E8107" s="2" t="s">
        <v>1190</v>
      </c>
      <c r="F8107" s="2">
        <v>1.0</v>
      </c>
      <c r="G8107" s="2">
        <v>500.0</v>
      </c>
      <c r="H8107" s="3" t="str">
        <f>HYPERLINK("http://www.linkedin.com/in/elibarnett","http://www.linkedin.com/in/elibarnett")</f>
        <v>http://www.linkedin.com/in/elibarnett</v>
      </c>
      <c r="I8107" s="2" t="s">
        <v>48</v>
      </c>
      <c r="J8107" s="2" t="s">
        <v>102</v>
      </c>
      <c r="K8107" s="2" t="s">
        <v>14197</v>
      </c>
    </row>
    <row r="8108" ht="15.75" customHeight="1">
      <c r="A8108" s="2">
        <v>89531.0</v>
      </c>
      <c r="B8108" s="2" t="s">
        <v>414</v>
      </c>
      <c r="C8108" s="2" t="s">
        <v>14943</v>
      </c>
      <c r="D8108" s="2" t="s">
        <v>114</v>
      </c>
      <c r="E8108" s="2" t="s">
        <v>1615</v>
      </c>
      <c r="F8108" s="2">
        <v>3.0</v>
      </c>
      <c r="G8108" s="2">
        <v>397.0</v>
      </c>
      <c r="H8108" s="3" t="str">
        <f>HYPERLINK("http://www.linkedin.com/pub/tom-wise/6/86/11A","http://www.linkedin.com/pub/tom-wise/6/86/11A")</f>
        <v>http://www.linkedin.com/pub/tom-wise/6/86/11A</v>
      </c>
      <c r="I8108" s="2" t="s">
        <v>105</v>
      </c>
      <c r="J8108" s="2" t="s">
        <v>102</v>
      </c>
      <c r="K8108" s="2" t="s">
        <v>14055</v>
      </c>
    </row>
    <row r="8109" ht="15.75" customHeight="1">
      <c r="A8109" s="2">
        <v>89658.0</v>
      </c>
      <c r="B8109" s="2" t="s">
        <v>788</v>
      </c>
      <c r="C8109" s="2" t="s">
        <v>3670</v>
      </c>
      <c r="D8109" s="2" t="s">
        <v>14944</v>
      </c>
      <c r="E8109" s="2" t="s">
        <v>12267</v>
      </c>
      <c r="F8109" s="2">
        <v>2.0</v>
      </c>
      <c r="G8109" s="2">
        <v>500.0</v>
      </c>
      <c r="H8109" s="3" t="str">
        <f>HYPERLINK("http://www.linkedin.com/pub/sam-gross/19/BB8/20B","http://www.linkedin.com/pub/sam-gross/19/BB8/20B")</f>
        <v>http://www.linkedin.com/pub/sam-gross/19/BB8/20B</v>
      </c>
      <c r="I8109" s="2" t="s">
        <v>15</v>
      </c>
      <c r="J8109" s="2" t="s">
        <v>102</v>
      </c>
      <c r="K8109" s="2" t="s">
        <v>14651</v>
      </c>
    </row>
    <row r="8110" ht="15.75" customHeight="1">
      <c r="A8110" s="2">
        <v>89666.0</v>
      </c>
      <c r="B8110" s="2" t="s">
        <v>14945</v>
      </c>
      <c r="C8110" s="2" t="s">
        <v>14946</v>
      </c>
      <c r="D8110" s="2" t="s">
        <v>14947</v>
      </c>
      <c r="E8110" s="2" t="s">
        <v>2730</v>
      </c>
      <c r="F8110" s="2">
        <v>6.0</v>
      </c>
      <c r="G8110" s="2">
        <v>500.0</v>
      </c>
      <c r="H8110" s="3" t="str">
        <f>HYPERLINK("http://www.linkedin.com/in/jmullarney","http://www.linkedin.com/in/jmullarney")</f>
        <v>http://www.linkedin.com/in/jmullarney</v>
      </c>
      <c r="I8110" s="2" t="s">
        <v>69</v>
      </c>
      <c r="J8110" s="2" t="s">
        <v>102</v>
      </c>
      <c r="K8110" s="2" t="s">
        <v>14080</v>
      </c>
    </row>
    <row r="8111" ht="15.75" customHeight="1">
      <c r="A8111" s="2">
        <v>89691.0</v>
      </c>
      <c r="B8111" s="2" t="s">
        <v>2286</v>
      </c>
      <c r="C8111" s="2" t="s">
        <v>1314</v>
      </c>
      <c r="D8111" s="2" t="s">
        <v>47</v>
      </c>
      <c r="E8111" s="2" t="s">
        <v>301</v>
      </c>
      <c r="F8111" s="2">
        <v>5.0</v>
      </c>
      <c r="G8111" s="2">
        <v>500.0</v>
      </c>
      <c r="H8111" s="3" t="str">
        <f>HYPERLINK("http://www.linkedin.com/in/amysheridan","http://www.linkedin.com/in/amysheridan")</f>
        <v>http://www.linkedin.com/in/amysheridan</v>
      </c>
      <c r="I8111" s="2" t="s">
        <v>105</v>
      </c>
      <c r="J8111" s="2" t="s">
        <v>102</v>
      </c>
      <c r="K8111" s="2" t="s">
        <v>14074</v>
      </c>
    </row>
    <row r="8112" ht="15.75" customHeight="1">
      <c r="A8112" s="2">
        <v>89823.0</v>
      </c>
      <c r="B8112" s="2" t="s">
        <v>511</v>
      </c>
      <c r="C8112" s="2" t="s">
        <v>14948</v>
      </c>
      <c r="D8112" s="2" t="s">
        <v>14949</v>
      </c>
      <c r="E8112" s="2" t="s">
        <v>301</v>
      </c>
      <c r="F8112" s="2">
        <v>27.0</v>
      </c>
      <c r="G8112" s="2">
        <v>500.0</v>
      </c>
      <c r="H8112" s="3" t="str">
        <f>HYPERLINK("http://www.linkedin.com/in/mikeseiman","http://www.linkedin.com/in/mikeseiman")</f>
        <v>http://www.linkedin.com/in/mikeseiman</v>
      </c>
      <c r="I8112" s="2" t="s">
        <v>105</v>
      </c>
      <c r="J8112" s="2" t="s">
        <v>102</v>
      </c>
      <c r="K8112" s="2" t="s">
        <v>14074</v>
      </c>
    </row>
    <row r="8113" ht="15.75" customHeight="1">
      <c r="A8113" s="2">
        <v>89879.0</v>
      </c>
      <c r="B8113" s="2" t="s">
        <v>1479</v>
      </c>
      <c r="C8113" s="2" t="s">
        <v>14950</v>
      </c>
      <c r="D8113" s="2" t="s">
        <v>81</v>
      </c>
      <c r="E8113" s="2" t="s">
        <v>2058</v>
      </c>
      <c r="F8113" s="2">
        <v>3.0</v>
      </c>
      <c r="G8113" s="2">
        <v>500.0</v>
      </c>
      <c r="H8113" s="3" t="str">
        <f>HYPERLINK("http://www.linkedin.com/in/frankaddante","http://www.linkedin.com/in/frankaddante")</f>
        <v>http://www.linkedin.com/in/frankaddante</v>
      </c>
      <c r="I8113" s="2" t="s">
        <v>69</v>
      </c>
      <c r="J8113" s="2" t="s">
        <v>102</v>
      </c>
      <c r="K8113" s="2" t="s">
        <v>14073</v>
      </c>
    </row>
    <row r="8114" ht="15.75" customHeight="1">
      <c r="A8114" s="2">
        <v>89929.0</v>
      </c>
      <c r="B8114" s="2" t="s">
        <v>2109</v>
      </c>
      <c r="C8114" s="2" t="s">
        <v>14951</v>
      </c>
      <c r="D8114" s="2" t="s">
        <v>832</v>
      </c>
      <c r="E8114" s="2" t="s">
        <v>301</v>
      </c>
      <c r="F8114" s="2">
        <v>5.0</v>
      </c>
      <c r="G8114" s="2">
        <v>500.0</v>
      </c>
      <c r="H8114" s="3" t="str">
        <f>HYPERLINK("http://www.linkedin.com/in/robrasko","http://www.linkedin.com/in/robrasko")</f>
        <v>http://www.linkedin.com/in/robrasko</v>
      </c>
      <c r="I8114" s="2" t="s">
        <v>69</v>
      </c>
      <c r="J8114" s="2" t="s">
        <v>102</v>
      </c>
      <c r="K8114" s="2" t="s">
        <v>14105</v>
      </c>
    </row>
    <row r="8115" ht="15.75" customHeight="1">
      <c r="A8115" s="2">
        <v>89952.0</v>
      </c>
      <c r="B8115" s="2" t="s">
        <v>793</v>
      </c>
      <c r="C8115" s="2" t="s">
        <v>11680</v>
      </c>
      <c r="D8115" s="2" t="s">
        <v>14952</v>
      </c>
      <c r="E8115" s="2" t="s">
        <v>1190</v>
      </c>
      <c r="F8115" s="2">
        <v>11.0</v>
      </c>
      <c r="G8115" s="2">
        <v>500.0</v>
      </c>
      <c r="H8115" s="3" t="str">
        <f>HYPERLINK("http://www.linkedin.com/pub/ray-jimenez/4/363/170","http://www.linkedin.com/pub/ray-jimenez/4/363/170")</f>
        <v>http://www.linkedin.com/pub/ray-jimenez/4/363/170</v>
      </c>
      <c r="I8115" s="2" t="s">
        <v>873</v>
      </c>
      <c r="J8115" s="2" t="s">
        <v>102</v>
      </c>
      <c r="K8115" s="2" t="s">
        <v>14460</v>
      </c>
    </row>
    <row r="8116" ht="15.75" customHeight="1">
      <c r="A8116" s="2">
        <v>90132.0</v>
      </c>
      <c r="B8116" s="2" t="s">
        <v>275</v>
      </c>
      <c r="C8116" s="2" t="s">
        <v>13550</v>
      </c>
      <c r="D8116" s="2" t="s">
        <v>14953</v>
      </c>
      <c r="E8116" s="2" t="s">
        <v>14954</v>
      </c>
      <c r="F8116" s="2">
        <v>108.0</v>
      </c>
      <c r="G8116" s="2">
        <v>500.0</v>
      </c>
      <c r="H8116" s="3" t="str">
        <f>HYPERLINK("http://www.linkedin.com/in/markweir2008","http://www.linkedin.com/in/markweir2008")</f>
        <v>http://www.linkedin.com/in/markweir2008</v>
      </c>
      <c r="I8116" s="2" t="s">
        <v>77</v>
      </c>
      <c r="J8116" s="2" t="s">
        <v>220</v>
      </c>
      <c r="K8116" s="2" t="s">
        <v>14173</v>
      </c>
    </row>
    <row r="8117" ht="15.75" customHeight="1">
      <c r="A8117" s="2">
        <v>90230.0</v>
      </c>
      <c r="B8117" s="2" t="s">
        <v>1071</v>
      </c>
      <c r="C8117" s="2" t="s">
        <v>14955</v>
      </c>
      <c r="D8117" s="2" t="s">
        <v>751</v>
      </c>
      <c r="E8117" s="2" t="s">
        <v>301</v>
      </c>
      <c r="F8117" s="2">
        <v>4.0</v>
      </c>
      <c r="G8117" s="2">
        <v>500.0</v>
      </c>
      <c r="H8117" s="3" t="str">
        <f>HYPERLINK("http://www.linkedin.com/in/ericbull","http://www.linkedin.com/in/ericbull")</f>
        <v>http://www.linkedin.com/in/ericbull</v>
      </c>
      <c r="I8117" s="2" t="s">
        <v>326</v>
      </c>
      <c r="J8117" s="2" t="s">
        <v>102</v>
      </c>
      <c r="K8117" s="2" t="s">
        <v>14074</v>
      </c>
    </row>
    <row r="8118" ht="15.75" customHeight="1">
      <c r="A8118" s="2">
        <v>90397.0</v>
      </c>
      <c r="B8118" s="2" t="s">
        <v>879</v>
      </c>
      <c r="C8118" s="2" t="s">
        <v>14956</v>
      </c>
      <c r="D8118" s="2" t="s">
        <v>1145</v>
      </c>
      <c r="E8118" s="2" t="s">
        <v>713</v>
      </c>
      <c r="F8118" s="2">
        <v>61.0</v>
      </c>
      <c r="G8118" s="2">
        <v>500.0</v>
      </c>
      <c r="H8118" s="3" t="str">
        <f>HYPERLINK("http://www.linkedin.com/in/businessintelligence","http://www.linkedin.com/in/businessintelligence")</f>
        <v>http://www.linkedin.com/in/businessintelligence</v>
      </c>
      <c r="I8118" s="2" t="s">
        <v>48</v>
      </c>
      <c r="J8118" s="2" t="s">
        <v>102</v>
      </c>
      <c r="K8118" s="2" t="s">
        <v>14080</v>
      </c>
    </row>
    <row r="8119" ht="15.75" customHeight="1">
      <c r="A8119" s="2">
        <v>90439.0</v>
      </c>
      <c r="B8119" s="2" t="s">
        <v>12988</v>
      </c>
      <c r="C8119" s="2" t="s">
        <v>14957</v>
      </c>
      <c r="D8119" s="2" t="s">
        <v>14958</v>
      </c>
      <c r="E8119" s="2" t="s">
        <v>882</v>
      </c>
      <c r="F8119" s="2">
        <v>251.0</v>
      </c>
      <c r="G8119" s="2">
        <v>500.0</v>
      </c>
      <c r="H8119" s="3" t="str">
        <f>HYPERLINK("http://www.linkedin.com/pub/ziad-abdelnour/0/69/588","http://www.linkedin.com/pub/ziad-abdelnour/0/69/588")</f>
        <v>http://www.linkedin.com/pub/ziad-abdelnour/0/69/588</v>
      </c>
      <c r="I8119" s="2" t="s">
        <v>709</v>
      </c>
      <c r="J8119" s="2" t="s">
        <v>102</v>
      </c>
      <c r="K8119" s="2" t="s">
        <v>14074</v>
      </c>
    </row>
    <row r="8120" ht="15.75" customHeight="1">
      <c r="A8120" s="2">
        <v>90475.0</v>
      </c>
      <c r="B8120" s="2" t="s">
        <v>839</v>
      </c>
      <c r="C8120" s="2" t="s">
        <v>14959</v>
      </c>
      <c r="D8120" s="2" t="s">
        <v>14960</v>
      </c>
      <c r="E8120" s="2" t="s">
        <v>1407</v>
      </c>
      <c r="F8120" s="2">
        <v>16.0</v>
      </c>
      <c r="G8120" s="2">
        <v>500.0</v>
      </c>
      <c r="H8120" s="3" t="str">
        <f>HYPERLINK("http://www.linkedin.com/pub/dave-svatik/0/56A/753","http://www.linkedin.com/pub/dave-svatik/0/56A/753")</f>
        <v>http://www.linkedin.com/pub/dave-svatik/0/56A/753</v>
      </c>
      <c r="I8120" s="2" t="s">
        <v>48</v>
      </c>
      <c r="J8120" s="2" t="s">
        <v>102</v>
      </c>
      <c r="K8120" s="2" t="s">
        <v>14095</v>
      </c>
    </row>
    <row r="8121" ht="15.75" customHeight="1">
      <c r="A8121" s="2">
        <v>90514.0</v>
      </c>
      <c r="B8121" s="2" t="s">
        <v>845</v>
      </c>
      <c r="C8121" s="2" t="s">
        <v>797</v>
      </c>
      <c r="D8121" s="2" t="s">
        <v>14961</v>
      </c>
      <c r="E8121" s="2" t="s">
        <v>101</v>
      </c>
      <c r="F8121" s="2">
        <v>7.0</v>
      </c>
      <c r="G8121" s="2">
        <v>500.0</v>
      </c>
      <c r="H8121" s="3" t="str">
        <f>HYPERLINK("http://www.linkedin.com/in/dtaylor92","http://www.linkedin.com/in/dtaylor92")</f>
        <v>http://www.linkedin.com/in/dtaylor92</v>
      </c>
      <c r="I8121" s="2" t="s">
        <v>48</v>
      </c>
      <c r="J8121" s="2" t="s">
        <v>102</v>
      </c>
      <c r="K8121" s="2" t="s">
        <v>14057</v>
      </c>
    </row>
    <row r="8122" ht="15.75" customHeight="1">
      <c r="A8122" s="2">
        <v>90568.0</v>
      </c>
      <c r="B8122" s="2" t="s">
        <v>14962</v>
      </c>
      <c r="C8122" s="2" t="s">
        <v>14963</v>
      </c>
      <c r="D8122" s="2" t="s">
        <v>13</v>
      </c>
      <c r="E8122" s="2" t="s">
        <v>325</v>
      </c>
      <c r="F8122" s="2">
        <v>0.0</v>
      </c>
      <c r="G8122" s="2">
        <v>500.0</v>
      </c>
      <c r="H8122" s="3" t="str">
        <f>HYPERLINK("http://www.linkedin.com/pub/wissam-hershey/22/50a/a51","http://www.linkedin.com/pub/wissam-hershey/22/50a/a51")</f>
        <v>http://www.linkedin.com/pub/wissam-hershey/22/50a/a51</v>
      </c>
      <c r="I8122" s="2" t="s">
        <v>475</v>
      </c>
      <c r="J8122" s="2" t="s">
        <v>102</v>
      </c>
      <c r="K8122" s="2" t="s">
        <v>14055</v>
      </c>
    </row>
    <row r="8123" ht="15.75" customHeight="1">
      <c r="A8123" s="2">
        <v>90624.0</v>
      </c>
      <c r="B8123" s="2" t="s">
        <v>14964</v>
      </c>
      <c r="C8123" s="2" t="s">
        <v>14965</v>
      </c>
      <c r="D8123" s="2" t="s">
        <v>14966</v>
      </c>
      <c r="E8123" s="2" t="s">
        <v>136</v>
      </c>
      <c r="F8123" s="2">
        <v>0.0</v>
      </c>
      <c r="G8123" s="2">
        <v>500.0</v>
      </c>
      <c r="H8123" s="3" t="str">
        <f>HYPERLINK("http://www.linkedin.com/pub/deirdre-toner/5/70B/33A","http://www.linkedin.com/pub/deirdre-toner/5/70B/33A")</f>
        <v>http://www.linkedin.com/pub/deirdre-toner/5/70B/33A</v>
      </c>
      <c r="I8123" s="2" t="s">
        <v>48</v>
      </c>
      <c r="J8123" s="2" t="s">
        <v>102</v>
      </c>
      <c r="K8123" s="2" t="s">
        <v>14142</v>
      </c>
    </row>
    <row r="8124" ht="15.75" customHeight="1">
      <c r="A8124" s="2">
        <v>90703.0</v>
      </c>
      <c r="B8124" s="2" t="s">
        <v>14967</v>
      </c>
      <c r="C8124" s="2" t="s">
        <v>14968</v>
      </c>
      <c r="D8124" s="2" t="s">
        <v>13</v>
      </c>
      <c r="E8124" s="2" t="s">
        <v>136</v>
      </c>
      <c r="F8124" s="2">
        <v>0.0</v>
      </c>
      <c r="G8124" s="2">
        <v>500.0</v>
      </c>
      <c r="H8124" s="3" t="str">
        <f>HYPERLINK("https://www.linkedin.com/in/punitsoni","https://www.linkedin.com/in/punitsoni")</f>
        <v>https://www.linkedin.com/in/punitsoni</v>
      </c>
      <c r="I8124" s="2" t="s">
        <v>69</v>
      </c>
      <c r="J8124" s="2" t="s">
        <v>102</v>
      </c>
      <c r="K8124" s="2" t="s">
        <v>14085</v>
      </c>
    </row>
    <row r="8125" ht="15.75" customHeight="1">
      <c r="A8125" s="2">
        <v>90775.0</v>
      </c>
      <c r="B8125" s="2" t="s">
        <v>1071</v>
      </c>
      <c r="C8125" s="2" t="s">
        <v>14969</v>
      </c>
      <c r="D8125" s="2" t="s">
        <v>47</v>
      </c>
      <c r="E8125" s="2" t="s">
        <v>136</v>
      </c>
      <c r="F8125" s="2">
        <v>38.0</v>
      </c>
      <c r="G8125" s="2">
        <v>500.0</v>
      </c>
      <c r="H8125" s="3" t="str">
        <f>HYPERLINK("http://www.linkedin.com/in/ericduprat","http://www.linkedin.com/in/ericduprat")</f>
        <v>http://www.linkedin.com/in/ericduprat</v>
      </c>
      <c r="I8125" s="2" t="s">
        <v>160</v>
      </c>
      <c r="J8125" s="2" t="s">
        <v>102</v>
      </c>
      <c r="K8125" s="2" t="s">
        <v>14422</v>
      </c>
    </row>
    <row r="8126" ht="15.75" customHeight="1">
      <c r="A8126" s="2">
        <v>90808.0</v>
      </c>
      <c r="B8126" s="2" t="s">
        <v>2099</v>
      </c>
      <c r="C8126" s="2" t="s">
        <v>5117</v>
      </c>
      <c r="D8126" s="2" t="s">
        <v>47</v>
      </c>
      <c r="E8126" s="2" t="s">
        <v>713</v>
      </c>
      <c r="F8126" s="2">
        <v>0.0</v>
      </c>
      <c r="G8126" s="2">
        <v>500.0</v>
      </c>
      <c r="H8126" s="3" t="str">
        <f>HYPERLINK("http://www.linkedin.com/in/charleswalton2010","http://www.linkedin.com/in/charleswalton2010")</f>
        <v>http://www.linkedin.com/in/charleswalton2010</v>
      </c>
      <c r="I8126" s="2" t="s">
        <v>15</v>
      </c>
      <c r="J8126" s="2" t="s">
        <v>102</v>
      </c>
      <c r="K8126" s="2" t="s">
        <v>14080</v>
      </c>
    </row>
    <row r="8127" ht="15.75" customHeight="1">
      <c r="A8127" s="2">
        <v>90819.0</v>
      </c>
      <c r="B8127" s="2" t="s">
        <v>14970</v>
      </c>
      <c r="C8127" s="2" t="s">
        <v>14971</v>
      </c>
      <c r="D8127" s="2" t="s">
        <v>3466</v>
      </c>
      <c r="E8127" s="2" t="s">
        <v>136</v>
      </c>
      <c r="F8127" s="2">
        <v>0.0</v>
      </c>
      <c r="G8127" s="2">
        <v>500.0</v>
      </c>
      <c r="H8127" s="3" t="str">
        <f>HYPERLINK("http://www.linkedin.com/pub/wellington-sculley/3/1BB/50","http://www.linkedin.com/pub/wellington-sculley/3/1BB/50")</f>
        <v>http://www.linkedin.com/pub/wellington-sculley/3/1BB/50</v>
      </c>
      <c r="I8127" s="2" t="s">
        <v>69</v>
      </c>
      <c r="J8127" s="2" t="s">
        <v>102</v>
      </c>
      <c r="K8127" s="2" t="s">
        <v>14092</v>
      </c>
    </row>
    <row r="8128" ht="15.75" customHeight="1">
      <c r="A8128" s="2">
        <v>90832.0</v>
      </c>
      <c r="B8128" s="2" t="s">
        <v>14972</v>
      </c>
      <c r="C8128" s="2" t="s">
        <v>14973</v>
      </c>
      <c r="D8128" s="2" t="s">
        <v>14974</v>
      </c>
      <c r="E8128" s="2" t="s">
        <v>1190</v>
      </c>
      <c r="F8128" s="2">
        <v>30.0</v>
      </c>
      <c r="G8128" s="2">
        <v>500.0</v>
      </c>
      <c r="H8128" s="3" t="str">
        <f>HYPERLINK("https://www.linkedin.com/in/valterklug","https://www.linkedin.com/in/valterklug")</f>
        <v>https://www.linkedin.com/in/valterklug</v>
      </c>
      <c r="I8128" s="2" t="s">
        <v>105</v>
      </c>
      <c r="J8128" s="2" t="s">
        <v>102</v>
      </c>
      <c r="K8128" s="2" t="s">
        <v>14074</v>
      </c>
    </row>
    <row r="8129" ht="15.75" customHeight="1">
      <c r="A8129" s="2">
        <v>90857.0</v>
      </c>
      <c r="B8129" s="2" t="s">
        <v>1789</v>
      </c>
      <c r="C8129" s="2" t="s">
        <v>14975</v>
      </c>
      <c r="D8129" s="2" t="s">
        <v>2048</v>
      </c>
      <c r="E8129" s="2" t="s">
        <v>155</v>
      </c>
      <c r="F8129" s="2">
        <v>15.0</v>
      </c>
      <c r="G8129" s="2">
        <v>500.0</v>
      </c>
      <c r="H8129" s="3" t="str">
        <f>HYPERLINK("http://www.linkedin.com/in/wilsondk","http://www.linkedin.com/in/wilsondk")</f>
        <v>http://www.linkedin.com/in/wilsondk</v>
      </c>
      <c r="I8129" s="2" t="s">
        <v>69</v>
      </c>
      <c r="J8129" s="2" t="s">
        <v>102</v>
      </c>
      <c r="K8129" s="2" t="s">
        <v>14080</v>
      </c>
    </row>
    <row r="8130" ht="15.75" customHeight="1">
      <c r="A8130" s="2">
        <v>90891.0</v>
      </c>
      <c r="B8130" s="2" t="s">
        <v>1545</v>
      </c>
      <c r="C8130" s="2" t="s">
        <v>7023</v>
      </c>
      <c r="D8130" s="2" t="s">
        <v>14976</v>
      </c>
      <c r="E8130" s="2" t="s">
        <v>136</v>
      </c>
      <c r="F8130" s="2">
        <v>15.0</v>
      </c>
      <c r="G8130" s="2">
        <v>500.0</v>
      </c>
      <c r="H8130" s="3" t="str">
        <f>HYPERLINK("http://www.linkedin.com/in/prxgauthier","http://www.linkedin.com/in/prxgauthier")</f>
        <v>http://www.linkedin.com/in/prxgauthier</v>
      </c>
      <c r="I8130" s="2" t="s">
        <v>279</v>
      </c>
      <c r="J8130" s="2" t="s">
        <v>102</v>
      </c>
      <c r="K8130" s="2" t="s">
        <v>14080</v>
      </c>
    </row>
    <row r="8131" ht="15.75" customHeight="1">
      <c r="A8131" s="2">
        <v>90907.0</v>
      </c>
      <c r="B8131" s="2" t="s">
        <v>389</v>
      </c>
      <c r="C8131" s="2" t="s">
        <v>7495</v>
      </c>
      <c r="D8131" s="2" t="s">
        <v>13</v>
      </c>
      <c r="E8131" s="2" t="s">
        <v>122</v>
      </c>
      <c r="F8131" s="2">
        <v>0.0</v>
      </c>
      <c r="G8131" s="2">
        <v>500.0</v>
      </c>
      <c r="H8131" s="3" t="str">
        <f>HYPERLINK("https://www.linkedin.com/pub/jos%C3%A9-neves/18/977/b77","https://www.linkedin.com/pub/jos%C3%A9-neves/18/977/b77")</f>
        <v>https://www.linkedin.com/pub/jos%C3%A9-neves/18/977/b77</v>
      </c>
      <c r="I8131" s="2" t="s">
        <v>69</v>
      </c>
      <c r="J8131" s="2" t="s">
        <v>53</v>
      </c>
      <c r="K8131" s="2" t="s">
        <v>14204</v>
      </c>
    </row>
    <row r="8132" ht="15.75" customHeight="1">
      <c r="A8132" s="2">
        <v>90930.0</v>
      </c>
      <c r="B8132" s="2" t="s">
        <v>275</v>
      </c>
      <c r="C8132" s="2" t="s">
        <v>14977</v>
      </c>
      <c r="D8132" s="2" t="s">
        <v>14978</v>
      </c>
      <c r="E8132" s="2" t="s">
        <v>301</v>
      </c>
      <c r="F8132" s="2">
        <v>4.0</v>
      </c>
      <c r="G8132" s="2">
        <v>500.0</v>
      </c>
      <c r="H8132" s="3" t="str">
        <f>HYPERLINK("http://www.linkedin.com/pub/mark-lehmann/4/823/941","http://www.linkedin.com/pub/mark-lehmann/4/823/941")</f>
        <v>http://www.linkedin.com/pub/mark-lehmann/4/823/941</v>
      </c>
      <c r="I8132" s="2" t="s">
        <v>69</v>
      </c>
      <c r="J8132" s="2" t="s">
        <v>102</v>
      </c>
      <c r="K8132" s="2" t="s">
        <v>14105</v>
      </c>
    </row>
    <row r="8133" ht="15.75" customHeight="1">
      <c r="A8133" s="2">
        <v>90997.0</v>
      </c>
      <c r="B8133" s="2" t="s">
        <v>1112</v>
      </c>
      <c r="C8133" s="2" t="s">
        <v>14979</v>
      </c>
      <c r="D8133" s="2" t="s">
        <v>14980</v>
      </c>
      <c r="E8133" s="2" t="s">
        <v>2058</v>
      </c>
      <c r="F8133" s="2">
        <v>10.0</v>
      </c>
      <c r="G8133" s="2">
        <v>500.0</v>
      </c>
      <c r="H8133" s="3" t="str">
        <f>HYPERLINK("http://www.linkedin.com/in/benjaminfeinman","http://www.linkedin.com/in/benjaminfeinman")</f>
        <v>http://www.linkedin.com/in/benjaminfeinman</v>
      </c>
      <c r="I8133" s="2" t="s">
        <v>69</v>
      </c>
      <c r="J8133" s="2" t="s">
        <v>102</v>
      </c>
      <c r="K8133" s="2" t="s">
        <v>14088</v>
      </c>
    </row>
    <row r="8134" ht="15.75" customHeight="1">
      <c r="A8134" s="2">
        <v>91004.0</v>
      </c>
      <c r="B8134" s="2" t="s">
        <v>1653</v>
      </c>
      <c r="C8134" s="2" t="s">
        <v>1456</v>
      </c>
      <c r="D8134" s="2" t="s">
        <v>14981</v>
      </c>
      <c r="E8134" s="2" t="s">
        <v>1407</v>
      </c>
      <c r="F8134" s="2">
        <v>4.0</v>
      </c>
      <c r="G8134" s="2">
        <v>500.0</v>
      </c>
      <c r="H8134" s="3" t="str">
        <f>HYPERLINK("http://www.linkedin.com/pub/doug-anderson/1A/787/123","http://www.linkedin.com/pub/doug-anderson/1A/787/123")</f>
        <v>http://www.linkedin.com/pub/doug-anderson/1A/787/123</v>
      </c>
      <c r="I8134" s="2" t="s">
        <v>248</v>
      </c>
      <c r="J8134" s="2" t="s">
        <v>102</v>
      </c>
      <c r="K8134" s="2" t="s">
        <v>14055</v>
      </c>
    </row>
    <row r="8135" ht="15.75" customHeight="1">
      <c r="A8135" s="2">
        <v>91024.0</v>
      </c>
      <c r="B8135" s="2" t="s">
        <v>14982</v>
      </c>
      <c r="C8135" s="2" t="s">
        <v>14983</v>
      </c>
      <c r="D8135" s="2" t="s">
        <v>14984</v>
      </c>
      <c r="E8135" s="2" t="s">
        <v>2058</v>
      </c>
      <c r="F8135" s="2">
        <v>0.0</v>
      </c>
      <c r="G8135" s="2">
        <v>500.0</v>
      </c>
      <c r="H8135" s="3" t="str">
        <f>HYPERLINK("http://www.linkedin.com/in/mickierosen","http://www.linkedin.com/in/mickierosen")</f>
        <v>http://www.linkedin.com/in/mickierosen</v>
      </c>
      <c r="I8135" s="2" t="s">
        <v>69</v>
      </c>
      <c r="J8135" s="2" t="s">
        <v>102</v>
      </c>
      <c r="K8135" s="2" t="s">
        <v>14218</v>
      </c>
    </row>
    <row r="8136" ht="15.75" customHeight="1">
      <c r="A8136" s="2">
        <v>91046.0</v>
      </c>
      <c r="B8136" s="2" t="s">
        <v>12386</v>
      </c>
      <c r="C8136" s="2" t="s">
        <v>7582</v>
      </c>
      <c r="D8136" s="2" t="s">
        <v>14985</v>
      </c>
      <c r="E8136" s="2" t="s">
        <v>301</v>
      </c>
      <c r="F8136" s="2">
        <v>11.0</v>
      </c>
      <c r="G8136" s="2">
        <v>500.0</v>
      </c>
      <c r="H8136" s="3" t="str">
        <f>HYPERLINK("http://www.linkedin.com/in/micheleberardi","http://www.linkedin.com/in/micheleberardi")</f>
        <v>http://www.linkedin.com/in/micheleberardi</v>
      </c>
      <c r="I8136" s="2" t="s">
        <v>77</v>
      </c>
      <c r="J8136" s="2" t="s">
        <v>102</v>
      </c>
      <c r="K8136" s="2" t="s">
        <v>14102</v>
      </c>
    </row>
    <row r="8137" ht="15.75" customHeight="1">
      <c r="A8137" s="2">
        <v>91077.0</v>
      </c>
      <c r="B8137" s="2" t="s">
        <v>784</v>
      </c>
      <c r="C8137" s="2" t="s">
        <v>11422</v>
      </c>
      <c r="D8137" s="2" t="s">
        <v>14986</v>
      </c>
      <c r="E8137" s="2" t="s">
        <v>235</v>
      </c>
      <c r="F8137" s="2">
        <v>2.0</v>
      </c>
      <c r="G8137" s="2">
        <v>500.0</v>
      </c>
      <c r="H8137" s="3" t="str">
        <f>HYPERLINK("http://www.linkedin.com/pub/jeff-wiley/0/98B/632","http://www.linkedin.com/pub/jeff-wiley/0/98B/632")</f>
        <v>http://www.linkedin.com/pub/jeff-wiley/0/98B/632</v>
      </c>
      <c r="I8137" s="2" t="s">
        <v>48</v>
      </c>
      <c r="J8137" s="2" t="s">
        <v>102</v>
      </c>
      <c r="K8137" s="2" t="s">
        <v>14080</v>
      </c>
    </row>
    <row r="8138" ht="15.75" customHeight="1">
      <c r="A8138" s="2">
        <v>91114.0</v>
      </c>
      <c r="B8138" s="2" t="s">
        <v>14987</v>
      </c>
      <c r="C8138" s="2" t="s">
        <v>6207</v>
      </c>
      <c r="D8138" s="2" t="s">
        <v>12278</v>
      </c>
      <c r="E8138" s="2" t="s">
        <v>255</v>
      </c>
      <c r="F8138" s="2">
        <v>8.0</v>
      </c>
      <c r="G8138" s="2">
        <v>500.0</v>
      </c>
      <c r="H8138" s="3" t="str">
        <f>HYPERLINK("http://www.linkedin.com/in/nereaalvarez","http://www.linkedin.com/in/nereaalvarez")</f>
        <v>http://www.linkedin.com/in/nereaalvarez</v>
      </c>
      <c r="I8138" s="2" t="s">
        <v>844</v>
      </c>
      <c r="J8138" s="2" t="s">
        <v>102</v>
      </c>
      <c r="K8138" s="2" t="s">
        <v>14055</v>
      </c>
    </row>
    <row r="8139" ht="15.75" customHeight="1">
      <c r="A8139" s="2">
        <v>91231.0</v>
      </c>
      <c r="B8139" s="2" t="s">
        <v>665</v>
      </c>
      <c r="C8139" s="2" t="s">
        <v>14988</v>
      </c>
      <c r="D8139" s="2" t="s">
        <v>14989</v>
      </c>
      <c r="E8139" s="2" t="s">
        <v>1918</v>
      </c>
      <c r="F8139" s="2">
        <v>1.0</v>
      </c>
      <c r="G8139" s="2">
        <v>486.0</v>
      </c>
      <c r="H8139" s="3" t="str">
        <f>HYPERLINK("http://www.linkedin.com/in/jaimezuluaga","http://www.linkedin.com/in/jaimezuluaga")</f>
        <v>http://www.linkedin.com/in/jaimezuluaga</v>
      </c>
      <c r="I8139" s="2" t="s">
        <v>48</v>
      </c>
      <c r="J8139" s="2" t="s">
        <v>102</v>
      </c>
      <c r="K8139" s="2" t="s">
        <v>14142</v>
      </c>
    </row>
    <row r="8140" ht="15.75" customHeight="1">
      <c r="A8140" s="2">
        <v>91293.0</v>
      </c>
      <c r="B8140" s="2" t="s">
        <v>14990</v>
      </c>
      <c r="C8140" s="2" t="s">
        <v>308</v>
      </c>
      <c r="D8140" s="2" t="s">
        <v>1145</v>
      </c>
      <c r="E8140" s="2" t="s">
        <v>2090</v>
      </c>
      <c r="F8140" s="2">
        <v>1.0</v>
      </c>
      <c r="G8140" s="2">
        <v>500.0</v>
      </c>
      <c r="H8140" s="3" t="str">
        <f>HYPERLINK("http://ca.linkedin.com/in/karnagupta","http://ca.linkedin.com/in/karnagupta")</f>
        <v>http://ca.linkedin.com/in/karnagupta</v>
      </c>
      <c r="I8140" s="2" t="s">
        <v>15</v>
      </c>
      <c r="J8140" s="2" t="s">
        <v>44</v>
      </c>
      <c r="K8140" s="2" t="s">
        <v>14142</v>
      </c>
    </row>
    <row r="8141" ht="15.75" customHeight="1">
      <c r="A8141" s="2">
        <v>91311.0</v>
      </c>
      <c r="B8141" s="2" t="s">
        <v>1087</v>
      </c>
      <c r="C8141" s="2" t="s">
        <v>14991</v>
      </c>
      <c r="D8141" s="2" t="s">
        <v>14992</v>
      </c>
      <c r="E8141" s="2" t="s">
        <v>713</v>
      </c>
      <c r="F8141" s="2">
        <v>0.0</v>
      </c>
      <c r="G8141" s="2">
        <v>383.0</v>
      </c>
      <c r="H8141" s="3" t="str">
        <f>HYPERLINK("http://www.linkedin.com/pub/james-doughty/0/649/53A","http://www.linkedin.com/pub/james-doughty/0/649/53A")</f>
        <v>http://www.linkedin.com/pub/james-doughty/0/649/53A</v>
      </c>
      <c r="I8141" s="2" t="s">
        <v>69</v>
      </c>
      <c r="J8141" s="2" t="s">
        <v>102</v>
      </c>
      <c r="K8141" s="2" t="s">
        <v>14088</v>
      </c>
    </row>
    <row r="8142" ht="15.75" customHeight="1">
      <c r="A8142" s="2">
        <v>91924.0</v>
      </c>
      <c r="B8142" s="2" t="s">
        <v>116</v>
      </c>
      <c r="C8142" s="2" t="s">
        <v>14993</v>
      </c>
      <c r="D8142" s="2" t="s">
        <v>1320</v>
      </c>
      <c r="E8142" s="2" t="s">
        <v>457</v>
      </c>
      <c r="F8142" s="2" t="s">
        <v>13</v>
      </c>
      <c r="G8142" s="2">
        <v>167.0</v>
      </c>
      <c r="H8142" s="3" t="str">
        <f>HYPERLINK("http://www.linkedin.com/pub/alex-algarme-sr/27/687/227","http://www.linkedin.com/pub/alex-algarme-sr/27/687/227")</f>
        <v>http://www.linkedin.com/pub/alex-algarme-sr/27/687/227</v>
      </c>
      <c r="I8142" s="2" t="s">
        <v>4225</v>
      </c>
      <c r="J8142" s="2" t="s">
        <v>102</v>
      </c>
      <c r="K8142" s="2" t="s">
        <v>14055</v>
      </c>
    </row>
    <row r="8143" ht="15.75" customHeight="1">
      <c r="A8143" s="2">
        <v>93629.0</v>
      </c>
      <c r="B8143" s="2" t="s">
        <v>14994</v>
      </c>
      <c r="C8143" s="2" t="s">
        <v>14995</v>
      </c>
      <c r="D8143" s="2" t="s">
        <v>14996</v>
      </c>
      <c r="E8143" s="2" t="s">
        <v>2058</v>
      </c>
      <c r="F8143" s="2">
        <v>10.0</v>
      </c>
      <c r="G8143" s="2">
        <v>500.0</v>
      </c>
      <c r="H8143" s="3" t="str">
        <f>HYPERLINK("http://www.linkedin.com/pub/eve-white-glp/3/736/8B0","http://www.linkedin.com/pub/eve-white-glp/3/736/8B0")</f>
        <v>http://www.linkedin.com/pub/eve-white-glp/3/736/8B0</v>
      </c>
      <c r="I8143" s="2" t="s">
        <v>1421</v>
      </c>
      <c r="J8143" s="2" t="s">
        <v>102</v>
      </c>
      <c r="K8143" s="2" t="s">
        <v>14078</v>
      </c>
    </row>
    <row r="8144" ht="15.75" customHeight="1">
      <c r="A8144" s="2">
        <v>93775.0</v>
      </c>
      <c r="B8144" s="2" t="s">
        <v>710</v>
      </c>
      <c r="C8144" s="2" t="s">
        <v>14997</v>
      </c>
      <c r="D8144" s="2" t="s">
        <v>14998</v>
      </c>
      <c r="E8144" s="2" t="s">
        <v>628</v>
      </c>
      <c r="F8144" s="2">
        <v>6.0</v>
      </c>
      <c r="G8144" s="2">
        <v>500.0</v>
      </c>
      <c r="H8144" s="3" t="str">
        <f>HYPERLINK("http://www.linkedin.com/in/jasonbaadsgaard","http://www.linkedin.com/in/jasonbaadsgaard")</f>
        <v>http://www.linkedin.com/in/jasonbaadsgaard</v>
      </c>
      <c r="I8144" s="2" t="s">
        <v>105</v>
      </c>
      <c r="J8144" s="2" t="s">
        <v>102</v>
      </c>
      <c r="K8144" s="2" t="s">
        <v>14074</v>
      </c>
    </row>
    <row r="8145" ht="15.75" customHeight="1">
      <c r="A8145" s="2">
        <v>94042.0</v>
      </c>
      <c r="B8145" s="2" t="s">
        <v>460</v>
      </c>
      <c r="C8145" s="2" t="s">
        <v>14999</v>
      </c>
      <c r="D8145" s="2" t="s">
        <v>15000</v>
      </c>
      <c r="E8145" s="2" t="s">
        <v>628</v>
      </c>
      <c r="F8145" s="2">
        <v>10.0</v>
      </c>
      <c r="G8145" s="2">
        <v>500.0</v>
      </c>
      <c r="H8145" s="3" t="str">
        <f>HYPERLINK("http://www.linkedin.com/in/johnredell","http://www.linkedin.com/in/johnredell")</f>
        <v>http://www.linkedin.com/in/johnredell</v>
      </c>
      <c r="I8145" s="2" t="s">
        <v>248</v>
      </c>
      <c r="J8145" s="2" t="s">
        <v>102</v>
      </c>
      <c r="K8145" s="2" t="s">
        <v>14481</v>
      </c>
    </row>
    <row r="8146" ht="15.75" customHeight="1">
      <c r="A8146" s="2">
        <v>94085.0</v>
      </c>
      <c r="B8146" s="2" t="s">
        <v>10840</v>
      </c>
      <c r="C8146" s="2" t="s">
        <v>15001</v>
      </c>
      <c r="D8146" s="2" t="s">
        <v>114</v>
      </c>
      <c r="E8146" s="2" t="s">
        <v>3516</v>
      </c>
      <c r="F8146" s="2">
        <v>2.0</v>
      </c>
      <c r="G8146" s="2">
        <v>500.0</v>
      </c>
      <c r="H8146" s="3" t="str">
        <f>HYPERLINK("http://www.linkedin.com/in/stanmarts","http://www.linkedin.com/in/stanmarts")</f>
        <v>http://www.linkedin.com/in/stanmarts</v>
      </c>
      <c r="I8146" s="2" t="s">
        <v>248</v>
      </c>
      <c r="J8146" s="2" t="s">
        <v>102</v>
      </c>
      <c r="K8146" s="2" t="s">
        <v>14140</v>
      </c>
    </row>
    <row r="8147" ht="15.75" customHeight="1">
      <c r="A8147" s="2">
        <v>94311.0</v>
      </c>
      <c r="B8147" s="2" t="s">
        <v>189</v>
      </c>
      <c r="C8147" s="2" t="s">
        <v>15002</v>
      </c>
      <c r="D8147" s="2" t="s">
        <v>15003</v>
      </c>
      <c r="E8147" s="2" t="s">
        <v>301</v>
      </c>
      <c r="F8147" s="2">
        <v>2.0</v>
      </c>
      <c r="G8147" s="2">
        <v>500.0</v>
      </c>
      <c r="H8147" s="3" t="str">
        <f>HYPERLINK("http://www.linkedin.com/pub/dean-stiles/4/A17/889","http://www.linkedin.com/pub/dean-stiles/4/A17/889")</f>
        <v>http://www.linkedin.com/pub/dean-stiles/4/A17/889</v>
      </c>
      <c r="I8147" s="2" t="s">
        <v>579</v>
      </c>
      <c r="J8147" s="2" t="s">
        <v>102</v>
      </c>
      <c r="K8147" s="2" t="s">
        <v>14073</v>
      </c>
    </row>
    <row r="8148" ht="15.75" customHeight="1">
      <c r="A8148" s="2">
        <v>94347.0</v>
      </c>
      <c r="B8148" s="2" t="s">
        <v>15004</v>
      </c>
      <c r="C8148" s="2" t="s">
        <v>15005</v>
      </c>
      <c r="D8148" s="2" t="s">
        <v>15006</v>
      </c>
      <c r="E8148" s="2" t="s">
        <v>11025</v>
      </c>
      <c r="F8148" s="2">
        <v>4.0</v>
      </c>
      <c r="G8148" s="2">
        <v>500.0</v>
      </c>
      <c r="H8148" s="3" t="str">
        <f>HYPERLINK("http://www.linkedin.com/in/nelsovillamizar","http://www.linkedin.com/in/nelsovillamizar")</f>
        <v>http://www.linkedin.com/in/nelsovillamizar</v>
      </c>
      <c r="I8148" s="2" t="s">
        <v>15</v>
      </c>
      <c r="J8148" s="2" t="s">
        <v>102</v>
      </c>
      <c r="K8148" s="2" t="s">
        <v>14092</v>
      </c>
    </row>
    <row r="8149" ht="15.75" customHeight="1">
      <c r="A8149" s="2">
        <v>94368.0</v>
      </c>
      <c r="B8149" s="2" t="s">
        <v>460</v>
      </c>
      <c r="C8149" s="2" t="s">
        <v>15007</v>
      </c>
      <c r="D8149" s="2"/>
      <c r="E8149" s="2" t="s">
        <v>1190</v>
      </c>
      <c r="F8149" s="2">
        <v>0.0</v>
      </c>
      <c r="G8149" s="2">
        <v>500.0</v>
      </c>
      <c r="H8149" s="3" t="str">
        <f>HYPERLINK("http://www.linkedin.com/pub/john-carr/1/119/6","http://www.linkedin.com/pub/john-carr/1/119/6")</f>
        <v>http://www.linkedin.com/pub/john-carr/1/119/6</v>
      </c>
      <c r="I8149" s="2" t="s">
        <v>48</v>
      </c>
      <c r="J8149" s="2" t="s">
        <v>102</v>
      </c>
      <c r="K8149" s="2" t="s">
        <v>14095</v>
      </c>
    </row>
    <row r="8150" ht="15.75" customHeight="1">
      <c r="A8150" s="2">
        <v>94748.0</v>
      </c>
      <c r="B8150" s="2" t="s">
        <v>15008</v>
      </c>
      <c r="C8150" s="2" t="s">
        <v>15009</v>
      </c>
      <c r="D8150" s="2" t="s">
        <v>15010</v>
      </c>
      <c r="E8150" s="2" t="s">
        <v>101</v>
      </c>
      <c r="F8150" s="2">
        <v>41.0</v>
      </c>
      <c r="G8150" s="2">
        <v>500.0</v>
      </c>
      <c r="H8150" s="3" t="str">
        <f>HYPERLINK("http://www.linkedin.com/in/eeichen","http://www.linkedin.com/in/eeichen")</f>
        <v>http://www.linkedin.com/in/eeichen</v>
      </c>
      <c r="I8150" s="2" t="s">
        <v>15</v>
      </c>
      <c r="J8150" s="2" t="s">
        <v>102</v>
      </c>
      <c r="K8150" s="2" t="s">
        <v>14088</v>
      </c>
    </row>
    <row r="8151" ht="15.75" customHeight="1">
      <c r="A8151" s="2">
        <v>95012.0</v>
      </c>
      <c r="B8151" s="2" t="s">
        <v>298</v>
      </c>
      <c r="C8151" s="2" t="s">
        <v>12677</v>
      </c>
      <c r="D8151" s="2" t="s">
        <v>13</v>
      </c>
      <c r="E8151" s="2" t="s">
        <v>914</v>
      </c>
      <c r="F8151" s="2">
        <v>0.0</v>
      </c>
      <c r="G8151" s="2">
        <v>500.0</v>
      </c>
      <c r="H8151" s="3" t="str">
        <f>HYPERLINK("http://www.linkedin.com/in/krishbhat","http://www.linkedin.com/in/krishbhat")</f>
        <v>http://www.linkedin.com/in/krishbhat</v>
      </c>
      <c r="I8151" s="2" t="s">
        <v>48</v>
      </c>
      <c r="J8151" s="2" t="s">
        <v>102</v>
      </c>
      <c r="K8151" s="2" t="s">
        <v>14142</v>
      </c>
    </row>
    <row r="8152" ht="15.75" customHeight="1">
      <c r="A8152" s="2">
        <v>95591.0</v>
      </c>
      <c r="B8152" s="2" t="s">
        <v>460</v>
      </c>
      <c r="C8152" s="2" t="s">
        <v>15011</v>
      </c>
      <c r="D8152" s="2" t="s">
        <v>15012</v>
      </c>
      <c r="E8152" s="2" t="s">
        <v>14167</v>
      </c>
      <c r="F8152" s="2" t="s">
        <v>13</v>
      </c>
      <c r="G8152" s="2">
        <v>500.0</v>
      </c>
      <c r="H8152" s="3" t="str">
        <f>HYPERLINK("http://www.linkedin.com/pub/john-leiter-cpa/3/814/319","http://www.linkedin.com/pub/john-leiter-cpa/3/814/319")</f>
        <v>http://www.linkedin.com/pub/john-leiter-cpa/3/814/319</v>
      </c>
      <c r="I8152" s="2" t="s">
        <v>279</v>
      </c>
      <c r="J8152" s="2" t="s">
        <v>102</v>
      </c>
      <c r="K8152" s="2" t="s">
        <v>14055</v>
      </c>
    </row>
    <row r="8153" ht="15.75" customHeight="1">
      <c r="A8153" s="2">
        <v>96047.0</v>
      </c>
      <c r="B8153" s="2" t="s">
        <v>1173</v>
      </c>
      <c r="C8153" s="2" t="s">
        <v>15013</v>
      </c>
      <c r="D8153" s="2" t="s">
        <v>15014</v>
      </c>
      <c r="E8153" s="2" t="s">
        <v>301</v>
      </c>
      <c r="F8153" s="2" t="s">
        <v>13</v>
      </c>
      <c r="G8153" s="2">
        <v>500.0</v>
      </c>
      <c r="H8153" s="3" t="str">
        <f>HYPERLINK("http://www.linkedin.com/in/steveluttmann","http://www.linkedin.com/in/steveluttmann")</f>
        <v>http://www.linkedin.com/in/steveluttmann</v>
      </c>
      <c r="I8153" s="2" t="s">
        <v>6777</v>
      </c>
      <c r="J8153" s="2" t="s">
        <v>102</v>
      </c>
      <c r="K8153" s="2" t="s">
        <v>14055</v>
      </c>
    </row>
    <row r="8154" ht="15.75" customHeight="1">
      <c r="A8154" s="2">
        <v>96366.0</v>
      </c>
      <c r="B8154" s="2" t="s">
        <v>5735</v>
      </c>
      <c r="C8154" s="2" t="s">
        <v>4233</v>
      </c>
      <c r="D8154" s="2" t="s">
        <v>108</v>
      </c>
      <c r="E8154" s="2" t="s">
        <v>1190</v>
      </c>
      <c r="F8154" s="2">
        <v>6.0</v>
      </c>
      <c r="G8154" s="2">
        <v>399.0</v>
      </c>
      <c r="H8154" s="3" t="str">
        <f>HYPERLINK("http://www.linkedin.com/pub/german-gonzalez/6/47A/816","http://www.linkedin.com/pub/german-gonzalez/6/47A/816")</f>
        <v>http://www.linkedin.com/pub/german-gonzalez/6/47A/816</v>
      </c>
      <c r="I8154" s="2" t="s">
        <v>279</v>
      </c>
      <c r="J8154" s="2" t="s">
        <v>102</v>
      </c>
      <c r="K8154" s="2" t="s">
        <v>14565</v>
      </c>
    </row>
    <row r="8155" ht="15.75" customHeight="1">
      <c r="A8155" s="2">
        <v>98066.0</v>
      </c>
      <c r="B8155" s="2" t="s">
        <v>7744</v>
      </c>
      <c r="C8155" s="2" t="s">
        <v>15015</v>
      </c>
      <c r="D8155" s="2" t="s">
        <v>3136</v>
      </c>
      <c r="E8155" s="2" t="s">
        <v>1190</v>
      </c>
      <c r="F8155" s="2">
        <v>16.0</v>
      </c>
      <c r="G8155" s="2">
        <v>500.0</v>
      </c>
      <c r="H8155" s="3" t="str">
        <f>HYPERLINK("http://www.linkedin.com/in/oscarhenao","http://www.linkedin.com/in/oscarhenao")</f>
        <v>http://www.linkedin.com/in/oscarhenao</v>
      </c>
      <c r="I8155" s="2" t="s">
        <v>15</v>
      </c>
      <c r="J8155" s="2" t="s">
        <v>102</v>
      </c>
      <c r="K8155" s="2" t="s">
        <v>14142</v>
      </c>
    </row>
    <row r="8156" ht="15.75" customHeight="1">
      <c r="A8156" s="2">
        <v>98098.0</v>
      </c>
      <c r="B8156" s="2" t="s">
        <v>353</v>
      </c>
      <c r="C8156" s="2" t="s">
        <v>3404</v>
      </c>
      <c r="D8156" s="2" t="s">
        <v>13</v>
      </c>
      <c r="E8156" s="2" t="s">
        <v>2246</v>
      </c>
      <c r="F8156" s="2">
        <v>0.0</v>
      </c>
      <c r="G8156" s="2">
        <v>500.0</v>
      </c>
      <c r="H8156" s="3" t="str">
        <f>HYPERLINK("http://www.linkedin.com/in/alejomontoya/","http://www.linkedin.com/in/alejomontoya/")</f>
        <v>http://www.linkedin.com/in/alejomontoya/</v>
      </c>
      <c r="I8156" s="2" t="s">
        <v>143</v>
      </c>
      <c r="J8156" s="2" t="s">
        <v>102</v>
      </c>
      <c r="K8156" s="2" t="s">
        <v>14092</v>
      </c>
    </row>
    <row r="8157" ht="15.75" customHeight="1">
      <c r="A8157" s="2">
        <v>98399.0</v>
      </c>
      <c r="B8157" s="2" t="s">
        <v>9414</v>
      </c>
      <c r="C8157" s="2" t="s">
        <v>15016</v>
      </c>
      <c r="D8157" s="2" t="s">
        <v>13</v>
      </c>
      <c r="E8157" s="2" t="s">
        <v>1190</v>
      </c>
      <c r="F8157" s="2">
        <v>0.0</v>
      </c>
      <c r="G8157" s="2">
        <v>369.0</v>
      </c>
      <c r="H8157" s="3" t="str">
        <f>HYPERLINK("http://www.linkedin.com/pub/diana-de-la-torriente/5/749/8ab","http://www.linkedin.com/pub/diana-de-la-torriente/5/749/8ab")</f>
        <v>http://www.linkedin.com/pub/diana-de-la-torriente/5/749/8ab</v>
      </c>
      <c r="I8157" s="2" t="s">
        <v>105</v>
      </c>
      <c r="J8157" s="2" t="s">
        <v>102</v>
      </c>
      <c r="K8157" s="2" t="s">
        <v>14074</v>
      </c>
    </row>
    <row r="8158" ht="15.75" customHeight="1">
      <c r="A8158" s="2">
        <v>98616.0</v>
      </c>
      <c r="B8158" s="2" t="s">
        <v>291</v>
      </c>
      <c r="C8158" s="2" t="s">
        <v>15017</v>
      </c>
      <c r="D8158" s="2" t="s">
        <v>15018</v>
      </c>
      <c r="E8158" s="2" t="s">
        <v>301</v>
      </c>
      <c r="F8158" s="2" t="s">
        <v>13</v>
      </c>
      <c r="G8158" s="2">
        <v>500.0</v>
      </c>
      <c r="H8158" s="3" t="str">
        <f>HYPERLINK("http://www.linkedin.com/in/garygrund","http://www.linkedin.com/in/garygrund")</f>
        <v>http://www.linkedin.com/in/garygrund</v>
      </c>
      <c r="I8158" s="2" t="s">
        <v>446</v>
      </c>
      <c r="J8158" s="2" t="s">
        <v>102</v>
      </c>
      <c r="K8158" s="2" t="s">
        <v>14085</v>
      </c>
    </row>
    <row r="8159" ht="15.75" customHeight="1">
      <c r="A8159" s="2">
        <v>98617.0</v>
      </c>
      <c r="B8159" s="2" t="s">
        <v>793</v>
      </c>
      <c r="C8159" s="2" t="s">
        <v>15019</v>
      </c>
      <c r="D8159" s="2" t="s">
        <v>13</v>
      </c>
      <c r="E8159" s="2" t="s">
        <v>1522</v>
      </c>
      <c r="F8159" s="2">
        <v>0.0</v>
      </c>
      <c r="G8159" s="2">
        <v>500.0</v>
      </c>
      <c r="H8159" s="3" t="str">
        <f>HYPERLINK("http://www.linkedin.com/in/raygunst","http://www.linkedin.com/in/raygunst")</f>
        <v>http://www.linkedin.com/in/raygunst</v>
      </c>
      <c r="I8159" s="2" t="s">
        <v>446</v>
      </c>
      <c r="J8159" s="2" t="s">
        <v>102</v>
      </c>
      <c r="K8159" s="2" t="s">
        <v>14211</v>
      </c>
    </row>
    <row r="8160" ht="15.75" customHeight="1">
      <c r="A8160" s="2">
        <v>98767.0</v>
      </c>
      <c r="B8160" s="2" t="s">
        <v>3302</v>
      </c>
      <c r="C8160" s="2" t="s">
        <v>15020</v>
      </c>
      <c r="D8160" s="4" t="s">
        <v>15021</v>
      </c>
      <c r="E8160" s="2" t="s">
        <v>136</v>
      </c>
      <c r="F8160" s="2">
        <v>3.0</v>
      </c>
      <c r="G8160" s="2">
        <v>500.0</v>
      </c>
      <c r="H8160" s="3" t="str">
        <f>HYPERLINK("http://www.linkedin.com/pub/cindy-chaw/2/BAA/A12","http://www.linkedin.com/pub/cindy-chaw/2/BAA/A12")</f>
        <v>http://www.linkedin.com/pub/cindy-chaw/2/BAA/A12</v>
      </c>
      <c r="I8160" s="2" t="s">
        <v>48</v>
      </c>
      <c r="J8160" s="2" t="s">
        <v>102</v>
      </c>
      <c r="K8160" s="2" t="s">
        <v>14057</v>
      </c>
    </row>
    <row r="8161" ht="15.75" customHeight="1">
      <c r="A8161" s="2">
        <v>98788.0</v>
      </c>
      <c r="B8161" s="2" t="s">
        <v>631</v>
      </c>
      <c r="C8161" s="2" t="s">
        <v>10897</v>
      </c>
      <c r="D8161" s="2" t="s">
        <v>15022</v>
      </c>
      <c r="E8161" s="2" t="s">
        <v>15023</v>
      </c>
      <c r="F8161" s="2">
        <v>1.0</v>
      </c>
      <c r="G8161" s="2">
        <v>421.0</v>
      </c>
      <c r="H8161" s="3" t="str">
        <f>HYPERLINK("http://www.linkedin.com/pub/chris-duncan/1/2A8/749","http://www.linkedin.com/pub/chris-duncan/1/2A8/749")</f>
        <v>http://www.linkedin.com/pub/chris-duncan/1/2A8/749</v>
      </c>
      <c r="I8161" s="2" t="s">
        <v>15</v>
      </c>
      <c r="J8161" s="2" t="s">
        <v>102</v>
      </c>
      <c r="K8161" s="2" t="s">
        <v>14088</v>
      </c>
    </row>
    <row r="8162" ht="15.75" customHeight="1">
      <c r="A8162" s="2">
        <v>99233.0</v>
      </c>
      <c r="B8162" s="2" t="s">
        <v>275</v>
      </c>
      <c r="C8162" s="2" t="s">
        <v>15024</v>
      </c>
      <c r="D8162" s="2" t="s">
        <v>410</v>
      </c>
      <c r="E8162" s="2" t="s">
        <v>301</v>
      </c>
      <c r="F8162" s="2">
        <v>1.0</v>
      </c>
      <c r="G8162" s="2">
        <v>500.0</v>
      </c>
      <c r="H8162" s="3" t="str">
        <f>HYPERLINK("http://www.linkedin.com/in/markeallen","http://www.linkedin.com/in/markeallen")</f>
        <v>http://www.linkedin.com/in/markeallen</v>
      </c>
      <c r="I8162" s="2" t="s">
        <v>248</v>
      </c>
      <c r="J8162" s="2" t="s">
        <v>102</v>
      </c>
      <c r="K8162" s="2" t="s">
        <v>14055</v>
      </c>
    </row>
    <row r="8163" ht="15.75" customHeight="1">
      <c r="A8163" s="2">
        <v>99310.0</v>
      </c>
      <c r="B8163" s="2" t="s">
        <v>15025</v>
      </c>
      <c r="C8163" s="2" t="s">
        <v>4045</v>
      </c>
      <c r="D8163" s="2" t="s">
        <v>15026</v>
      </c>
      <c r="E8163" s="2" t="s">
        <v>301</v>
      </c>
      <c r="F8163" s="2">
        <v>3.0</v>
      </c>
      <c r="G8163" s="2">
        <v>500.0</v>
      </c>
      <c r="H8163" s="3" t="str">
        <f>HYPERLINK("http://www.linkedin.com/pub/francesco-gamba/6/141/35","http://www.linkedin.com/pub/francesco-gamba/6/141/35")</f>
        <v>http://www.linkedin.com/pub/francesco-gamba/6/141/35</v>
      </c>
      <c r="I8163" s="2" t="s">
        <v>105</v>
      </c>
      <c r="J8163" s="2" t="s">
        <v>102</v>
      </c>
      <c r="K8163" s="2" t="s">
        <v>14078</v>
      </c>
    </row>
    <row r="8164" ht="15.75" customHeight="1">
      <c r="A8164" s="2">
        <v>99359.0</v>
      </c>
      <c r="B8164" s="2" t="s">
        <v>412</v>
      </c>
      <c r="C8164" s="2" t="s">
        <v>2148</v>
      </c>
      <c r="D8164" s="2" t="s">
        <v>15027</v>
      </c>
      <c r="E8164" s="2" t="s">
        <v>628</v>
      </c>
      <c r="F8164" s="2">
        <v>0.0</v>
      </c>
      <c r="G8164" s="2">
        <v>323.0</v>
      </c>
      <c r="H8164" s="3" t="str">
        <f>HYPERLINK("http://www.linkedin.com/pub/robert-nelson/4/AA9/522","http://www.linkedin.com/pub/robert-nelson/4/AA9/522")</f>
        <v>http://www.linkedin.com/pub/robert-nelson/4/AA9/522</v>
      </c>
      <c r="I8164" s="2" t="s">
        <v>105</v>
      </c>
      <c r="J8164" s="2" t="s">
        <v>102</v>
      </c>
      <c r="K8164" s="2" t="s">
        <v>14074</v>
      </c>
    </row>
    <row r="8165" ht="15.75" customHeight="1">
      <c r="A8165" s="2">
        <v>99405.0</v>
      </c>
      <c r="B8165" s="2" t="s">
        <v>582</v>
      </c>
      <c r="C8165" s="2" t="s">
        <v>15028</v>
      </c>
      <c r="D8165" s="2" t="s">
        <v>13</v>
      </c>
      <c r="E8165" s="2" t="s">
        <v>1994</v>
      </c>
      <c r="F8165" s="2">
        <v>11.0</v>
      </c>
      <c r="G8165" s="2">
        <v>500.0</v>
      </c>
      <c r="H8165" s="3" t="str">
        <f>HYPERLINK("http://www.linkedin.com/in/hyperionalexandreseran","http://www.linkedin.com/in/hyperionalexandreseran")</f>
        <v>http://www.linkedin.com/in/hyperionalexandreseran</v>
      </c>
      <c r="I8165" s="2" t="s">
        <v>15</v>
      </c>
      <c r="J8165" s="2" t="s">
        <v>102</v>
      </c>
      <c r="K8165" s="2" t="s">
        <v>14080</v>
      </c>
    </row>
    <row r="8166" ht="15.75" customHeight="1">
      <c r="A8166" s="2">
        <v>99532.0</v>
      </c>
      <c r="B8166" s="2" t="s">
        <v>1868</v>
      </c>
      <c r="C8166" s="2" t="s">
        <v>15029</v>
      </c>
      <c r="D8166" s="2" t="s">
        <v>15030</v>
      </c>
      <c r="E8166" s="2" t="s">
        <v>457</v>
      </c>
      <c r="F8166" s="2" t="s">
        <v>13</v>
      </c>
      <c r="G8166" s="2">
        <v>421.0</v>
      </c>
      <c r="H8166" s="3" t="str">
        <f>HYPERLINK("http://www.linkedin.com/pub/jack-magee/12/446/556","http://www.linkedin.com/pub/jack-magee/12/446/556")</f>
        <v>http://www.linkedin.com/pub/jack-magee/12/446/556</v>
      </c>
      <c r="I8166" s="2" t="s">
        <v>252</v>
      </c>
      <c r="J8166" s="2" t="s">
        <v>102</v>
      </c>
      <c r="K8166" s="2" t="s">
        <v>14125</v>
      </c>
    </row>
    <row r="8167" ht="15.75" customHeight="1">
      <c r="A8167" s="2">
        <v>99658.0</v>
      </c>
      <c r="B8167" s="2" t="s">
        <v>10204</v>
      </c>
      <c r="C8167" s="2" t="s">
        <v>15031</v>
      </c>
      <c r="D8167" s="2" t="s">
        <v>8771</v>
      </c>
      <c r="E8167" s="2" t="s">
        <v>457</v>
      </c>
      <c r="F8167" s="2">
        <v>0.0</v>
      </c>
      <c r="G8167" s="2">
        <v>500.0</v>
      </c>
      <c r="H8167" s="3" t="str">
        <f>HYPERLINK("http://www.linkedin.com/in/rachelmacha","http://www.linkedin.com/in/rachelmacha")</f>
        <v>http://www.linkedin.com/in/rachelmacha</v>
      </c>
      <c r="I8167" s="2" t="s">
        <v>15</v>
      </c>
      <c r="J8167" s="2" t="s">
        <v>102</v>
      </c>
      <c r="K8167" s="2" t="s">
        <v>14117</v>
      </c>
    </row>
    <row r="8168" ht="15.75" customHeight="1">
      <c r="A8168" s="2">
        <v>99784.0</v>
      </c>
      <c r="B8168" s="2" t="s">
        <v>7744</v>
      </c>
      <c r="C8168" s="2" t="s">
        <v>15032</v>
      </c>
      <c r="D8168" s="2" t="s">
        <v>15033</v>
      </c>
      <c r="E8168" s="2" t="s">
        <v>235</v>
      </c>
      <c r="F8168" s="2">
        <v>4.0</v>
      </c>
      <c r="G8168" s="2">
        <v>500.0</v>
      </c>
      <c r="H8168" s="3" t="str">
        <f>HYPERLINK("http://www.linkedin.com/in/oscarbos01","http://www.linkedin.com/in/oscarbos01")</f>
        <v>http://www.linkedin.com/in/oscarbos01</v>
      </c>
      <c r="I8168" s="2" t="s">
        <v>15</v>
      </c>
      <c r="J8168" s="2" t="s">
        <v>102</v>
      </c>
      <c r="K8168" s="2" t="s">
        <v>14078</v>
      </c>
    </row>
    <row r="8169" ht="15.75" customHeight="1">
      <c r="A8169" s="2">
        <v>99854.0</v>
      </c>
      <c r="B8169" s="2" t="s">
        <v>15034</v>
      </c>
      <c r="C8169" s="2" t="s">
        <v>15035</v>
      </c>
      <c r="D8169" s="2" t="s">
        <v>13</v>
      </c>
      <c r="E8169" s="2" t="s">
        <v>159</v>
      </c>
      <c r="F8169" s="2">
        <v>0.0</v>
      </c>
      <c r="G8169" s="2">
        <v>500.0</v>
      </c>
      <c r="H8169" s="3" t="str">
        <f>HYPERLINK("https://www.linkedin.com/in/antonforth","https://www.linkedin.com/in/antonforth")</f>
        <v>https://www.linkedin.com/in/antonforth</v>
      </c>
      <c r="I8169" s="2" t="s">
        <v>57</v>
      </c>
      <c r="J8169" s="2" t="s">
        <v>102</v>
      </c>
      <c r="K8169" s="2" t="s">
        <v>14055</v>
      </c>
    </row>
    <row r="8170" ht="15.75" customHeight="1">
      <c r="A8170" s="2">
        <v>100168.0</v>
      </c>
      <c r="B8170" s="2" t="s">
        <v>70</v>
      </c>
      <c r="C8170" s="2" t="s">
        <v>3392</v>
      </c>
      <c r="D8170" s="2" t="s">
        <v>15036</v>
      </c>
      <c r="E8170" s="2" t="s">
        <v>1190</v>
      </c>
      <c r="F8170" s="2">
        <v>0.0</v>
      </c>
      <c r="G8170" s="2">
        <v>500.0</v>
      </c>
      <c r="H8170" s="3" t="str">
        <f>HYPERLINK("http://www.linkedin.com/pub/gustavo-lopez/7/116/616","http://www.linkedin.com/pub/gustavo-lopez/7/116/616")</f>
        <v>http://www.linkedin.com/pub/gustavo-lopez/7/116/616</v>
      </c>
      <c r="I8170" s="2" t="s">
        <v>910</v>
      </c>
      <c r="J8170" s="2" t="s">
        <v>102</v>
      </c>
      <c r="K8170" s="2" t="s">
        <v>14197</v>
      </c>
    </row>
    <row r="8171" ht="15.75" customHeight="1">
      <c r="A8171" s="2">
        <v>100306.0</v>
      </c>
      <c r="B8171" s="2" t="s">
        <v>6793</v>
      </c>
      <c r="C8171" s="2" t="s">
        <v>15037</v>
      </c>
      <c r="D8171" s="2" t="s">
        <v>15038</v>
      </c>
      <c r="E8171" s="2" t="s">
        <v>1190</v>
      </c>
      <c r="F8171" s="2">
        <v>11.0</v>
      </c>
      <c r="G8171" s="2">
        <v>500.0</v>
      </c>
      <c r="H8171" s="3" t="str">
        <f>HYPERLINK("http://www.linkedin.com/in/augustoaragone","http://www.linkedin.com/in/augustoaragone")</f>
        <v>http://www.linkedin.com/in/augustoaragone</v>
      </c>
      <c r="I8171" s="2" t="s">
        <v>15</v>
      </c>
      <c r="J8171" s="2" t="s">
        <v>102</v>
      </c>
      <c r="K8171" s="2" t="s">
        <v>14092</v>
      </c>
    </row>
    <row r="8172" ht="15.75" customHeight="1">
      <c r="A8172" s="2">
        <v>100508.0</v>
      </c>
      <c r="B8172" s="2" t="s">
        <v>15039</v>
      </c>
      <c r="C8172" s="2" t="s">
        <v>15040</v>
      </c>
      <c r="D8172" s="2" t="s">
        <v>15041</v>
      </c>
      <c r="E8172" s="2" t="s">
        <v>301</v>
      </c>
      <c r="F8172" s="2">
        <v>2.0</v>
      </c>
      <c r="G8172" s="2">
        <v>500.0</v>
      </c>
      <c r="H8172" s="3" t="str">
        <f>HYPERLINK("http://www.linkedin.com/pub/robb-auber/25/53A/B79","http://www.linkedin.com/pub/robb-auber/25/53A/B79")</f>
        <v>http://www.linkedin.com/pub/robb-auber/25/53A/B79</v>
      </c>
      <c r="I8172" s="2" t="s">
        <v>105</v>
      </c>
      <c r="J8172" s="2" t="s">
        <v>102</v>
      </c>
      <c r="K8172" s="2" t="s">
        <v>14055</v>
      </c>
    </row>
    <row r="8173" ht="15.75" customHeight="1">
      <c r="A8173" s="2">
        <v>100936.0</v>
      </c>
      <c r="B8173" s="2" t="s">
        <v>287</v>
      </c>
      <c r="C8173" s="2" t="s">
        <v>1153</v>
      </c>
      <c r="D8173" s="2" t="s">
        <v>4080</v>
      </c>
      <c r="E8173" s="2" t="s">
        <v>457</v>
      </c>
      <c r="F8173" s="2">
        <v>1.0</v>
      </c>
      <c r="G8173" s="2">
        <v>278.0</v>
      </c>
      <c r="H8173" s="3" t="str">
        <f>HYPERLINK("http://www.linkedin.com/pub/paul-brown/B/371/5AA","http://www.linkedin.com/pub/paul-brown/B/371/5AA")</f>
        <v>http://www.linkedin.com/pub/paul-brown/B/371/5AA</v>
      </c>
      <c r="I8173" s="2" t="s">
        <v>15</v>
      </c>
      <c r="J8173" s="2" t="s">
        <v>102</v>
      </c>
      <c r="K8173" s="2" t="s">
        <v>14095</v>
      </c>
    </row>
    <row r="8174" ht="15.75" customHeight="1">
      <c r="A8174" s="2">
        <v>101363.0</v>
      </c>
      <c r="B8174" s="2" t="s">
        <v>15042</v>
      </c>
      <c r="C8174" s="2" t="s">
        <v>15043</v>
      </c>
      <c r="D8174" s="2" t="s">
        <v>15044</v>
      </c>
      <c r="E8174" s="2" t="s">
        <v>325</v>
      </c>
      <c r="F8174" s="2">
        <v>55.0</v>
      </c>
      <c r="G8174" s="2">
        <v>500.0</v>
      </c>
      <c r="H8174" s="3" t="str">
        <f>HYPERLINK("http://www.linkedin.com/in/12443579","http://www.linkedin.com/in/12443579")</f>
        <v>http://www.linkedin.com/in/12443579</v>
      </c>
      <c r="I8174" s="2" t="s">
        <v>248</v>
      </c>
      <c r="J8174" s="2" t="s">
        <v>102</v>
      </c>
      <c r="K8174" s="2" t="s">
        <v>14105</v>
      </c>
    </row>
    <row r="8175" ht="15.75" customHeight="1">
      <c r="A8175" s="2">
        <v>101486.0</v>
      </c>
      <c r="B8175" s="2" t="s">
        <v>5803</v>
      </c>
      <c r="C8175" s="2" t="s">
        <v>15045</v>
      </c>
      <c r="D8175" s="2" t="s">
        <v>15046</v>
      </c>
      <c r="E8175" s="2" t="s">
        <v>20</v>
      </c>
      <c r="F8175" s="2" t="s">
        <v>13</v>
      </c>
      <c r="G8175" s="2">
        <v>73.0</v>
      </c>
      <c r="H8175" s="3" t="str">
        <f>HYPERLINK("http://ar.linkedin.com/pub/mariano-urreta/29/36B/299","http://ar.linkedin.com/pub/mariano-urreta/29/36B/299")</f>
        <v>http://ar.linkedin.com/pub/mariano-urreta/29/36B/299</v>
      </c>
      <c r="I8175" s="2" t="s">
        <v>48</v>
      </c>
      <c r="J8175" s="2" t="s">
        <v>21</v>
      </c>
      <c r="K8175" s="2" t="s">
        <v>14057</v>
      </c>
    </row>
    <row r="8176" ht="15.75" customHeight="1">
      <c r="A8176" s="2">
        <v>101669.0</v>
      </c>
      <c r="B8176" s="2" t="s">
        <v>1437</v>
      </c>
      <c r="C8176" s="2" t="s">
        <v>9432</v>
      </c>
      <c r="D8176" s="2" t="s">
        <v>15047</v>
      </c>
      <c r="E8176" s="2" t="s">
        <v>1190</v>
      </c>
      <c r="F8176" s="2">
        <v>14.0</v>
      </c>
      <c r="G8176" s="2">
        <v>500.0</v>
      </c>
      <c r="H8176" s="3" t="str">
        <f>HYPERLINK("http://www.linkedin.com/in/alcordoba","http://www.linkedin.com/in/alcordoba")</f>
        <v>http://www.linkedin.com/in/alcordoba</v>
      </c>
      <c r="I8176" s="2" t="s">
        <v>15</v>
      </c>
      <c r="J8176" s="2" t="s">
        <v>102</v>
      </c>
      <c r="K8176" s="2" t="s">
        <v>14092</v>
      </c>
    </row>
    <row r="8177" ht="15.75" customHeight="1">
      <c r="A8177" s="2">
        <v>101785.0</v>
      </c>
      <c r="B8177" s="2" t="s">
        <v>10719</v>
      </c>
      <c r="C8177" s="2" t="s">
        <v>15048</v>
      </c>
      <c r="D8177" s="2" t="s">
        <v>5394</v>
      </c>
      <c r="E8177" s="2" t="s">
        <v>505</v>
      </c>
      <c r="F8177" s="2">
        <v>6.0</v>
      </c>
      <c r="G8177" s="2">
        <v>500.0</v>
      </c>
      <c r="H8177" s="3" t="str">
        <f>HYPERLINK("http://www.linkedin.com/in/gexecutives","http://www.linkedin.com/in/gexecutives")</f>
        <v>http://www.linkedin.com/in/gexecutives</v>
      </c>
      <c r="I8177" s="2" t="s">
        <v>248</v>
      </c>
      <c r="J8177" s="2" t="s">
        <v>102</v>
      </c>
      <c r="K8177" s="2" t="s">
        <v>14105</v>
      </c>
    </row>
    <row r="8178" ht="15.75" customHeight="1">
      <c r="A8178" s="2">
        <v>101935.0</v>
      </c>
      <c r="B8178" s="2" t="s">
        <v>1364</v>
      </c>
      <c r="C8178" s="2" t="s">
        <v>15049</v>
      </c>
      <c r="D8178" s="2" t="s">
        <v>15050</v>
      </c>
      <c r="E8178" s="2" t="s">
        <v>457</v>
      </c>
      <c r="F8178" s="2">
        <v>0.0</v>
      </c>
      <c r="G8178" s="2">
        <v>500.0</v>
      </c>
      <c r="H8178" s="3" t="str">
        <f>HYPERLINK("http://www.linkedin.com/pub/dennis-forte/10/236/504","http://www.linkedin.com/pub/dennis-forte/10/236/504")</f>
        <v>http://www.linkedin.com/pub/dennis-forte/10/236/504</v>
      </c>
      <c r="I8178" s="2" t="s">
        <v>57</v>
      </c>
      <c r="J8178" s="2" t="s">
        <v>102</v>
      </c>
      <c r="K8178" s="2" t="s">
        <v>14074</v>
      </c>
    </row>
    <row r="8179" ht="15.75" customHeight="1">
      <c r="A8179" s="2">
        <v>102311.0</v>
      </c>
      <c r="B8179" s="2" t="s">
        <v>227</v>
      </c>
      <c r="C8179" s="2" t="s">
        <v>15051</v>
      </c>
      <c r="D8179" s="2" t="s">
        <v>47</v>
      </c>
      <c r="E8179" s="2" t="s">
        <v>20</v>
      </c>
      <c r="F8179" s="2">
        <v>0.0</v>
      </c>
      <c r="G8179" s="2">
        <v>500.0</v>
      </c>
      <c r="H8179" s="3" t="str">
        <f>HYPERLINK("http://ar.linkedin.com/pub/jorge-zanabone/14/163/315","http://ar.linkedin.com/pub/jorge-zanabone/14/163/315")</f>
        <v>http://ar.linkedin.com/pub/jorge-zanabone/14/163/315</v>
      </c>
      <c r="I8179" s="2" t="s">
        <v>48</v>
      </c>
      <c r="J8179" s="2" t="s">
        <v>21</v>
      </c>
      <c r="K8179" s="2" t="s">
        <v>14074</v>
      </c>
    </row>
    <row r="8180" ht="15.75" customHeight="1">
      <c r="A8180" s="2">
        <v>102468.0</v>
      </c>
      <c r="B8180" s="2" t="s">
        <v>1201</v>
      </c>
      <c r="C8180" s="2" t="s">
        <v>15052</v>
      </c>
      <c r="D8180" s="2" t="s">
        <v>13</v>
      </c>
      <c r="E8180" s="2" t="s">
        <v>15053</v>
      </c>
      <c r="F8180" s="2">
        <v>0.0</v>
      </c>
      <c r="G8180" s="2">
        <v>500.0</v>
      </c>
      <c r="H8180" s="3" t="str">
        <f>HYPERLINK("http://www.linkedin.com/in/foellmer","http://www.linkedin.com/in/foellmer")</f>
        <v>http://www.linkedin.com/in/foellmer</v>
      </c>
      <c r="I8180" s="2" t="s">
        <v>15</v>
      </c>
      <c r="J8180" s="2" t="s">
        <v>926</v>
      </c>
      <c r="K8180" s="2" t="s">
        <v>14055</v>
      </c>
    </row>
    <row r="8181" ht="15.75" customHeight="1">
      <c r="A8181" s="2">
        <v>102669.0</v>
      </c>
      <c r="B8181" s="2" t="s">
        <v>471</v>
      </c>
      <c r="C8181" s="2" t="s">
        <v>1113</v>
      </c>
      <c r="D8181" s="2" t="s">
        <v>15054</v>
      </c>
      <c r="E8181" s="2" t="s">
        <v>713</v>
      </c>
      <c r="F8181" s="2">
        <v>11.0</v>
      </c>
      <c r="G8181" s="2">
        <v>500.0</v>
      </c>
      <c r="H8181" s="3" t="str">
        <f>HYPERLINK("http://www.linkedin.com/in/danielkatz","http://www.linkedin.com/in/danielkatz")</f>
        <v>http://www.linkedin.com/in/danielkatz</v>
      </c>
      <c r="I8181" s="2" t="s">
        <v>105</v>
      </c>
      <c r="J8181" s="2" t="s">
        <v>102</v>
      </c>
      <c r="K8181" s="2" t="s">
        <v>14073</v>
      </c>
    </row>
    <row r="8182" ht="15.75" customHeight="1">
      <c r="A8182" s="2">
        <v>102723.0</v>
      </c>
      <c r="B8182" s="2" t="s">
        <v>1868</v>
      </c>
      <c r="C8182" s="2" t="s">
        <v>15055</v>
      </c>
      <c r="D8182" s="2" t="s">
        <v>114</v>
      </c>
      <c r="E8182" s="2" t="s">
        <v>301</v>
      </c>
      <c r="F8182" s="2">
        <v>8.0</v>
      </c>
      <c r="G8182" s="2">
        <v>500.0</v>
      </c>
      <c r="H8182" s="3" t="str">
        <f>HYPERLINK("http://www.linkedin.com/in/kerins","http://www.linkedin.com/in/kerins")</f>
        <v>http://www.linkedin.com/in/kerins</v>
      </c>
      <c r="I8182" s="2" t="s">
        <v>714</v>
      </c>
      <c r="J8182" s="2" t="s">
        <v>102</v>
      </c>
      <c r="K8182" s="2" t="s">
        <v>14055</v>
      </c>
    </row>
    <row r="8183" ht="15.75" customHeight="1">
      <c r="A8183" s="2">
        <v>102811.0</v>
      </c>
      <c r="B8183" s="2" t="s">
        <v>302</v>
      </c>
      <c r="C8183" s="2" t="s">
        <v>15056</v>
      </c>
      <c r="D8183" s="2" t="s">
        <v>15057</v>
      </c>
      <c r="E8183" s="2" t="s">
        <v>457</v>
      </c>
      <c r="F8183" s="2" t="s">
        <v>13</v>
      </c>
      <c r="G8183" s="2">
        <v>111.0</v>
      </c>
      <c r="H8183" s="3" t="str">
        <f>HYPERLINK("http://www.linkedin.com/pub/bill-kohler/B/B85/1A5","http://www.linkedin.com/pub/bill-kohler/B/B85/1A5")</f>
        <v>http://www.linkedin.com/pub/bill-kohler/B/B85/1A5</v>
      </c>
      <c r="I8183" s="2" t="s">
        <v>252</v>
      </c>
      <c r="J8183" s="2" t="s">
        <v>102</v>
      </c>
      <c r="K8183" s="2" t="s">
        <v>14055</v>
      </c>
    </row>
    <row r="8184" ht="15.75" customHeight="1">
      <c r="A8184" s="2">
        <v>102921.0</v>
      </c>
      <c r="B8184" s="2" t="s">
        <v>15058</v>
      </c>
      <c r="C8184" s="2" t="s">
        <v>15059</v>
      </c>
      <c r="D8184" s="2" t="s">
        <v>15060</v>
      </c>
      <c r="E8184" s="2" t="s">
        <v>136</v>
      </c>
      <c r="F8184" s="2" t="s">
        <v>13</v>
      </c>
      <c r="G8184" s="2">
        <v>500.0</v>
      </c>
      <c r="H8184" s="3" t="str">
        <f>HYPERLINK("http://www.linkedin.com/pub/baudouin-corman/0/38/130","http://www.linkedin.com/pub/baudouin-corman/0/38/130")</f>
        <v>http://www.linkedin.com/pub/baudouin-corman/0/38/130</v>
      </c>
      <c r="I8184" s="2" t="s">
        <v>143</v>
      </c>
      <c r="J8184" s="2" t="s">
        <v>102</v>
      </c>
      <c r="K8184" s="2" t="s">
        <v>14142</v>
      </c>
    </row>
    <row r="8185" ht="15.75" customHeight="1">
      <c r="A8185" s="2">
        <v>102998.0</v>
      </c>
      <c r="B8185" s="2" t="s">
        <v>133</v>
      </c>
      <c r="C8185" s="2" t="s">
        <v>15061</v>
      </c>
      <c r="D8185" s="2" t="s">
        <v>15062</v>
      </c>
      <c r="E8185" s="2" t="s">
        <v>136</v>
      </c>
      <c r="F8185" s="2">
        <v>6.0</v>
      </c>
      <c r="G8185" s="2">
        <v>500.0</v>
      </c>
      <c r="H8185" s="3" t="str">
        <f>HYPERLINK("http://www.linkedin.com/in/michaelleifer","http://www.linkedin.com/in/michaelleifer")</f>
        <v>http://www.linkedin.com/in/michaelleifer</v>
      </c>
      <c r="I8185" s="2" t="s">
        <v>105</v>
      </c>
      <c r="J8185" s="2" t="s">
        <v>102</v>
      </c>
      <c r="K8185" s="2" t="s">
        <v>14074</v>
      </c>
    </row>
    <row r="8186" ht="15.75" customHeight="1">
      <c r="A8186" s="2">
        <v>103186.0</v>
      </c>
      <c r="B8186" s="2" t="s">
        <v>11736</v>
      </c>
      <c r="C8186" s="2" t="s">
        <v>15063</v>
      </c>
      <c r="D8186" s="2" t="s">
        <v>15064</v>
      </c>
      <c r="E8186" s="2" t="s">
        <v>457</v>
      </c>
      <c r="F8186" s="2">
        <v>0.0</v>
      </c>
      <c r="G8186" s="2">
        <v>239.0</v>
      </c>
      <c r="H8186" s="3" t="str">
        <f>HYPERLINK("http://www.linkedin.com/pub/pat-mallon/12/B95/7B4","http://www.linkedin.com/pub/pat-mallon/12/B95/7B4")</f>
        <v>http://www.linkedin.com/pub/pat-mallon/12/B95/7B4</v>
      </c>
      <c r="I8186" s="2" t="s">
        <v>252</v>
      </c>
      <c r="J8186" s="2" t="s">
        <v>102</v>
      </c>
      <c r="K8186" s="2" t="s">
        <v>14197</v>
      </c>
    </row>
    <row r="8187" ht="15.75" customHeight="1">
      <c r="A8187" s="2">
        <v>103430.0</v>
      </c>
      <c r="B8187" s="2" t="s">
        <v>414</v>
      </c>
      <c r="C8187" s="2" t="s">
        <v>15065</v>
      </c>
      <c r="D8187" s="2" t="s">
        <v>3989</v>
      </c>
      <c r="E8187" s="2" t="s">
        <v>457</v>
      </c>
      <c r="F8187" s="2">
        <v>10.0</v>
      </c>
      <c r="G8187" s="2">
        <v>500.0</v>
      </c>
      <c r="H8187" s="3" t="str">
        <f>HYPERLINK("http://www.linkedin.com/pub/tom-mcginn/0/71/5","http://www.linkedin.com/pub/tom-mcginn/0/71/5")</f>
        <v>http://www.linkedin.com/pub/tom-mcginn/0/71/5</v>
      </c>
      <c r="I8187" s="2" t="s">
        <v>714</v>
      </c>
      <c r="J8187" s="2" t="s">
        <v>102</v>
      </c>
      <c r="K8187" s="2" t="s">
        <v>14078</v>
      </c>
    </row>
    <row r="8188" ht="15.75" customHeight="1">
      <c r="A8188" s="2">
        <v>103472.0</v>
      </c>
      <c r="B8188" s="2" t="s">
        <v>2003</v>
      </c>
      <c r="C8188" s="2" t="s">
        <v>15066</v>
      </c>
      <c r="D8188" s="2" t="s">
        <v>13</v>
      </c>
      <c r="E8188" s="2" t="s">
        <v>1190</v>
      </c>
      <c r="F8188" s="2">
        <v>0.0</v>
      </c>
      <c r="G8188" s="2">
        <v>343.0</v>
      </c>
      <c r="H8188" s="3" t="str">
        <f>HYPERLINK("http://www.linkedin.com/pub/valerie-pusceddu/4/42B/705","http://www.linkedin.com/pub/valerie-pusceddu/4/42B/705")</f>
        <v>http://www.linkedin.com/pub/valerie-pusceddu/4/42B/705</v>
      </c>
      <c r="I8188" s="2" t="s">
        <v>105</v>
      </c>
      <c r="J8188" s="2" t="s">
        <v>102</v>
      </c>
      <c r="K8188" s="2" t="s">
        <v>14074</v>
      </c>
    </row>
    <row r="8189" ht="15.75" customHeight="1">
      <c r="A8189" s="2">
        <v>103832.0</v>
      </c>
      <c r="B8189" s="2" t="s">
        <v>59</v>
      </c>
      <c r="C8189" s="2" t="s">
        <v>15067</v>
      </c>
      <c r="D8189" s="2" t="s">
        <v>1905</v>
      </c>
      <c r="E8189" s="2" t="s">
        <v>255</v>
      </c>
      <c r="F8189" s="2" t="s">
        <v>13</v>
      </c>
      <c r="G8189" s="2">
        <v>500.0</v>
      </c>
      <c r="H8189" s="3" t="str">
        <f>HYPERLINK("http://ar.linkedin.com/in/martinmaslo","http://ar.linkedin.com/in/martinmaslo")</f>
        <v>http://ar.linkedin.com/in/martinmaslo</v>
      </c>
      <c r="I8189" s="2" t="s">
        <v>105</v>
      </c>
      <c r="J8189" s="2" t="s">
        <v>102</v>
      </c>
      <c r="K8189" s="2" t="s">
        <v>14055</v>
      </c>
    </row>
    <row r="8190" ht="15.75" customHeight="1">
      <c r="A8190" s="2">
        <v>103972.0</v>
      </c>
      <c r="B8190" s="2" t="s">
        <v>133</v>
      </c>
      <c r="C8190" s="2" t="s">
        <v>15068</v>
      </c>
      <c r="D8190" s="2" t="s">
        <v>15069</v>
      </c>
      <c r="E8190" s="2" t="s">
        <v>724</v>
      </c>
      <c r="F8190" s="2">
        <v>10.0</v>
      </c>
      <c r="G8190" s="2">
        <v>500.0</v>
      </c>
      <c r="H8190" s="3" t="str">
        <f>HYPERLINK("http://www.linkedin.com/pub/michael-bergeron-mrbergeron-cox-net-/9/821/479","http://www.linkedin.com/pub/michael-bergeron-mrbergeron-cox-net-/9/821/479")</f>
        <v>http://www.linkedin.com/pub/michael-bergeron-mrbergeron-cox-net-/9/821/479</v>
      </c>
      <c r="I8190" s="2" t="s">
        <v>15</v>
      </c>
      <c r="J8190" s="2" t="s">
        <v>102</v>
      </c>
      <c r="K8190" s="2" t="s">
        <v>14197</v>
      </c>
    </row>
    <row r="8191" ht="15.75" customHeight="1">
      <c r="A8191" s="2">
        <v>104194.0</v>
      </c>
      <c r="B8191" s="2" t="s">
        <v>592</v>
      </c>
      <c r="C8191" s="2" t="s">
        <v>2107</v>
      </c>
      <c r="D8191" s="2" t="s">
        <v>15070</v>
      </c>
      <c r="E8191" s="2" t="s">
        <v>3829</v>
      </c>
      <c r="F8191" s="2">
        <v>15.0</v>
      </c>
      <c r="G8191" s="2">
        <v>500.0</v>
      </c>
      <c r="H8191" s="3" t="str">
        <f>HYPERLINK("http://www.linkedin.com/in/barrypeters","http://www.linkedin.com/in/barrypeters")</f>
        <v>http://www.linkedin.com/in/barrypeters</v>
      </c>
      <c r="I8191" s="2" t="s">
        <v>252</v>
      </c>
      <c r="J8191" s="2" t="s">
        <v>102</v>
      </c>
      <c r="K8191" s="2" t="s">
        <v>14055</v>
      </c>
    </row>
    <row r="8192" ht="15.75" customHeight="1">
      <c r="A8192" s="2">
        <v>104294.0</v>
      </c>
      <c r="B8192" s="2" t="s">
        <v>2562</v>
      </c>
      <c r="C8192" s="2" t="s">
        <v>15071</v>
      </c>
      <c r="D8192" s="2" t="s">
        <v>13</v>
      </c>
      <c r="E8192" s="2" t="s">
        <v>15072</v>
      </c>
      <c r="F8192" s="2">
        <v>0.0</v>
      </c>
      <c r="G8192" s="2">
        <v>500.0</v>
      </c>
      <c r="H8192" s="3" t="str">
        <f>HYPERLINK("https://www.linkedin.com/in/rohanbhargava","https://www.linkedin.com/in/rohanbhargava")</f>
        <v>https://www.linkedin.com/in/rohanbhargava</v>
      </c>
      <c r="I8192" s="2" t="s">
        <v>2419</v>
      </c>
      <c r="J8192" s="2" t="s">
        <v>102</v>
      </c>
      <c r="K8192" s="2" t="s">
        <v>14055</v>
      </c>
    </row>
    <row r="8193" ht="15.75" customHeight="1">
      <c r="A8193" s="2">
        <v>104318.0</v>
      </c>
      <c r="B8193" s="2" t="s">
        <v>253</v>
      </c>
      <c r="C8193" s="2" t="s">
        <v>15073</v>
      </c>
      <c r="D8193" s="2"/>
      <c r="E8193" s="2" t="s">
        <v>1190</v>
      </c>
      <c r="F8193" s="2">
        <v>0.0</v>
      </c>
      <c r="G8193" s="2">
        <v>500.0</v>
      </c>
      <c r="H8193" s="3" t="str">
        <f>HYPERLINK("http://www.linkedin.com/pub/fernando-de-allende/1/23B/AA0","http://www.linkedin.com/pub/fernando-de-allende/1/23B/AA0")</f>
        <v>http://www.linkedin.com/pub/fernando-de-allende/1/23B/AA0</v>
      </c>
      <c r="I8193" s="2" t="s">
        <v>48</v>
      </c>
      <c r="J8193" s="2" t="s">
        <v>102</v>
      </c>
      <c r="K8193" s="2" t="s">
        <v>15074</v>
      </c>
    </row>
    <row r="8194" ht="15.75" customHeight="1">
      <c r="A8194" s="2">
        <v>104655.0</v>
      </c>
      <c r="B8194" s="2" t="s">
        <v>2153</v>
      </c>
      <c r="C8194" s="2" t="s">
        <v>15075</v>
      </c>
      <c r="D8194" s="2" t="s">
        <v>15076</v>
      </c>
      <c r="E8194" s="2" t="s">
        <v>457</v>
      </c>
      <c r="F8194" s="2">
        <v>2.0</v>
      </c>
      <c r="G8194" s="2">
        <v>114.0</v>
      </c>
      <c r="H8194" s="3" t="str">
        <f>HYPERLINK("http://www.linkedin.com/pub/nick-schauder/6/2A6/9A6","http://www.linkedin.com/pub/nick-schauder/6/2A6/9A6")</f>
        <v>http://www.linkedin.com/pub/nick-schauder/6/2A6/9A6</v>
      </c>
      <c r="I8194" s="2" t="s">
        <v>252</v>
      </c>
      <c r="J8194" s="2" t="s">
        <v>102</v>
      </c>
      <c r="K8194" s="2" t="s">
        <v>14055</v>
      </c>
    </row>
    <row r="8195" ht="15.75" customHeight="1">
      <c r="A8195" s="2">
        <v>104973.0</v>
      </c>
      <c r="B8195" s="2" t="s">
        <v>302</v>
      </c>
      <c r="C8195" s="2" t="s">
        <v>15077</v>
      </c>
      <c r="D8195" s="2" t="s">
        <v>15078</v>
      </c>
      <c r="E8195" s="2" t="s">
        <v>235</v>
      </c>
      <c r="F8195" s="2">
        <v>8.0</v>
      </c>
      <c r="G8195" s="2">
        <v>500.0</v>
      </c>
      <c r="H8195" s="3" t="str">
        <f>HYPERLINK("http://www.linkedin.com/in/bbodmer703","http://www.linkedin.com/in/bbodmer703")</f>
        <v>http://www.linkedin.com/in/bbodmer703</v>
      </c>
      <c r="I8195" s="2" t="s">
        <v>1679</v>
      </c>
      <c r="J8195" s="2" t="s">
        <v>102</v>
      </c>
      <c r="K8195" s="2" t="s">
        <v>14055</v>
      </c>
    </row>
    <row r="8196" ht="15.75" customHeight="1">
      <c r="A8196" s="2">
        <v>105031.0</v>
      </c>
      <c r="B8196" s="2" t="s">
        <v>348</v>
      </c>
      <c r="C8196" s="2" t="s">
        <v>15079</v>
      </c>
      <c r="D8196" s="2" t="s">
        <v>3118</v>
      </c>
      <c r="E8196" s="2" t="s">
        <v>1407</v>
      </c>
      <c r="F8196" s="2">
        <v>11.0</v>
      </c>
      <c r="G8196" s="2">
        <v>450.0</v>
      </c>
      <c r="H8196" s="3" t="str">
        <f>HYPERLINK("http://www.linkedin.com/in/kimbollinger","http://www.linkedin.com/in/kimbollinger")</f>
        <v>http://www.linkedin.com/in/kimbollinger</v>
      </c>
      <c r="I8196" s="2" t="s">
        <v>1135</v>
      </c>
      <c r="J8196" s="2" t="s">
        <v>102</v>
      </c>
      <c r="K8196" s="2" t="s">
        <v>14092</v>
      </c>
    </row>
    <row r="8197" ht="15.75" customHeight="1">
      <c r="A8197" s="2">
        <v>105457.0</v>
      </c>
      <c r="B8197" s="2" t="s">
        <v>15080</v>
      </c>
      <c r="C8197" s="2" t="s">
        <v>14548</v>
      </c>
      <c r="D8197" s="2" t="s">
        <v>13</v>
      </c>
      <c r="E8197" s="2" t="s">
        <v>457</v>
      </c>
      <c r="F8197" s="2">
        <v>0.0</v>
      </c>
      <c r="G8197" s="2">
        <v>500.0</v>
      </c>
      <c r="H8197" s="3" t="str">
        <f>HYPERLINK("http://www.linkedin.com/pub/paul-j-williamson/9/2b6/222","http://www.linkedin.com/pub/paul-j-williamson/9/2b6/222")</f>
        <v>http://www.linkedin.com/pub/paul-j-williamson/9/2b6/222</v>
      </c>
      <c r="I8197" s="2" t="s">
        <v>1931</v>
      </c>
      <c r="J8197" s="2" t="s">
        <v>102</v>
      </c>
      <c r="K8197" s="2" t="s">
        <v>14055</v>
      </c>
    </row>
    <row r="8198" ht="15.75" customHeight="1">
      <c r="A8198" s="2">
        <v>105580.0</v>
      </c>
      <c r="B8198" s="2" t="s">
        <v>15081</v>
      </c>
      <c r="C8198" s="2" t="s">
        <v>15082</v>
      </c>
      <c r="D8198" s="2" t="s">
        <v>1988</v>
      </c>
      <c r="E8198" s="2" t="s">
        <v>136</v>
      </c>
      <c r="F8198" s="2">
        <v>0.0</v>
      </c>
      <c r="G8198" s="2">
        <v>500.0</v>
      </c>
      <c r="H8198" s="3" t="str">
        <f>HYPERLINK("http://www.linkedin.com/in/reedhastings","http://www.linkedin.com/in/reedhastings")</f>
        <v>http://www.linkedin.com/in/reedhastings</v>
      </c>
      <c r="I8198" s="2" t="s">
        <v>910</v>
      </c>
      <c r="J8198" s="2" t="s">
        <v>102</v>
      </c>
      <c r="K8198" s="2" t="s">
        <v>14055</v>
      </c>
    </row>
    <row r="8199" ht="15.75" customHeight="1">
      <c r="A8199" s="2">
        <v>105591.0</v>
      </c>
      <c r="B8199" s="2" t="s">
        <v>2622</v>
      </c>
      <c r="C8199" s="2" t="s">
        <v>11138</v>
      </c>
      <c r="D8199" s="2" t="s">
        <v>15083</v>
      </c>
      <c r="E8199" s="2" t="s">
        <v>136</v>
      </c>
      <c r="F8199" s="2">
        <v>4.0</v>
      </c>
      <c r="G8199" s="2">
        <v>500.0</v>
      </c>
      <c r="H8199" s="3" t="str">
        <f>HYPERLINK("http://www.linkedin.com/pub/jessica-neal/0/866/409","http://www.linkedin.com/pub/jessica-neal/0/866/409")</f>
        <v>http://www.linkedin.com/pub/jessica-neal/0/866/409</v>
      </c>
      <c r="I8199" s="2" t="s">
        <v>910</v>
      </c>
      <c r="J8199" s="2" t="s">
        <v>102</v>
      </c>
      <c r="K8199" s="2" t="s">
        <v>14055</v>
      </c>
    </row>
    <row r="8200" ht="15.75" customHeight="1">
      <c r="A8200" s="2">
        <v>105623.0</v>
      </c>
      <c r="B8200" s="2" t="s">
        <v>754</v>
      </c>
      <c r="C8200" s="2" t="s">
        <v>14799</v>
      </c>
      <c r="D8200" s="2" t="s">
        <v>3100</v>
      </c>
      <c r="E8200" s="2" t="s">
        <v>101</v>
      </c>
      <c r="F8200" s="2">
        <v>8.0</v>
      </c>
      <c r="G8200" s="2">
        <v>500.0</v>
      </c>
      <c r="H8200" s="3" t="str">
        <f>HYPERLINK("http://www.linkedin.com/in/gregsherry","http://www.linkedin.com/in/gregsherry")</f>
        <v>http://www.linkedin.com/in/gregsherry</v>
      </c>
      <c r="I8200" s="2" t="s">
        <v>15</v>
      </c>
      <c r="J8200" s="2" t="s">
        <v>102</v>
      </c>
      <c r="K8200" s="2" t="s">
        <v>14080</v>
      </c>
    </row>
    <row r="8201" ht="15.75" customHeight="1">
      <c r="A8201" s="2">
        <v>105980.0</v>
      </c>
      <c r="B8201" s="2" t="s">
        <v>1173</v>
      </c>
      <c r="C8201" s="2" t="s">
        <v>1787</v>
      </c>
      <c r="D8201" s="2" t="s">
        <v>7962</v>
      </c>
      <c r="E8201" s="2" t="s">
        <v>15084</v>
      </c>
      <c r="F8201" s="2">
        <v>25.0</v>
      </c>
      <c r="G8201" s="2">
        <v>500.0</v>
      </c>
      <c r="H8201" s="3" t="str">
        <f>HYPERLINK("http://www.linkedin.com/in/steveacarpenter","http://www.linkedin.com/in/steveacarpenter")</f>
        <v>http://www.linkedin.com/in/steveacarpenter</v>
      </c>
      <c r="I8201" s="2" t="s">
        <v>579</v>
      </c>
      <c r="J8201" s="2" t="s">
        <v>102</v>
      </c>
      <c r="K8201" s="2" t="s">
        <v>14422</v>
      </c>
    </row>
    <row r="8202" ht="15.75" customHeight="1">
      <c r="A8202" s="2">
        <v>106077.0</v>
      </c>
      <c r="B8202" s="2" t="s">
        <v>11753</v>
      </c>
      <c r="C8202" s="2" t="s">
        <v>15085</v>
      </c>
      <c r="D8202" s="2" t="s">
        <v>15086</v>
      </c>
      <c r="E8202" s="2" t="s">
        <v>1190</v>
      </c>
      <c r="F8202" s="2">
        <v>6.0</v>
      </c>
      <c r="G8202" s="2">
        <v>500.0</v>
      </c>
      <c r="H8202" s="3" t="str">
        <f>HYPERLINK("http://www.linkedin.com/in/maxpadro","http://www.linkedin.com/in/maxpadro")</f>
        <v>http://www.linkedin.com/in/maxpadro</v>
      </c>
      <c r="I8202" s="2" t="s">
        <v>77</v>
      </c>
      <c r="J8202" s="2" t="s">
        <v>102</v>
      </c>
      <c r="K8202" s="2" t="s">
        <v>14211</v>
      </c>
    </row>
    <row r="8203" ht="15.75" customHeight="1">
      <c r="A8203" s="2">
        <v>106168.0</v>
      </c>
      <c r="B8203" s="2" t="s">
        <v>1454</v>
      </c>
      <c r="C8203" s="2" t="s">
        <v>15087</v>
      </c>
      <c r="D8203" s="2" t="s">
        <v>47</v>
      </c>
      <c r="E8203" s="2" t="s">
        <v>15088</v>
      </c>
      <c r="F8203" s="2">
        <v>15.0</v>
      </c>
      <c r="G8203" s="2">
        <v>500.0</v>
      </c>
      <c r="H8203" s="3" t="str">
        <f>HYPERLINK("http://www.linkedin.com/in/newsblaze","http://www.linkedin.com/in/newsblaze")</f>
        <v>http://www.linkedin.com/in/newsblaze</v>
      </c>
      <c r="I8203" s="2" t="s">
        <v>326</v>
      </c>
      <c r="J8203" s="2" t="s">
        <v>337</v>
      </c>
      <c r="K8203" s="2" t="s">
        <v>14074</v>
      </c>
    </row>
    <row r="8204" ht="15.75" customHeight="1">
      <c r="A8204" s="2">
        <v>106357.0</v>
      </c>
      <c r="B8204" s="2" t="s">
        <v>3287</v>
      </c>
      <c r="C8204" s="2" t="s">
        <v>15089</v>
      </c>
      <c r="D8204" s="2" t="s">
        <v>47</v>
      </c>
      <c r="E8204" s="2" t="s">
        <v>15090</v>
      </c>
      <c r="F8204" s="2" t="s">
        <v>13</v>
      </c>
      <c r="G8204" s="2">
        <v>500.0</v>
      </c>
      <c r="H8204" s="3" t="str">
        <f>HYPERLINK("http://www.linkedin.com/pub/nadia-sellers/14/A59/B","http://www.linkedin.com/pub/nadia-sellers/14/A59/B")</f>
        <v>http://www.linkedin.com/pub/nadia-sellers/14/A59/B</v>
      </c>
      <c r="I8204" s="2" t="s">
        <v>248</v>
      </c>
      <c r="J8204" s="2" t="s">
        <v>102</v>
      </c>
      <c r="K8204" s="2" t="s">
        <v>14105</v>
      </c>
    </row>
    <row r="8205" ht="15.75" customHeight="1">
      <c r="A8205" s="2">
        <v>106682.0</v>
      </c>
      <c r="B8205" s="2" t="s">
        <v>15091</v>
      </c>
      <c r="C8205" s="2" t="s">
        <v>15092</v>
      </c>
      <c r="D8205" s="2" t="s">
        <v>309</v>
      </c>
      <c r="E8205" s="2" t="s">
        <v>20</v>
      </c>
      <c r="F8205" s="2">
        <v>2.0</v>
      </c>
      <c r="G8205" s="2">
        <v>212.0</v>
      </c>
      <c r="H8205" s="3" t="str">
        <f>HYPERLINK("http://www.linkedin.com/pub/javier-scavino/2a/2a4/300","http://www.linkedin.com/pub/javier-scavino/2a/2a4/300")</f>
        <v>http://www.linkedin.com/pub/javier-scavino/2a/2a4/300</v>
      </c>
      <c r="I8205" s="2" t="s">
        <v>69</v>
      </c>
      <c r="J8205" s="2" t="s">
        <v>21</v>
      </c>
      <c r="K8205" s="2" t="s">
        <v>14105</v>
      </c>
    </row>
    <row r="8206" ht="15.75" customHeight="1">
      <c r="A8206" s="2">
        <v>106715.0</v>
      </c>
      <c r="B8206" s="2" t="s">
        <v>15093</v>
      </c>
      <c r="C8206" s="2" t="s">
        <v>15094</v>
      </c>
      <c r="D8206" s="2" t="s">
        <v>633</v>
      </c>
      <c r="E8206" s="2" t="s">
        <v>136</v>
      </c>
      <c r="F8206" s="2">
        <v>0.0</v>
      </c>
      <c r="G8206" s="2">
        <v>500.0</v>
      </c>
      <c r="H8206" s="3" t="str">
        <f>HYPERLINK("http://www.linkedin.com/in/jonigirardi","http://www.linkedin.com/in/jonigirardi")</f>
        <v>http://www.linkedin.com/in/jonigirardi</v>
      </c>
      <c r="I8206" s="2" t="s">
        <v>69</v>
      </c>
      <c r="J8206" s="2" t="s">
        <v>102</v>
      </c>
      <c r="K8206" s="2" t="s">
        <v>14080</v>
      </c>
    </row>
    <row r="8207" ht="15.75" customHeight="1">
      <c r="A8207" s="2">
        <v>107107.0</v>
      </c>
      <c r="B8207" s="2" t="s">
        <v>1071</v>
      </c>
      <c r="C8207" s="2" t="s">
        <v>15095</v>
      </c>
      <c r="D8207" s="2" t="s">
        <v>15096</v>
      </c>
      <c r="E8207" s="2" t="s">
        <v>8142</v>
      </c>
      <c r="F8207" s="2">
        <v>18.0</v>
      </c>
      <c r="G8207" s="2">
        <v>500.0</v>
      </c>
      <c r="H8207" s="3" t="str">
        <f>HYPERLINK("http://www.linkedin.com/in/ericaizer","http://www.linkedin.com/in/ericaizer")</f>
        <v>http://www.linkedin.com/in/ericaizer</v>
      </c>
      <c r="I8207" s="2" t="s">
        <v>48</v>
      </c>
      <c r="J8207" s="2" t="s">
        <v>44</v>
      </c>
      <c r="K8207" s="2" t="s">
        <v>14074</v>
      </c>
    </row>
    <row r="8208" ht="15.75" customHeight="1">
      <c r="A8208" s="2">
        <v>107119.0</v>
      </c>
      <c r="B8208" s="2" t="s">
        <v>1617</v>
      </c>
      <c r="C8208" s="2" t="s">
        <v>2421</v>
      </c>
      <c r="D8208" s="2" t="s">
        <v>400</v>
      </c>
      <c r="E8208" s="2" t="s">
        <v>8142</v>
      </c>
      <c r="F8208" s="2">
        <v>22.0</v>
      </c>
      <c r="G8208" s="2">
        <v>500.0</v>
      </c>
      <c r="H8208" s="3" t="str">
        <f>HYPERLINK("http://ca.linkedin.com/in/ryanhywong","http://ca.linkedin.com/in/ryanhywong")</f>
        <v>http://ca.linkedin.com/in/ryanhywong</v>
      </c>
      <c r="I8208" s="2" t="s">
        <v>48</v>
      </c>
      <c r="J8208" s="2" t="s">
        <v>44</v>
      </c>
      <c r="K8208" s="2" t="s">
        <v>14052</v>
      </c>
    </row>
    <row r="8209" ht="15.75" customHeight="1">
      <c r="A8209" s="2">
        <v>107131.0</v>
      </c>
      <c r="B8209" s="2" t="s">
        <v>11776</v>
      </c>
      <c r="C8209" s="2" t="s">
        <v>15097</v>
      </c>
      <c r="D8209" s="2" t="s">
        <v>13</v>
      </c>
      <c r="E8209" s="2" t="s">
        <v>8142</v>
      </c>
      <c r="F8209" s="2">
        <v>0.0</v>
      </c>
      <c r="G8209" s="2">
        <v>500.0</v>
      </c>
      <c r="H8209" s="3" t="str">
        <f>HYPERLINK("http://www.linkedin.com/pub/sal-visca/0/120/515?trk=pub-pbmap","http://www.linkedin.com/pub/sal-visca/0/120/515?trk=pub-pbmap")</f>
        <v>http://www.linkedin.com/pub/sal-visca/0/120/515?trk=pub-pbmap</v>
      </c>
      <c r="I8209" s="2" t="s">
        <v>48</v>
      </c>
      <c r="J8209" s="2" t="s">
        <v>44</v>
      </c>
      <c r="K8209" s="2" t="s">
        <v>14052</v>
      </c>
    </row>
    <row r="8210" ht="15.75" customHeight="1">
      <c r="A8210" s="2">
        <v>107313.0</v>
      </c>
      <c r="B8210" s="2" t="s">
        <v>15098</v>
      </c>
      <c r="C8210" s="2" t="s">
        <v>2750</v>
      </c>
      <c r="D8210" s="2" t="s">
        <v>15099</v>
      </c>
      <c r="E8210" s="2" t="s">
        <v>2058</v>
      </c>
      <c r="F8210" s="2">
        <v>0.0</v>
      </c>
      <c r="G8210" s="2">
        <v>500.0</v>
      </c>
      <c r="H8210" s="3" t="str">
        <f>HYPERLINK("http://www.linkedin.com/pub/saul-j-berman/3/68A/887","http://www.linkedin.com/pub/saul-j-berman/3/68A/887")</f>
        <v>http://www.linkedin.com/pub/saul-j-berman/3/68A/887</v>
      </c>
      <c r="I8210" s="2" t="s">
        <v>15</v>
      </c>
      <c r="J8210" s="2" t="s">
        <v>102</v>
      </c>
      <c r="K8210" s="2" t="s">
        <v>14750</v>
      </c>
    </row>
    <row r="8211" ht="15.75" customHeight="1">
      <c r="A8211" s="2">
        <v>107528.0</v>
      </c>
      <c r="B8211" s="2" t="s">
        <v>1238</v>
      </c>
      <c r="C8211" s="2" t="s">
        <v>15100</v>
      </c>
      <c r="D8211" s="2" t="s">
        <v>42</v>
      </c>
      <c r="E8211" s="2" t="s">
        <v>14710</v>
      </c>
      <c r="F8211" s="2">
        <v>2.0</v>
      </c>
      <c r="G8211" s="2">
        <v>196.0</v>
      </c>
      <c r="H8211" s="3" t="str">
        <f>HYPERLINK("http://www.linkedin.com/in/ogmios","http://www.linkedin.com/in/ogmios")</f>
        <v>http://www.linkedin.com/in/ogmios</v>
      </c>
      <c r="I8211" s="2" t="s">
        <v>69</v>
      </c>
      <c r="J8211" s="2" t="s">
        <v>102</v>
      </c>
      <c r="K8211" s="2" t="s">
        <v>14105</v>
      </c>
    </row>
    <row r="8212" ht="15.75" customHeight="1">
      <c r="A8212" s="2">
        <v>107596.0</v>
      </c>
      <c r="B8212" s="2" t="s">
        <v>10728</v>
      </c>
      <c r="C8212" s="2" t="s">
        <v>15101</v>
      </c>
      <c r="D8212" s="2" t="s">
        <v>1805</v>
      </c>
      <c r="E8212" s="2" t="s">
        <v>136</v>
      </c>
      <c r="F8212" s="2" t="s">
        <v>13</v>
      </c>
      <c r="G8212" s="2">
        <v>500.0</v>
      </c>
      <c r="H8212" s="3" t="str">
        <f>HYPERLINK("http://www.linkedin.com/pub/jenny-burrington/2/147/600","http://www.linkedin.com/pub/jenny-burrington/2/147/600")</f>
        <v>http://www.linkedin.com/pub/jenny-burrington/2/147/600</v>
      </c>
      <c r="I8212" s="2" t="s">
        <v>1496</v>
      </c>
      <c r="J8212" s="2" t="s">
        <v>102</v>
      </c>
      <c r="K8212" s="2" t="s">
        <v>14125</v>
      </c>
    </row>
    <row r="8213" ht="15.75" customHeight="1">
      <c r="A8213" s="2">
        <v>107610.0</v>
      </c>
      <c r="B8213" s="2" t="s">
        <v>15102</v>
      </c>
      <c r="C8213" s="2" t="s">
        <v>7613</v>
      </c>
      <c r="D8213" s="2" t="s">
        <v>13</v>
      </c>
      <c r="E8213" s="2" t="s">
        <v>7035</v>
      </c>
      <c r="F8213" s="2">
        <v>0.0</v>
      </c>
      <c r="G8213" s="2">
        <v>500.0</v>
      </c>
      <c r="H8213" s="3" t="str">
        <f>HYPERLINK("http://www.linkedin.com/pub/carlos-mauricio-oyola/19/218/413","http://www.linkedin.com/pub/carlos-mauricio-oyola/19/218/413")</f>
        <v>http://www.linkedin.com/pub/carlos-mauricio-oyola/19/218/413</v>
      </c>
      <c r="I8213" s="2" t="s">
        <v>15</v>
      </c>
      <c r="J8213" s="2" t="s">
        <v>102</v>
      </c>
      <c r="K8213" s="2" t="s">
        <v>14460</v>
      </c>
    </row>
    <row r="8214" ht="15.75" customHeight="1">
      <c r="A8214" s="2">
        <v>108024.0</v>
      </c>
      <c r="B8214" s="2" t="s">
        <v>291</v>
      </c>
      <c r="C8214" s="2" t="s">
        <v>12188</v>
      </c>
      <c r="D8214" s="2" t="s">
        <v>15103</v>
      </c>
      <c r="E8214" s="2" t="s">
        <v>762</v>
      </c>
      <c r="F8214" s="2">
        <v>6.0</v>
      </c>
      <c r="G8214" s="2">
        <v>500.0</v>
      </c>
      <c r="H8214" s="3" t="str">
        <f>HYPERLINK("http://www.linkedin.com/in/garyallison","http://www.linkedin.com/in/garyallison")</f>
        <v>http://www.linkedin.com/in/garyallison</v>
      </c>
      <c r="I8214" s="2" t="s">
        <v>48</v>
      </c>
      <c r="J8214" s="2" t="s">
        <v>102</v>
      </c>
      <c r="K8214" s="2" t="s">
        <v>14080</v>
      </c>
    </row>
    <row r="8215" ht="15.75" customHeight="1">
      <c r="A8215" s="2">
        <v>108058.0</v>
      </c>
      <c r="B8215" s="2" t="s">
        <v>4905</v>
      </c>
      <c r="C8215" s="2" t="s">
        <v>15104</v>
      </c>
      <c r="D8215" s="2" t="s">
        <v>15105</v>
      </c>
      <c r="E8215" s="2" t="s">
        <v>4283</v>
      </c>
      <c r="F8215" s="2">
        <v>0.0</v>
      </c>
      <c r="G8215" s="2">
        <v>449.0</v>
      </c>
      <c r="H8215" s="3" t="str">
        <f>HYPERLINK("http://www.linkedin.com/pub/colleen-beckett/16/B50/284","http://www.linkedin.com/pub/colleen-beckett/16/B50/284")</f>
        <v>http://www.linkedin.com/pub/colleen-beckett/16/B50/284</v>
      </c>
      <c r="I8215" s="2" t="s">
        <v>15</v>
      </c>
      <c r="J8215" s="2" t="s">
        <v>102</v>
      </c>
      <c r="K8215" s="2" t="s">
        <v>14142</v>
      </c>
    </row>
    <row r="8216" ht="15.75" customHeight="1">
      <c r="A8216" s="2">
        <v>108131.0</v>
      </c>
      <c r="B8216" s="2" t="s">
        <v>506</v>
      </c>
      <c r="C8216" s="2" t="s">
        <v>6220</v>
      </c>
      <c r="D8216" s="2" t="s">
        <v>15106</v>
      </c>
      <c r="E8216" s="2" t="s">
        <v>1190</v>
      </c>
      <c r="F8216" s="2">
        <v>0.0</v>
      </c>
      <c r="G8216" s="2">
        <v>500.0</v>
      </c>
      <c r="H8216" s="3" t="str">
        <f>HYPERLINK("http://www.linkedin.com/pub/jose-mora/9/66A/17A","http://www.linkedin.com/pub/jose-mora/9/66A/17A")</f>
        <v>http://www.linkedin.com/pub/jose-mora/9/66A/17A</v>
      </c>
      <c r="I8216" s="2" t="s">
        <v>15</v>
      </c>
      <c r="J8216" s="2" t="s">
        <v>102</v>
      </c>
      <c r="K8216" s="2" t="s">
        <v>15107</v>
      </c>
    </row>
    <row r="8217" ht="15.75" customHeight="1">
      <c r="A8217" s="2">
        <v>108251.0</v>
      </c>
      <c r="B8217" s="2" t="s">
        <v>15108</v>
      </c>
      <c r="C8217" s="2" t="s">
        <v>6619</v>
      </c>
      <c r="D8217" s="2" t="s">
        <v>15109</v>
      </c>
      <c r="E8217" s="2" t="s">
        <v>136</v>
      </c>
      <c r="F8217" s="2">
        <v>13.0</v>
      </c>
      <c r="G8217" s="2">
        <v>500.0</v>
      </c>
      <c r="H8217" s="3" t="str">
        <f>HYPERLINK("http://www.linkedin.com/in/arturoduran","http://www.linkedin.com/in/arturoduran")</f>
        <v>http://www.linkedin.com/in/arturoduran</v>
      </c>
      <c r="I8217" s="2" t="s">
        <v>1398</v>
      </c>
      <c r="J8217" s="2" t="s">
        <v>102</v>
      </c>
      <c r="K8217" s="2" t="s">
        <v>14055</v>
      </c>
    </row>
    <row r="8218" ht="15.75" customHeight="1">
      <c r="A8218" s="2">
        <v>108353.0</v>
      </c>
      <c r="B8218" s="2" t="s">
        <v>15110</v>
      </c>
      <c r="C8218" s="2" t="s">
        <v>14350</v>
      </c>
      <c r="D8218" s="2" t="s">
        <v>536</v>
      </c>
      <c r="E8218" s="2" t="s">
        <v>301</v>
      </c>
      <c r="F8218" s="2">
        <v>1.0</v>
      </c>
      <c r="G8218" s="2">
        <v>500.0</v>
      </c>
      <c r="H8218" s="3" t="str">
        <f>HYPERLINK("http://www.linkedin.com/in/bantbreen","http://www.linkedin.com/in/bantbreen")</f>
        <v>http://www.linkedin.com/in/bantbreen</v>
      </c>
      <c r="I8218" s="2" t="s">
        <v>69</v>
      </c>
      <c r="J8218" s="2" t="s">
        <v>102</v>
      </c>
      <c r="K8218" s="2" t="s">
        <v>14080</v>
      </c>
    </row>
    <row r="8219" ht="15.75" customHeight="1">
      <c r="A8219" s="2">
        <v>108391.0</v>
      </c>
      <c r="B8219" s="2" t="s">
        <v>2156</v>
      </c>
      <c r="C8219" s="2" t="s">
        <v>15111</v>
      </c>
      <c r="D8219" s="2"/>
      <c r="E8219" s="2" t="s">
        <v>136</v>
      </c>
      <c r="F8219" s="2">
        <v>26.0</v>
      </c>
      <c r="G8219" s="2">
        <v>500.0</v>
      </c>
      <c r="H8219" s="3" t="str">
        <f>HYPERLINK("http://www.linkedin.com/in/sanjaypoonen","http://www.linkedin.com/in/sanjaypoonen")</f>
        <v>http://www.linkedin.com/in/sanjaypoonen</v>
      </c>
      <c r="I8219" s="2" t="s">
        <v>48</v>
      </c>
      <c r="J8219" s="2" t="s">
        <v>102</v>
      </c>
      <c r="K8219" s="2" t="s">
        <v>14142</v>
      </c>
    </row>
    <row r="8220" ht="15.75" customHeight="1">
      <c r="A8220" s="2">
        <v>108437.0</v>
      </c>
      <c r="B8220" s="2" t="s">
        <v>6765</v>
      </c>
      <c r="C8220" s="2" t="s">
        <v>15112</v>
      </c>
      <c r="D8220" s="2" t="s">
        <v>15113</v>
      </c>
      <c r="E8220" s="2" t="s">
        <v>5294</v>
      </c>
      <c r="F8220" s="2" t="s">
        <v>13</v>
      </c>
      <c r="G8220" s="2">
        <v>338.0</v>
      </c>
      <c r="H8220" s="3" t="str">
        <f>HYPERLINK("http://www.linkedin.com/pub/gaston-berrio/B/797/688","http://www.linkedin.com/pub/gaston-berrio/B/797/688")</f>
        <v>http://www.linkedin.com/pub/gaston-berrio/B/797/688</v>
      </c>
      <c r="I8220" s="2" t="s">
        <v>579</v>
      </c>
      <c r="J8220" s="2" t="s">
        <v>102</v>
      </c>
      <c r="K8220" s="2" t="s">
        <v>14085</v>
      </c>
    </row>
    <row r="8221" ht="15.75" customHeight="1">
      <c r="A8221" s="2">
        <v>109233.0</v>
      </c>
      <c r="B8221" s="2" t="s">
        <v>1019</v>
      </c>
      <c r="C8221" s="2" t="s">
        <v>1307</v>
      </c>
      <c r="D8221" s="2" t="s">
        <v>13</v>
      </c>
      <c r="E8221" s="2" t="s">
        <v>728</v>
      </c>
      <c r="F8221" s="2">
        <v>0.0</v>
      </c>
      <c r="G8221" s="2">
        <v>500.0</v>
      </c>
      <c r="H8221" s="3" t="str">
        <f>HYPERLINK("http://www.linkedin.com/pub/matt-wilkinson/0/631/6A0","http://www.linkedin.com/pub/matt-wilkinson/0/631/6A0")</f>
        <v>http://www.linkedin.com/pub/matt-wilkinson/0/631/6A0</v>
      </c>
      <c r="I8221" s="2" t="s">
        <v>15</v>
      </c>
      <c r="J8221" s="2" t="s">
        <v>102</v>
      </c>
      <c r="K8221" s="2" t="s">
        <v>14142</v>
      </c>
    </row>
    <row r="8222" ht="15.75" customHeight="1">
      <c r="A8222" s="2">
        <v>109245.0</v>
      </c>
      <c r="B8222" s="2" t="s">
        <v>1585</v>
      </c>
      <c r="C8222" s="2" t="s">
        <v>3249</v>
      </c>
      <c r="D8222" s="2" t="s">
        <v>15114</v>
      </c>
      <c r="E8222" s="2" t="s">
        <v>728</v>
      </c>
      <c r="F8222" s="2">
        <v>3.0</v>
      </c>
      <c r="G8222" s="2">
        <v>500.0</v>
      </c>
      <c r="H8222" s="3" t="str">
        <f>HYPERLINK("http://www.linkedin.com/in/thomaswalkercolorado","http://www.linkedin.com/in/thomaswalkercolorado")</f>
        <v>http://www.linkedin.com/in/thomaswalkercolorado</v>
      </c>
      <c r="I8222" s="2" t="s">
        <v>48</v>
      </c>
      <c r="J8222" s="2" t="s">
        <v>102</v>
      </c>
      <c r="K8222" s="2" t="s">
        <v>14173</v>
      </c>
    </row>
    <row r="8223" ht="15.75" customHeight="1">
      <c r="A8223" s="2">
        <v>109308.0</v>
      </c>
      <c r="B8223" s="2" t="s">
        <v>492</v>
      </c>
      <c r="C8223" s="2" t="s">
        <v>15115</v>
      </c>
      <c r="D8223" s="2" t="s">
        <v>15116</v>
      </c>
      <c r="E8223" s="2" t="s">
        <v>15117</v>
      </c>
      <c r="F8223" s="2">
        <v>6.0</v>
      </c>
      <c r="G8223" s="2">
        <v>500.0</v>
      </c>
      <c r="H8223" s="3" t="str">
        <f>HYPERLINK("http://www.linkedin.com/in/strevino","http://www.linkedin.com/in/strevino")</f>
        <v>http://www.linkedin.com/in/strevino</v>
      </c>
      <c r="I8223" s="2" t="s">
        <v>77</v>
      </c>
      <c r="J8223" s="2" t="s">
        <v>102</v>
      </c>
      <c r="K8223" s="2" t="s">
        <v>14211</v>
      </c>
    </row>
    <row r="8224" ht="15.75" customHeight="1">
      <c r="A8224" s="2">
        <v>109476.0</v>
      </c>
      <c r="B8224" s="2" t="s">
        <v>3243</v>
      </c>
      <c r="C8224" s="2" t="s">
        <v>15118</v>
      </c>
      <c r="D8224" s="2"/>
      <c r="E8224" s="2" t="s">
        <v>1918</v>
      </c>
      <c r="F8224" s="2">
        <v>8.0</v>
      </c>
      <c r="G8224" s="2">
        <v>500.0</v>
      </c>
      <c r="H8224" s="3" t="str">
        <f>HYPERLINK("http://www.linkedin.com/pub/travis-good/0/68/8BB","http://www.linkedin.com/pub/travis-good/0/68/8BB")</f>
        <v>http://www.linkedin.com/pub/travis-good/0/68/8BB</v>
      </c>
      <c r="I8224" s="2" t="s">
        <v>69</v>
      </c>
      <c r="J8224" s="2" t="s">
        <v>102</v>
      </c>
      <c r="K8224" s="2" t="s">
        <v>15119</v>
      </c>
    </row>
    <row r="8225" ht="15.75" customHeight="1">
      <c r="A8225" s="2">
        <v>109505.0</v>
      </c>
      <c r="B8225" s="2" t="s">
        <v>549</v>
      </c>
      <c r="C8225" s="2" t="s">
        <v>15120</v>
      </c>
      <c r="D8225" s="2" t="s">
        <v>114</v>
      </c>
      <c r="E8225" s="2" t="s">
        <v>457</v>
      </c>
      <c r="F8225" s="2">
        <v>0.0</v>
      </c>
      <c r="G8225" s="2">
        <v>500.0</v>
      </c>
      <c r="H8225" s="3" t="str">
        <f>HYPERLINK("http://www.linkedin.com/pub/mario-moussa/8/321/354","http://www.linkedin.com/pub/mario-moussa/8/321/354")</f>
        <v>http://www.linkedin.com/pub/mario-moussa/8/321/354</v>
      </c>
      <c r="I8225" s="2" t="s">
        <v>57</v>
      </c>
      <c r="J8225" s="2" t="s">
        <v>102</v>
      </c>
      <c r="K8225" s="2" t="s">
        <v>14105</v>
      </c>
    </row>
    <row r="8226" ht="15.75" customHeight="1">
      <c r="A8226" s="2">
        <v>109592.0</v>
      </c>
      <c r="B8226" s="2" t="s">
        <v>2909</v>
      </c>
      <c r="C8226" s="2" t="s">
        <v>15121</v>
      </c>
      <c r="D8226" s="2" t="s">
        <v>47</v>
      </c>
      <c r="E8226" s="2" t="s">
        <v>235</v>
      </c>
      <c r="F8226" s="2" t="s">
        <v>13</v>
      </c>
      <c r="G8226" s="2">
        <v>304.0</v>
      </c>
      <c r="H8226" s="3" t="str">
        <f>HYPERLINK("http://www.linkedin.com/pub/marshall-nickleberry/29/691/B94","http://www.linkedin.com/pub/marshall-nickleberry/29/691/B94")</f>
        <v>http://www.linkedin.com/pub/marshall-nickleberry/29/691/B94</v>
      </c>
      <c r="I8226" s="2" t="s">
        <v>77</v>
      </c>
      <c r="J8226" s="2" t="s">
        <v>102</v>
      </c>
      <c r="K8226" s="2" t="s">
        <v>14218</v>
      </c>
    </row>
    <row r="8227" ht="15.75" customHeight="1">
      <c r="A8227" s="2">
        <v>109716.0</v>
      </c>
      <c r="B8227" s="2" t="s">
        <v>752</v>
      </c>
      <c r="C8227" s="2" t="s">
        <v>15122</v>
      </c>
      <c r="D8227" s="2" t="s">
        <v>5217</v>
      </c>
      <c r="E8227" s="2" t="s">
        <v>301</v>
      </c>
      <c r="F8227" s="2" t="s">
        <v>13</v>
      </c>
      <c r="G8227" s="2">
        <v>489.0</v>
      </c>
      <c r="H8227" s="3" t="str">
        <f>HYPERLINK("http://www.linkedin.com/pub/jim-mccabe/4/38A/953","http://www.linkedin.com/pub/jim-mccabe/4/38A/953")</f>
        <v>http://www.linkedin.com/pub/jim-mccabe/4/38A/953</v>
      </c>
      <c r="I8227" s="2" t="s">
        <v>69</v>
      </c>
      <c r="J8227" s="2" t="s">
        <v>102</v>
      </c>
      <c r="K8227" s="2" t="s">
        <v>14092</v>
      </c>
    </row>
    <row r="8228" ht="15.75" customHeight="1">
      <c r="A8228" s="2">
        <v>109782.0</v>
      </c>
      <c r="B8228" s="2" t="s">
        <v>3832</v>
      </c>
      <c r="C8228" s="2" t="s">
        <v>15123</v>
      </c>
      <c r="D8228" s="2" t="s">
        <v>15124</v>
      </c>
      <c r="E8228" s="2" t="s">
        <v>301</v>
      </c>
      <c r="F8228" s="2">
        <v>10.0</v>
      </c>
      <c r="G8228" s="2">
        <v>500.0</v>
      </c>
      <c r="H8228" s="3" t="str">
        <f>HYPERLINK("http://www.linkedin.com/in/alaingroenendaal","http://www.linkedin.com/in/alaingroenendaal")</f>
        <v>http://www.linkedin.com/in/alaingroenendaal</v>
      </c>
      <c r="I8228" s="2" t="s">
        <v>105</v>
      </c>
      <c r="J8228" s="2" t="s">
        <v>102</v>
      </c>
      <c r="K8228" s="2" t="s">
        <v>14074</v>
      </c>
    </row>
    <row r="8229" ht="15.75" customHeight="1">
      <c r="A8229" s="2">
        <v>110107.0</v>
      </c>
      <c r="B8229" s="2" t="s">
        <v>6653</v>
      </c>
      <c r="C8229" s="2" t="s">
        <v>15125</v>
      </c>
      <c r="D8229" s="2" t="s">
        <v>15126</v>
      </c>
      <c r="E8229" s="2" t="s">
        <v>1190</v>
      </c>
      <c r="F8229" s="2">
        <v>15.0</v>
      </c>
      <c r="G8229" s="2">
        <v>500.0</v>
      </c>
      <c r="H8229" s="3" t="str">
        <f>HYPERLINK("http://www.linkedin.com/pub/tatiana-koike/5/5A8/73B","http://www.linkedin.com/pub/tatiana-koike/5/5A8/73B")</f>
        <v>http://www.linkedin.com/pub/tatiana-koike/5/5A8/73B</v>
      </c>
      <c r="I8229" s="2" t="s">
        <v>105</v>
      </c>
      <c r="J8229" s="2" t="s">
        <v>102</v>
      </c>
      <c r="K8229" s="2" t="s">
        <v>14074</v>
      </c>
    </row>
    <row r="8230" ht="15.75" customHeight="1">
      <c r="A8230" s="2">
        <v>110166.0</v>
      </c>
      <c r="B8230" s="2" t="s">
        <v>362</v>
      </c>
      <c r="C8230" s="2" t="s">
        <v>13786</v>
      </c>
      <c r="D8230" s="2" t="s">
        <v>15127</v>
      </c>
      <c r="E8230" s="2" t="s">
        <v>181</v>
      </c>
      <c r="F8230" s="2">
        <v>0.0</v>
      </c>
      <c r="G8230" s="2">
        <v>500.0</v>
      </c>
      <c r="H8230" s="3" t="str">
        <f>HYPERLINK("http://www.linkedin.com/pub/javier-fuentes/4/767/94","http://www.linkedin.com/pub/javier-fuentes/4/767/94")</f>
        <v>http://www.linkedin.com/pub/javier-fuentes/4/767/94</v>
      </c>
      <c r="I8230" s="2" t="s">
        <v>105</v>
      </c>
      <c r="J8230" s="2" t="s">
        <v>102</v>
      </c>
      <c r="K8230" s="2" t="s">
        <v>14074</v>
      </c>
    </row>
    <row r="8231" ht="15.75" customHeight="1">
      <c r="A8231" s="2">
        <v>110708.0</v>
      </c>
      <c r="B8231" s="2" t="s">
        <v>3695</v>
      </c>
      <c r="C8231" s="2" t="s">
        <v>14745</v>
      </c>
      <c r="D8231" s="2" t="s">
        <v>47</v>
      </c>
      <c r="E8231" s="2" t="s">
        <v>136</v>
      </c>
      <c r="F8231" s="2">
        <v>8.0</v>
      </c>
      <c r="G8231" s="2">
        <v>500.0</v>
      </c>
      <c r="H8231" s="3" t="str">
        <f>HYPERLINK("http://www.linkedin.com/in/andrehaddad","http://www.linkedin.com/in/andrehaddad")</f>
        <v>http://www.linkedin.com/in/andrehaddad</v>
      </c>
      <c r="I8231" s="2" t="s">
        <v>69</v>
      </c>
      <c r="J8231" s="2" t="s">
        <v>102</v>
      </c>
      <c r="K8231" s="2" t="s">
        <v>14073</v>
      </c>
    </row>
    <row r="8232" ht="15.75" customHeight="1">
      <c r="A8232" s="2">
        <v>110718.0</v>
      </c>
      <c r="B8232" s="2" t="s">
        <v>15128</v>
      </c>
      <c r="C8232" s="2" t="s">
        <v>15129</v>
      </c>
      <c r="D8232" s="2"/>
      <c r="E8232" s="2" t="s">
        <v>11133</v>
      </c>
      <c r="F8232" s="2">
        <v>0.0</v>
      </c>
      <c r="G8232" s="2">
        <v>500.0</v>
      </c>
      <c r="H8232" s="3" t="str">
        <f>HYPERLINK("http://www.linkedin.com/pub/billie-haggard/3/219/29","http://www.linkedin.com/pub/billie-haggard/3/219/29")</f>
        <v>http://www.linkedin.com/pub/billie-haggard/3/219/29</v>
      </c>
      <c r="I8232" s="2" t="s">
        <v>15</v>
      </c>
      <c r="J8232" s="2" t="s">
        <v>102</v>
      </c>
      <c r="K8232" s="2" t="s">
        <v>14095</v>
      </c>
    </row>
    <row r="8233" ht="15.75" customHeight="1">
      <c r="A8233" s="2">
        <v>110722.0</v>
      </c>
      <c r="B8233" s="2" t="s">
        <v>2543</v>
      </c>
      <c r="C8233" s="2" t="s">
        <v>15130</v>
      </c>
      <c r="D8233" s="2" t="s">
        <v>3466</v>
      </c>
      <c r="E8233" s="2" t="s">
        <v>3130</v>
      </c>
      <c r="F8233" s="2">
        <v>11.0</v>
      </c>
      <c r="G8233" s="2">
        <v>500.0</v>
      </c>
      <c r="H8233" s="3" t="str">
        <f>HYPERLINK("http://www.linkedin.com/in/dgoodwin","http://www.linkedin.com/in/dgoodwin")</f>
        <v>http://www.linkedin.com/in/dgoodwin</v>
      </c>
      <c r="I8233" s="2" t="s">
        <v>15</v>
      </c>
      <c r="J8233" s="2" t="s">
        <v>102</v>
      </c>
      <c r="K8233" s="2" t="s">
        <v>14088</v>
      </c>
    </row>
    <row r="8234" ht="15.75" customHeight="1">
      <c r="A8234" s="2">
        <v>110733.0</v>
      </c>
      <c r="B8234" s="2" t="s">
        <v>3037</v>
      </c>
      <c r="C8234" s="2" t="s">
        <v>292</v>
      </c>
      <c r="D8234" s="2" t="s">
        <v>15131</v>
      </c>
      <c r="E8234" s="2" t="s">
        <v>1407</v>
      </c>
      <c r="F8234" s="2" t="s">
        <v>13</v>
      </c>
      <c r="G8234" s="2">
        <v>322.0</v>
      </c>
      <c r="H8234" s="3" t="str">
        <f>HYPERLINK("http://www.linkedin.com/pub/douglas-smith/1/21/56A","http://www.linkedin.com/pub/douglas-smith/1/21/56A")</f>
        <v>http://www.linkedin.com/pub/douglas-smith/1/21/56A</v>
      </c>
      <c r="I8234" s="2" t="s">
        <v>69</v>
      </c>
      <c r="J8234" s="2" t="s">
        <v>102</v>
      </c>
      <c r="K8234" s="2" t="s">
        <v>14088</v>
      </c>
    </row>
    <row r="8235" ht="15.75" customHeight="1">
      <c r="A8235" s="2">
        <v>110855.0</v>
      </c>
      <c r="B8235" s="2" t="s">
        <v>774</v>
      </c>
      <c r="C8235" s="2" t="s">
        <v>15132</v>
      </c>
      <c r="D8235" s="2" t="s">
        <v>1320</v>
      </c>
      <c r="E8235" s="2" t="s">
        <v>882</v>
      </c>
      <c r="F8235" s="2">
        <v>23.0</v>
      </c>
      <c r="G8235" s="2">
        <v>500.0</v>
      </c>
      <c r="H8235" s="3" t="str">
        <f>HYPERLINK("http://www.linkedin.com/in/theethicsguy","http://www.linkedin.com/in/theethicsguy")</f>
        <v>http://www.linkedin.com/in/theethicsguy</v>
      </c>
      <c r="I8235" s="2" t="s">
        <v>1012</v>
      </c>
      <c r="J8235" s="2" t="s">
        <v>102</v>
      </c>
      <c r="K8235" s="2" t="s">
        <v>14074</v>
      </c>
    </row>
    <row r="8236" ht="15.75" customHeight="1">
      <c r="A8236" s="2">
        <v>111013.0</v>
      </c>
      <c r="B8236" s="2" t="s">
        <v>15133</v>
      </c>
      <c r="C8236" s="2" t="s">
        <v>2421</v>
      </c>
      <c r="D8236" s="2"/>
      <c r="E8236" s="2" t="s">
        <v>136</v>
      </c>
      <c r="F8236" s="2">
        <v>3.0</v>
      </c>
      <c r="G8236" s="2">
        <v>500.0</v>
      </c>
      <c r="H8236" s="3" t="str">
        <f>HYPERLINK("http://www.linkedin.com/pub/shannph-wong/0/11/983","http://www.linkedin.com/pub/shannph-wong/0/11/983")</f>
        <v>http://www.linkedin.com/pub/shannph-wong/0/11/983</v>
      </c>
      <c r="I8236" s="2" t="s">
        <v>15</v>
      </c>
      <c r="J8236" s="2" t="s">
        <v>102</v>
      </c>
      <c r="K8236" s="2" t="s">
        <v>14142</v>
      </c>
    </row>
    <row r="8237" ht="15.75" customHeight="1">
      <c r="A8237" s="2">
        <v>111563.0</v>
      </c>
      <c r="B8237" s="2" t="s">
        <v>1096</v>
      </c>
      <c r="C8237" s="2" t="s">
        <v>4890</v>
      </c>
      <c r="D8237" s="2" t="s">
        <v>15134</v>
      </c>
      <c r="E8237" s="2" t="s">
        <v>808</v>
      </c>
      <c r="F8237" s="2">
        <v>2.0</v>
      </c>
      <c r="G8237" s="2">
        <v>500.0</v>
      </c>
      <c r="H8237" s="3" t="str">
        <f>HYPERLINK("http://www.linkedin.com/in/bizdev2a","http://www.linkedin.com/in/bizdev2a")</f>
        <v>http://www.linkedin.com/in/bizdev2a</v>
      </c>
      <c r="I8237" s="2" t="s">
        <v>143</v>
      </c>
      <c r="J8237" s="2" t="s">
        <v>102</v>
      </c>
      <c r="K8237" s="2" t="s">
        <v>14088</v>
      </c>
    </row>
    <row r="8238" ht="15.75" customHeight="1">
      <c r="A8238" s="2">
        <v>111731.0</v>
      </c>
      <c r="B8238" s="2" t="s">
        <v>15135</v>
      </c>
      <c r="C8238" s="2" t="s">
        <v>15136</v>
      </c>
      <c r="D8238" s="2" t="s">
        <v>15137</v>
      </c>
      <c r="E8238" s="2" t="s">
        <v>713</v>
      </c>
      <c r="F8238" s="2">
        <v>0.0</v>
      </c>
      <c r="G8238" s="2">
        <v>500.0</v>
      </c>
      <c r="H8238" s="3" t="str">
        <f>HYPERLINK("http://www.linkedin.com/pub/karoline-lariviere/3/6B0/A99","http://www.linkedin.com/pub/karoline-lariviere/3/6B0/A99")</f>
        <v>http://www.linkedin.com/pub/karoline-lariviere/3/6B0/A99</v>
      </c>
      <c r="I8238" s="2" t="s">
        <v>865</v>
      </c>
      <c r="J8238" s="2" t="s">
        <v>102</v>
      </c>
      <c r="K8238" s="2" t="s">
        <v>14197</v>
      </c>
    </row>
    <row r="8239" ht="15.75" customHeight="1">
      <c r="A8239" s="2">
        <v>111897.0</v>
      </c>
      <c r="B8239" s="2" t="s">
        <v>13924</v>
      </c>
      <c r="C8239" s="2" t="s">
        <v>15138</v>
      </c>
      <c r="D8239" s="2" t="s">
        <v>5612</v>
      </c>
      <c r="E8239" s="2" t="s">
        <v>2426</v>
      </c>
      <c r="F8239" s="2">
        <v>22.0</v>
      </c>
      <c r="G8239" s="2">
        <v>500.0</v>
      </c>
      <c r="H8239" s="3" t="str">
        <f>HYPERLINK("http://www.linkedin.com/in/tammymccormack","http://www.linkedin.com/in/tammymccormack")</f>
        <v>http://www.linkedin.com/in/tammymccormack</v>
      </c>
      <c r="I8239" s="2" t="s">
        <v>48</v>
      </c>
      <c r="J8239" s="2" t="s">
        <v>102</v>
      </c>
      <c r="K8239" s="2" t="s">
        <v>14117</v>
      </c>
    </row>
    <row r="8240" ht="15.75" customHeight="1">
      <c r="A8240" s="2">
        <v>111983.0</v>
      </c>
      <c r="B8240" s="2" t="s">
        <v>879</v>
      </c>
      <c r="C8240" s="2" t="s">
        <v>12858</v>
      </c>
      <c r="D8240" s="2" t="s">
        <v>32</v>
      </c>
      <c r="E8240" s="2" t="s">
        <v>1190</v>
      </c>
      <c r="F8240" s="2">
        <v>8.0</v>
      </c>
      <c r="G8240" s="2">
        <v>500.0</v>
      </c>
      <c r="H8240" s="3" t="str">
        <f>HYPERLINK("http://www.linkedin.com/in/richmcl","http://www.linkedin.com/in/richmcl")</f>
        <v>http://www.linkedin.com/in/richmcl</v>
      </c>
      <c r="I8240" s="2" t="s">
        <v>15</v>
      </c>
      <c r="J8240" s="2" t="s">
        <v>102</v>
      </c>
      <c r="K8240" s="2" t="s">
        <v>14082</v>
      </c>
    </row>
    <row r="8241" ht="15.75" customHeight="1">
      <c r="A8241" s="2">
        <v>111999.0</v>
      </c>
      <c r="B8241" s="2" t="s">
        <v>839</v>
      </c>
      <c r="C8241" s="2" t="s">
        <v>15139</v>
      </c>
      <c r="D8241" s="2" t="s">
        <v>47</v>
      </c>
      <c r="E8241" s="2" t="s">
        <v>101</v>
      </c>
      <c r="F8241" s="2">
        <v>16.0</v>
      </c>
      <c r="G8241" s="2">
        <v>500.0</v>
      </c>
      <c r="H8241" s="3" t="str">
        <f>HYPERLINK("http://www.linkedin.com/pub/dave-ogden/1/367/910","http://www.linkedin.com/pub/dave-ogden/1/367/910")</f>
        <v>http://www.linkedin.com/pub/dave-ogden/1/367/910</v>
      </c>
      <c r="I8241" s="2" t="s">
        <v>77</v>
      </c>
      <c r="J8241" s="2" t="s">
        <v>102</v>
      </c>
      <c r="K8241" s="2" t="s">
        <v>14218</v>
      </c>
    </row>
    <row r="8242" ht="15.75" customHeight="1">
      <c r="A8242" s="2">
        <v>112023.0</v>
      </c>
      <c r="B8242" s="2" t="s">
        <v>625</v>
      </c>
      <c r="C8242" s="2" t="s">
        <v>399</v>
      </c>
      <c r="D8242" s="2" t="s">
        <v>100</v>
      </c>
      <c r="E8242" s="2" t="s">
        <v>5503</v>
      </c>
      <c r="F8242" s="2">
        <v>6.0</v>
      </c>
      <c r="G8242" s="2">
        <v>500.0</v>
      </c>
      <c r="H8242" s="3" t="str">
        <f>HYPERLINK("http://www.linkedin.com/in/timjjohnson","http://www.linkedin.com/in/timjjohnson")</f>
        <v>http://www.linkedin.com/in/timjjohnson</v>
      </c>
      <c r="I8242" s="2" t="s">
        <v>15</v>
      </c>
      <c r="J8242" s="2" t="s">
        <v>102</v>
      </c>
      <c r="K8242" s="2" t="s">
        <v>14218</v>
      </c>
    </row>
    <row r="8243" ht="15.75" customHeight="1">
      <c r="A8243" s="2">
        <v>112029.0</v>
      </c>
      <c r="B8243" s="2" t="s">
        <v>2350</v>
      </c>
      <c r="C8243" s="2" t="s">
        <v>10586</v>
      </c>
      <c r="D8243" s="2" t="s">
        <v>14863</v>
      </c>
      <c r="E8243" s="2" t="s">
        <v>2058</v>
      </c>
      <c r="F8243" s="2">
        <v>7.0</v>
      </c>
      <c r="G8243" s="2">
        <v>500.0</v>
      </c>
      <c r="H8243" s="3" t="str">
        <f>HYPERLINK("http://www.linkedin.com/in/fredpalacios","http://www.linkedin.com/in/fredpalacios")</f>
        <v>http://www.linkedin.com/in/fredpalacios</v>
      </c>
      <c r="I8243" s="2" t="s">
        <v>77</v>
      </c>
      <c r="J8243" s="2" t="s">
        <v>102</v>
      </c>
      <c r="K8243" s="2" t="s">
        <v>15140</v>
      </c>
    </row>
    <row r="8244" ht="15.75" customHeight="1">
      <c r="A8244" s="2">
        <v>112082.0</v>
      </c>
      <c r="B8244" s="2" t="s">
        <v>1087</v>
      </c>
      <c r="C8244" s="2" t="s">
        <v>2012</v>
      </c>
      <c r="D8244" s="2" t="s">
        <v>1145</v>
      </c>
      <c r="E8244" s="2" t="s">
        <v>15141</v>
      </c>
      <c r="F8244" s="2">
        <v>9.0</v>
      </c>
      <c r="G8244" s="2">
        <v>500.0</v>
      </c>
      <c r="H8244" s="3" t="str">
        <f>HYPERLINK("http://www.linkedin.com/in/jamescannon","http://www.linkedin.com/in/jamescannon")</f>
        <v>http://www.linkedin.com/in/jamescannon</v>
      </c>
      <c r="I8244" s="2" t="s">
        <v>77</v>
      </c>
      <c r="J8244" s="2" t="s">
        <v>102</v>
      </c>
      <c r="K8244" s="2" t="s">
        <v>14422</v>
      </c>
    </row>
    <row r="8245" ht="15.75" customHeight="1">
      <c r="A8245" s="2">
        <v>112158.0</v>
      </c>
      <c r="B8245" s="2" t="s">
        <v>15142</v>
      </c>
      <c r="C8245" s="2" t="s">
        <v>15143</v>
      </c>
      <c r="D8245" s="2" t="s">
        <v>830</v>
      </c>
      <c r="E8245" s="2" t="s">
        <v>1407</v>
      </c>
      <c r="F8245" s="2">
        <v>10.0</v>
      </c>
      <c r="G8245" s="2">
        <v>500.0</v>
      </c>
      <c r="H8245" s="3" t="str">
        <f>HYPERLINK("http://www.linkedin.com/in/leonardfinch","http://www.linkedin.com/in/leonardfinch")</f>
        <v>http://www.linkedin.com/in/leonardfinch</v>
      </c>
      <c r="I8245" s="2" t="s">
        <v>15</v>
      </c>
      <c r="J8245" s="2" t="s">
        <v>102</v>
      </c>
      <c r="K8245" s="2" t="s">
        <v>14197</v>
      </c>
    </row>
    <row r="8246" ht="15.75" customHeight="1">
      <c r="A8246" s="2">
        <v>112181.0</v>
      </c>
      <c r="B8246" s="2" t="s">
        <v>1296</v>
      </c>
      <c r="C8246" s="2" t="s">
        <v>15144</v>
      </c>
      <c r="D8246" s="2" t="s">
        <v>3371</v>
      </c>
      <c r="E8246" s="2" t="s">
        <v>4951</v>
      </c>
      <c r="F8246" s="2">
        <v>16.0</v>
      </c>
      <c r="G8246" s="2">
        <v>500.0</v>
      </c>
      <c r="H8246" s="3" t="str">
        <f>HYPERLINK("http://www.linkedin.com/in/andreaihara","http://www.linkedin.com/in/andreaihara")</f>
        <v>http://www.linkedin.com/in/andreaihara</v>
      </c>
      <c r="I8246" s="2" t="s">
        <v>1496</v>
      </c>
      <c r="J8246" s="2" t="s">
        <v>102</v>
      </c>
      <c r="K8246" s="2" t="s">
        <v>14125</v>
      </c>
    </row>
    <row r="8247" ht="15.75" customHeight="1">
      <c r="A8247" s="2">
        <v>112189.0</v>
      </c>
      <c r="B8247" s="2" t="s">
        <v>11086</v>
      </c>
      <c r="C8247" s="2" t="s">
        <v>15145</v>
      </c>
      <c r="D8247" s="2" t="s">
        <v>13</v>
      </c>
      <c r="E8247" s="2" t="s">
        <v>1190</v>
      </c>
      <c r="F8247" s="2">
        <v>0.0</v>
      </c>
      <c r="G8247" s="2">
        <v>500.0</v>
      </c>
      <c r="H8247" s="3" t="str">
        <f>HYPERLINK("https://www.linkedin.com/in/donaldteecarson","https://www.linkedin.com/in/donaldteecarson")</f>
        <v>https://www.linkedin.com/in/donaldteecarson</v>
      </c>
      <c r="I8247" s="2" t="s">
        <v>15</v>
      </c>
      <c r="J8247" s="2" t="s">
        <v>102</v>
      </c>
      <c r="K8247" s="2" t="s">
        <v>14085</v>
      </c>
    </row>
    <row r="8248" ht="15.75" customHeight="1">
      <c r="A8248" s="2">
        <v>112235.0</v>
      </c>
      <c r="B8248" s="2" t="s">
        <v>1173</v>
      </c>
      <c r="C8248" s="2" t="s">
        <v>15146</v>
      </c>
      <c r="D8248" s="2" t="s">
        <v>410</v>
      </c>
      <c r="E8248" s="2" t="s">
        <v>628</v>
      </c>
      <c r="F8248" s="2">
        <v>1.0</v>
      </c>
      <c r="G8248" s="2">
        <v>500.0</v>
      </c>
      <c r="H8248" s="3" t="str">
        <f>HYPERLINK("http://www.linkedin.com/pub/steve-zipparro/15/634/243","http://www.linkedin.com/pub/steve-zipparro/15/634/243")</f>
        <v>http://www.linkedin.com/pub/steve-zipparro/15/634/243</v>
      </c>
      <c r="I8248" s="2" t="s">
        <v>248</v>
      </c>
      <c r="J8248" s="2" t="s">
        <v>102</v>
      </c>
      <c r="K8248" s="2" t="s">
        <v>14121</v>
      </c>
    </row>
    <row r="8249" ht="15.75" customHeight="1">
      <c r="A8249" s="2">
        <v>112243.0</v>
      </c>
      <c r="B8249" s="2" t="s">
        <v>15147</v>
      </c>
      <c r="C8249" s="2" t="s">
        <v>15148</v>
      </c>
      <c r="D8249" s="2" t="s">
        <v>47</v>
      </c>
      <c r="E8249" s="2" t="s">
        <v>181</v>
      </c>
      <c r="F8249" s="2">
        <v>23.0</v>
      </c>
      <c r="G8249" s="2">
        <v>500.0</v>
      </c>
      <c r="H8249" s="3" t="str">
        <f>HYPERLINK("http://www.linkedin.com/in/macktreeece01","http://www.linkedin.com/in/macktreeece01")</f>
        <v>http://www.linkedin.com/in/macktreeece01</v>
      </c>
      <c r="I8249" s="2" t="s">
        <v>663</v>
      </c>
      <c r="J8249" s="2" t="s">
        <v>102</v>
      </c>
      <c r="K8249" s="2" t="s">
        <v>14105</v>
      </c>
    </row>
    <row r="8250" ht="15.75" customHeight="1">
      <c r="A8250" s="2">
        <v>112248.0</v>
      </c>
      <c r="B8250" s="2" t="s">
        <v>9414</v>
      </c>
      <c r="C8250" s="2" t="s">
        <v>15149</v>
      </c>
      <c r="D8250" s="2" t="s">
        <v>15150</v>
      </c>
      <c r="E8250" s="2" t="s">
        <v>101</v>
      </c>
      <c r="F8250" s="2" t="s">
        <v>13</v>
      </c>
      <c r="G8250" s="2">
        <v>424.0</v>
      </c>
      <c r="H8250" s="3" t="str">
        <f>HYPERLINK("http://www.linkedin.com/pub/diana-einterz/2/B76/779","http://www.linkedin.com/pub/diana-einterz/2/B76/779")</f>
        <v>http://www.linkedin.com/pub/diana-einterz/2/B76/779</v>
      </c>
      <c r="I8250" s="2" t="s">
        <v>15</v>
      </c>
      <c r="J8250" s="2" t="s">
        <v>102</v>
      </c>
      <c r="K8250" s="2" t="s">
        <v>14088</v>
      </c>
    </row>
    <row r="8251" ht="15.75" customHeight="1">
      <c r="A8251" s="2">
        <v>114136.0</v>
      </c>
      <c r="B8251" s="2" t="s">
        <v>9523</v>
      </c>
      <c r="C8251" s="2" t="s">
        <v>15151</v>
      </c>
      <c r="D8251" s="2" t="s">
        <v>400</v>
      </c>
      <c r="E8251" s="2" t="s">
        <v>20</v>
      </c>
      <c r="F8251" s="2">
        <v>0.0</v>
      </c>
      <c r="G8251" s="2">
        <v>379.0</v>
      </c>
      <c r="H8251" s="3" t="str">
        <f>HYPERLINK("http://ar.linkedin.com/in/araiczyk","http://ar.linkedin.com/in/araiczyk")</f>
        <v>http://ar.linkedin.com/in/araiczyk</v>
      </c>
      <c r="I8251" s="2" t="s">
        <v>69</v>
      </c>
      <c r="J8251" s="2" t="s">
        <v>21</v>
      </c>
      <c r="K8251" s="2" t="s">
        <v>14055</v>
      </c>
    </row>
    <row r="8252" ht="15.75" customHeight="1">
      <c r="A8252" s="2">
        <v>114475.0</v>
      </c>
      <c r="B8252" s="2" t="s">
        <v>15152</v>
      </c>
      <c r="C8252" s="2" t="s">
        <v>11769</v>
      </c>
      <c r="D8252" s="2" t="s">
        <v>15153</v>
      </c>
      <c r="E8252" s="2" t="s">
        <v>1407</v>
      </c>
      <c r="F8252" s="2" t="s">
        <v>13</v>
      </c>
      <c r="G8252" s="2">
        <v>253.0</v>
      </c>
      <c r="H8252" s="3" t="str">
        <f>HYPERLINK("http://www.linkedin.com/pub/naaserden-chang/9/820/905","http://www.linkedin.com/pub/naaserden-chang/9/820/905")</f>
        <v>http://www.linkedin.com/pub/naaserden-chang/9/820/905</v>
      </c>
      <c r="I8252" s="2" t="s">
        <v>15</v>
      </c>
      <c r="J8252" s="2" t="s">
        <v>102</v>
      </c>
      <c r="K8252" s="2" t="s">
        <v>14095</v>
      </c>
    </row>
    <row r="8253" ht="15.75" customHeight="1">
      <c r="A8253" s="2">
        <v>115115.0</v>
      </c>
      <c r="B8253" s="2" t="s">
        <v>4188</v>
      </c>
      <c r="C8253" s="2" t="s">
        <v>15154</v>
      </c>
      <c r="D8253" s="2" t="s">
        <v>114</v>
      </c>
      <c r="E8253" s="2" t="s">
        <v>10658</v>
      </c>
      <c r="F8253" s="2">
        <v>2.0</v>
      </c>
      <c r="G8253" s="2">
        <v>374.0</v>
      </c>
      <c r="H8253" s="3" t="str">
        <f>HYPERLINK("http://www.linkedin.com/in/sonnychohan","http://www.linkedin.com/in/sonnychohan")</f>
        <v>http://www.linkedin.com/in/sonnychohan</v>
      </c>
      <c r="I8253" s="2" t="s">
        <v>910</v>
      </c>
      <c r="J8253" s="2" t="s">
        <v>102</v>
      </c>
      <c r="K8253" s="2" t="s">
        <v>14055</v>
      </c>
    </row>
    <row r="8254" ht="15.75" customHeight="1">
      <c r="A8254" s="2">
        <v>115254.0</v>
      </c>
      <c r="B8254" s="2" t="s">
        <v>15155</v>
      </c>
      <c r="C8254" s="2" t="s">
        <v>12732</v>
      </c>
      <c r="D8254" s="2" t="s">
        <v>410</v>
      </c>
      <c r="E8254" s="2" t="s">
        <v>181</v>
      </c>
      <c r="F8254" s="2">
        <v>0.0</v>
      </c>
      <c r="G8254" s="2">
        <v>500.0</v>
      </c>
      <c r="H8254" s="3" t="str">
        <f>HYPERLINK("http://www.linkedin.com/in/ronomukherjee","http://www.linkedin.com/in/ronomukherjee")</f>
        <v>http://www.linkedin.com/in/ronomukherjee</v>
      </c>
      <c r="I8254" s="2" t="s">
        <v>15</v>
      </c>
      <c r="J8254" s="2" t="s">
        <v>102</v>
      </c>
      <c r="K8254" s="2" t="s">
        <v>14142</v>
      </c>
    </row>
    <row r="8255" ht="15.75" customHeight="1">
      <c r="A8255" s="2">
        <v>115424.0</v>
      </c>
      <c r="B8255" s="2" t="s">
        <v>839</v>
      </c>
      <c r="C8255" s="2" t="s">
        <v>15156</v>
      </c>
      <c r="D8255" s="2" t="s">
        <v>15157</v>
      </c>
      <c r="E8255" s="2" t="s">
        <v>15158</v>
      </c>
      <c r="F8255" s="2" t="s">
        <v>13</v>
      </c>
      <c r="G8255" s="2">
        <v>500.0</v>
      </c>
      <c r="H8255" s="3" t="str">
        <f>HYPERLINK("http://www.linkedin.com/pub/dave-senning/5/116/9A7","http://www.linkedin.com/pub/dave-senning/5/116/9A7")</f>
        <v>http://www.linkedin.com/pub/dave-senning/5/116/9A7</v>
      </c>
      <c r="I8255" s="2" t="s">
        <v>77</v>
      </c>
      <c r="J8255" s="2" t="s">
        <v>102</v>
      </c>
      <c r="K8255" s="2" t="s">
        <v>14085</v>
      </c>
    </row>
    <row r="8256" ht="15.75" customHeight="1">
      <c r="A8256" s="2">
        <v>115511.0</v>
      </c>
      <c r="B8256" s="2" t="s">
        <v>647</v>
      </c>
      <c r="C8256" s="2" t="s">
        <v>15159</v>
      </c>
      <c r="D8256" s="2" t="s">
        <v>13</v>
      </c>
      <c r="E8256" s="2" t="s">
        <v>628</v>
      </c>
      <c r="F8256" s="2">
        <v>0.0</v>
      </c>
      <c r="G8256" s="2">
        <v>500.0</v>
      </c>
      <c r="H8256" s="3" t="str">
        <f>HYPERLINK("http://www.linkedin.com/in/claudioboyks","http://www.linkedin.com/in/claudioboyks")</f>
        <v>http://www.linkedin.com/in/claudioboyks</v>
      </c>
      <c r="I8256" s="2" t="s">
        <v>172</v>
      </c>
      <c r="J8256" s="2" t="s">
        <v>102</v>
      </c>
      <c r="K8256" s="2" t="s">
        <v>14082</v>
      </c>
    </row>
    <row r="8257" ht="15.75" customHeight="1">
      <c r="A8257" s="2">
        <v>115617.0</v>
      </c>
      <c r="B8257" s="2" t="s">
        <v>677</v>
      </c>
      <c r="C8257" s="2" t="s">
        <v>7527</v>
      </c>
      <c r="D8257" s="2" t="s">
        <v>11737</v>
      </c>
      <c r="E8257" s="2" t="s">
        <v>1190</v>
      </c>
      <c r="F8257" s="2">
        <v>21.0</v>
      </c>
      <c r="G8257" s="2">
        <v>500.0</v>
      </c>
      <c r="H8257" s="3" t="str">
        <f>HYPERLINK("http://www.linkedin.com/in/danielcabrera","http://www.linkedin.com/in/danielcabrera")</f>
        <v>http://www.linkedin.com/in/danielcabrera</v>
      </c>
      <c r="I8257" s="2" t="s">
        <v>160</v>
      </c>
      <c r="J8257" s="2" t="s">
        <v>102</v>
      </c>
      <c r="K8257" s="2" t="s">
        <v>14074</v>
      </c>
    </row>
    <row r="8258" ht="15.75" customHeight="1">
      <c r="A8258" s="2">
        <v>115976.0</v>
      </c>
      <c r="B8258" s="2" t="s">
        <v>7859</v>
      </c>
      <c r="C8258" s="2" t="s">
        <v>15160</v>
      </c>
      <c r="D8258" s="2" t="s">
        <v>15161</v>
      </c>
      <c r="E8258" s="2" t="s">
        <v>1190</v>
      </c>
      <c r="F8258" s="2">
        <v>39.0</v>
      </c>
      <c r="G8258" s="2">
        <v>500.0</v>
      </c>
      <c r="H8258" s="3" t="str">
        <f>HYPERLINK("http://www.linkedin.com/in/juanjoduran","http://www.linkedin.com/in/juanjoduran")</f>
        <v>http://www.linkedin.com/in/juanjoduran</v>
      </c>
      <c r="I8258" s="2" t="s">
        <v>69</v>
      </c>
      <c r="J8258" s="2" t="s">
        <v>102</v>
      </c>
      <c r="K8258" s="2" t="s">
        <v>14173</v>
      </c>
    </row>
    <row r="8259" ht="15.75" customHeight="1">
      <c r="A8259" s="2">
        <v>116382.0</v>
      </c>
      <c r="B8259" s="2" t="s">
        <v>275</v>
      </c>
      <c r="C8259" s="2" t="s">
        <v>1023</v>
      </c>
      <c r="D8259" s="2" t="s">
        <v>15162</v>
      </c>
      <c r="E8259" s="2" t="s">
        <v>1818</v>
      </c>
      <c r="F8259" s="2">
        <v>10.0</v>
      </c>
      <c r="G8259" s="2">
        <v>500.0</v>
      </c>
      <c r="H8259" s="3" t="str">
        <f>HYPERLINK("http://www.linkedin.com/in/markdcameron","http://www.linkedin.com/in/markdcameron")</f>
        <v>http://www.linkedin.com/in/markdcameron</v>
      </c>
      <c r="I8259" s="2" t="s">
        <v>15</v>
      </c>
      <c r="J8259" s="2" t="s">
        <v>102</v>
      </c>
      <c r="K8259" s="2" t="s">
        <v>14057</v>
      </c>
    </row>
    <row r="8260" ht="15.75" customHeight="1">
      <c r="A8260" s="2">
        <v>116655.0</v>
      </c>
      <c r="B8260" s="2" t="s">
        <v>238</v>
      </c>
      <c r="C8260" s="2" t="s">
        <v>15163</v>
      </c>
      <c r="D8260" s="2" t="s">
        <v>12167</v>
      </c>
      <c r="E8260" s="2" t="s">
        <v>20</v>
      </c>
      <c r="F8260" s="2">
        <v>8.0</v>
      </c>
      <c r="G8260" s="2">
        <v>500.0</v>
      </c>
      <c r="H8260" s="3" t="str">
        <f>HYPERLINK("http://ar.linkedin.com/pub/juan-premet/16/17A/750","http://ar.linkedin.com/pub/juan-premet/16/17A/750")</f>
        <v>http://ar.linkedin.com/pub/juan-premet/16/17A/750</v>
      </c>
      <c r="I8260" s="2" t="s">
        <v>15</v>
      </c>
      <c r="J8260" s="2" t="s">
        <v>21</v>
      </c>
      <c r="K8260" s="2" t="s">
        <v>14057</v>
      </c>
    </row>
    <row r="8261" ht="15.75" customHeight="1">
      <c r="A8261" s="2">
        <v>117248.0</v>
      </c>
      <c r="B8261" s="2" t="s">
        <v>193</v>
      </c>
      <c r="C8261" s="2" t="s">
        <v>15164</v>
      </c>
      <c r="D8261" s="2" t="s">
        <v>15165</v>
      </c>
      <c r="E8261" s="2" t="s">
        <v>397</v>
      </c>
      <c r="F8261" s="2">
        <v>2.0</v>
      </c>
      <c r="G8261" s="2">
        <v>500.0</v>
      </c>
      <c r="H8261" s="3" t="str">
        <f>HYPERLINK("http://www.linkedin.com/in/guillermoabud","http://www.linkedin.com/in/guillermoabud")</f>
        <v>http://www.linkedin.com/in/guillermoabud</v>
      </c>
      <c r="I8261" s="2" t="s">
        <v>105</v>
      </c>
      <c r="J8261" s="2" t="s">
        <v>102</v>
      </c>
      <c r="K8261" s="2" t="s">
        <v>14074</v>
      </c>
    </row>
    <row r="8262" ht="15.75" customHeight="1">
      <c r="A8262" s="2">
        <v>117342.0</v>
      </c>
      <c r="B8262" s="2" t="s">
        <v>15166</v>
      </c>
      <c r="C8262" s="2" t="s">
        <v>15167</v>
      </c>
      <c r="D8262" s="2" t="s">
        <v>943</v>
      </c>
      <c r="E8262" s="2" t="s">
        <v>301</v>
      </c>
      <c r="F8262" s="2">
        <v>3.0</v>
      </c>
      <c r="G8262" s="2">
        <v>500.0</v>
      </c>
      <c r="H8262" s="3" t="str">
        <f>HYPERLINK("http://www.linkedin.com/in/irvingfain","http://www.linkedin.com/in/irvingfain")</f>
        <v>http://www.linkedin.com/in/irvingfain</v>
      </c>
      <c r="I8262" s="2" t="s">
        <v>69</v>
      </c>
      <c r="J8262" s="2" t="s">
        <v>102</v>
      </c>
      <c r="K8262" s="2" t="s">
        <v>14073</v>
      </c>
    </row>
    <row r="8263" ht="15.75" customHeight="1">
      <c r="A8263" s="2">
        <v>117395.0</v>
      </c>
      <c r="B8263" s="2" t="s">
        <v>2286</v>
      </c>
      <c r="C8263" s="2" t="s">
        <v>1843</v>
      </c>
      <c r="D8263" s="2" t="s">
        <v>13</v>
      </c>
      <c r="E8263" s="2" t="s">
        <v>457</v>
      </c>
      <c r="F8263" s="2">
        <v>0.0</v>
      </c>
      <c r="G8263" s="2">
        <v>500.0</v>
      </c>
      <c r="H8263" s="3" t="str">
        <f>HYPERLINK("http://www.linkedin.com/pub/amy-shah/0/332/593?trk=pub-pbmap","http://www.linkedin.com/pub/amy-shah/0/332/593?trk=pub-pbmap")</f>
        <v>http://www.linkedin.com/pub/amy-shah/0/332/593?trk=pub-pbmap</v>
      </c>
      <c r="I8263" s="2" t="s">
        <v>105</v>
      </c>
      <c r="J8263" s="2" t="s">
        <v>102</v>
      </c>
      <c r="K8263" s="2" t="s">
        <v>14068</v>
      </c>
    </row>
    <row r="8264" ht="15.75" customHeight="1">
      <c r="A8264" s="2">
        <v>117985.0</v>
      </c>
      <c r="B8264" s="2" t="s">
        <v>353</v>
      </c>
      <c r="C8264" s="2" t="s">
        <v>15168</v>
      </c>
      <c r="D8264" s="2" t="s">
        <v>15169</v>
      </c>
      <c r="E8264" s="2" t="s">
        <v>1190</v>
      </c>
      <c r="F8264" s="2">
        <v>0.0</v>
      </c>
      <c r="G8264" s="2">
        <v>139.0</v>
      </c>
      <c r="H8264" s="3" t="str">
        <f>HYPERLINK("http://www.linkedin.com/pub/alejandro-revich/7/B00/592","http://www.linkedin.com/pub/alejandro-revich/7/B00/592")</f>
        <v>http://www.linkedin.com/pub/alejandro-revich/7/B00/592</v>
      </c>
      <c r="I8264" s="2" t="s">
        <v>15</v>
      </c>
      <c r="J8264" s="2" t="s">
        <v>102</v>
      </c>
      <c r="K8264" s="2" t="s">
        <v>14339</v>
      </c>
    </row>
    <row r="8265" ht="15.75" customHeight="1">
      <c r="A8265" s="2">
        <v>118114.0</v>
      </c>
      <c r="B8265" s="2" t="s">
        <v>3389</v>
      </c>
      <c r="C8265" s="2" t="s">
        <v>15170</v>
      </c>
      <c r="D8265" s="2" t="s">
        <v>2048</v>
      </c>
      <c r="E8265" s="2" t="s">
        <v>235</v>
      </c>
      <c r="F8265" s="2">
        <v>1.0</v>
      </c>
      <c r="G8265" s="2">
        <v>500.0</v>
      </c>
      <c r="H8265" s="3" t="str">
        <f>HYPERLINK("http://www.linkedin.com/pub/manoj-agarwala/0/4B8/885","http://www.linkedin.com/pub/manoj-agarwala/0/4B8/885")</f>
        <v>http://www.linkedin.com/pub/manoj-agarwala/0/4B8/885</v>
      </c>
      <c r="I8265" s="2" t="s">
        <v>15</v>
      </c>
      <c r="J8265" s="2" t="s">
        <v>102</v>
      </c>
      <c r="K8265" s="2" t="s">
        <v>14088</v>
      </c>
    </row>
    <row r="8266" ht="15.75" customHeight="1">
      <c r="A8266" s="2">
        <v>118733.0</v>
      </c>
      <c r="B8266" s="2" t="s">
        <v>15171</v>
      </c>
      <c r="C8266" s="2" t="s">
        <v>15172</v>
      </c>
      <c r="D8266" s="2" t="s">
        <v>13</v>
      </c>
      <c r="E8266" s="2" t="s">
        <v>1190</v>
      </c>
      <c r="F8266" s="2">
        <v>4.0</v>
      </c>
      <c r="G8266" s="2">
        <v>500.0</v>
      </c>
      <c r="H8266" s="3" t="str">
        <f>HYPERLINK("http://www.linkedin.com/in/henrykwdabrowski","http://www.linkedin.com/in/henrykwdabrowski")</f>
        <v>http://www.linkedin.com/in/henrykwdabrowski</v>
      </c>
      <c r="I8266" s="2" t="s">
        <v>77</v>
      </c>
      <c r="J8266" s="2" t="s">
        <v>102</v>
      </c>
      <c r="K8266" s="2" t="s">
        <v>14088</v>
      </c>
    </row>
    <row r="8267" ht="15.75" customHeight="1">
      <c r="A8267" s="2">
        <v>118947.0</v>
      </c>
      <c r="B8267" s="2" t="s">
        <v>15173</v>
      </c>
      <c r="C8267" s="2" t="s">
        <v>15174</v>
      </c>
      <c r="D8267" s="2" t="s">
        <v>15175</v>
      </c>
      <c r="E8267" s="2" t="s">
        <v>1190</v>
      </c>
      <c r="F8267" s="2" t="s">
        <v>13</v>
      </c>
      <c r="G8267" s="2">
        <v>500.0</v>
      </c>
      <c r="H8267" s="3" t="str">
        <f>HYPERLINK("http://www.linkedin.com/pub/thania-segura/7/820/B3","http://www.linkedin.com/pub/thania-segura/7/820/B3")</f>
        <v>http://www.linkedin.com/pub/thania-segura/7/820/B3</v>
      </c>
      <c r="I8267" s="2" t="s">
        <v>48</v>
      </c>
      <c r="J8267" s="2" t="s">
        <v>102</v>
      </c>
      <c r="K8267" s="2" t="s">
        <v>14142</v>
      </c>
    </row>
    <row r="8268" ht="15.75" customHeight="1">
      <c r="A8268" s="2">
        <v>119055.0</v>
      </c>
      <c r="B8268" s="2" t="s">
        <v>15176</v>
      </c>
      <c r="C8268" s="2" t="s">
        <v>11419</v>
      </c>
      <c r="D8268" s="2" t="s">
        <v>15177</v>
      </c>
      <c r="E8268" s="2" t="s">
        <v>1190</v>
      </c>
      <c r="F8268" s="2">
        <v>2.0</v>
      </c>
      <c r="G8268" s="2">
        <v>500.0</v>
      </c>
      <c r="H8268" s="3" t="str">
        <f>HYPERLINK("http://www.linkedin.com/pub/jose-miguel-calderon/8/124/124","http://www.linkedin.com/pub/jose-miguel-calderon/8/124/124")</f>
        <v>http://www.linkedin.com/pub/jose-miguel-calderon/8/124/124</v>
      </c>
      <c r="I8268" s="2" t="s">
        <v>374</v>
      </c>
      <c r="J8268" s="2" t="s">
        <v>102</v>
      </c>
      <c r="K8268" s="2" t="s">
        <v>14092</v>
      </c>
    </row>
    <row r="8269" ht="15.75" customHeight="1">
      <c r="A8269" s="2">
        <v>119184.0</v>
      </c>
      <c r="B8269" s="2" t="s">
        <v>412</v>
      </c>
      <c r="C8269" s="2" t="s">
        <v>15178</v>
      </c>
      <c r="D8269" s="2" t="s">
        <v>15179</v>
      </c>
      <c r="E8269" s="2" t="s">
        <v>713</v>
      </c>
      <c r="F8269" s="2">
        <v>14.0</v>
      </c>
      <c r="G8269" s="2">
        <v>500.0</v>
      </c>
      <c r="H8269" s="3" t="str">
        <f>HYPERLINK("http://www.linkedin.com/in/robertotto","http://www.linkedin.com/in/robertotto")</f>
        <v>http://www.linkedin.com/in/robertotto</v>
      </c>
      <c r="I8269" s="2" t="s">
        <v>48</v>
      </c>
      <c r="J8269" s="2" t="s">
        <v>102</v>
      </c>
      <c r="K8269" s="2" t="s">
        <v>14117</v>
      </c>
    </row>
    <row r="8270" ht="15.75" customHeight="1">
      <c r="A8270" s="2">
        <v>119195.0</v>
      </c>
      <c r="B8270" s="2" t="s">
        <v>15180</v>
      </c>
      <c r="C8270" s="2" t="s">
        <v>15181</v>
      </c>
      <c r="D8270" s="2" t="s">
        <v>5394</v>
      </c>
      <c r="E8270" s="2" t="s">
        <v>1190</v>
      </c>
      <c r="F8270" s="2" t="s">
        <v>13</v>
      </c>
      <c r="G8270" s="2">
        <v>375.0</v>
      </c>
      <c r="H8270" s="3" t="str">
        <f>HYPERLINK("http://www.linkedin.com/in/hedienghelberg","http://www.linkedin.com/in/hedienghelberg")</f>
        <v>http://www.linkedin.com/in/hedienghelberg</v>
      </c>
      <c r="I8270" s="2" t="s">
        <v>15</v>
      </c>
      <c r="J8270" s="2" t="s">
        <v>102</v>
      </c>
      <c r="K8270" s="2" t="s">
        <v>14197</v>
      </c>
    </row>
    <row r="8271" ht="15.75" customHeight="1">
      <c r="A8271" s="2">
        <v>119325.0</v>
      </c>
      <c r="B8271" s="2" t="s">
        <v>45</v>
      </c>
      <c r="C8271" s="2" t="s">
        <v>4179</v>
      </c>
      <c r="D8271" s="2" t="s">
        <v>15182</v>
      </c>
      <c r="E8271" s="2" t="s">
        <v>914</v>
      </c>
      <c r="F8271" s="2" t="s">
        <v>13</v>
      </c>
      <c r="G8271" s="2">
        <v>271.0</v>
      </c>
      <c r="H8271" s="3" t="str">
        <f>HYPERLINK("http://www.linkedin.com/pub/carlos-weber/6/242/36","http://www.linkedin.com/pub/carlos-weber/6/242/36")</f>
        <v>http://www.linkedin.com/pub/carlos-weber/6/242/36</v>
      </c>
      <c r="I8271" s="2" t="s">
        <v>48</v>
      </c>
      <c r="J8271" s="2" t="s">
        <v>102</v>
      </c>
      <c r="K8271" s="2" t="s">
        <v>14204</v>
      </c>
    </row>
    <row r="8272" ht="15.75" customHeight="1">
      <c r="A8272" s="2">
        <v>119618.0</v>
      </c>
      <c r="B8272" s="2" t="s">
        <v>2350</v>
      </c>
      <c r="C8272" s="2" t="s">
        <v>6630</v>
      </c>
      <c r="D8272" s="2" t="s">
        <v>13</v>
      </c>
      <c r="E8272" s="2" t="s">
        <v>1190</v>
      </c>
      <c r="F8272" s="2">
        <v>0.0</v>
      </c>
      <c r="G8272" s="2">
        <v>500.0</v>
      </c>
      <c r="H8272" s="3" t="str">
        <f>HYPERLINK("http://www.linkedin.com/pub/fred-medina/2/400/202","http://www.linkedin.com/pub/fred-medina/2/400/202")</f>
        <v>http://www.linkedin.com/pub/fred-medina/2/400/202</v>
      </c>
      <c r="I8272" s="2" t="s">
        <v>910</v>
      </c>
      <c r="J8272" s="2" t="s">
        <v>102</v>
      </c>
      <c r="K8272" s="2" t="s">
        <v>14121</v>
      </c>
    </row>
    <row r="8273" ht="15.75" customHeight="1">
      <c r="A8273" s="2">
        <v>120226.0</v>
      </c>
      <c r="B8273" s="2" t="s">
        <v>1653</v>
      </c>
      <c r="C8273" s="2" t="s">
        <v>15183</v>
      </c>
      <c r="D8273" s="2" t="s">
        <v>114</v>
      </c>
      <c r="E8273" s="2" t="s">
        <v>407</v>
      </c>
      <c r="F8273" s="2">
        <v>4.0</v>
      </c>
      <c r="G8273" s="2">
        <v>500.0</v>
      </c>
      <c r="H8273" s="3" t="str">
        <f>HYPERLINK("http://www.linkedin.com/in/dougwintz","http://www.linkedin.com/in/dougwintz")</f>
        <v>http://www.linkedin.com/in/dougwintz</v>
      </c>
      <c r="I8273" s="2" t="s">
        <v>248</v>
      </c>
      <c r="J8273" s="2" t="s">
        <v>102</v>
      </c>
      <c r="K8273" s="2" t="s">
        <v>14074</v>
      </c>
    </row>
    <row r="8274" ht="15.75" customHeight="1">
      <c r="A8274" s="2">
        <v>120508.0</v>
      </c>
      <c r="B8274" s="2" t="s">
        <v>15184</v>
      </c>
      <c r="C8274" s="2" t="s">
        <v>15185</v>
      </c>
      <c r="D8274" s="2" t="s">
        <v>13</v>
      </c>
      <c r="E8274" s="2" t="s">
        <v>20</v>
      </c>
      <c r="F8274" s="2">
        <v>0.0</v>
      </c>
      <c r="G8274" s="2">
        <v>500.0</v>
      </c>
      <c r="H8274" s="3" t="str">
        <f>HYPERLINK("http://www.linkedin.com/in/adanjz","http://www.linkedin.com/in/adanjz")</f>
        <v>http://www.linkedin.com/in/adanjz</v>
      </c>
      <c r="I8274" s="2" t="s">
        <v>48</v>
      </c>
      <c r="J8274" s="2" t="s">
        <v>21</v>
      </c>
      <c r="K8274" s="2" t="s">
        <v>14074</v>
      </c>
    </row>
    <row r="8275" ht="15.75" customHeight="1">
      <c r="A8275" s="2">
        <v>120598.0</v>
      </c>
      <c r="B8275" s="2" t="s">
        <v>3175</v>
      </c>
      <c r="C8275" s="2" t="s">
        <v>15186</v>
      </c>
      <c r="D8275" s="2" t="s">
        <v>15187</v>
      </c>
      <c r="E8275" s="2" t="s">
        <v>1190</v>
      </c>
      <c r="F8275" s="2">
        <v>0.0</v>
      </c>
      <c r="G8275" s="2">
        <v>500.0</v>
      </c>
      <c r="H8275" s="3" t="str">
        <f>HYPERLINK("http://www.linkedin.com/pub/daniela-chaparro-vegas/23/7A9/45B","http://www.linkedin.com/pub/daniela-chaparro-vegas/23/7A9/45B")</f>
        <v>http://www.linkedin.com/pub/daniela-chaparro-vegas/23/7A9/45B</v>
      </c>
      <c r="I8275" s="2" t="s">
        <v>910</v>
      </c>
      <c r="J8275" s="2" t="s">
        <v>102</v>
      </c>
      <c r="K8275" s="2" t="s">
        <v>14055</v>
      </c>
    </row>
    <row r="8276" ht="15.75" customHeight="1">
      <c r="A8276" s="2">
        <v>120633.0</v>
      </c>
      <c r="B8276" s="2" t="s">
        <v>7987</v>
      </c>
      <c r="C8276" s="2" t="s">
        <v>15188</v>
      </c>
      <c r="D8276" s="2" t="s">
        <v>15189</v>
      </c>
      <c r="E8276" s="2" t="s">
        <v>1190</v>
      </c>
      <c r="F8276" s="2" t="s">
        <v>13</v>
      </c>
      <c r="G8276" s="2">
        <v>113.0</v>
      </c>
      <c r="H8276" s="3" t="str">
        <f>HYPERLINK("http://www.linkedin.com/pub/emilio-otermin/7/223/45A","http://www.linkedin.com/pub/emilio-otermin/7/223/45A")</f>
        <v>http://www.linkedin.com/pub/emilio-otermin/7/223/45A</v>
      </c>
      <c r="I8276" s="2" t="s">
        <v>195</v>
      </c>
      <c r="J8276" s="2" t="s">
        <v>102</v>
      </c>
      <c r="K8276" s="2" t="s">
        <v>14115</v>
      </c>
    </row>
    <row r="8277" ht="15.75" customHeight="1">
      <c r="A8277" s="2">
        <v>120712.0</v>
      </c>
      <c r="B8277" s="2" t="s">
        <v>11086</v>
      </c>
      <c r="C8277" s="2" t="s">
        <v>15190</v>
      </c>
      <c r="D8277" s="2" t="s">
        <v>47</v>
      </c>
      <c r="E8277" s="2" t="s">
        <v>136</v>
      </c>
      <c r="F8277" s="2">
        <v>10.0</v>
      </c>
      <c r="G8277" s="2">
        <v>500.0</v>
      </c>
      <c r="H8277" s="3" t="str">
        <f>HYPERLINK("http://www.linkedin.com/in/dplumley","http://www.linkedin.com/in/dplumley")</f>
        <v>http://www.linkedin.com/in/dplumley</v>
      </c>
      <c r="I8277" s="2" t="s">
        <v>2561</v>
      </c>
      <c r="J8277" s="2" t="s">
        <v>102</v>
      </c>
      <c r="K8277" s="2" t="s">
        <v>14074</v>
      </c>
    </row>
    <row r="8278" ht="15.75" customHeight="1">
      <c r="A8278" s="2">
        <v>120937.0</v>
      </c>
      <c r="B8278" s="2" t="s">
        <v>1019</v>
      </c>
      <c r="C8278" s="2" t="s">
        <v>4729</v>
      </c>
      <c r="D8278" s="2" t="s">
        <v>15191</v>
      </c>
      <c r="E8278" s="2" t="s">
        <v>136</v>
      </c>
      <c r="F8278" s="2">
        <v>7.0</v>
      </c>
      <c r="G8278" s="2">
        <v>500.0</v>
      </c>
      <c r="H8278" s="3" t="str">
        <f>HYPERLINK("http://www.linkedin.com/in/mattperez","http://www.linkedin.com/in/mattperez")</f>
        <v>http://www.linkedin.com/in/mattperez</v>
      </c>
      <c r="I8278" s="2" t="s">
        <v>48</v>
      </c>
      <c r="J8278" s="2" t="s">
        <v>102</v>
      </c>
      <c r="K8278" s="2" t="s">
        <v>14088</v>
      </c>
    </row>
    <row r="8279" ht="15.75" customHeight="1">
      <c r="A8279" s="2">
        <v>121081.0</v>
      </c>
      <c r="B8279" s="2" t="s">
        <v>2329</v>
      </c>
      <c r="C8279" s="2" t="s">
        <v>15192</v>
      </c>
      <c r="D8279" s="2" t="s">
        <v>15193</v>
      </c>
      <c r="E8279" s="2" t="s">
        <v>882</v>
      </c>
      <c r="F8279" s="2">
        <v>38.0</v>
      </c>
      <c r="G8279" s="2">
        <v>500.0</v>
      </c>
      <c r="H8279" s="3" t="str">
        <f>HYPERLINK("http://www.linkedin.com/in/paulocarvao","http://www.linkedin.com/in/paulocarvao")</f>
        <v>http://www.linkedin.com/in/paulocarvao</v>
      </c>
      <c r="I8279" s="2" t="s">
        <v>15</v>
      </c>
      <c r="J8279" s="2" t="s">
        <v>102</v>
      </c>
      <c r="K8279" s="2" t="s">
        <v>14080</v>
      </c>
    </row>
    <row r="8280" ht="15.75" customHeight="1">
      <c r="A8280" s="2">
        <v>121493.0</v>
      </c>
      <c r="B8280" s="2" t="s">
        <v>15194</v>
      </c>
      <c r="C8280" s="2" t="s">
        <v>15195</v>
      </c>
      <c r="D8280" s="2" t="s">
        <v>13</v>
      </c>
      <c r="E8280" s="2" t="s">
        <v>14047</v>
      </c>
      <c r="F8280" s="2">
        <v>0.0</v>
      </c>
      <c r="G8280" s="2">
        <v>500.0</v>
      </c>
      <c r="H8280" s="3" t="str">
        <f>HYPERLINK("http://www.linkedin.com/pub/gustavo-roberto-perez-seib/6/831/713","http://www.linkedin.com/pub/gustavo-roberto-perez-seib/6/831/713")</f>
        <v>http://www.linkedin.com/pub/gustavo-roberto-perez-seib/6/831/713</v>
      </c>
      <c r="I8280" s="2" t="s">
        <v>15</v>
      </c>
      <c r="J8280" s="2" t="s">
        <v>102</v>
      </c>
      <c r="K8280" s="2" t="s">
        <v>14080</v>
      </c>
    </row>
    <row r="8281" ht="15.75" customHeight="1">
      <c r="A8281" s="2">
        <v>121515.0</v>
      </c>
      <c r="B8281" s="2" t="s">
        <v>6252</v>
      </c>
      <c r="C8281" s="2" t="s">
        <v>9802</v>
      </c>
      <c r="D8281" s="2" t="s">
        <v>15196</v>
      </c>
      <c r="E8281" s="2" t="s">
        <v>1190</v>
      </c>
      <c r="F8281" s="2">
        <v>0.0</v>
      </c>
      <c r="G8281" s="2">
        <v>500.0</v>
      </c>
      <c r="H8281" s="3" t="str">
        <f>HYPERLINK("http://www.linkedin.com/in/santiagopalacio","http://www.linkedin.com/in/santiagopalacio")</f>
        <v>http://www.linkedin.com/in/santiagopalacio</v>
      </c>
      <c r="I8281" s="2" t="s">
        <v>48</v>
      </c>
      <c r="J8281" s="2" t="s">
        <v>102</v>
      </c>
      <c r="K8281" s="2" t="s">
        <v>14088</v>
      </c>
    </row>
    <row r="8282" ht="15.75" customHeight="1">
      <c r="A8282" s="2">
        <v>121588.0</v>
      </c>
      <c r="B8282" s="2" t="s">
        <v>15197</v>
      </c>
      <c r="C8282" s="2" t="s">
        <v>15198</v>
      </c>
      <c r="D8282" s="2" t="s">
        <v>47</v>
      </c>
      <c r="E8282" s="2" t="s">
        <v>971</v>
      </c>
      <c r="F8282" s="2">
        <v>1.0</v>
      </c>
      <c r="G8282" s="2">
        <v>500.0</v>
      </c>
      <c r="H8282" s="3" t="str">
        <f>HYPERLINK("http://www.linkedin.com/in/chitubhai","http://www.linkedin.com/in/chitubhai")</f>
        <v>http://www.linkedin.com/in/chitubhai</v>
      </c>
      <c r="I8282" s="2" t="s">
        <v>115</v>
      </c>
      <c r="J8282" s="2" t="s">
        <v>102</v>
      </c>
      <c r="K8282" s="2" t="s">
        <v>14055</v>
      </c>
    </row>
    <row r="8283" ht="15.75" customHeight="1">
      <c r="A8283" s="2">
        <v>122061.0</v>
      </c>
      <c r="B8283" s="2" t="s">
        <v>15199</v>
      </c>
      <c r="C8283" s="2" t="s">
        <v>15200</v>
      </c>
      <c r="D8283" s="2"/>
      <c r="E8283" s="2" t="s">
        <v>1190</v>
      </c>
      <c r="F8283" s="2">
        <v>5.0</v>
      </c>
      <c r="G8283" s="2">
        <v>500.0</v>
      </c>
      <c r="H8283" s="3" t="str">
        <f>HYPERLINK("http://www.linkedin.com/pub/nicolo-alaimo/0/31B/10A","http://www.linkedin.com/pub/nicolo-alaimo/0/31B/10A")</f>
        <v>http://www.linkedin.com/pub/nicolo-alaimo/0/31B/10A</v>
      </c>
      <c r="I8283" s="2" t="s">
        <v>48</v>
      </c>
      <c r="J8283" s="2" t="s">
        <v>102</v>
      </c>
      <c r="K8283" s="2" t="s">
        <v>15201</v>
      </c>
    </row>
    <row r="8284" ht="15.75" customHeight="1">
      <c r="A8284" s="2">
        <v>122581.0</v>
      </c>
      <c r="B8284" s="2" t="s">
        <v>133</v>
      </c>
      <c r="C8284" s="2" t="s">
        <v>5593</v>
      </c>
      <c r="D8284" s="2" t="s">
        <v>114</v>
      </c>
      <c r="E8284" s="2" t="s">
        <v>15202</v>
      </c>
      <c r="F8284" s="2">
        <v>65.0</v>
      </c>
      <c r="G8284" s="2">
        <v>500.0</v>
      </c>
      <c r="H8284" s="3" t="str">
        <f>HYPERLINK("http://www.linkedin.com/in/michaelphelps","http://www.linkedin.com/in/michaelphelps")</f>
        <v>http://www.linkedin.com/in/michaelphelps</v>
      </c>
      <c r="I8284" s="2" t="s">
        <v>1390</v>
      </c>
      <c r="J8284" s="2" t="s">
        <v>102</v>
      </c>
      <c r="K8284" s="2" t="s">
        <v>14055</v>
      </c>
    </row>
    <row r="8285" ht="15.75" customHeight="1">
      <c r="A8285" s="2">
        <v>122753.0</v>
      </c>
      <c r="B8285" s="2" t="s">
        <v>15203</v>
      </c>
      <c r="C8285" s="2" t="s">
        <v>2168</v>
      </c>
      <c r="D8285" s="2" t="s">
        <v>42</v>
      </c>
      <c r="E8285" s="2" t="s">
        <v>992</v>
      </c>
      <c r="F8285" s="2">
        <v>1.0</v>
      </c>
      <c r="G8285" s="2">
        <v>184.0</v>
      </c>
      <c r="H8285" s="3" t="str">
        <f>HYPERLINK("http://www.linkedin.com/pub/mathieu-louis/1B/112/B04","http://www.linkedin.com/pub/mathieu-louis/1B/112/B04")</f>
        <v>http://www.linkedin.com/pub/mathieu-louis/1B/112/B04</v>
      </c>
      <c r="I8285" s="2" t="s">
        <v>48</v>
      </c>
      <c r="J8285" s="2" t="s">
        <v>102</v>
      </c>
      <c r="K8285" s="2" t="s">
        <v>14074</v>
      </c>
    </row>
    <row r="8286" ht="15.75" customHeight="1">
      <c r="A8286" s="2">
        <v>122832.0</v>
      </c>
      <c r="B8286" s="2" t="s">
        <v>1173</v>
      </c>
      <c r="C8286" s="2" t="s">
        <v>563</v>
      </c>
      <c r="D8286" s="2" t="s">
        <v>2802</v>
      </c>
      <c r="E8286" s="2" t="s">
        <v>3516</v>
      </c>
      <c r="F8286" s="2">
        <v>0.0</v>
      </c>
      <c r="G8286" s="2">
        <v>180.0</v>
      </c>
      <c r="H8286" s="3" t="str">
        <f>HYPERLINK("http://www.linkedin.com/pub/steve-werner/11/878/856","http://www.linkedin.com/pub/steve-werner/11/878/856")</f>
        <v>http://www.linkedin.com/pub/steve-werner/11/878/856</v>
      </c>
      <c r="I8286" s="2" t="s">
        <v>225</v>
      </c>
      <c r="J8286" s="2" t="s">
        <v>102</v>
      </c>
      <c r="K8286" s="2" t="s">
        <v>14055</v>
      </c>
    </row>
    <row r="8287" ht="15.75" customHeight="1">
      <c r="A8287" s="2">
        <v>123160.0</v>
      </c>
      <c r="B8287" s="2" t="s">
        <v>15204</v>
      </c>
      <c r="C8287" s="2" t="s">
        <v>7018</v>
      </c>
      <c r="D8287" s="2" t="s">
        <v>15205</v>
      </c>
      <c r="E8287" s="2" t="s">
        <v>1190</v>
      </c>
      <c r="F8287" s="2">
        <v>10.0</v>
      </c>
      <c r="G8287" s="2">
        <v>500.0</v>
      </c>
      <c r="H8287" s="3" t="str">
        <f>HYPERLINK("http://www.linkedin.com/pub/montserrat-morales/7/69B/274","http://www.linkedin.com/pub/montserrat-morales/7/69B/274")</f>
        <v>http://www.linkedin.com/pub/montserrat-morales/7/69B/274</v>
      </c>
      <c r="I8287" s="2" t="s">
        <v>77</v>
      </c>
      <c r="J8287" s="2" t="s">
        <v>102</v>
      </c>
      <c r="K8287" s="2" t="s">
        <v>14242</v>
      </c>
    </row>
    <row r="8288" ht="15.75" customHeight="1">
      <c r="A8288" s="2">
        <v>123654.0</v>
      </c>
      <c r="B8288" s="2" t="s">
        <v>2754</v>
      </c>
      <c r="C8288" s="2" t="s">
        <v>1599</v>
      </c>
      <c r="D8288" s="2" t="s">
        <v>4048</v>
      </c>
      <c r="E8288" s="2" t="s">
        <v>971</v>
      </c>
      <c r="F8288" s="2">
        <v>5.0</v>
      </c>
      <c r="G8288" s="2">
        <v>500.0</v>
      </c>
      <c r="H8288" s="3" t="str">
        <f>HYPERLINK("http://www.linkedin.com/pub/will-oliver/0/174/9B6","http://www.linkedin.com/pub/will-oliver/0/174/9B6")</f>
        <v>http://www.linkedin.com/pub/will-oliver/0/174/9B6</v>
      </c>
      <c r="I8288" s="2" t="s">
        <v>669</v>
      </c>
      <c r="J8288" s="2" t="s">
        <v>102</v>
      </c>
      <c r="K8288" s="2" t="s">
        <v>14055</v>
      </c>
    </row>
    <row r="8289" ht="15.75" customHeight="1">
      <c r="A8289" s="2">
        <v>123723.0</v>
      </c>
      <c r="B8289" s="2" t="s">
        <v>1405</v>
      </c>
      <c r="C8289" s="2" t="s">
        <v>15206</v>
      </c>
      <c r="D8289" s="2" t="s">
        <v>15207</v>
      </c>
      <c r="E8289" s="2" t="s">
        <v>4407</v>
      </c>
      <c r="F8289" s="2">
        <v>0.0</v>
      </c>
      <c r="G8289" s="2">
        <v>500.0</v>
      </c>
      <c r="H8289" s="3" t="str">
        <f>HYPERLINK("http://www.linkedin.com/pub/ron-louks/10/792/977","http://www.linkedin.com/pub/ron-louks/10/792/977")</f>
        <v>http://www.linkedin.com/pub/ron-louks/10/792/977</v>
      </c>
      <c r="I8289" s="2" t="s">
        <v>77</v>
      </c>
      <c r="J8289" s="2" t="s">
        <v>102</v>
      </c>
      <c r="K8289" s="2" t="s">
        <v>14085</v>
      </c>
    </row>
    <row r="8290" ht="15.75" customHeight="1">
      <c r="A8290" s="2">
        <v>124048.0</v>
      </c>
      <c r="B8290" s="2" t="s">
        <v>8328</v>
      </c>
      <c r="C8290" s="2" t="s">
        <v>15208</v>
      </c>
      <c r="D8290" s="2" t="s">
        <v>15209</v>
      </c>
      <c r="E8290" s="2" t="s">
        <v>2058</v>
      </c>
      <c r="F8290" s="2">
        <v>10.0</v>
      </c>
      <c r="G8290" s="2">
        <v>500.0</v>
      </c>
      <c r="H8290" s="3" t="str">
        <f>HYPERLINK("http://www.linkedin.com/pub/leila-winick/5/779/323","http://www.linkedin.com/pub/leila-winick/5/779/323")</f>
        <v>http://www.linkedin.com/pub/leila-winick/5/779/323</v>
      </c>
      <c r="I8290" s="2" t="s">
        <v>105</v>
      </c>
      <c r="J8290" s="2" t="s">
        <v>102</v>
      </c>
      <c r="K8290" s="2" t="s">
        <v>14071</v>
      </c>
    </row>
    <row r="8291" ht="15.75" customHeight="1">
      <c r="A8291" s="2">
        <v>125558.0</v>
      </c>
      <c r="B8291" s="2" t="s">
        <v>582</v>
      </c>
      <c r="C8291" s="2" t="s">
        <v>15210</v>
      </c>
      <c r="D8291" s="2"/>
      <c r="E8291" s="2" t="s">
        <v>1407</v>
      </c>
      <c r="F8291" s="2">
        <v>11.0</v>
      </c>
      <c r="G8291" s="2">
        <v>500.0</v>
      </c>
      <c r="H8291" s="3" t="str">
        <f>HYPERLINK("http://www.linkedin.com/pub/alexandre-marques-pmp-emba/0/22A/565","http://www.linkedin.com/pub/alexandre-marques-pmp-emba/0/22A/565")</f>
        <v>http://www.linkedin.com/pub/alexandre-marques-pmp-emba/0/22A/565</v>
      </c>
      <c r="I8291" s="2" t="s">
        <v>48</v>
      </c>
      <c r="J8291" s="2" t="s">
        <v>102</v>
      </c>
      <c r="K8291" s="2" t="s">
        <v>14105</v>
      </c>
    </row>
    <row r="8292" ht="15.75" customHeight="1">
      <c r="A8292" s="2">
        <v>126197.0</v>
      </c>
      <c r="B8292" s="2" t="s">
        <v>3036</v>
      </c>
      <c r="C8292" s="2" t="s">
        <v>15211</v>
      </c>
      <c r="D8292" s="2" t="s">
        <v>81</v>
      </c>
      <c r="E8292" s="2" t="s">
        <v>301</v>
      </c>
      <c r="F8292" s="2">
        <v>12.0</v>
      </c>
      <c r="G8292" s="2">
        <v>500.0</v>
      </c>
      <c r="H8292" s="3" t="str">
        <f>HYPERLINK("http://www.linkedin.com/in/saraholoubek","http://www.linkedin.com/in/saraholoubek")</f>
        <v>http://www.linkedin.com/in/saraholoubek</v>
      </c>
      <c r="I8292" s="2" t="s">
        <v>57</v>
      </c>
      <c r="J8292" s="2" t="s">
        <v>102</v>
      </c>
      <c r="K8292" s="2" t="s">
        <v>14074</v>
      </c>
    </row>
    <row r="8293" ht="15.75" customHeight="1">
      <c r="A8293" s="2">
        <v>126380.0</v>
      </c>
      <c r="B8293" s="2" t="s">
        <v>152</v>
      </c>
      <c r="C8293" s="2" t="s">
        <v>15212</v>
      </c>
      <c r="D8293" s="2" t="s">
        <v>15213</v>
      </c>
      <c r="E8293" s="2" t="s">
        <v>914</v>
      </c>
      <c r="F8293" s="2" t="s">
        <v>13</v>
      </c>
      <c r="G8293" s="2">
        <v>422.0</v>
      </c>
      <c r="H8293" s="3" t="str">
        <f>HYPERLINK("http://www.linkedin.com/pub/eduardo-rosini/19/483/316","http://www.linkedin.com/pub/eduardo-rosini/19/483/316")</f>
        <v>http://www.linkedin.com/pub/eduardo-rosini/19/483/316</v>
      </c>
      <c r="I8293" s="2" t="s">
        <v>15</v>
      </c>
      <c r="J8293" s="2" t="s">
        <v>102</v>
      </c>
      <c r="K8293" s="2" t="s">
        <v>15214</v>
      </c>
    </row>
    <row r="8294" ht="15.75" customHeight="1">
      <c r="A8294" s="2">
        <v>126387.0</v>
      </c>
      <c r="B8294" s="2" t="s">
        <v>133</v>
      </c>
      <c r="C8294" s="2" t="s">
        <v>292</v>
      </c>
      <c r="D8294" s="2" t="s">
        <v>400</v>
      </c>
      <c r="E8294" s="2" t="s">
        <v>1190</v>
      </c>
      <c r="F8294" s="2">
        <v>2.0</v>
      </c>
      <c r="G8294" s="2">
        <v>336.0</v>
      </c>
      <c r="H8294" s="3" t="str">
        <f>HYPERLINK("http://www.linkedin.com/in/creativeworldmedia","http://www.linkedin.com/in/creativeworldmedia")</f>
        <v>http://www.linkedin.com/in/creativeworldmedia</v>
      </c>
      <c r="I8294" s="2" t="s">
        <v>105</v>
      </c>
      <c r="J8294" s="2" t="s">
        <v>102</v>
      </c>
      <c r="K8294" s="2" t="s">
        <v>14074</v>
      </c>
    </row>
    <row r="8295" ht="15.75" customHeight="1">
      <c r="A8295" s="2">
        <v>126424.0</v>
      </c>
      <c r="B8295" s="2" t="s">
        <v>14472</v>
      </c>
      <c r="C8295" s="2" t="s">
        <v>7724</v>
      </c>
      <c r="D8295" s="2" t="s">
        <v>15215</v>
      </c>
      <c r="E8295" s="2" t="s">
        <v>1190</v>
      </c>
      <c r="F8295" s="2">
        <v>7.0</v>
      </c>
      <c r="G8295" s="2">
        <v>500.0</v>
      </c>
      <c r="H8295" s="3" t="str">
        <f>HYPERLINK("http://www.linkedin.com/in/octaviolara","http://www.linkedin.com/in/octaviolara")</f>
        <v>http://www.linkedin.com/in/octaviolara</v>
      </c>
      <c r="I8295" s="2" t="s">
        <v>279</v>
      </c>
      <c r="J8295" s="2" t="s">
        <v>102</v>
      </c>
      <c r="K8295" s="2" t="s">
        <v>14197</v>
      </c>
    </row>
    <row r="8296" ht="15.75" customHeight="1">
      <c r="A8296" s="2">
        <v>126751.0</v>
      </c>
      <c r="B8296" s="2" t="s">
        <v>133</v>
      </c>
      <c r="C8296" s="2" t="s">
        <v>9140</v>
      </c>
      <c r="D8296" s="2" t="s">
        <v>15216</v>
      </c>
      <c r="E8296" s="2" t="s">
        <v>101</v>
      </c>
      <c r="F8296" s="2">
        <v>3.0</v>
      </c>
      <c r="G8296" s="2">
        <v>500.0</v>
      </c>
      <c r="H8296" s="3" t="str">
        <f>HYPERLINK("http://www.linkedin.com/pub/michael-moreno/12/6A1/A37","http://www.linkedin.com/pub/michael-moreno/12/6A1/A37")</f>
        <v>http://www.linkedin.com/pub/michael-moreno/12/6A1/A37</v>
      </c>
      <c r="I8296" s="2" t="s">
        <v>160</v>
      </c>
      <c r="J8296" s="2" t="s">
        <v>102</v>
      </c>
      <c r="K8296" s="2" t="s">
        <v>14102</v>
      </c>
    </row>
    <row r="8297" ht="15.75" customHeight="1">
      <c r="A8297" s="2">
        <v>126957.0</v>
      </c>
      <c r="B8297" s="2" t="s">
        <v>15217</v>
      </c>
      <c r="C8297" s="2" t="s">
        <v>15218</v>
      </c>
      <c r="D8297" s="2" t="s">
        <v>633</v>
      </c>
      <c r="E8297" s="2" t="s">
        <v>713</v>
      </c>
      <c r="F8297" s="2">
        <v>2.0</v>
      </c>
      <c r="G8297" s="2">
        <v>500.0</v>
      </c>
      <c r="H8297" s="3" t="str">
        <f>HYPERLINK("http://www.linkedin.com/in/jthong","http://www.linkedin.com/in/jthong")</f>
        <v>http://www.linkedin.com/in/jthong</v>
      </c>
      <c r="I8297" s="2" t="s">
        <v>27</v>
      </c>
      <c r="J8297" s="2" t="s">
        <v>102</v>
      </c>
      <c r="K8297" s="2" t="s">
        <v>14055</v>
      </c>
    </row>
    <row r="8298" ht="15.75" customHeight="1">
      <c r="A8298" s="2">
        <v>127368.0</v>
      </c>
      <c r="B8298" s="2" t="s">
        <v>12772</v>
      </c>
      <c r="C8298" s="2" t="s">
        <v>15219</v>
      </c>
      <c r="D8298" s="2" t="s">
        <v>15220</v>
      </c>
      <c r="E8298" s="2" t="s">
        <v>1190</v>
      </c>
      <c r="F8298" s="2">
        <v>14.0</v>
      </c>
      <c r="G8298" s="2">
        <v>456.0</v>
      </c>
      <c r="H8298" s="3" t="str">
        <f>HYPERLINK("http://www.linkedin.com/pub/harold-hamana/3/B75/608","http://www.linkedin.com/pub/harold-hamana/3/B75/608")</f>
        <v>http://www.linkedin.com/pub/harold-hamana/3/B75/608</v>
      </c>
      <c r="I8298" s="2" t="s">
        <v>844</v>
      </c>
      <c r="J8298" s="2" t="s">
        <v>102</v>
      </c>
      <c r="K8298" s="2" t="s">
        <v>14078</v>
      </c>
    </row>
    <row r="8299" ht="15.75" customHeight="1">
      <c r="A8299" s="2">
        <v>127723.0</v>
      </c>
      <c r="B8299" s="2" t="s">
        <v>3806</v>
      </c>
      <c r="C8299" s="2" t="s">
        <v>15221</v>
      </c>
      <c r="D8299" s="2" t="s">
        <v>309</v>
      </c>
      <c r="E8299" s="2" t="s">
        <v>15222</v>
      </c>
      <c r="F8299" s="2">
        <v>12.0</v>
      </c>
      <c r="G8299" s="2">
        <v>500.0</v>
      </c>
      <c r="H8299" s="3" t="str">
        <f>HYPERLINK("http://www.linkedin.com/in/dawngluskin","http://www.linkedin.com/in/dawngluskin")</f>
        <v>http://www.linkedin.com/in/dawngluskin</v>
      </c>
      <c r="I8299" s="2" t="s">
        <v>669</v>
      </c>
      <c r="J8299" s="2" t="s">
        <v>102</v>
      </c>
      <c r="K8299" s="2" t="s">
        <v>14074</v>
      </c>
    </row>
    <row r="8300" ht="15.75" customHeight="1">
      <c r="A8300" s="2">
        <v>127735.0</v>
      </c>
      <c r="B8300" s="2" t="s">
        <v>471</v>
      </c>
      <c r="C8300" s="2" t="s">
        <v>15223</v>
      </c>
      <c r="D8300" s="2" t="s">
        <v>15224</v>
      </c>
      <c r="E8300" s="2" t="s">
        <v>628</v>
      </c>
      <c r="F8300" s="2" t="s">
        <v>13</v>
      </c>
      <c r="G8300" s="2">
        <v>500.0</v>
      </c>
      <c r="H8300" s="3" t="str">
        <f>HYPERLINK("http://www.linkedin.com/in/dangarms","http://www.linkedin.com/in/dangarms")</f>
        <v>http://www.linkedin.com/in/dangarms</v>
      </c>
      <c r="I8300" s="2" t="s">
        <v>57</v>
      </c>
      <c r="J8300" s="2" t="s">
        <v>102</v>
      </c>
      <c r="K8300" s="2" t="s">
        <v>14092</v>
      </c>
    </row>
    <row r="8301" ht="15.75" customHeight="1">
      <c r="A8301" s="2">
        <v>127824.0</v>
      </c>
      <c r="B8301" s="2" t="s">
        <v>752</v>
      </c>
      <c r="C8301" s="2" t="s">
        <v>15225</v>
      </c>
      <c r="D8301" s="2" t="s">
        <v>15226</v>
      </c>
      <c r="E8301" s="2" t="s">
        <v>235</v>
      </c>
      <c r="F8301" s="2">
        <v>27.0</v>
      </c>
      <c r="G8301" s="2">
        <v>500.0</v>
      </c>
      <c r="H8301" s="3" t="str">
        <f>HYPERLINK("http://www.linkedin.com/in/jameseglin","http://www.linkedin.com/in/jameseglin")</f>
        <v>http://www.linkedin.com/in/jameseglin</v>
      </c>
      <c r="I8301" s="2" t="s">
        <v>15</v>
      </c>
      <c r="J8301" s="2" t="s">
        <v>102</v>
      </c>
      <c r="K8301" s="2" t="s">
        <v>14055</v>
      </c>
    </row>
    <row r="8302" ht="15.75" customHeight="1">
      <c r="A8302" s="2">
        <v>128534.0</v>
      </c>
      <c r="B8302" s="2" t="s">
        <v>1545</v>
      </c>
      <c r="C8302" s="2" t="s">
        <v>15227</v>
      </c>
      <c r="D8302" s="2" t="s">
        <v>15228</v>
      </c>
      <c r="E8302" s="2" t="s">
        <v>301</v>
      </c>
      <c r="F8302" s="2">
        <v>0.0</v>
      </c>
      <c r="G8302" s="2">
        <v>500.0</v>
      </c>
      <c r="H8302" s="3" t="str">
        <f>HYPERLINK("http://www.linkedin.com/pub/patrick-mcgrory/A/337/869","http://www.linkedin.com/pub/patrick-mcgrory/A/337/869")</f>
        <v>http://www.linkedin.com/pub/patrick-mcgrory/A/337/869</v>
      </c>
      <c r="I8302" s="2" t="s">
        <v>77</v>
      </c>
      <c r="J8302" s="2" t="s">
        <v>102</v>
      </c>
      <c r="K8302" s="2" t="s">
        <v>14085</v>
      </c>
    </row>
    <row r="8303" ht="15.75" customHeight="1">
      <c r="A8303" s="2">
        <v>128703.0</v>
      </c>
      <c r="B8303" s="2" t="s">
        <v>784</v>
      </c>
      <c r="C8303" s="2" t="s">
        <v>15229</v>
      </c>
      <c r="D8303" s="2" t="s">
        <v>13</v>
      </c>
      <c r="E8303" s="2" t="s">
        <v>2058</v>
      </c>
      <c r="F8303" s="2">
        <v>0.0</v>
      </c>
      <c r="G8303" s="2">
        <v>500.0</v>
      </c>
      <c r="H8303" s="3" t="str">
        <f>HYPERLINK("http://www.linkedin.com/pub/jeff-weiser/24/1A6/862","http://www.linkedin.com/pub/jeff-weiser/24/1A6/862")</f>
        <v>http://www.linkedin.com/pub/jeff-weiser/24/1A6/862</v>
      </c>
      <c r="I8303" s="2" t="s">
        <v>27</v>
      </c>
      <c r="J8303" s="2" t="s">
        <v>102</v>
      </c>
      <c r="K8303" s="2" t="s">
        <v>14092</v>
      </c>
    </row>
    <row r="8304" ht="15.75" customHeight="1">
      <c r="A8304" s="2">
        <v>128821.0</v>
      </c>
      <c r="B8304" s="2" t="s">
        <v>15230</v>
      </c>
      <c r="C8304" s="2" t="s">
        <v>15231</v>
      </c>
      <c r="D8304" s="2" t="s">
        <v>13</v>
      </c>
      <c r="E8304" s="2" t="s">
        <v>136</v>
      </c>
      <c r="F8304" s="2">
        <v>0.0</v>
      </c>
      <c r="G8304" s="2">
        <v>500.0</v>
      </c>
      <c r="H8304" s="3" t="str">
        <f>HYPERLINK("http://www.linkedin.com/in/sulemanali/","http://www.linkedin.com/in/sulemanali/")</f>
        <v>http://www.linkedin.com/in/sulemanali/</v>
      </c>
      <c r="I8304" s="2" t="s">
        <v>48</v>
      </c>
      <c r="J8304" s="2" t="s">
        <v>102</v>
      </c>
      <c r="K8304" s="2" t="s">
        <v>14080</v>
      </c>
    </row>
    <row r="8305" ht="15.75" customHeight="1">
      <c r="A8305" s="2">
        <v>128959.0</v>
      </c>
      <c r="B8305" s="2" t="s">
        <v>178</v>
      </c>
      <c r="C8305" s="2" t="s">
        <v>15232</v>
      </c>
      <c r="D8305" s="2" t="s">
        <v>81</v>
      </c>
      <c r="E8305" s="2" t="s">
        <v>914</v>
      </c>
      <c r="F8305" s="2">
        <v>18.0</v>
      </c>
      <c r="G8305" s="2">
        <v>500.0</v>
      </c>
      <c r="H8305" s="3" t="str">
        <f>HYPERLINK("http://www.linkedin.com/in/joehageonline","http://www.linkedin.com/in/joehageonline")</f>
        <v>http://www.linkedin.com/in/joehageonline</v>
      </c>
      <c r="I8305" s="2" t="s">
        <v>865</v>
      </c>
      <c r="J8305" s="2" t="s">
        <v>102</v>
      </c>
      <c r="K8305" s="2" t="s">
        <v>14105</v>
      </c>
    </row>
    <row r="8306" ht="15.75" customHeight="1">
      <c r="A8306" s="2">
        <v>128983.0</v>
      </c>
      <c r="B8306" s="2" t="s">
        <v>506</v>
      </c>
      <c r="C8306" s="2" t="s">
        <v>15233</v>
      </c>
      <c r="D8306" s="2" t="s">
        <v>15234</v>
      </c>
      <c r="E8306" s="2" t="s">
        <v>181</v>
      </c>
      <c r="F8306" s="2">
        <v>6.0</v>
      </c>
      <c r="G8306" s="2">
        <v>500.0</v>
      </c>
      <c r="H8306" s="3" t="str">
        <f>HYPERLINK("http://www.linkedin.com/pub/jose-morabito/3/5B2/835","http://www.linkedin.com/pub/jose-morabito/3/5B2/835")</f>
        <v>http://www.linkedin.com/pub/jose-morabito/3/5B2/835</v>
      </c>
      <c r="I8306" s="2" t="s">
        <v>172</v>
      </c>
      <c r="J8306" s="2" t="s">
        <v>102</v>
      </c>
      <c r="K8306" s="2" t="s">
        <v>14055</v>
      </c>
    </row>
    <row r="8307" ht="15.75" customHeight="1">
      <c r="A8307" s="2">
        <v>128987.0</v>
      </c>
      <c r="B8307" s="2" t="s">
        <v>1366</v>
      </c>
      <c r="C8307" s="2" t="s">
        <v>852</v>
      </c>
      <c r="D8307" s="2" t="s">
        <v>15235</v>
      </c>
      <c r="E8307" s="2" t="s">
        <v>136</v>
      </c>
      <c r="F8307" s="2">
        <v>5.0</v>
      </c>
      <c r="G8307" s="2">
        <v>500.0</v>
      </c>
      <c r="H8307" s="3" t="str">
        <f>HYPERLINK("http://www.linkedin.com/pub/peter-alexander/6/393/15B","http://www.linkedin.com/pub/peter-alexander/6/393/15B")</f>
        <v>http://www.linkedin.com/pub/peter-alexander/6/393/15B</v>
      </c>
      <c r="I8307" s="2" t="s">
        <v>77</v>
      </c>
      <c r="J8307" s="2" t="s">
        <v>102</v>
      </c>
      <c r="K8307" s="2" t="s">
        <v>14211</v>
      </c>
    </row>
    <row r="8308" ht="15.75" customHeight="1">
      <c r="A8308" s="2">
        <v>129053.0</v>
      </c>
      <c r="B8308" s="2" t="s">
        <v>543</v>
      </c>
      <c r="C8308" s="2" t="s">
        <v>15236</v>
      </c>
      <c r="D8308" s="2" t="s">
        <v>15237</v>
      </c>
      <c r="E8308" s="2" t="s">
        <v>713</v>
      </c>
      <c r="F8308" s="2">
        <v>5.0</v>
      </c>
      <c r="G8308" s="2">
        <v>500.0</v>
      </c>
      <c r="H8308" s="3" t="str">
        <f>HYPERLINK("http://www.linkedin.com/in/cesaraguirre","http://www.linkedin.com/in/cesaraguirre")</f>
        <v>http://www.linkedin.com/in/cesaraguirre</v>
      </c>
      <c r="I8308" s="2" t="s">
        <v>77</v>
      </c>
      <c r="J8308" s="2" t="s">
        <v>102</v>
      </c>
      <c r="K8308" s="2" t="s">
        <v>14211</v>
      </c>
    </row>
    <row r="8309" ht="15.75" customHeight="1">
      <c r="A8309" s="2">
        <v>129240.0</v>
      </c>
      <c r="B8309" s="2" t="s">
        <v>36</v>
      </c>
      <c r="C8309" s="2" t="s">
        <v>13757</v>
      </c>
      <c r="D8309" s="2" t="s">
        <v>12278</v>
      </c>
      <c r="E8309" s="2" t="s">
        <v>1190</v>
      </c>
      <c r="F8309" s="2">
        <v>1.0</v>
      </c>
      <c r="G8309" s="2">
        <v>498.0</v>
      </c>
      <c r="H8309" s="3" t="str">
        <f>HYPERLINK("http://www.linkedin.com/pub/adriana-huerta/3/B5B/965","http://www.linkedin.com/pub/adriana-huerta/3/B5B/965")</f>
        <v>http://www.linkedin.com/pub/adriana-huerta/3/B5B/965</v>
      </c>
      <c r="I8309" s="2" t="s">
        <v>844</v>
      </c>
      <c r="J8309" s="2" t="s">
        <v>102</v>
      </c>
      <c r="K8309" s="2" t="s">
        <v>14078</v>
      </c>
    </row>
    <row r="8310" ht="15.75" customHeight="1">
      <c r="A8310" s="2">
        <v>129306.0</v>
      </c>
      <c r="B8310" s="2" t="s">
        <v>845</v>
      </c>
      <c r="C8310" s="2" t="s">
        <v>15238</v>
      </c>
      <c r="D8310" s="2" t="s">
        <v>114</v>
      </c>
      <c r="E8310" s="2" t="s">
        <v>3148</v>
      </c>
      <c r="F8310" s="2">
        <v>8.0</v>
      </c>
      <c r="G8310" s="2">
        <v>500.0</v>
      </c>
      <c r="H8310" s="3" t="str">
        <f>HYPERLINK("http://www.linkedin.com/in/davidmmastovich","http://www.linkedin.com/in/davidmmastovich")</f>
        <v>http://www.linkedin.com/in/davidmmastovich</v>
      </c>
      <c r="I8310" s="2" t="s">
        <v>105</v>
      </c>
      <c r="J8310" s="2" t="s">
        <v>102</v>
      </c>
      <c r="K8310" s="2" t="s">
        <v>14105</v>
      </c>
    </row>
    <row r="8311" ht="15.75" customHeight="1">
      <c r="A8311" s="2">
        <v>129328.0</v>
      </c>
      <c r="B8311" s="2" t="s">
        <v>275</v>
      </c>
      <c r="C8311" s="2" t="s">
        <v>15239</v>
      </c>
      <c r="D8311" s="2" t="s">
        <v>1935</v>
      </c>
      <c r="E8311" s="2" t="s">
        <v>15240</v>
      </c>
      <c r="F8311" s="2" t="s">
        <v>13</v>
      </c>
      <c r="G8311" s="2">
        <v>500.0</v>
      </c>
      <c r="H8311" s="3" t="str">
        <f>HYPERLINK("http://ca.linkedin.com/pub/mark-donais/14/859/142","http://ca.linkedin.com/pub/mark-donais/14/859/142")</f>
        <v>http://ca.linkedin.com/pub/mark-donais/14/859/142</v>
      </c>
      <c r="I8311" s="2" t="s">
        <v>48</v>
      </c>
      <c r="J8311" s="2" t="s">
        <v>44</v>
      </c>
      <c r="K8311" s="2" t="s">
        <v>14092</v>
      </c>
    </row>
    <row r="8312" ht="15.75" customHeight="1">
      <c r="A8312" s="2">
        <v>129354.0</v>
      </c>
      <c r="B8312" s="2" t="s">
        <v>302</v>
      </c>
      <c r="C8312" s="2" t="s">
        <v>15241</v>
      </c>
      <c r="D8312" s="2" t="s">
        <v>13</v>
      </c>
      <c r="E8312" s="2" t="s">
        <v>325</v>
      </c>
      <c r="F8312" s="2">
        <v>0.0</v>
      </c>
      <c r="G8312" s="2">
        <v>500.0</v>
      </c>
      <c r="H8312" s="3" t="str">
        <f>HYPERLINK("http://www.linkedin.com/in/billricke/","http://www.linkedin.com/in/billricke/")</f>
        <v>http://www.linkedin.com/in/billricke/</v>
      </c>
      <c r="I8312" s="2" t="s">
        <v>77</v>
      </c>
      <c r="J8312" s="2" t="s">
        <v>102</v>
      </c>
      <c r="K8312" s="2" t="s">
        <v>14055</v>
      </c>
    </row>
    <row r="8313" ht="15.75" customHeight="1">
      <c r="A8313" s="2">
        <v>129497.0</v>
      </c>
      <c r="B8313" s="2" t="s">
        <v>1405</v>
      </c>
      <c r="C8313" s="2" t="s">
        <v>15242</v>
      </c>
      <c r="D8313" s="2" t="s">
        <v>15243</v>
      </c>
      <c r="E8313" s="2" t="s">
        <v>1407</v>
      </c>
      <c r="F8313" s="2">
        <v>1.0</v>
      </c>
      <c r="G8313" s="2">
        <v>500.0</v>
      </c>
      <c r="H8313" s="3" t="str">
        <f>HYPERLINK("http://www.linkedin.com/pub/ron-centis/9/159/466","http://www.linkedin.com/pub/ron-centis/9/159/466")</f>
        <v>http://www.linkedin.com/pub/ron-centis/9/159/466</v>
      </c>
      <c r="I8313" s="2" t="s">
        <v>77</v>
      </c>
      <c r="J8313" s="2" t="s">
        <v>102</v>
      </c>
      <c r="K8313" s="2" t="s">
        <v>14242</v>
      </c>
    </row>
    <row r="8314" ht="15.75" customHeight="1">
      <c r="A8314" s="2">
        <v>129498.0</v>
      </c>
      <c r="B8314" s="2" t="s">
        <v>1015</v>
      </c>
      <c r="C8314" s="2" t="s">
        <v>189</v>
      </c>
      <c r="D8314" s="2" t="s">
        <v>15244</v>
      </c>
      <c r="E8314" s="2" t="s">
        <v>14710</v>
      </c>
      <c r="F8314" s="2">
        <v>28.0</v>
      </c>
      <c r="G8314" s="2">
        <v>500.0</v>
      </c>
      <c r="H8314" s="3" t="str">
        <f>HYPERLINK("http://www.linkedin.com/pub/brian-dean/20/8B6/758","http://www.linkedin.com/pub/brian-dean/20/8B6/758")</f>
        <v>http://www.linkedin.com/pub/brian-dean/20/8B6/758</v>
      </c>
      <c r="I8314" s="2" t="s">
        <v>69</v>
      </c>
      <c r="J8314" s="2" t="s">
        <v>102</v>
      </c>
      <c r="K8314" s="2" t="s">
        <v>14071</v>
      </c>
    </row>
    <row r="8315" ht="15.75" customHeight="1">
      <c r="A8315" s="2">
        <v>129705.0</v>
      </c>
      <c r="B8315" s="2" t="s">
        <v>7260</v>
      </c>
      <c r="C8315" s="2" t="s">
        <v>15245</v>
      </c>
      <c r="D8315" s="2" t="s">
        <v>13</v>
      </c>
      <c r="E8315" s="2" t="s">
        <v>713</v>
      </c>
      <c r="F8315" s="2">
        <v>0.0</v>
      </c>
      <c r="G8315" s="2">
        <v>500.0</v>
      </c>
      <c r="H8315" s="3" t="str">
        <f>HYPERLINK("https://www.linkedin.com/in/vanessadimauro","https://www.linkedin.com/in/vanessadimauro")</f>
        <v>https://www.linkedin.com/in/vanessadimauro</v>
      </c>
      <c r="I8315" s="2" t="s">
        <v>57</v>
      </c>
      <c r="J8315" s="2" t="s">
        <v>102</v>
      </c>
      <c r="K8315" s="2" t="s">
        <v>14055</v>
      </c>
    </row>
    <row r="8316" ht="15.75" customHeight="1">
      <c r="A8316" s="2">
        <v>129749.0</v>
      </c>
      <c r="B8316" s="2" t="s">
        <v>3243</v>
      </c>
      <c r="C8316" s="2" t="s">
        <v>4138</v>
      </c>
      <c r="D8316" s="2" t="s">
        <v>2324</v>
      </c>
      <c r="E8316" s="2" t="s">
        <v>136</v>
      </c>
      <c r="F8316" s="2">
        <v>12.0</v>
      </c>
      <c r="G8316" s="2">
        <v>500.0</v>
      </c>
      <c r="H8316" s="3" t="str">
        <f>HYPERLINK("http://www.linkedin.com/in/traviswallis","http://www.linkedin.com/in/traviswallis")</f>
        <v>http://www.linkedin.com/in/traviswallis</v>
      </c>
      <c r="I8316" s="2" t="s">
        <v>143</v>
      </c>
      <c r="J8316" s="2" t="s">
        <v>102</v>
      </c>
      <c r="K8316" s="2" t="s">
        <v>14088</v>
      </c>
    </row>
    <row r="8317" ht="15.75" customHeight="1">
      <c r="A8317" s="2">
        <v>129753.0</v>
      </c>
      <c r="B8317" s="2" t="s">
        <v>1676</v>
      </c>
      <c r="C8317" s="2" t="s">
        <v>9066</v>
      </c>
      <c r="D8317" s="2" t="s">
        <v>15246</v>
      </c>
      <c r="E8317" s="2" t="s">
        <v>301</v>
      </c>
      <c r="F8317" s="2">
        <v>0.0</v>
      </c>
      <c r="G8317" s="2">
        <v>497.0</v>
      </c>
      <c r="H8317" s="3" t="str">
        <f>HYPERLINK("http://www.linkedin.com/pub/raul-rincon/B/A58/271","http://www.linkedin.com/pub/raul-rincon/B/A58/271")</f>
        <v>http://www.linkedin.com/pub/raul-rincon/B/A58/271</v>
      </c>
      <c r="I8317" s="2" t="s">
        <v>48</v>
      </c>
      <c r="J8317" s="2" t="s">
        <v>102</v>
      </c>
      <c r="K8317" s="2" t="s">
        <v>14088</v>
      </c>
    </row>
    <row r="8318" ht="15.75" customHeight="1">
      <c r="A8318" s="2">
        <v>129775.0</v>
      </c>
      <c r="B8318" s="2" t="s">
        <v>15247</v>
      </c>
      <c r="C8318" s="2" t="s">
        <v>5173</v>
      </c>
      <c r="D8318" s="2"/>
      <c r="E8318" s="2" t="s">
        <v>136</v>
      </c>
      <c r="F8318" s="2">
        <v>7.0</v>
      </c>
      <c r="G8318" s="2">
        <v>500.0</v>
      </c>
      <c r="H8318" s="3" t="str">
        <f>HYPERLINK("http://www.linkedin.com/in/jodeerich","http://www.linkedin.com/in/jodeerich")</f>
        <v>http://www.linkedin.com/in/jodeerich</v>
      </c>
      <c r="I8318" s="2" t="s">
        <v>15</v>
      </c>
      <c r="J8318" s="2" t="s">
        <v>102</v>
      </c>
      <c r="K8318" s="2" t="s">
        <v>14080</v>
      </c>
    </row>
    <row r="8319" ht="15.75" customHeight="1">
      <c r="A8319" s="2">
        <v>129872.0</v>
      </c>
      <c r="B8319" s="2" t="s">
        <v>412</v>
      </c>
      <c r="C8319" s="2" t="s">
        <v>15248</v>
      </c>
      <c r="D8319" s="2" t="s">
        <v>15249</v>
      </c>
      <c r="E8319" s="2" t="s">
        <v>7844</v>
      </c>
      <c r="F8319" s="2">
        <v>3.0</v>
      </c>
      <c r="G8319" s="2">
        <v>500.0</v>
      </c>
      <c r="H8319" s="3" t="str">
        <f>HYPERLINK("http://www.linkedin.com/in/robertwflournoy","http://www.linkedin.com/in/robertwflournoy")</f>
        <v>http://www.linkedin.com/in/robertwflournoy</v>
      </c>
      <c r="I8319" s="2" t="s">
        <v>69</v>
      </c>
      <c r="J8319" s="2" t="s">
        <v>102</v>
      </c>
      <c r="K8319" s="2" t="s">
        <v>14055</v>
      </c>
    </row>
    <row r="8320" ht="15.75" customHeight="1">
      <c r="A8320" s="2">
        <v>130020.0</v>
      </c>
      <c r="B8320" s="2" t="s">
        <v>3550</v>
      </c>
      <c r="C8320" s="2" t="s">
        <v>15250</v>
      </c>
      <c r="D8320" s="2" t="s">
        <v>15251</v>
      </c>
      <c r="E8320" s="2" t="s">
        <v>136</v>
      </c>
      <c r="F8320" s="2" t="s">
        <v>13</v>
      </c>
      <c r="G8320" s="2">
        <v>500.0</v>
      </c>
      <c r="H8320" s="3" t="str">
        <f>HYPERLINK("http://www.linkedin.com/pub/nicolas-beraudo/0/26/80B","http://www.linkedin.com/pub/nicolas-beraudo/0/26/80B")</f>
        <v>http://www.linkedin.com/pub/nicolas-beraudo/0/26/80B</v>
      </c>
      <c r="I8320" s="2" t="s">
        <v>69</v>
      </c>
      <c r="J8320" s="2" t="s">
        <v>102</v>
      </c>
      <c r="K8320" s="2" t="s">
        <v>14142</v>
      </c>
    </row>
    <row r="8321" ht="15.75" customHeight="1">
      <c r="A8321" s="2">
        <v>130551.0</v>
      </c>
      <c r="B8321" s="2" t="s">
        <v>14467</v>
      </c>
      <c r="C8321" s="2" t="s">
        <v>15252</v>
      </c>
      <c r="D8321" s="2" t="s">
        <v>517</v>
      </c>
      <c r="E8321" s="2" t="s">
        <v>301</v>
      </c>
      <c r="F8321" s="2">
        <v>6.0</v>
      </c>
      <c r="G8321" s="2">
        <v>500.0</v>
      </c>
      <c r="H8321" s="3" t="str">
        <f>HYPERLINK("http://www.linkedin.com/in/arimeisel","http://www.linkedin.com/in/arimeisel")</f>
        <v>http://www.linkedin.com/in/arimeisel</v>
      </c>
      <c r="I8321" s="2" t="s">
        <v>475</v>
      </c>
      <c r="J8321" s="2" t="s">
        <v>102</v>
      </c>
      <c r="K8321" s="2" t="s">
        <v>14055</v>
      </c>
    </row>
    <row r="8322" ht="15.75" customHeight="1">
      <c r="A8322" s="2">
        <v>130556.0</v>
      </c>
      <c r="B8322" s="2" t="s">
        <v>15253</v>
      </c>
      <c r="C8322" s="2" t="s">
        <v>2685</v>
      </c>
      <c r="D8322" s="2" t="s">
        <v>15254</v>
      </c>
      <c r="E8322" s="2" t="s">
        <v>136</v>
      </c>
      <c r="F8322" s="2">
        <v>8.0</v>
      </c>
      <c r="G8322" s="2">
        <v>500.0</v>
      </c>
      <c r="H8322" s="3" t="str">
        <f>HYPERLINK("http://www.linkedin.com/in/fabianjoliva","http://www.linkedin.com/in/fabianjoliva")</f>
        <v>http://www.linkedin.com/in/fabianjoliva</v>
      </c>
      <c r="I8322" s="2" t="s">
        <v>48</v>
      </c>
      <c r="J8322" s="2" t="s">
        <v>102</v>
      </c>
      <c r="K8322" s="2" t="s">
        <v>14073</v>
      </c>
    </row>
    <row r="8323" ht="15.75" customHeight="1">
      <c r="A8323" s="2">
        <v>130875.0</v>
      </c>
      <c r="B8323" s="2" t="s">
        <v>4134</v>
      </c>
      <c r="C8323" s="2" t="s">
        <v>15255</v>
      </c>
      <c r="D8323" s="2" t="s">
        <v>114</v>
      </c>
      <c r="E8323" s="2" t="s">
        <v>4010</v>
      </c>
      <c r="F8323" s="2">
        <v>11.0</v>
      </c>
      <c r="G8323" s="2">
        <v>500.0</v>
      </c>
      <c r="H8323" s="3" t="str">
        <f>HYPERLINK("http://www.linkedin.com/in/boydevert","http://www.linkedin.com/in/boydevert")</f>
        <v>http://www.linkedin.com/in/boydevert</v>
      </c>
      <c r="I8323" s="2" t="s">
        <v>279</v>
      </c>
      <c r="J8323" s="2" t="s">
        <v>102</v>
      </c>
      <c r="K8323" s="2" t="s">
        <v>14055</v>
      </c>
    </row>
    <row r="8324" ht="15.75" customHeight="1">
      <c r="A8324" s="2">
        <v>130958.0</v>
      </c>
      <c r="B8324" s="2" t="s">
        <v>1076</v>
      </c>
      <c r="C8324" s="2" t="s">
        <v>548</v>
      </c>
      <c r="D8324" s="2" t="s">
        <v>517</v>
      </c>
      <c r="E8324" s="2" t="s">
        <v>136</v>
      </c>
      <c r="F8324" s="2">
        <v>4.0</v>
      </c>
      <c r="G8324" s="2">
        <v>500.0</v>
      </c>
      <c r="H8324" s="3" t="str">
        <f>HYPERLINK("http://www.linkedin.com/pub/jennifer-cook/2/16A/86","http://www.linkedin.com/pub/jennifer-cook/2/16A/86")</f>
        <v>http://www.linkedin.com/pub/jennifer-cook/2/16A/86</v>
      </c>
      <c r="I8324" s="2" t="s">
        <v>48</v>
      </c>
      <c r="J8324" s="2" t="s">
        <v>102</v>
      </c>
      <c r="K8324" s="2" t="s">
        <v>14117</v>
      </c>
    </row>
    <row r="8325" ht="15.75" customHeight="1">
      <c r="A8325" s="2">
        <v>131026.0</v>
      </c>
      <c r="B8325" s="2" t="s">
        <v>15256</v>
      </c>
      <c r="C8325" s="2" t="s">
        <v>15257</v>
      </c>
      <c r="D8325" s="2" t="s">
        <v>1935</v>
      </c>
      <c r="E8325" s="2" t="s">
        <v>136</v>
      </c>
      <c r="F8325" s="2">
        <v>0.0</v>
      </c>
      <c r="G8325" s="2">
        <v>500.0</v>
      </c>
      <c r="H8325" s="3" t="str">
        <f>HYPERLINK("http://www.linkedin.com/pub/niccolo-de-masi/14/299/259","http://www.linkedin.com/pub/niccolo-de-masi/14/299/259")</f>
        <v>http://www.linkedin.com/pub/niccolo-de-masi/14/299/259</v>
      </c>
      <c r="I8325" s="2" t="s">
        <v>1496</v>
      </c>
      <c r="J8325" s="2" t="s">
        <v>102</v>
      </c>
      <c r="K8325" s="2" t="s">
        <v>14080</v>
      </c>
    </row>
    <row r="8326" ht="15.75" customHeight="1">
      <c r="A8326" s="2">
        <v>131051.0</v>
      </c>
      <c r="B8326" s="2" t="s">
        <v>1798</v>
      </c>
      <c r="C8326" s="2" t="s">
        <v>664</v>
      </c>
      <c r="D8326" s="2" t="s">
        <v>15258</v>
      </c>
      <c r="E8326" s="2" t="s">
        <v>1190</v>
      </c>
      <c r="F8326" s="2">
        <v>23.0</v>
      </c>
      <c r="G8326" s="2">
        <v>500.0</v>
      </c>
      <c r="H8326" s="3" t="str">
        <f>HYPERLINK("http://www.linkedin.com/in/sethgordonmiami","http://www.linkedin.com/in/sethgordonmiami")</f>
        <v>http://www.linkedin.com/in/sethgordonmiami</v>
      </c>
      <c r="I8326" s="2" t="s">
        <v>844</v>
      </c>
      <c r="J8326" s="2" t="s">
        <v>102</v>
      </c>
      <c r="K8326" s="2" t="s">
        <v>14078</v>
      </c>
    </row>
    <row r="8327" ht="15.75" customHeight="1">
      <c r="A8327" s="2">
        <v>131185.0</v>
      </c>
      <c r="B8327" s="2" t="s">
        <v>253</v>
      </c>
      <c r="C8327" s="2" t="s">
        <v>15259</v>
      </c>
      <c r="D8327" s="2" t="s">
        <v>15260</v>
      </c>
      <c r="E8327" s="2" t="s">
        <v>2058</v>
      </c>
      <c r="F8327" s="2">
        <v>0.0</v>
      </c>
      <c r="G8327" s="2">
        <v>79.0</v>
      </c>
      <c r="H8327" s="3" t="str">
        <f>HYPERLINK("http://www.linkedin.com/pub/fernando-barba/5/89A/234","http://www.linkedin.com/pub/fernando-barba/5/89A/234")</f>
        <v>http://www.linkedin.com/pub/fernando-barba/5/89A/234</v>
      </c>
      <c r="I8327" s="2" t="s">
        <v>1496</v>
      </c>
      <c r="J8327" s="2" t="s">
        <v>102</v>
      </c>
      <c r="K8327" s="2" t="s">
        <v>14105</v>
      </c>
    </row>
    <row r="8328" ht="15.75" customHeight="1">
      <c r="A8328" s="2">
        <v>131277.0</v>
      </c>
      <c r="B8328" s="2" t="s">
        <v>2014</v>
      </c>
      <c r="C8328" s="2" t="s">
        <v>2805</v>
      </c>
      <c r="D8328" s="2" t="s">
        <v>15261</v>
      </c>
      <c r="E8328" s="2" t="s">
        <v>971</v>
      </c>
      <c r="F8328" s="2">
        <v>11.0</v>
      </c>
      <c r="G8328" s="2">
        <v>500.0</v>
      </c>
      <c r="H8328" s="3" t="str">
        <f>HYPERLINK("http://www.linkedin.com/in/kbclay2","http://www.linkedin.com/in/kbclay2")</f>
        <v>http://www.linkedin.com/in/kbclay2</v>
      </c>
      <c r="I8328" s="2" t="s">
        <v>579</v>
      </c>
      <c r="J8328" s="2" t="s">
        <v>102</v>
      </c>
      <c r="K8328" s="2" t="s">
        <v>14211</v>
      </c>
    </row>
    <row r="8329" ht="15.75" customHeight="1">
      <c r="A8329" s="2">
        <v>131312.0</v>
      </c>
      <c r="B8329" s="2" t="s">
        <v>2567</v>
      </c>
      <c r="C8329" s="2" t="s">
        <v>15262</v>
      </c>
      <c r="D8329" s="2" t="s">
        <v>15263</v>
      </c>
      <c r="E8329" s="2" t="s">
        <v>1190</v>
      </c>
      <c r="F8329" s="2">
        <v>0.0</v>
      </c>
      <c r="G8329" s="2">
        <v>500.0</v>
      </c>
      <c r="H8329" s="3" t="str">
        <f>HYPERLINK("http://www.linkedin.com/in/chriszanyk","http://www.linkedin.com/in/chriszanyk")</f>
        <v>http://www.linkedin.com/in/chriszanyk</v>
      </c>
      <c r="I8329" s="2" t="s">
        <v>77</v>
      </c>
      <c r="J8329" s="2" t="s">
        <v>102</v>
      </c>
      <c r="K8329" s="2" t="s">
        <v>14211</v>
      </c>
    </row>
    <row r="8330" ht="15.75" customHeight="1">
      <c r="A8330" s="2">
        <v>131523.0</v>
      </c>
      <c r="B8330" s="2" t="s">
        <v>506</v>
      </c>
      <c r="C8330" s="2" t="s">
        <v>4043</v>
      </c>
      <c r="D8330" s="2" t="s">
        <v>114</v>
      </c>
      <c r="E8330" s="2" t="s">
        <v>989</v>
      </c>
      <c r="F8330" s="2">
        <v>5.0</v>
      </c>
      <c r="G8330" s="2">
        <v>500.0</v>
      </c>
      <c r="H8330" s="3" t="str">
        <f>HYPERLINK("http://www.linkedin.com/in/joseguerra","http://www.linkedin.com/in/joseguerra")</f>
        <v>http://www.linkedin.com/in/joseguerra</v>
      </c>
      <c r="I8330" s="2" t="s">
        <v>15</v>
      </c>
      <c r="J8330" s="2" t="s">
        <v>102</v>
      </c>
      <c r="K8330" s="2" t="s">
        <v>14197</v>
      </c>
    </row>
    <row r="8331" ht="15.75" customHeight="1">
      <c r="A8331" s="2">
        <v>131569.0</v>
      </c>
      <c r="B8331" s="2" t="s">
        <v>1366</v>
      </c>
      <c r="C8331" s="2" t="s">
        <v>15264</v>
      </c>
      <c r="D8331" s="2" t="s">
        <v>47</v>
      </c>
      <c r="E8331" s="2" t="s">
        <v>1615</v>
      </c>
      <c r="F8331" s="2">
        <v>8.0</v>
      </c>
      <c r="G8331" s="2">
        <v>500.0</v>
      </c>
      <c r="H8331" s="3" t="str">
        <f>HYPERLINK("http://www.linkedin.com/in/peterscribner","http://www.linkedin.com/in/peterscribner")</f>
        <v>http://www.linkedin.com/in/peterscribner</v>
      </c>
      <c r="I8331" s="2" t="s">
        <v>27</v>
      </c>
      <c r="J8331" s="2" t="s">
        <v>102</v>
      </c>
      <c r="K8331" s="2" t="s">
        <v>14074</v>
      </c>
    </row>
    <row r="8332" ht="15.75" customHeight="1">
      <c r="A8332" s="2">
        <v>131629.0</v>
      </c>
      <c r="B8332" s="2" t="s">
        <v>245</v>
      </c>
      <c r="C8332" s="2" t="s">
        <v>15265</v>
      </c>
      <c r="D8332" s="2" t="s">
        <v>15266</v>
      </c>
      <c r="E8332" s="2" t="s">
        <v>155</v>
      </c>
      <c r="F8332" s="2">
        <v>5.0</v>
      </c>
      <c r="G8332" s="2">
        <v>257.0</v>
      </c>
      <c r="H8332" s="3" t="str">
        <f>HYPERLINK("http://www.linkedin.com/in/steventalcottsmith","http://www.linkedin.com/in/steventalcottsmith")</f>
        <v>http://www.linkedin.com/in/steventalcottsmith</v>
      </c>
      <c r="I8332" s="2" t="s">
        <v>69</v>
      </c>
      <c r="J8332" s="2" t="s">
        <v>102</v>
      </c>
      <c r="K8332" s="2" t="s">
        <v>14073</v>
      </c>
    </row>
    <row r="8333" ht="15.75" customHeight="1">
      <c r="A8333" s="2">
        <v>131790.0</v>
      </c>
      <c r="B8333" s="2" t="s">
        <v>540</v>
      </c>
      <c r="C8333" s="2" t="s">
        <v>15267</v>
      </c>
      <c r="D8333" s="2" t="s">
        <v>1966</v>
      </c>
      <c r="E8333" s="2" t="s">
        <v>1190</v>
      </c>
      <c r="F8333" s="2">
        <v>0.0</v>
      </c>
      <c r="G8333" s="2">
        <v>500.0</v>
      </c>
      <c r="H8333" s="3" t="str">
        <f>HYPERLINK("http://www.linkedin.com/pub/christian-valencia-rivera/4/294/647","http://www.linkedin.com/pub/christian-valencia-rivera/4/294/647")</f>
        <v>http://www.linkedin.com/pub/christian-valencia-rivera/4/294/647</v>
      </c>
      <c r="I8333" s="2" t="s">
        <v>57</v>
      </c>
      <c r="J8333" s="2" t="s">
        <v>102</v>
      </c>
      <c r="K8333" s="2" t="s">
        <v>14422</v>
      </c>
    </row>
    <row r="8334" ht="15.75" customHeight="1">
      <c r="A8334" s="2">
        <v>132089.0</v>
      </c>
      <c r="B8334" s="2" t="s">
        <v>12368</v>
      </c>
      <c r="C8334" s="2" t="s">
        <v>15268</v>
      </c>
      <c r="D8334" s="2" t="s">
        <v>15269</v>
      </c>
      <c r="E8334" s="2" t="s">
        <v>2454</v>
      </c>
      <c r="F8334" s="2">
        <v>3.0</v>
      </c>
      <c r="G8334" s="2">
        <v>500.0</v>
      </c>
      <c r="H8334" s="3" t="str">
        <f>HYPERLINK("http://www.linkedin.com/pub/kristen-sisson/4/771/A64","http://www.linkedin.com/pub/kristen-sisson/4/771/A64")</f>
        <v>http://www.linkedin.com/pub/kristen-sisson/4/771/A64</v>
      </c>
      <c r="I8334" s="2" t="s">
        <v>669</v>
      </c>
      <c r="J8334" s="2" t="s">
        <v>102</v>
      </c>
      <c r="K8334" s="2" t="s">
        <v>14055</v>
      </c>
    </row>
    <row r="8335" ht="15.75" customHeight="1">
      <c r="A8335" s="2">
        <v>132099.0</v>
      </c>
      <c r="B8335" s="2" t="s">
        <v>5078</v>
      </c>
      <c r="C8335" s="2" t="s">
        <v>544</v>
      </c>
      <c r="D8335" s="2" t="s">
        <v>15270</v>
      </c>
      <c r="E8335" s="2" t="s">
        <v>15271</v>
      </c>
      <c r="F8335" s="2">
        <v>0.0</v>
      </c>
      <c r="G8335" s="2">
        <v>500.0</v>
      </c>
      <c r="H8335" s="3" t="str">
        <f>HYPERLINK("http://www.linkedin.com/pub/diego-castillo/22/510/865","http://www.linkedin.com/pub/diego-castillo/22/510/865")</f>
        <v>http://www.linkedin.com/pub/diego-castillo/22/510/865</v>
      </c>
      <c r="I8335" s="2" t="s">
        <v>105</v>
      </c>
      <c r="J8335" s="2" t="s">
        <v>102</v>
      </c>
      <c r="K8335" s="2" t="s">
        <v>14074</v>
      </c>
    </row>
    <row r="8336" ht="15.75" customHeight="1">
      <c r="A8336" s="2">
        <v>132147.0</v>
      </c>
      <c r="B8336" s="2" t="s">
        <v>285</v>
      </c>
      <c r="C8336" s="2" t="s">
        <v>14520</v>
      </c>
      <c r="D8336" s="2" t="s">
        <v>15272</v>
      </c>
      <c r="E8336" s="2" t="s">
        <v>301</v>
      </c>
      <c r="F8336" s="2">
        <v>15.0</v>
      </c>
      <c r="G8336" s="2">
        <v>500.0</v>
      </c>
      <c r="H8336" s="3" t="str">
        <f>HYPERLINK("http://www.linkedin.com/in/marcparrish","http://www.linkedin.com/in/marcparrish")</f>
        <v>http://www.linkedin.com/in/marcparrish</v>
      </c>
      <c r="I8336" s="2" t="s">
        <v>48</v>
      </c>
      <c r="J8336" s="2" t="s">
        <v>102</v>
      </c>
      <c r="K8336" s="2" t="s">
        <v>15273</v>
      </c>
    </row>
    <row r="8337" ht="15.75" customHeight="1">
      <c r="A8337" s="2">
        <v>132323.0</v>
      </c>
      <c r="B8337" s="2" t="s">
        <v>15108</v>
      </c>
      <c r="C8337" s="2" t="s">
        <v>15274</v>
      </c>
      <c r="D8337" s="2" t="s">
        <v>15275</v>
      </c>
      <c r="E8337" s="2" t="s">
        <v>136</v>
      </c>
      <c r="F8337" s="2">
        <v>5.0</v>
      </c>
      <c r="G8337" s="2">
        <v>500.0</v>
      </c>
      <c r="H8337" s="3" t="str">
        <f>HYPERLINK("http://www.linkedin.com/in/arturocazares","http://www.linkedin.com/in/arturocazares")</f>
        <v>http://www.linkedin.com/in/arturocazares</v>
      </c>
      <c r="I8337" s="2" t="s">
        <v>873</v>
      </c>
      <c r="J8337" s="2" t="s">
        <v>102</v>
      </c>
      <c r="K8337" s="2" t="s">
        <v>14055</v>
      </c>
    </row>
    <row r="8338" ht="15.75" customHeight="1">
      <c r="A8338" s="2">
        <v>132616.0</v>
      </c>
      <c r="B8338" s="2" t="s">
        <v>275</v>
      </c>
      <c r="C8338" s="2" t="s">
        <v>2610</v>
      </c>
      <c r="D8338" s="2" t="s">
        <v>47</v>
      </c>
      <c r="E8338" s="2" t="s">
        <v>301</v>
      </c>
      <c r="F8338" s="2">
        <v>3.0</v>
      </c>
      <c r="G8338" s="2">
        <v>362.0</v>
      </c>
      <c r="H8338" s="3" t="str">
        <f>HYPERLINK("http://www.linkedin.com/in/marklhall","http://www.linkedin.com/in/marklhall")</f>
        <v>http://www.linkedin.com/in/marklhall</v>
      </c>
      <c r="I8338" s="2" t="s">
        <v>27</v>
      </c>
      <c r="J8338" s="2" t="s">
        <v>102</v>
      </c>
      <c r="K8338" s="2" t="s">
        <v>14074</v>
      </c>
    </row>
    <row r="8339" ht="15.75" customHeight="1">
      <c r="A8339" s="2">
        <v>132758.0</v>
      </c>
      <c r="B8339" s="2" t="s">
        <v>8603</v>
      </c>
      <c r="C8339" s="2" t="s">
        <v>15276</v>
      </c>
      <c r="D8339" s="2" t="s">
        <v>15277</v>
      </c>
      <c r="E8339" s="2" t="s">
        <v>101</v>
      </c>
      <c r="F8339" s="2">
        <v>29.0</v>
      </c>
      <c r="G8339" s="2">
        <v>500.0</v>
      </c>
      <c r="H8339" s="3" t="str">
        <f>HYPERLINK("http://www.linkedin.com/in/kerryarmistead","http://www.linkedin.com/in/kerryarmistead")</f>
        <v>http://www.linkedin.com/in/kerryarmistead</v>
      </c>
      <c r="I8339" s="2" t="s">
        <v>160</v>
      </c>
      <c r="J8339" s="2" t="s">
        <v>102</v>
      </c>
      <c r="K8339" s="2" t="s">
        <v>14211</v>
      </c>
    </row>
    <row r="8340" ht="15.75" customHeight="1">
      <c r="A8340" s="2">
        <v>132772.0</v>
      </c>
      <c r="B8340" s="2" t="s">
        <v>2492</v>
      </c>
      <c r="C8340" s="2" t="s">
        <v>3037</v>
      </c>
      <c r="D8340" s="2" t="s">
        <v>15278</v>
      </c>
      <c r="E8340" s="2" t="s">
        <v>255</v>
      </c>
      <c r="F8340" s="2">
        <v>0.0</v>
      </c>
      <c r="G8340" s="2">
        <v>500.0</v>
      </c>
      <c r="H8340" s="3" t="str">
        <f>HYPERLINK("http://www.linkedin.com/pub/bret-douglas/4/504/1A0","http://www.linkedin.com/pub/bret-douglas/4/504/1A0")</f>
        <v>http://www.linkedin.com/pub/bret-douglas/4/504/1A0</v>
      </c>
      <c r="I8340" s="2" t="s">
        <v>279</v>
      </c>
      <c r="J8340" s="2" t="s">
        <v>102</v>
      </c>
      <c r="K8340" s="2" t="s">
        <v>14197</v>
      </c>
    </row>
    <row r="8341" ht="15.75" customHeight="1">
      <c r="A8341" s="2">
        <v>132893.0</v>
      </c>
      <c r="B8341" s="2" t="s">
        <v>15279</v>
      </c>
      <c r="C8341" s="2" t="s">
        <v>15280</v>
      </c>
      <c r="D8341" s="2" t="s">
        <v>1145</v>
      </c>
      <c r="E8341" s="2" t="s">
        <v>101</v>
      </c>
      <c r="F8341" s="2">
        <v>11.0</v>
      </c>
      <c r="G8341" s="2">
        <v>500.0</v>
      </c>
      <c r="H8341" s="3" t="str">
        <f>HYPERLINK("http://www.linkedin.com/in/tmmaheshwar","http://www.linkedin.com/in/tmmaheshwar")</f>
        <v>http://www.linkedin.com/in/tmmaheshwar</v>
      </c>
      <c r="I8341" s="2" t="s">
        <v>1012</v>
      </c>
      <c r="J8341" s="2" t="s">
        <v>102</v>
      </c>
      <c r="K8341" s="2" t="s">
        <v>14055</v>
      </c>
    </row>
    <row r="8342" ht="15.75" customHeight="1">
      <c r="A8342" s="2">
        <v>132920.0</v>
      </c>
      <c r="B8342" s="2" t="s">
        <v>492</v>
      </c>
      <c r="C8342" s="2" t="s">
        <v>15281</v>
      </c>
      <c r="D8342" s="2" t="s">
        <v>15282</v>
      </c>
      <c r="E8342" s="2" t="s">
        <v>1190</v>
      </c>
      <c r="F8342" s="2" t="s">
        <v>13</v>
      </c>
      <c r="G8342" s="2">
        <v>215.0</v>
      </c>
      <c r="H8342" s="3" t="str">
        <f>HYPERLINK("http://www.linkedin.com/in/sergioroitberg","http://www.linkedin.com/in/sergioroitberg")</f>
        <v>http://www.linkedin.com/in/sergioroitberg</v>
      </c>
      <c r="I8342" s="2" t="s">
        <v>844</v>
      </c>
      <c r="J8342" s="2" t="s">
        <v>102</v>
      </c>
      <c r="K8342" s="2" t="s">
        <v>14074</v>
      </c>
    </row>
    <row r="8343" ht="15.75" customHeight="1">
      <c r="A8343" s="2">
        <v>133791.0</v>
      </c>
      <c r="B8343" s="2" t="s">
        <v>1977</v>
      </c>
      <c r="C8343" s="2" t="s">
        <v>15283</v>
      </c>
      <c r="D8343" s="2" t="s">
        <v>47</v>
      </c>
      <c r="E8343" s="2" t="s">
        <v>1190</v>
      </c>
      <c r="F8343" s="2">
        <v>2.0</v>
      </c>
      <c r="G8343" s="2">
        <v>500.0</v>
      </c>
      <c r="H8343" s="3" t="str">
        <f>HYPERLINK("http://www.linkedin.com/in/joelbary","http://www.linkedin.com/in/joelbary")</f>
        <v>http://www.linkedin.com/in/joelbary</v>
      </c>
      <c r="I8343" s="2" t="s">
        <v>105</v>
      </c>
      <c r="J8343" s="2" t="s">
        <v>102</v>
      </c>
      <c r="K8343" s="2" t="s">
        <v>14092</v>
      </c>
    </row>
    <row r="8344" ht="15.75" customHeight="1">
      <c r="A8344" s="2">
        <v>134137.0</v>
      </c>
      <c r="B8344" s="2" t="s">
        <v>253</v>
      </c>
      <c r="C8344" s="2" t="s">
        <v>15284</v>
      </c>
      <c r="D8344" s="2" t="s">
        <v>47</v>
      </c>
      <c r="E8344" s="2" t="s">
        <v>20</v>
      </c>
      <c r="F8344" s="2">
        <v>6.0</v>
      </c>
      <c r="G8344" s="2">
        <v>225.0</v>
      </c>
      <c r="H8344" s="3" t="str">
        <f>HYPERLINK("http://ar.linkedin.com/in/fersfeir","http://ar.linkedin.com/in/fersfeir")</f>
        <v>http://ar.linkedin.com/in/fersfeir</v>
      </c>
      <c r="I8344" s="2" t="s">
        <v>15</v>
      </c>
      <c r="J8344" s="2" t="s">
        <v>21</v>
      </c>
      <c r="K8344" s="2" t="s">
        <v>14074</v>
      </c>
    </row>
    <row r="8345" ht="15.75" customHeight="1">
      <c r="A8345" s="2">
        <v>134163.0</v>
      </c>
      <c r="B8345" s="2" t="s">
        <v>15285</v>
      </c>
      <c r="C8345" s="2" t="s">
        <v>15286</v>
      </c>
      <c r="D8345" s="2" t="s">
        <v>15287</v>
      </c>
      <c r="E8345" s="2" t="s">
        <v>628</v>
      </c>
      <c r="F8345" s="2">
        <v>21.0</v>
      </c>
      <c r="G8345" s="2">
        <v>500.0</v>
      </c>
      <c r="H8345" s="3" t="str">
        <f>HYPERLINK("http://www.linkedin.com/in/markgrantdavis","http://www.linkedin.com/in/markgrantdavis")</f>
        <v>http://www.linkedin.com/in/markgrantdavis</v>
      </c>
      <c r="I8345" s="2" t="s">
        <v>2725</v>
      </c>
      <c r="J8345" s="2" t="s">
        <v>102</v>
      </c>
      <c r="K8345" s="2" t="s">
        <v>14055</v>
      </c>
    </row>
    <row r="8346" ht="15.75" customHeight="1">
      <c r="A8346" s="2">
        <v>134217.0</v>
      </c>
      <c r="B8346" s="2" t="s">
        <v>8117</v>
      </c>
      <c r="C8346" s="2" t="s">
        <v>15288</v>
      </c>
      <c r="D8346" s="2" t="s">
        <v>13</v>
      </c>
      <c r="E8346" s="2" t="s">
        <v>1918</v>
      </c>
      <c r="F8346" s="2">
        <v>0.0</v>
      </c>
      <c r="G8346" s="2">
        <v>500.0</v>
      </c>
      <c r="H8346" s="3" t="str">
        <f>HYPERLINK("http://www.linkedin.com/in/leticia007","http://www.linkedin.com/in/leticia007")</f>
        <v>http://www.linkedin.com/in/leticia007</v>
      </c>
      <c r="I8346" s="2" t="s">
        <v>48</v>
      </c>
      <c r="J8346" s="2" t="s">
        <v>102</v>
      </c>
      <c r="K8346" s="2" t="s">
        <v>14197</v>
      </c>
    </row>
    <row r="8347" ht="15.75" customHeight="1">
      <c r="A8347" s="2">
        <v>134288.0</v>
      </c>
      <c r="B8347" s="2" t="s">
        <v>15289</v>
      </c>
      <c r="C8347" s="2" t="s">
        <v>11457</v>
      </c>
      <c r="D8347" s="2" t="s">
        <v>15290</v>
      </c>
      <c r="E8347" s="2" t="s">
        <v>14710</v>
      </c>
      <c r="F8347" s="2">
        <v>0.0</v>
      </c>
      <c r="G8347" s="2">
        <v>500.0</v>
      </c>
      <c r="H8347" s="3" t="str">
        <f>HYPERLINK("http://www.linkedin.com/pub/reginald-ray-tanner/23/893/74A","http://www.linkedin.com/pub/reginald-ray-tanner/23/893/74A")</f>
        <v>http://www.linkedin.com/pub/reginald-ray-tanner/23/893/74A</v>
      </c>
      <c r="I8347" s="2" t="s">
        <v>105</v>
      </c>
      <c r="J8347" s="2" t="s">
        <v>102</v>
      </c>
      <c r="K8347" s="2" t="s">
        <v>14092</v>
      </c>
    </row>
    <row r="8348" ht="15.75" customHeight="1">
      <c r="A8348" s="2">
        <v>134353.0</v>
      </c>
      <c r="B8348" s="2" t="s">
        <v>2109</v>
      </c>
      <c r="C8348" s="2" t="s">
        <v>12719</v>
      </c>
      <c r="D8348" s="2" t="s">
        <v>5217</v>
      </c>
      <c r="E8348" s="2" t="s">
        <v>325</v>
      </c>
      <c r="F8348" s="2">
        <v>0.0</v>
      </c>
      <c r="G8348" s="2">
        <v>500.0</v>
      </c>
      <c r="H8348" s="3" t="str">
        <f>HYPERLINK("http://www.linkedin.com/pub/rob-carlson/3/657/5B7","http://www.linkedin.com/pub/rob-carlson/3/657/5B7")</f>
        <v>http://www.linkedin.com/pub/rob-carlson/3/657/5B7</v>
      </c>
      <c r="I8348" s="2" t="s">
        <v>48</v>
      </c>
      <c r="J8348" s="2" t="s">
        <v>102</v>
      </c>
      <c r="K8348" s="2" t="s">
        <v>14142</v>
      </c>
    </row>
    <row r="8349" ht="15.75" customHeight="1">
      <c r="A8349" s="2">
        <v>134404.0</v>
      </c>
      <c r="B8349" s="2" t="s">
        <v>721</v>
      </c>
      <c r="C8349" s="2" t="s">
        <v>5335</v>
      </c>
      <c r="D8349" s="2" t="s">
        <v>15291</v>
      </c>
      <c r="E8349" s="2" t="s">
        <v>15292</v>
      </c>
      <c r="F8349" s="2">
        <v>21.0</v>
      </c>
      <c r="G8349" s="2">
        <v>500.0</v>
      </c>
      <c r="H8349" s="3" t="str">
        <f>HYPERLINK("http://www.linkedin.com/in/andrewscottharris","http://www.linkedin.com/in/andrewscottharris")</f>
        <v>http://www.linkedin.com/in/andrewscottharris</v>
      </c>
      <c r="I8349" s="2" t="s">
        <v>195</v>
      </c>
      <c r="J8349" s="2" t="s">
        <v>102</v>
      </c>
      <c r="K8349" s="2" t="s">
        <v>14222</v>
      </c>
    </row>
    <row r="8350" ht="15.75" customHeight="1">
      <c r="A8350" s="2">
        <v>134531.0</v>
      </c>
      <c r="B8350" s="2" t="s">
        <v>3563</v>
      </c>
      <c r="C8350" s="2" t="s">
        <v>15293</v>
      </c>
      <c r="D8350" s="2" t="s">
        <v>13</v>
      </c>
      <c r="E8350" s="2" t="s">
        <v>15294</v>
      </c>
      <c r="F8350" s="2">
        <v>0.0</v>
      </c>
      <c r="G8350" s="2">
        <v>500.0</v>
      </c>
      <c r="H8350" s="3" t="str">
        <f>HYPERLINK("http://www.linkedin.com/in/manuelglaze","http://www.linkedin.com/in/manuelglaze")</f>
        <v>http://www.linkedin.com/in/manuelglaze</v>
      </c>
      <c r="I8350" s="2" t="s">
        <v>248</v>
      </c>
      <c r="J8350" s="2" t="s">
        <v>102</v>
      </c>
      <c r="K8350" s="2" t="s">
        <v>14074</v>
      </c>
    </row>
    <row r="8351" ht="15.75" customHeight="1">
      <c r="A8351" s="2">
        <v>134951.0</v>
      </c>
      <c r="B8351" s="2" t="s">
        <v>133</v>
      </c>
      <c r="C8351" s="2" t="s">
        <v>15295</v>
      </c>
      <c r="D8351" s="2" t="s">
        <v>47</v>
      </c>
      <c r="E8351" s="2" t="s">
        <v>235</v>
      </c>
      <c r="F8351" s="2">
        <v>0.0</v>
      </c>
      <c r="G8351" s="2">
        <v>500.0</v>
      </c>
      <c r="H8351" s="3" t="str">
        <f>HYPERLINK("http://www.linkedin.com/in/michaeltessler1","http://www.linkedin.com/in/michaeltessler1")</f>
        <v>http://www.linkedin.com/in/michaeltessler1</v>
      </c>
      <c r="I8351" s="2" t="s">
        <v>77</v>
      </c>
      <c r="J8351" s="2" t="s">
        <v>102</v>
      </c>
      <c r="K8351" s="2" t="s">
        <v>14211</v>
      </c>
    </row>
    <row r="8352" ht="15.75" customHeight="1">
      <c r="A8352" s="2">
        <v>135095.0</v>
      </c>
      <c r="B8352" s="2" t="s">
        <v>2543</v>
      </c>
      <c r="C8352" s="2" t="s">
        <v>15296</v>
      </c>
      <c r="D8352" s="2" t="s">
        <v>15297</v>
      </c>
      <c r="E8352" s="2" t="s">
        <v>10658</v>
      </c>
      <c r="F8352" s="2">
        <v>21.0</v>
      </c>
      <c r="G8352" s="2">
        <v>500.0</v>
      </c>
      <c r="H8352" s="3" t="str">
        <f>HYPERLINK("http://www.linkedin.com/in/donrohrer","http://www.linkedin.com/in/donrohrer")</f>
        <v>http://www.linkedin.com/in/donrohrer</v>
      </c>
      <c r="I8352" s="2" t="s">
        <v>15</v>
      </c>
      <c r="J8352" s="2" t="s">
        <v>102</v>
      </c>
      <c r="K8352" s="2" t="s">
        <v>14060</v>
      </c>
    </row>
    <row r="8353" ht="15.75" customHeight="1">
      <c r="A8353" s="2">
        <v>135516.0</v>
      </c>
      <c r="B8353" s="2" t="s">
        <v>2008</v>
      </c>
      <c r="C8353" s="2" t="s">
        <v>15298</v>
      </c>
      <c r="D8353" s="2" t="s">
        <v>81</v>
      </c>
      <c r="E8353" s="2" t="s">
        <v>301</v>
      </c>
      <c r="F8353" s="2">
        <v>7.0</v>
      </c>
      <c r="G8353" s="2">
        <v>500.0</v>
      </c>
      <c r="H8353" s="3" t="str">
        <f>HYPERLINK("http://www.linkedin.com/in/djedgerton","http://www.linkedin.com/in/djedgerton")</f>
        <v>http://www.linkedin.com/in/djedgerton</v>
      </c>
      <c r="I8353" s="2" t="s">
        <v>69</v>
      </c>
      <c r="J8353" s="2" t="s">
        <v>102</v>
      </c>
      <c r="K8353" s="2" t="s">
        <v>14073</v>
      </c>
    </row>
    <row r="8354" ht="15.75" customHeight="1">
      <c r="A8354" s="2">
        <v>135520.0</v>
      </c>
      <c r="B8354" s="2" t="s">
        <v>2153</v>
      </c>
      <c r="C8354" s="2" t="s">
        <v>15299</v>
      </c>
      <c r="D8354" s="2" t="s">
        <v>15300</v>
      </c>
      <c r="E8354" s="2" t="s">
        <v>301</v>
      </c>
      <c r="F8354" s="2">
        <v>3.0</v>
      </c>
      <c r="G8354" s="2">
        <v>500.0</v>
      </c>
      <c r="H8354" s="3" t="str">
        <f>HYPERLINK("http://www.linkedin.com/pub/nick-trombetta/4/6A2/45","http://www.linkedin.com/pub/nick-trombetta/4/6A2/45")</f>
        <v>http://www.linkedin.com/pub/nick-trombetta/4/6A2/45</v>
      </c>
      <c r="I8354" s="2" t="s">
        <v>69</v>
      </c>
      <c r="J8354" s="2" t="s">
        <v>102</v>
      </c>
      <c r="K8354" s="2" t="s">
        <v>14080</v>
      </c>
    </row>
    <row r="8355" ht="15.75" customHeight="1">
      <c r="A8355" s="2">
        <v>135614.0</v>
      </c>
      <c r="B8355" s="2" t="s">
        <v>45</v>
      </c>
      <c r="C8355" s="2" t="s">
        <v>6556</v>
      </c>
      <c r="D8355" s="2" t="s">
        <v>15301</v>
      </c>
      <c r="E8355" s="2" t="s">
        <v>301</v>
      </c>
      <c r="F8355" s="2" t="s">
        <v>13</v>
      </c>
      <c r="G8355" s="2">
        <v>500.0</v>
      </c>
      <c r="H8355" s="3" t="str">
        <f>HYPERLINK("http://www.linkedin.com/pub/carlos-dominguez/13/95/BB3","http://www.linkedin.com/pub/carlos-dominguez/13/95/BB3")</f>
        <v>http://www.linkedin.com/pub/carlos-dominguez/13/95/BB3</v>
      </c>
      <c r="I8355" s="2" t="s">
        <v>873</v>
      </c>
      <c r="J8355" s="2" t="s">
        <v>102</v>
      </c>
      <c r="K8355" s="2" t="s">
        <v>14055</v>
      </c>
    </row>
    <row r="8356" ht="15.75" customHeight="1">
      <c r="A8356" s="2">
        <v>135661.0</v>
      </c>
      <c r="B8356" s="2" t="s">
        <v>1071</v>
      </c>
      <c r="C8356" s="2" t="s">
        <v>15302</v>
      </c>
      <c r="D8356" s="2" t="s">
        <v>410</v>
      </c>
      <c r="E8356" s="2" t="s">
        <v>713</v>
      </c>
      <c r="F8356" s="2">
        <v>7.0</v>
      </c>
      <c r="G8356" s="2">
        <v>500.0</v>
      </c>
      <c r="H8356" s="3" t="str">
        <f>HYPERLINK("http://www.linkedin.com/in/efg101863","http://www.linkedin.com/in/efg101863")</f>
        <v>http://www.linkedin.com/in/efg101863</v>
      </c>
      <c r="I8356" s="2" t="s">
        <v>15</v>
      </c>
      <c r="J8356" s="2" t="s">
        <v>102</v>
      </c>
      <c r="K8356" s="2" t="s">
        <v>14117</v>
      </c>
    </row>
    <row r="8357" ht="15.75" customHeight="1">
      <c r="A8357" s="2">
        <v>137031.0</v>
      </c>
      <c r="B8357" s="2" t="s">
        <v>15303</v>
      </c>
      <c r="C8357" s="2" t="s">
        <v>15304</v>
      </c>
      <c r="D8357" s="2" t="s">
        <v>1145</v>
      </c>
      <c r="E8357" s="2" t="s">
        <v>728</v>
      </c>
      <c r="F8357" s="2">
        <v>3.0</v>
      </c>
      <c r="G8357" s="2">
        <v>500.0</v>
      </c>
      <c r="H8357" s="3" t="str">
        <f>HYPERLINK("http://www.linkedin.com/pub/bhuvana-nagarajan/3/94B/915","http://www.linkedin.com/pub/bhuvana-nagarajan/3/94B/915")</f>
        <v>http://www.linkedin.com/pub/bhuvana-nagarajan/3/94B/915</v>
      </c>
      <c r="I8357" s="2" t="s">
        <v>48</v>
      </c>
      <c r="J8357" s="2" t="s">
        <v>102</v>
      </c>
      <c r="K8357" s="2" t="s">
        <v>14197</v>
      </c>
    </row>
    <row r="8358" ht="15.75" customHeight="1">
      <c r="A8358" s="2">
        <v>137254.0</v>
      </c>
      <c r="B8358" s="2" t="s">
        <v>3202</v>
      </c>
      <c r="C8358" s="2" t="s">
        <v>15305</v>
      </c>
      <c r="D8358" s="2" t="s">
        <v>15306</v>
      </c>
      <c r="E8358" s="2" t="s">
        <v>15307</v>
      </c>
      <c r="F8358" s="2">
        <v>92.0</v>
      </c>
      <c r="G8358" s="2">
        <v>500.0</v>
      </c>
      <c r="H8358" s="3" t="str">
        <f>HYPERLINK("http://www.linkedin.com/in/mitchthrower","http://www.linkedin.com/in/mitchthrower")</f>
        <v>http://www.linkedin.com/in/mitchthrower</v>
      </c>
      <c r="I8358" s="2" t="s">
        <v>115</v>
      </c>
      <c r="J8358" s="2" t="s">
        <v>102</v>
      </c>
      <c r="K8358" s="2" t="s">
        <v>14073</v>
      </c>
    </row>
    <row r="8359" ht="15.75" customHeight="1">
      <c r="A8359" s="2">
        <v>137441.0</v>
      </c>
      <c r="B8359" s="2" t="s">
        <v>287</v>
      </c>
      <c r="C8359" s="2" t="s">
        <v>15308</v>
      </c>
      <c r="D8359" s="2" t="s">
        <v>13</v>
      </c>
      <c r="E8359" s="2" t="s">
        <v>11867</v>
      </c>
      <c r="F8359" s="2">
        <v>0.0</v>
      </c>
      <c r="G8359" s="2">
        <v>500.0</v>
      </c>
      <c r="H8359" s="3" t="str">
        <f>HYPERLINK("http://www.linkedin.com/in/paulkilzer","http://www.linkedin.com/in/paulkilzer")</f>
        <v>http://www.linkedin.com/in/paulkilzer</v>
      </c>
      <c r="I8359" s="2" t="s">
        <v>1390</v>
      </c>
      <c r="J8359" s="2" t="s">
        <v>102</v>
      </c>
      <c r="K8359" s="2" t="s">
        <v>14460</v>
      </c>
    </row>
    <row r="8360" ht="15.75" customHeight="1">
      <c r="A8360" s="2">
        <v>137463.0</v>
      </c>
      <c r="B8360" s="2" t="s">
        <v>15309</v>
      </c>
      <c r="C8360" s="2" t="s">
        <v>15310</v>
      </c>
      <c r="D8360" s="2" t="s">
        <v>15311</v>
      </c>
      <c r="E8360" s="2" t="s">
        <v>14710</v>
      </c>
      <c r="F8360" s="2">
        <v>86.0</v>
      </c>
      <c r="G8360" s="2">
        <v>500.0</v>
      </c>
      <c r="H8360" s="3" t="str">
        <f>HYPERLINK("http://www.linkedin.com/in/kolasa","http://www.linkedin.com/in/kolasa")</f>
        <v>http://www.linkedin.com/in/kolasa</v>
      </c>
      <c r="I8360" s="2" t="s">
        <v>15</v>
      </c>
      <c r="J8360" s="2" t="s">
        <v>102</v>
      </c>
      <c r="K8360" s="2" t="s">
        <v>14092</v>
      </c>
    </row>
    <row r="8361" ht="15.75" customHeight="1">
      <c r="A8361" s="2">
        <v>137747.0</v>
      </c>
      <c r="B8361" s="2" t="s">
        <v>1049</v>
      </c>
      <c r="C8361" s="2" t="s">
        <v>15312</v>
      </c>
      <c r="D8361" s="2" t="s">
        <v>114</v>
      </c>
      <c r="E8361" s="2" t="s">
        <v>166</v>
      </c>
      <c r="F8361" s="2">
        <v>56.0</v>
      </c>
      <c r="G8361" s="2">
        <v>500.0</v>
      </c>
      <c r="H8361" s="3" t="str">
        <f>HYPERLINK("http://www.linkedin.com/in/annzaslowrethaber","http://www.linkedin.com/in/annzaslowrethaber")</f>
        <v>http://www.linkedin.com/in/annzaslowrethaber</v>
      </c>
      <c r="I8361" s="2" t="s">
        <v>248</v>
      </c>
      <c r="J8361" s="2" t="s">
        <v>102</v>
      </c>
      <c r="K8361" s="2" t="s">
        <v>14115</v>
      </c>
    </row>
    <row r="8362" ht="15.75" customHeight="1">
      <c r="A8362" s="2">
        <v>138006.0</v>
      </c>
      <c r="B8362" s="2" t="s">
        <v>1284</v>
      </c>
      <c r="C8362" s="2" t="s">
        <v>5356</v>
      </c>
      <c r="D8362" s="2" t="s">
        <v>410</v>
      </c>
      <c r="E8362" s="2" t="s">
        <v>301</v>
      </c>
      <c r="F8362" s="2">
        <v>2.0</v>
      </c>
      <c r="G8362" s="2">
        <v>500.0</v>
      </c>
      <c r="H8362" s="3" t="str">
        <f>HYPERLINK("http://www.linkedin.com/pub/anthony-marino/3/B99/527","http://www.linkedin.com/pub/anthony-marino/3/B99/527")</f>
        <v>http://www.linkedin.com/pub/anthony-marino/3/B99/527</v>
      </c>
      <c r="I8362" s="2" t="s">
        <v>15</v>
      </c>
      <c r="J8362" s="2" t="s">
        <v>102</v>
      </c>
      <c r="K8362" s="2" t="s">
        <v>14080</v>
      </c>
    </row>
    <row r="8363" ht="15.75" customHeight="1">
      <c r="A8363" s="2">
        <v>138018.0</v>
      </c>
      <c r="B8363" s="2" t="s">
        <v>845</v>
      </c>
      <c r="C8363" s="2" t="s">
        <v>9508</v>
      </c>
      <c r="D8363" s="2" t="s">
        <v>3054</v>
      </c>
      <c r="E8363" s="2" t="s">
        <v>1190</v>
      </c>
      <c r="F8363" s="2">
        <v>25.0</v>
      </c>
      <c r="G8363" s="2">
        <v>500.0</v>
      </c>
      <c r="H8363" s="3" t="str">
        <f>HYPERLINK("http://www.linkedin.com/in/davidlorenzo","http://www.linkedin.com/in/davidlorenzo")</f>
        <v>http://www.linkedin.com/in/davidlorenzo</v>
      </c>
      <c r="I8363" s="2" t="s">
        <v>57</v>
      </c>
      <c r="J8363" s="2" t="s">
        <v>102</v>
      </c>
      <c r="K8363" s="2" t="s">
        <v>14074</v>
      </c>
    </row>
    <row r="8364" ht="15.75" customHeight="1">
      <c r="A8364" s="2">
        <v>138033.0</v>
      </c>
      <c r="B8364" s="2" t="s">
        <v>412</v>
      </c>
      <c r="C8364" s="2" t="s">
        <v>15313</v>
      </c>
      <c r="D8364" s="2" t="s">
        <v>47</v>
      </c>
      <c r="E8364" s="2" t="s">
        <v>628</v>
      </c>
      <c r="F8364" s="2">
        <v>36.0</v>
      </c>
      <c r="G8364" s="2">
        <v>500.0</v>
      </c>
      <c r="H8364" s="3" t="str">
        <f>HYPERLINK("http://www.linkedin.com/in/robertsieger","http://www.linkedin.com/in/robertsieger")</f>
        <v>http://www.linkedin.com/in/robertsieger</v>
      </c>
      <c r="I8364" s="2" t="s">
        <v>15</v>
      </c>
      <c r="J8364" s="2" t="s">
        <v>102</v>
      </c>
      <c r="K8364" s="2" t="s">
        <v>14117</v>
      </c>
    </row>
    <row r="8365" ht="15.75" customHeight="1">
      <c r="A8365" s="2">
        <v>138359.0</v>
      </c>
      <c r="B8365" s="2" t="s">
        <v>1143</v>
      </c>
      <c r="C8365" s="2" t="s">
        <v>15314</v>
      </c>
      <c r="D8365" s="2" t="s">
        <v>15315</v>
      </c>
      <c r="E8365" s="2" t="s">
        <v>1407</v>
      </c>
      <c r="F8365" s="2">
        <v>1.0</v>
      </c>
      <c r="G8365" s="2">
        <v>500.0</v>
      </c>
      <c r="H8365" s="3" t="str">
        <f>HYPERLINK("http://www.linkedin.com/pub/wade-pedrotti/7/71/633","http://www.linkedin.com/pub/wade-pedrotti/7/71/633")</f>
        <v>http://www.linkedin.com/pub/wade-pedrotti/7/71/633</v>
      </c>
      <c r="I8365" s="2" t="s">
        <v>77</v>
      </c>
      <c r="J8365" s="2" t="s">
        <v>102</v>
      </c>
      <c r="K8365" s="2" t="s">
        <v>15140</v>
      </c>
    </row>
    <row r="8366" ht="15.75" customHeight="1">
      <c r="A8366" s="2">
        <v>138581.0</v>
      </c>
      <c r="B8366" s="2" t="s">
        <v>15316</v>
      </c>
      <c r="C8366" s="2" t="s">
        <v>13353</v>
      </c>
      <c r="D8366" s="2" t="s">
        <v>47</v>
      </c>
      <c r="E8366" s="2" t="s">
        <v>101</v>
      </c>
      <c r="F8366" s="2">
        <v>16.0</v>
      </c>
      <c r="G8366" s="2">
        <v>500.0</v>
      </c>
      <c r="H8366" s="3" t="str">
        <f>HYPERLINK("http://www.linkedin.com/in/skipfreeman","http://www.linkedin.com/in/skipfreeman")</f>
        <v>http://www.linkedin.com/in/skipfreeman</v>
      </c>
      <c r="I8366" s="2" t="s">
        <v>248</v>
      </c>
      <c r="J8366" s="2" t="s">
        <v>102</v>
      </c>
      <c r="K8366" s="2" t="s">
        <v>14481</v>
      </c>
    </row>
    <row r="8367" ht="15.75" customHeight="1">
      <c r="A8367" s="2">
        <v>138733.0</v>
      </c>
      <c r="B8367" s="2" t="s">
        <v>1004</v>
      </c>
      <c r="C8367" s="2" t="s">
        <v>15317</v>
      </c>
      <c r="D8367" s="2" t="s">
        <v>13</v>
      </c>
      <c r="E8367" s="2" t="s">
        <v>914</v>
      </c>
      <c r="F8367" s="2">
        <v>0.0</v>
      </c>
      <c r="G8367" s="2">
        <v>500.0</v>
      </c>
      <c r="H8367" s="3" t="str">
        <f>HYPERLINK("https://www.linkedin.com/in/sprather","https://www.linkedin.com/in/sprather")</f>
        <v>https://www.linkedin.com/in/sprather</v>
      </c>
      <c r="I8367" s="2" t="s">
        <v>1496</v>
      </c>
      <c r="J8367" s="2" t="s">
        <v>102</v>
      </c>
      <c r="K8367" s="2" t="s">
        <v>14082</v>
      </c>
    </row>
    <row r="8368" ht="15.75" customHeight="1">
      <c r="A8368" s="2">
        <v>138737.0</v>
      </c>
      <c r="B8368" s="2" t="s">
        <v>106</v>
      </c>
      <c r="C8368" s="2" t="s">
        <v>15318</v>
      </c>
      <c r="D8368" s="2" t="s">
        <v>15319</v>
      </c>
      <c r="E8368" s="2" t="s">
        <v>2058</v>
      </c>
      <c r="F8368" s="2">
        <v>7.0</v>
      </c>
      <c r="G8368" s="2">
        <v>500.0</v>
      </c>
      <c r="H8368" s="3" t="str">
        <f>HYPERLINK("http://www.linkedin.com/in/eschneid","http://www.linkedin.com/in/eschneid")</f>
        <v>http://www.linkedin.com/in/eschneid</v>
      </c>
      <c r="I8368" s="2" t="s">
        <v>15</v>
      </c>
      <c r="J8368" s="2" t="s">
        <v>102</v>
      </c>
      <c r="K8368" s="2" t="s">
        <v>14565</v>
      </c>
    </row>
    <row r="8369" ht="15.75" customHeight="1">
      <c r="A8369" s="2">
        <v>139009.0</v>
      </c>
      <c r="B8369" s="2" t="s">
        <v>752</v>
      </c>
      <c r="C8369" s="2" t="s">
        <v>15320</v>
      </c>
      <c r="D8369" s="2" t="s">
        <v>3136</v>
      </c>
      <c r="E8369" s="2" t="s">
        <v>235</v>
      </c>
      <c r="F8369" s="2">
        <v>46.0</v>
      </c>
      <c r="G8369" s="2">
        <v>500.0</v>
      </c>
      <c r="H8369" s="3" t="str">
        <f>HYPERLINK("http://www.linkedin.com/in/bowiejim","http://www.linkedin.com/in/bowiejim")</f>
        <v>http://www.linkedin.com/in/bowiejim</v>
      </c>
      <c r="I8369" s="2" t="s">
        <v>57</v>
      </c>
      <c r="J8369" s="2" t="s">
        <v>102</v>
      </c>
      <c r="K8369" s="2" t="s">
        <v>14055</v>
      </c>
    </row>
    <row r="8370" ht="15.75" customHeight="1">
      <c r="A8370" s="2">
        <v>139105.0</v>
      </c>
      <c r="B8370" s="2" t="s">
        <v>302</v>
      </c>
      <c r="C8370" s="2" t="s">
        <v>15321</v>
      </c>
      <c r="D8370" s="2" t="s">
        <v>114</v>
      </c>
      <c r="E8370" s="2" t="s">
        <v>14704</v>
      </c>
      <c r="F8370" s="2">
        <v>5.0</v>
      </c>
      <c r="G8370" s="2">
        <v>500.0</v>
      </c>
      <c r="H8370" s="3" t="str">
        <f>HYPERLINK("http://www.linkedin.com/in/billquackenbush","http://www.linkedin.com/in/billquackenbush")</f>
        <v>http://www.linkedin.com/in/billquackenbush</v>
      </c>
      <c r="I8370" s="2" t="s">
        <v>248</v>
      </c>
      <c r="J8370" s="2" t="s">
        <v>102</v>
      </c>
      <c r="K8370" s="2" t="s">
        <v>14115</v>
      </c>
    </row>
    <row r="8371" ht="15.75" customHeight="1">
      <c r="A8371" s="2">
        <v>139176.0</v>
      </c>
      <c r="B8371" s="2" t="s">
        <v>15322</v>
      </c>
      <c r="C8371" s="2" t="s">
        <v>15323</v>
      </c>
      <c r="D8371" s="2" t="s">
        <v>14766</v>
      </c>
      <c r="E8371" s="2" t="s">
        <v>15324</v>
      </c>
      <c r="F8371" s="2">
        <v>106.0</v>
      </c>
      <c r="G8371" s="2">
        <v>500.0</v>
      </c>
      <c r="H8371" s="3" t="str">
        <f>HYPERLINK("http://www.linkedin.com/in/otgerhard","http://www.linkedin.com/in/otgerhard")</f>
        <v>http://www.linkedin.com/in/otgerhard</v>
      </c>
      <c r="I8371" s="2" t="s">
        <v>1390</v>
      </c>
      <c r="J8371" s="2" t="s">
        <v>102</v>
      </c>
      <c r="K8371" s="2" t="s">
        <v>14074</v>
      </c>
    </row>
    <row r="8372" ht="15.75" customHeight="1">
      <c r="A8372" s="2">
        <v>139243.0</v>
      </c>
      <c r="B8372" s="2" t="s">
        <v>14406</v>
      </c>
      <c r="C8372" s="2" t="s">
        <v>15325</v>
      </c>
      <c r="D8372" s="2" t="s">
        <v>309</v>
      </c>
      <c r="E8372" s="2" t="s">
        <v>136</v>
      </c>
      <c r="F8372" s="2" t="s">
        <v>13</v>
      </c>
      <c r="G8372" s="2">
        <v>500.0</v>
      </c>
      <c r="H8372" s="3" t="str">
        <f>HYPERLINK("http://www.linkedin.com/in/naveentewari","http://www.linkedin.com/in/naveentewari")</f>
        <v>http://www.linkedin.com/in/naveentewari</v>
      </c>
      <c r="I8372" s="2" t="s">
        <v>105</v>
      </c>
      <c r="J8372" s="2" t="s">
        <v>102</v>
      </c>
      <c r="K8372" s="2" t="s">
        <v>14055</v>
      </c>
    </row>
    <row r="8373" ht="15.75" customHeight="1">
      <c r="A8373" s="2">
        <v>139348.0</v>
      </c>
      <c r="B8373" s="2" t="s">
        <v>845</v>
      </c>
      <c r="C8373" s="2" t="s">
        <v>1502</v>
      </c>
      <c r="D8373" s="2" t="s">
        <v>1825</v>
      </c>
      <c r="E8373" s="2" t="s">
        <v>762</v>
      </c>
      <c r="F8373" s="2">
        <v>17.0</v>
      </c>
      <c r="G8373" s="2">
        <v>500.0</v>
      </c>
      <c r="H8373" s="3" t="str">
        <f>HYPERLINK("http://www.linkedin.com/in/dcohen35","http://www.linkedin.com/in/dcohen35")</f>
        <v>http://www.linkedin.com/in/dcohen35</v>
      </c>
      <c r="I8373" s="2" t="s">
        <v>105</v>
      </c>
      <c r="J8373" s="2" t="s">
        <v>102</v>
      </c>
      <c r="K8373" s="2" t="s">
        <v>14074</v>
      </c>
    </row>
    <row r="8374" ht="15.75" customHeight="1">
      <c r="A8374" s="2">
        <v>139480.0</v>
      </c>
      <c r="B8374" s="2" t="s">
        <v>2109</v>
      </c>
      <c r="C8374" s="2" t="s">
        <v>15326</v>
      </c>
      <c r="D8374" s="2" t="s">
        <v>42</v>
      </c>
      <c r="E8374" s="2" t="s">
        <v>3105</v>
      </c>
      <c r="F8374" s="2">
        <v>10.0</v>
      </c>
      <c r="G8374" s="2">
        <v>479.0</v>
      </c>
      <c r="H8374" s="3" t="str">
        <f>HYPERLINK("http://www.linkedin.com/pub/rob-pickett/7/870/2A","http://www.linkedin.com/pub/rob-pickett/7/870/2A")</f>
        <v>http://www.linkedin.com/pub/rob-pickett/7/870/2A</v>
      </c>
      <c r="I8374" s="2" t="s">
        <v>2843</v>
      </c>
      <c r="J8374" s="2" t="s">
        <v>102</v>
      </c>
      <c r="K8374" s="2" t="s">
        <v>14055</v>
      </c>
    </row>
    <row r="8375" ht="15.75" customHeight="1">
      <c r="A8375" s="2">
        <v>139538.0</v>
      </c>
      <c r="B8375" s="2" t="s">
        <v>2109</v>
      </c>
      <c r="C8375" s="2" t="s">
        <v>15327</v>
      </c>
      <c r="D8375" s="2" t="s">
        <v>1805</v>
      </c>
      <c r="E8375" s="2" t="s">
        <v>301</v>
      </c>
      <c r="F8375" s="2">
        <v>4.0</v>
      </c>
      <c r="G8375" s="2">
        <v>500.0</v>
      </c>
      <c r="H8375" s="3" t="str">
        <f>HYPERLINK("http://www.linkedin.com/pub/rob-friedman/6/319/25","http://www.linkedin.com/pub/rob-friedman/6/319/25")</f>
        <v>http://www.linkedin.com/pub/rob-friedman/6/319/25</v>
      </c>
      <c r="I8375" s="2" t="s">
        <v>15</v>
      </c>
      <c r="J8375" s="2" t="s">
        <v>102</v>
      </c>
      <c r="K8375" s="2" t="s">
        <v>14088</v>
      </c>
    </row>
    <row r="8376" ht="15.75" customHeight="1">
      <c r="A8376" s="2">
        <v>139693.0</v>
      </c>
      <c r="B8376" s="2" t="s">
        <v>2734</v>
      </c>
      <c r="C8376" s="2" t="s">
        <v>15328</v>
      </c>
      <c r="D8376" s="2" t="s">
        <v>3298</v>
      </c>
      <c r="E8376" s="2" t="s">
        <v>301</v>
      </c>
      <c r="F8376" s="2">
        <v>6.0</v>
      </c>
      <c r="G8376" s="2">
        <v>500.0</v>
      </c>
      <c r="H8376" s="3" t="str">
        <f>HYPERLINK("http://www.linkedin.com/in/pattibloom","http://www.linkedin.com/in/pattibloom")</f>
        <v>http://www.linkedin.com/in/pattibloom</v>
      </c>
      <c r="I8376" s="2" t="s">
        <v>15</v>
      </c>
      <c r="J8376" s="2" t="s">
        <v>102</v>
      </c>
      <c r="K8376" s="2" t="s">
        <v>14197</v>
      </c>
    </row>
    <row r="8377" ht="15.75" customHeight="1">
      <c r="A8377" s="2">
        <v>139697.0</v>
      </c>
      <c r="B8377" s="2" t="s">
        <v>333</v>
      </c>
      <c r="C8377" s="2" t="s">
        <v>15329</v>
      </c>
      <c r="D8377" s="2" t="s">
        <v>15330</v>
      </c>
      <c r="E8377" s="2" t="s">
        <v>457</v>
      </c>
      <c r="F8377" s="2">
        <v>4.0</v>
      </c>
      <c r="G8377" s="2">
        <v>312.0</v>
      </c>
      <c r="H8377" s="3" t="str">
        <f>HYPERLINK("http://www.linkedin.com/in/ddemarcello","http://www.linkedin.com/in/ddemarcello")</f>
        <v>http://www.linkedin.com/in/ddemarcello</v>
      </c>
      <c r="I8377" s="2" t="s">
        <v>15</v>
      </c>
      <c r="J8377" s="2" t="s">
        <v>102</v>
      </c>
      <c r="K8377" s="2" t="s">
        <v>14565</v>
      </c>
    </row>
    <row r="8378" ht="15.75" customHeight="1">
      <c r="A8378" s="2">
        <v>139712.0</v>
      </c>
      <c r="B8378" s="2" t="s">
        <v>275</v>
      </c>
      <c r="C8378" s="2" t="s">
        <v>548</v>
      </c>
      <c r="D8378" s="2" t="s">
        <v>114</v>
      </c>
      <c r="E8378" s="2" t="s">
        <v>301</v>
      </c>
      <c r="F8378" s="2">
        <v>0.0</v>
      </c>
      <c r="G8378" s="2">
        <v>98.0</v>
      </c>
      <c r="H8378" s="3" t="str">
        <f>HYPERLINK("http://www.linkedin.com/pub/mark-cook/13/2B3/734","http://www.linkedin.com/pub/mark-cook/13/2B3/734")</f>
        <v>http://www.linkedin.com/pub/mark-cook/13/2B3/734</v>
      </c>
      <c r="I8378" s="2" t="s">
        <v>1698</v>
      </c>
      <c r="J8378" s="2" t="s">
        <v>102</v>
      </c>
      <c r="K8378" s="2" t="s">
        <v>14055</v>
      </c>
    </row>
    <row r="8379" ht="15.75" customHeight="1">
      <c r="A8379" s="2">
        <v>143336.0</v>
      </c>
      <c r="B8379" s="2" t="s">
        <v>15331</v>
      </c>
      <c r="C8379" s="2" t="s">
        <v>15332</v>
      </c>
      <c r="D8379" s="2" t="s">
        <v>400</v>
      </c>
      <c r="E8379" s="2" t="s">
        <v>808</v>
      </c>
      <c r="F8379" s="2">
        <v>4.0</v>
      </c>
      <c r="G8379" s="2">
        <v>500.0</v>
      </c>
      <c r="H8379" s="3" t="str">
        <f>HYPERLINK("http://www.linkedin.com/in/mironlulic","http://www.linkedin.com/in/mironlulic")</f>
        <v>http://www.linkedin.com/in/mironlulic</v>
      </c>
      <c r="I8379" s="2" t="s">
        <v>69</v>
      </c>
      <c r="J8379" s="2" t="s">
        <v>102</v>
      </c>
      <c r="K8379" s="2" t="s">
        <v>14088</v>
      </c>
    </row>
    <row r="8380" ht="15.75" customHeight="1">
      <c r="A8380" s="2">
        <v>143815.0</v>
      </c>
      <c r="B8380" s="2" t="s">
        <v>9059</v>
      </c>
      <c r="C8380" s="2" t="s">
        <v>15333</v>
      </c>
      <c r="D8380" s="2" t="s">
        <v>1966</v>
      </c>
      <c r="E8380" s="2" t="s">
        <v>136</v>
      </c>
      <c r="F8380" s="2">
        <v>7.0</v>
      </c>
      <c r="G8380" s="2">
        <v>500.0</v>
      </c>
      <c r="H8380" s="3" t="str">
        <f>HYPERLINK("http://www.linkedin.com/in/isabellas","http://www.linkedin.com/in/isabellas")</f>
        <v>http://www.linkedin.com/in/isabellas</v>
      </c>
      <c r="I8380" s="2" t="s">
        <v>248</v>
      </c>
      <c r="J8380" s="2" t="s">
        <v>102</v>
      </c>
      <c r="K8380" s="2" t="s">
        <v>14481</v>
      </c>
    </row>
    <row r="8381" ht="15.75" customHeight="1">
      <c r="A8381" s="2">
        <v>143875.0</v>
      </c>
      <c r="B8381" s="2" t="s">
        <v>2109</v>
      </c>
      <c r="C8381" s="2" t="s">
        <v>15334</v>
      </c>
      <c r="D8381" s="2" t="s">
        <v>47</v>
      </c>
      <c r="E8381" s="2" t="s">
        <v>136</v>
      </c>
      <c r="F8381" s="2" t="s">
        <v>13</v>
      </c>
      <c r="G8381" s="2">
        <v>430.0</v>
      </c>
      <c r="H8381" s="3" t="str">
        <f>HYPERLINK("http://www.linkedin.com/pub/rob-sotomayor/18/118/A","http://www.linkedin.com/pub/rob-sotomayor/18/118/A")</f>
        <v>http://www.linkedin.com/pub/rob-sotomayor/18/118/A</v>
      </c>
      <c r="I8381" s="2" t="s">
        <v>475</v>
      </c>
      <c r="J8381" s="2" t="s">
        <v>102</v>
      </c>
      <c r="K8381" s="2" t="s">
        <v>14055</v>
      </c>
    </row>
    <row r="8382" ht="15.75" customHeight="1">
      <c r="A8382" s="2">
        <v>144200.0</v>
      </c>
      <c r="B8382" s="2" t="s">
        <v>721</v>
      </c>
      <c r="C8382" s="2" t="s">
        <v>342</v>
      </c>
      <c r="D8382" s="2" t="s">
        <v>13</v>
      </c>
      <c r="E8382" s="2" t="s">
        <v>2090</v>
      </c>
      <c r="F8382" s="2">
        <v>0.0</v>
      </c>
      <c r="G8382" s="2">
        <v>500.0</v>
      </c>
      <c r="H8382" s="3" t="str">
        <f>HYPERLINK("http://www.linkedin.com/in/andrewjjenkins","http://www.linkedin.com/in/andrewjjenkins")</f>
        <v>http://www.linkedin.com/in/andrewjjenkins</v>
      </c>
      <c r="I8382" s="2" t="s">
        <v>15</v>
      </c>
      <c r="J8382" s="2" t="s">
        <v>44</v>
      </c>
      <c r="K8382" s="2" t="s">
        <v>14055</v>
      </c>
    </row>
    <row r="8383" ht="15.75" customHeight="1">
      <c r="A8383" s="2">
        <v>144448.0</v>
      </c>
      <c r="B8383" s="2" t="s">
        <v>15335</v>
      </c>
      <c r="C8383" s="2" t="s">
        <v>2750</v>
      </c>
      <c r="D8383" s="2" t="s">
        <v>400</v>
      </c>
      <c r="E8383" s="2" t="s">
        <v>15336</v>
      </c>
      <c r="F8383" s="2">
        <v>6.0</v>
      </c>
      <c r="G8383" s="2">
        <v>500.0</v>
      </c>
      <c r="H8383" s="3" t="str">
        <f>HYPERLINK("http://ca.linkedin.com/in/michalberman","http://ca.linkedin.com/in/michalberman")</f>
        <v>http://ca.linkedin.com/in/michalberman</v>
      </c>
      <c r="I8383" s="2" t="s">
        <v>69</v>
      </c>
      <c r="J8383" s="2" t="s">
        <v>44</v>
      </c>
      <c r="K8383" s="2" t="s">
        <v>14055</v>
      </c>
    </row>
    <row r="8384" ht="15.75" customHeight="1">
      <c r="A8384" s="2">
        <v>144487.0</v>
      </c>
      <c r="B8384" s="2" t="s">
        <v>11149</v>
      </c>
      <c r="C8384" s="2" t="s">
        <v>15337</v>
      </c>
      <c r="D8384" s="2" t="s">
        <v>517</v>
      </c>
      <c r="E8384" s="2" t="s">
        <v>914</v>
      </c>
      <c r="F8384" s="2">
        <v>24.0</v>
      </c>
      <c r="G8384" s="2">
        <v>500.0</v>
      </c>
      <c r="H8384" s="3" t="str">
        <f>HYPERLINK("http://www.linkedin.com/in/brettgreene","http://www.linkedin.com/in/brettgreene")</f>
        <v>http://www.linkedin.com/in/brettgreene</v>
      </c>
      <c r="I8384" s="2" t="s">
        <v>105</v>
      </c>
      <c r="J8384" s="2" t="s">
        <v>102</v>
      </c>
      <c r="K8384" s="2" t="s">
        <v>15107</v>
      </c>
    </row>
    <row r="8385" ht="15.75" customHeight="1">
      <c r="A8385" s="2">
        <v>144540.0</v>
      </c>
      <c r="B8385" s="2" t="s">
        <v>15338</v>
      </c>
      <c r="C8385" s="2" t="s">
        <v>14908</v>
      </c>
      <c r="D8385" s="2" t="s">
        <v>42</v>
      </c>
      <c r="E8385" s="2" t="s">
        <v>3426</v>
      </c>
      <c r="F8385" s="2">
        <v>2.0</v>
      </c>
      <c r="G8385" s="2">
        <v>500.0</v>
      </c>
      <c r="H8385" s="3" t="str">
        <f>HYPERLINK("http://www.linkedin.com/in/handyandygoodman","http://www.linkedin.com/in/handyandygoodman")</f>
        <v>http://www.linkedin.com/in/handyandygoodman</v>
      </c>
      <c r="I8385" s="2" t="s">
        <v>15</v>
      </c>
      <c r="J8385" s="2" t="s">
        <v>102</v>
      </c>
      <c r="K8385" s="2" t="s">
        <v>14074</v>
      </c>
    </row>
    <row r="8386" ht="15.75" customHeight="1">
      <c r="A8386" s="2">
        <v>144545.0</v>
      </c>
      <c r="B8386" s="2" t="s">
        <v>15339</v>
      </c>
      <c r="C8386" s="2" t="s">
        <v>2623</v>
      </c>
      <c r="D8386" s="2" t="s">
        <v>13</v>
      </c>
      <c r="E8386" s="2" t="s">
        <v>15340</v>
      </c>
      <c r="F8386" s="2">
        <v>0.0</v>
      </c>
      <c r="G8386" s="2">
        <v>500.0</v>
      </c>
      <c r="H8386" s="3" t="str">
        <f>HYPERLINK("http://www.linkedin.com/pub/marvin-powell/0/b4/416?trk=pub-pbmap","http://www.linkedin.com/pub/marvin-powell/0/b4/416?trk=pub-pbmap")</f>
        <v>http://www.linkedin.com/pub/marvin-powell/0/b4/416?trk=pub-pbmap</v>
      </c>
      <c r="I8386" s="2" t="s">
        <v>1390</v>
      </c>
      <c r="J8386" s="2" t="s">
        <v>102</v>
      </c>
      <c r="K8386" s="2" t="s">
        <v>14074</v>
      </c>
    </row>
    <row r="8387" ht="15.75" customHeight="1">
      <c r="A8387" s="2">
        <v>144769.0</v>
      </c>
      <c r="B8387" s="2" t="s">
        <v>1232</v>
      </c>
      <c r="C8387" s="2" t="s">
        <v>15341</v>
      </c>
      <c r="D8387" s="2" t="s">
        <v>15342</v>
      </c>
      <c r="E8387" s="2" t="s">
        <v>971</v>
      </c>
      <c r="F8387" s="2" t="s">
        <v>13</v>
      </c>
      <c r="G8387" s="2">
        <v>500.0</v>
      </c>
      <c r="H8387" s="3" t="str">
        <f>HYPERLINK("http://www.linkedin.com/pub/roger-g/1/155/929","http://www.linkedin.com/pub/roger-g/1/155/929")</f>
        <v>http://www.linkedin.com/pub/roger-g/1/155/929</v>
      </c>
      <c r="I8387" s="2" t="s">
        <v>15</v>
      </c>
      <c r="J8387" s="2" t="s">
        <v>102</v>
      </c>
      <c r="K8387" s="2" t="s">
        <v>14078</v>
      </c>
    </row>
    <row r="8388" ht="15.75" customHeight="1">
      <c r="A8388" s="2">
        <v>145462.0</v>
      </c>
      <c r="B8388" s="2" t="s">
        <v>1380</v>
      </c>
      <c r="C8388" s="2" t="s">
        <v>15343</v>
      </c>
      <c r="D8388" s="2" t="s">
        <v>15344</v>
      </c>
      <c r="E8388" s="2" t="s">
        <v>914</v>
      </c>
      <c r="F8388" s="2">
        <v>4.0</v>
      </c>
      <c r="G8388" s="2">
        <v>500.0</v>
      </c>
      <c r="H8388" s="3" t="str">
        <f>HYPERLINK("http://www.linkedin.com/in/randyblue","http://www.linkedin.com/in/randyblue")</f>
        <v>http://www.linkedin.com/in/randyblue</v>
      </c>
      <c r="I8388" s="2" t="s">
        <v>77</v>
      </c>
      <c r="J8388" s="2" t="s">
        <v>102</v>
      </c>
      <c r="K8388" s="2" t="s">
        <v>15140</v>
      </c>
    </row>
    <row r="8389" ht="15.75" customHeight="1">
      <c r="A8389" s="2">
        <v>145496.0</v>
      </c>
      <c r="B8389" s="2" t="s">
        <v>1019</v>
      </c>
      <c r="C8389" s="2" t="s">
        <v>15345</v>
      </c>
      <c r="D8389" s="2" t="s">
        <v>15346</v>
      </c>
      <c r="E8389" s="2" t="s">
        <v>1407</v>
      </c>
      <c r="F8389" s="2">
        <v>10.0</v>
      </c>
      <c r="G8389" s="2">
        <v>500.0</v>
      </c>
      <c r="H8389" s="3" t="str">
        <f>HYPERLINK("http://www.linkedin.com/in/parsonsconsulting","http://www.linkedin.com/in/parsonsconsulting")</f>
        <v>http://www.linkedin.com/in/parsonsconsulting</v>
      </c>
      <c r="I8389" s="2" t="s">
        <v>160</v>
      </c>
      <c r="J8389" s="2" t="s">
        <v>102</v>
      </c>
      <c r="K8389" s="2" t="s">
        <v>15347</v>
      </c>
    </row>
    <row r="8390" ht="15.75" customHeight="1">
      <c r="A8390" s="2">
        <v>145605.0</v>
      </c>
      <c r="B8390" s="2" t="s">
        <v>2314</v>
      </c>
      <c r="C8390" s="2" t="s">
        <v>1300</v>
      </c>
      <c r="D8390" s="2" t="s">
        <v>13</v>
      </c>
      <c r="E8390" s="2" t="s">
        <v>122</v>
      </c>
      <c r="F8390" s="2">
        <v>5.0</v>
      </c>
      <c r="G8390" s="2">
        <v>500.0</v>
      </c>
      <c r="H8390" s="3" t="str">
        <f>HYPERLINK("http://www.linkedin.com/in/milesrossmilesross","http://www.linkedin.com/in/milesrossmilesross")</f>
        <v>http://www.linkedin.com/in/milesrossmilesross</v>
      </c>
      <c r="I8390" s="2" t="s">
        <v>1496</v>
      </c>
      <c r="J8390" s="2" t="s">
        <v>53</v>
      </c>
      <c r="K8390" s="2" t="s">
        <v>14242</v>
      </c>
    </row>
    <row r="8391" ht="15.75" customHeight="1">
      <c r="A8391" s="2">
        <v>145674.0</v>
      </c>
      <c r="B8391" s="2" t="s">
        <v>15348</v>
      </c>
      <c r="C8391" s="2" t="s">
        <v>15349</v>
      </c>
      <c r="D8391" s="2" t="s">
        <v>114</v>
      </c>
      <c r="E8391" s="2" t="s">
        <v>301</v>
      </c>
      <c r="F8391" s="2">
        <v>7.0</v>
      </c>
      <c r="G8391" s="2">
        <v>500.0</v>
      </c>
      <c r="H8391" s="3" t="str">
        <f>HYPERLINK("http://www.linkedin.com/pub/michael-v-michalski/19/416/226","http://www.linkedin.com/pub/michael-v-michalski/19/416/226")</f>
        <v>http://www.linkedin.com/pub/michael-v-michalski/19/416/226</v>
      </c>
      <c r="I8391" s="2" t="s">
        <v>57</v>
      </c>
      <c r="J8391" s="2" t="s">
        <v>102</v>
      </c>
      <c r="K8391" s="2" t="s">
        <v>14055</v>
      </c>
    </row>
    <row r="8392" ht="15.75" customHeight="1">
      <c r="A8392" s="2">
        <v>145712.0</v>
      </c>
      <c r="B8392" s="2" t="s">
        <v>2099</v>
      </c>
      <c r="C8392" s="2" t="s">
        <v>15350</v>
      </c>
      <c r="D8392" s="2" t="s">
        <v>13</v>
      </c>
      <c r="E8392" s="2" t="s">
        <v>3426</v>
      </c>
      <c r="F8392" s="2">
        <v>0.0</v>
      </c>
      <c r="G8392" s="2">
        <v>500.0</v>
      </c>
      <c r="H8392" s="3" t="str">
        <f>HYPERLINK("http://www.linkedin.com/in/charlesrein","http://www.linkedin.com/in/charlesrein")</f>
        <v>http://www.linkedin.com/in/charlesrein</v>
      </c>
      <c r="I8392" s="2" t="s">
        <v>15</v>
      </c>
      <c r="J8392" s="2" t="s">
        <v>102</v>
      </c>
      <c r="K8392" s="2" t="s">
        <v>14074</v>
      </c>
    </row>
    <row r="8393" ht="15.75" customHeight="1">
      <c r="A8393" s="2">
        <v>145719.0</v>
      </c>
      <c r="B8393" s="2" t="s">
        <v>2350</v>
      </c>
      <c r="C8393" s="2" t="s">
        <v>15351</v>
      </c>
      <c r="D8393" s="2" t="s">
        <v>15352</v>
      </c>
      <c r="E8393" s="2" t="s">
        <v>628</v>
      </c>
      <c r="F8393" s="2">
        <v>23.0</v>
      </c>
      <c r="G8393" s="2">
        <v>500.0</v>
      </c>
      <c r="H8393" s="3" t="str">
        <f>HYPERLINK("http://www.linkedin.com/in/fredmcmurray","http://www.linkedin.com/in/fredmcmurray")</f>
        <v>http://www.linkedin.com/in/fredmcmurray</v>
      </c>
      <c r="I8393" s="2" t="s">
        <v>105</v>
      </c>
      <c r="J8393" s="2" t="s">
        <v>102</v>
      </c>
      <c r="K8393" s="2" t="s">
        <v>14111</v>
      </c>
    </row>
    <row r="8394" ht="15.75" customHeight="1">
      <c r="A8394" s="2">
        <v>145729.0</v>
      </c>
      <c r="B8394" s="2" t="s">
        <v>12386</v>
      </c>
      <c r="C8394" s="2" t="s">
        <v>15353</v>
      </c>
      <c r="D8394" s="2" t="s">
        <v>47</v>
      </c>
      <c r="E8394" s="2" t="s">
        <v>628</v>
      </c>
      <c r="F8394" s="2">
        <v>12.0</v>
      </c>
      <c r="G8394" s="2">
        <v>500.0</v>
      </c>
      <c r="H8394" s="3" t="str">
        <f>HYPERLINK("http://www.linkedin.com/in/michelerempel","http://www.linkedin.com/in/michelerempel")</f>
        <v>http://www.linkedin.com/in/michelerempel</v>
      </c>
      <c r="I8394" s="2" t="s">
        <v>105</v>
      </c>
      <c r="J8394" s="2" t="s">
        <v>102</v>
      </c>
      <c r="K8394" s="2" t="s">
        <v>14055</v>
      </c>
    </row>
    <row r="8395" ht="15.75" customHeight="1">
      <c r="A8395" s="2">
        <v>145743.0</v>
      </c>
      <c r="B8395" s="2" t="s">
        <v>15354</v>
      </c>
      <c r="C8395" s="2" t="s">
        <v>15355</v>
      </c>
      <c r="D8395" s="2" t="s">
        <v>3136</v>
      </c>
      <c r="E8395" s="2" t="s">
        <v>1615</v>
      </c>
      <c r="F8395" s="2">
        <v>16.0</v>
      </c>
      <c r="G8395" s="2">
        <v>500.0</v>
      </c>
      <c r="H8395" s="3" t="str">
        <f>HYPERLINK("http://www.linkedin.com/in/lenahunt","http://www.linkedin.com/in/lenahunt")</f>
        <v>http://www.linkedin.com/in/lenahunt</v>
      </c>
      <c r="I8395" s="2" t="s">
        <v>105</v>
      </c>
      <c r="J8395" s="2" t="s">
        <v>102</v>
      </c>
      <c r="K8395" s="2" t="s">
        <v>14055</v>
      </c>
    </row>
    <row r="8396" ht="15.75" customHeight="1">
      <c r="A8396" s="2">
        <v>145744.0</v>
      </c>
      <c r="B8396" s="2" t="s">
        <v>287</v>
      </c>
      <c r="C8396" s="2" t="s">
        <v>15356</v>
      </c>
      <c r="D8396" s="2" t="s">
        <v>11431</v>
      </c>
      <c r="E8396" s="2" t="s">
        <v>713</v>
      </c>
      <c r="F8396" s="2">
        <v>21.0</v>
      </c>
      <c r="G8396" s="2">
        <v>500.0</v>
      </c>
      <c r="H8396" s="3" t="str">
        <f>HYPERLINK("http://www.linkedin.com/in/paulohrenberger","http://www.linkedin.com/in/paulohrenberger")</f>
        <v>http://www.linkedin.com/in/paulohrenberger</v>
      </c>
      <c r="I8396" s="2" t="s">
        <v>15</v>
      </c>
      <c r="J8396" s="2" t="s">
        <v>102</v>
      </c>
      <c r="K8396" s="2" t="s">
        <v>14092</v>
      </c>
    </row>
    <row r="8397" ht="15.75" customHeight="1">
      <c r="A8397" s="2">
        <v>145866.0</v>
      </c>
      <c r="B8397" s="2" t="s">
        <v>15357</v>
      </c>
      <c r="C8397" s="2" t="s">
        <v>15358</v>
      </c>
      <c r="D8397" s="2" t="s">
        <v>47</v>
      </c>
      <c r="E8397" s="2" t="s">
        <v>235</v>
      </c>
      <c r="F8397" s="2">
        <v>12.0</v>
      </c>
      <c r="G8397" s="2">
        <v>500.0</v>
      </c>
      <c r="H8397" s="3" t="str">
        <f>HYPERLINK("http://www.linkedin.com/in/sumitpanjabi","http://www.linkedin.com/in/sumitpanjabi")</f>
        <v>http://www.linkedin.com/in/sumitpanjabi</v>
      </c>
      <c r="I8397" s="2" t="s">
        <v>248</v>
      </c>
      <c r="J8397" s="2" t="s">
        <v>102</v>
      </c>
      <c r="K8397" s="2" t="s">
        <v>14481</v>
      </c>
    </row>
    <row r="8398" ht="15.75" customHeight="1">
      <c r="A8398" s="2">
        <v>145962.0</v>
      </c>
      <c r="B8398" s="2" t="s">
        <v>5874</v>
      </c>
      <c r="C8398" s="2" t="s">
        <v>15359</v>
      </c>
      <c r="D8398" s="2" t="s">
        <v>15360</v>
      </c>
      <c r="E8398" s="2" t="s">
        <v>2090</v>
      </c>
      <c r="F8398" s="2" t="s">
        <v>13</v>
      </c>
      <c r="G8398" s="2">
        <v>500.0</v>
      </c>
      <c r="H8398" s="3" t="str">
        <f>HYPERLINK("http://ca.linkedin.com/in/juancarloscordero","http://ca.linkedin.com/in/juancarloscordero")</f>
        <v>http://ca.linkedin.com/in/juancarloscordero</v>
      </c>
      <c r="I8398" s="2" t="s">
        <v>579</v>
      </c>
      <c r="J8398" s="2" t="s">
        <v>44</v>
      </c>
      <c r="K8398" s="2" t="s">
        <v>14055</v>
      </c>
    </row>
    <row r="8399" ht="15.75" customHeight="1">
      <c r="A8399" s="2">
        <v>146277.0</v>
      </c>
      <c r="B8399" s="2" t="s">
        <v>9031</v>
      </c>
      <c r="C8399" s="2" t="s">
        <v>6148</v>
      </c>
      <c r="D8399" s="2" t="s">
        <v>15361</v>
      </c>
      <c r="E8399" s="2" t="s">
        <v>136</v>
      </c>
      <c r="F8399" s="2">
        <v>28.0</v>
      </c>
      <c r="G8399" s="2">
        <v>500.0</v>
      </c>
      <c r="H8399" s="3" t="str">
        <f>HYPERLINK("http://www.linkedin.com/in/brendabrathwaite","http://www.linkedin.com/in/brendabrathwaite")</f>
        <v>http://www.linkedin.com/in/brendabrathwaite</v>
      </c>
      <c r="I8399" s="2" t="s">
        <v>143</v>
      </c>
      <c r="J8399" s="2" t="s">
        <v>102</v>
      </c>
      <c r="K8399" s="2" t="s">
        <v>14088</v>
      </c>
    </row>
    <row r="8400" ht="15.75" customHeight="1">
      <c r="A8400" s="2">
        <v>146575.0</v>
      </c>
      <c r="B8400" s="2" t="s">
        <v>15362</v>
      </c>
      <c r="C8400" s="2" t="s">
        <v>15363</v>
      </c>
      <c r="D8400" s="2" t="s">
        <v>13</v>
      </c>
      <c r="E8400" s="2" t="s">
        <v>136</v>
      </c>
      <c r="F8400" s="2">
        <v>0.0</v>
      </c>
      <c r="G8400" s="2">
        <v>500.0</v>
      </c>
      <c r="H8400" s="3" t="str">
        <f>HYPERLINK("http://www.linkedin.com/pub/mimi-gigoux/4/475/5BA","http://www.linkedin.com/pub/mimi-gigoux/4/475/5BA")</f>
        <v>http://www.linkedin.com/pub/mimi-gigoux/4/475/5BA</v>
      </c>
      <c r="I8400" s="2" t="s">
        <v>326</v>
      </c>
      <c r="J8400" s="2" t="s">
        <v>102</v>
      </c>
      <c r="K8400" s="2" t="s">
        <v>14211</v>
      </c>
    </row>
    <row r="8401" ht="15.75" customHeight="1">
      <c r="A8401" s="2">
        <v>146640.0</v>
      </c>
      <c r="B8401" s="2" t="s">
        <v>2752</v>
      </c>
      <c r="C8401" s="2" t="s">
        <v>9828</v>
      </c>
      <c r="D8401" s="2" t="s">
        <v>15364</v>
      </c>
      <c r="E8401" s="2" t="s">
        <v>155</v>
      </c>
      <c r="F8401" s="2">
        <v>32.0</v>
      </c>
      <c r="G8401" s="2">
        <v>500.0</v>
      </c>
      <c r="H8401" s="3" t="str">
        <f>HYPERLINK("http://www.linkedin.com/in/craigelias","http://www.linkedin.com/in/craigelias")</f>
        <v>http://www.linkedin.com/in/craigelias</v>
      </c>
      <c r="I8401" s="2" t="s">
        <v>1390</v>
      </c>
      <c r="J8401" s="2" t="s">
        <v>102</v>
      </c>
      <c r="K8401" s="2" t="s">
        <v>14074</v>
      </c>
    </row>
    <row r="8402" ht="15.75" customHeight="1">
      <c r="A8402" s="2">
        <v>146714.0</v>
      </c>
      <c r="B8402" s="2" t="s">
        <v>116</v>
      </c>
      <c r="C8402" s="2" t="s">
        <v>15365</v>
      </c>
      <c r="D8402" s="2" t="s">
        <v>1966</v>
      </c>
      <c r="E8402" s="2" t="s">
        <v>301</v>
      </c>
      <c r="F8402" s="2" t="s">
        <v>13</v>
      </c>
      <c r="G8402" s="2">
        <v>500.0</v>
      </c>
      <c r="H8402" s="3" t="str">
        <f>HYPERLINK("http://www.linkedin.com/pub/alex-baydin/3/838/60","http://www.linkedin.com/pub/alex-baydin/3/838/60")</f>
        <v>http://www.linkedin.com/pub/alex-baydin/3/838/60</v>
      </c>
      <c r="I8402" s="2" t="s">
        <v>69</v>
      </c>
      <c r="J8402" s="2" t="s">
        <v>102</v>
      </c>
      <c r="K8402" s="2" t="s">
        <v>14080</v>
      </c>
    </row>
    <row r="8403" ht="15.75" customHeight="1">
      <c r="A8403" s="2">
        <v>146741.0</v>
      </c>
      <c r="B8403" s="2" t="s">
        <v>1479</v>
      </c>
      <c r="C8403" s="2" t="s">
        <v>15366</v>
      </c>
      <c r="D8403" s="2" t="s">
        <v>15367</v>
      </c>
      <c r="E8403" s="2" t="s">
        <v>15368</v>
      </c>
      <c r="F8403" s="2">
        <v>4.0</v>
      </c>
      <c r="G8403" s="2">
        <v>500.0</v>
      </c>
      <c r="H8403" s="3" t="str">
        <f>HYPERLINK("http://www.linkedin.com/pub/frank-befera/2/256/316","http://www.linkedin.com/pub/frank-befera/2/256/316")</f>
        <v>http://www.linkedin.com/pub/frank-befera/2/256/316</v>
      </c>
      <c r="I8403" s="2" t="s">
        <v>15</v>
      </c>
      <c r="J8403" s="2" t="s">
        <v>102</v>
      </c>
      <c r="K8403" s="2" t="s">
        <v>14055</v>
      </c>
    </row>
    <row r="8404" ht="15.75" customHeight="1">
      <c r="A8404" s="2">
        <v>146847.0</v>
      </c>
      <c r="B8404" s="2" t="s">
        <v>15369</v>
      </c>
      <c r="C8404" s="2" t="s">
        <v>15370</v>
      </c>
      <c r="D8404" s="2" t="s">
        <v>15371</v>
      </c>
      <c r="E8404" s="2" t="s">
        <v>101</v>
      </c>
      <c r="F8404" s="2">
        <v>28.0</v>
      </c>
      <c r="G8404" s="2">
        <v>500.0</v>
      </c>
      <c r="H8404" s="3" t="str">
        <f>HYPERLINK("http://www.linkedin.com/in/laynedavlin","http://www.linkedin.com/in/laynedavlin")</f>
        <v>http://www.linkedin.com/in/laynedavlin</v>
      </c>
      <c r="I8404" s="2" t="s">
        <v>458</v>
      </c>
      <c r="J8404" s="2" t="s">
        <v>102</v>
      </c>
      <c r="K8404" s="2" t="s">
        <v>14074</v>
      </c>
    </row>
    <row r="8405" ht="15.75" customHeight="1">
      <c r="A8405" s="2">
        <v>146891.0</v>
      </c>
      <c r="B8405" s="2" t="s">
        <v>4790</v>
      </c>
      <c r="C8405" s="2" t="s">
        <v>15372</v>
      </c>
      <c r="D8405" s="2" t="s">
        <v>15373</v>
      </c>
      <c r="E8405" s="2" t="s">
        <v>2090</v>
      </c>
      <c r="F8405" s="2">
        <v>5.0</v>
      </c>
      <c r="G8405" s="2">
        <v>500.0</v>
      </c>
      <c r="H8405" s="3" t="str">
        <f>HYPERLINK("http://ca.linkedin.com/pub/gabe-deremiens/17/579/2B8","http://ca.linkedin.com/pub/gabe-deremiens/17/579/2B8")</f>
        <v>http://ca.linkedin.com/pub/gabe-deremiens/17/579/2B8</v>
      </c>
      <c r="I8405" s="2" t="s">
        <v>15</v>
      </c>
      <c r="J8405" s="2" t="s">
        <v>44</v>
      </c>
      <c r="K8405" s="2" t="s">
        <v>14074</v>
      </c>
    </row>
    <row r="8406" ht="15.75" customHeight="1">
      <c r="A8406" s="2">
        <v>147007.0</v>
      </c>
      <c r="B8406" s="2" t="s">
        <v>1659</v>
      </c>
      <c r="C8406" s="2" t="s">
        <v>15374</v>
      </c>
      <c r="D8406" s="2" t="s">
        <v>47</v>
      </c>
      <c r="E8406" s="2" t="s">
        <v>235</v>
      </c>
      <c r="F8406" s="2" t="s">
        <v>13</v>
      </c>
      <c r="G8406" s="2">
        <v>297.0</v>
      </c>
      <c r="H8406" s="3" t="str">
        <f>HYPERLINK("http://www.linkedin.com/in/durnhofer","http://www.linkedin.com/in/durnhofer")</f>
        <v>http://www.linkedin.com/in/durnhofer</v>
      </c>
      <c r="I8406" s="2" t="s">
        <v>48</v>
      </c>
      <c r="J8406" s="2" t="s">
        <v>102</v>
      </c>
      <c r="K8406" s="2" t="s">
        <v>14080</v>
      </c>
    </row>
    <row r="8407" ht="15.75" customHeight="1">
      <c r="A8407" s="2">
        <v>147033.0</v>
      </c>
      <c r="B8407" s="2" t="s">
        <v>15375</v>
      </c>
      <c r="C8407" s="2" t="s">
        <v>15376</v>
      </c>
      <c r="D8407" s="2" t="s">
        <v>309</v>
      </c>
      <c r="E8407" s="2" t="s">
        <v>136</v>
      </c>
      <c r="F8407" s="2">
        <v>39.0</v>
      </c>
      <c r="G8407" s="2">
        <v>500.0</v>
      </c>
      <c r="H8407" s="3" t="str">
        <f>HYPERLINK("http://www.linkedin.com/in/etaygafni","http://www.linkedin.com/in/etaygafni")</f>
        <v>http://www.linkedin.com/in/etaygafni</v>
      </c>
      <c r="I8407" s="2" t="s">
        <v>48</v>
      </c>
      <c r="J8407" s="2" t="s">
        <v>102</v>
      </c>
      <c r="K8407" s="2" t="s">
        <v>14073</v>
      </c>
    </row>
    <row r="8408" ht="15.75" customHeight="1">
      <c r="A8408" s="2">
        <v>147036.0</v>
      </c>
      <c r="B8408" s="2" t="s">
        <v>15377</v>
      </c>
      <c r="C8408" s="2" t="s">
        <v>15378</v>
      </c>
      <c r="D8408" s="2" t="s">
        <v>4048</v>
      </c>
      <c r="E8408" s="2" t="s">
        <v>14710</v>
      </c>
      <c r="F8408" s="2">
        <v>0.0</v>
      </c>
      <c r="G8408" s="2">
        <v>500.0</v>
      </c>
      <c r="H8408" s="3" t="str">
        <f>HYPERLINK("http://www.linkedin.com/pub/debbie-bingham/0/B74/888","http://www.linkedin.com/pub/debbie-bingham/0/B74/888")</f>
        <v>http://www.linkedin.com/pub/debbie-bingham/0/B74/888</v>
      </c>
      <c r="I8408" s="2" t="s">
        <v>1421</v>
      </c>
      <c r="J8408" s="2" t="s">
        <v>102</v>
      </c>
      <c r="K8408" s="2" t="s">
        <v>14078</v>
      </c>
    </row>
    <row r="8409" ht="15.75" customHeight="1">
      <c r="A8409" s="2">
        <v>147081.0</v>
      </c>
      <c r="B8409" s="2" t="s">
        <v>2173</v>
      </c>
      <c r="C8409" s="2" t="s">
        <v>15379</v>
      </c>
      <c r="D8409" s="2" t="s">
        <v>1297</v>
      </c>
      <c r="E8409" s="2" t="s">
        <v>136</v>
      </c>
      <c r="F8409" s="2">
        <v>2.0</v>
      </c>
      <c r="G8409" s="2">
        <v>500.0</v>
      </c>
      <c r="H8409" s="3" t="str">
        <f>HYPERLINK("http://www.linkedin.com/in/ikenassi","http://www.linkedin.com/in/ikenassi")</f>
        <v>http://www.linkedin.com/in/ikenassi</v>
      </c>
      <c r="I8409" s="2" t="s">
        <v>48</v>
      </c>
      <c r="J8409" s="2" t="s">
        <v>102</v>
      </c>
      <c r="K8409" s="2" t="s">
        <v>14071</v>
      </c>
    </row>
    <row r="8410" ht="15.75" customHeight="1">
      <c r="A8410" s="2">
        <v>147199.0</v>
      </c>
      <c r="B8410" s="2" t="s">
        <v>1405</v>
      </c>
      <c r="C8410" s="2" t="s">
        <v>15380</v>
      </c>
      <c r="D8410" s="2" t="s">
        <v>15381</v>
      </c>
      <c r="E8410" s="2" t="s">
        <v>1190</v>
      </c>
      <c r="F8410" s="2" t="s">
        <v>13</v>
      </c>
      <c r="G8410" s="2">
        <v>500.0</v>
      </c>
      <c r="H8410" s="3" t="str">
        <f>HYPERLINK("http://www.linkedin.com/in/ronbrauner","http://www.linkedin.com/in/ronbrauner")</f>
        <v>http://www.linkedin.com/in/ronbrauner</v>
      </c>
      <c r="I8410" s="2" t="s">
        <v>105</v>
      </c>
      <c r="J8410" s="2" t="s">
        <v>102</v>
      </c>
      <c r="K8410" s="2" t="s">
        <v>14071</v>
      </c>
    </row>
    <row r="8411" ht="15.75" customHeight="1">
      <c r="A8411" s="2">
        <v>147272.0</v>
      </c>
      <c r="B8411" s="2" t="s">
        <v>2101</v>
      </c>
      <c r="C8411" s="2" t="s">
        <v>15382</v>
      </c>
      <c r="D8411" s="2" t="s">
        <v>410</v>
      </c>
      <c r="E8411" s="2" t="s">
        <v>914</v>
      </c>
      <c r="F8411" s="2">
        <v>13.0</v>
      </c>
      <c r="G8411" s="2">
        <v>500.0</v>
      </c>
      <c r="H8411" s="3" t="str">
        <f>HYPERLINK("http://www.linkedin.com/pub/sanjeev-khanna/1/798/905","http://www.linkedin.com/pub/sanjeev-khanna/1/798/905")</f>
        <v>http://www.linkedin.com/pub/sanjeev-khanna/1/798/905</v>
      </c>
      <c r="I8411" s="2" t="s">
        <v>15</v>
      </c>
      <c r="J8411" s="2" t="s">
        <v>102</v>
      </c>
      <c r="K8411" s="2" t="s">
        <v>14095</v>
      </c>
    </row>
    <row r="8412" ht="15.75" customHeight="1">
      <c r="A8412" s="2">
        <v>147442.0</v>
      </c>
      <c r="B8412" s="2" t="s">
        <v>1366</v>
      </c>
      <c r="C8412" s="2" t="s">
        <v>15383</v>
      </c>
      <c r="D8412" s="2" t="s">
        <v>13</v>
      </c>
      <c r="E8412" s="2" t="s">
        <v>992</v>
      </c>
      <c r="F8412" s="2">
        <v>0.0</v>
      </c>
      <c r="G8412" s="2">
        <v>500.0</v>
      </c>
      <c r="H8412" s="3" t="str">
        <f>HYPERLINK("http://www.linkedin.com/pub/peter-taft/0/B76/16","http://www.linkedin.com/pub/peter-taft/0/B76/16")</f>
        <v>http://www.linkedin.com/pub/peter-taft/0/B76/16</v>
      </c>
      <c r="I8412" s="2" t="s">
        <v>77</v>
      </c>
      <c r="J8412" s="2" t="s">
        <v>102</v>
      </c>
      <c r="K8412" s="2" t="s">
        <v>14085</v>
      </c>
    </row>
    <row r="8413" ht="15.75" customHeight="1">
      <c r="A8413" s="2">
        <v>147459.0</v>
      </c>
      <c r="B8413" s="2" t="s">
        <v>341</v>
      </c>
      <c r="C8413" s="2" t="s">
        <v>15384</v>
      </c>
      <c r="D8413" s="2" t="s">
        <v>47</v>
      </c>
      <c r="E8413" s="2" t="s">
        <v>2058</v>
      </c>
      <c r="F8413" s="2">
        <v>1.0</v>
      </c>
      <c r="G8413" s="2">
        <v>500.0</v>
      </c>
      <c r="H8413" s="3" t="str">
        <f>HYPERLINK("http://www.linkedin.com/in/kevinhoehnsr","http://www.linkedin.com/in/kevinhoehnsr")</f>
        <v>http://www.linkedin.com/in/kevinhoehnsr</v>
      </c>
      <c r="I8413" s="2" t="s">
        <v>279</v>
      </c>
      <c r="J8413" s="2" t="s">
        <v>102</v>
      </c>
      <c r="K8413" s="2" t="s">
        <v>14105</v>
      </c>
    </row>
    <row r="8414" ht="15.75" customHeight="1">
      <c r="A8414" s="2">
        <v>147773.0</v>
      </c>
      <c r="B8414" s="2" t="s">
        <v>793</v>
      </c>
      <c r="C8414" s="2" t="s">
        <v>15385</v>
      </c>
      <c r="D8414" s="2" t="s">
        <v>47</v>
      </c>
      <c r="E8414" s="2" t="s">
        <v>136</v>
      </c>
      <c r="F8414" s="2">
        <v>10.0</v>
      </c>
      <c r="G8414" s="2">
        <v>500.0</v>
      </c>
      <c r="H8414" s="3" t="str">
        <f>HYPERLINK("http://www.linkedin.com/in/rayconley","http://www.linkedin.com/in/rayconley")</f>
        <v>http://www.linkedin.com/in/rayconley</v>
      </c>
      <c r="I8414" s="2" t="s">
        <v>115</v>
      </c>
      <c r="J8414" s="2" t="s">
        <v>102</v>
      </c>
      <c r="K8414" s="2" t="s">
        <v>14074</v>
      </c>
    </row>
    <row r="8415" ht="15.75" customHeight="1">
      <c r="A8415" s="2">
        <v>147836.0</v>
      </c>
      <c r="B8415" s="2" t="s">
        <v>1405</v>
      </c>
      <c r="C8415" s="2" t="s">
        <v>15386</v>
      </c>
      <c r="D8415" s="2" t="s">
        <v>15387</v>
      </c>
      <c r="E8415" s="2" t="s">
        <v>914</v>
      </c>
      <c r="F8415" s="2">
        <v>9.0</v>
      </c>
      <c r="G8415" s="2">
        <v>496.0</v>
      </c>
      <c r="H8415" s="3" t="str">
        <f>HYPERLINK("http://www.linkedin.com/in/roncraswell","http://www.linkedin.com/in/roncraswell")</f>
        <v>http://www.linkedin.com/in/roncraswell</v>
      </c>
      <c r="I8415" s="2" t="s">
        <v>1948</v>
      </c>
      <c r="J8415" s="2" t="s">
        <v>102</v>
      </c>
      <c r="K8415" s="2" t="s">
        <v>14092</v>
      </c>
    </row>
    <row r="8416" ht="15.75" customHeight="1">
      <c r="A8416" s="2">
        <v>148037.0</v>
      </c>
      <c r="B8416" s="2" t="s">
        <v>2567</v>
      </c>
      <c r="C8416" s="2" t="s">
        <v>15388</v>
      </c>
      <c r="D8416" s="2" t="s">
        <v>13</v>
      </c>
      <c r="E8416" s="2" t="s">
        <v>1818</v>
      </c>
      <c r="F8416" s="2">
        <v>0.0</v>
      </c>
      <c r="G8416" s="2">
        <v>500.0</v>
      </c>
      <c r="H8416" s="3" t="str">
        <f>HYPERLINK("http://www.linkedin.com/pub/christopher-tompkins/15/b6/1ab?trk=pub-pbmap","http://www.linkedin.com/pub/christopher-tompkins/15/b6/1ab?trk=pub-pbmap")</f>
        <v>http://www.linkedin.com/pub/christopher-tompkins/15/b6/1ab?trk=pub-pbmap</v>
      </c>
      <c r="I8416" s="2" t="s">
        <v>105</v>
      </c>
      <c r="J8416" s="2" t="s">
        <v>102</v>
      </c>
      <c r="K8416" s="2" t="s">
        <v>14074</v>
      </c>
    </row>
    <row r="8417" ht="15.75" customHeight="1">
      <c r="A8417" s="2">
        <v>148044.0</v>
      </c>
      <c r="B8417" s="2" t="s">
        <v>15389</v>
      </c>
      <c r="C8417" s="2" t="s">
        <v>15087</v>
      </c>
      <c r="D8417" s="2" t="s">
        <v>15390</v>
      </c>
      <c r="E8417" s="2" t="s">
        <v>136</v>
      </c>
      <c r="F8417" s="2">
        <v>3.0</v>
      </c>
      <c r="G8417" s="2">
        <v>500.0</v>
      </c>
      <c r="H8417" s="3" t="str">
        <f>HYPERLINK("http://www.linkedin.com/in/montygray","http://www.linkedin.com/in/montygray")</f>
        <v>http://www.linkedin.com/in/montygray</v>
      </c>
      <c r="I8417" s="2" t="s">
        <v>48</v>
      </c>
      <c r="J8417" s="2" t="s">
        <v>102</v>
      </c>
      <c r="K8417" s="2" t="s">
        <v>14095</v>
      </c>
    </row>
    <row r="8418" ht="15.75" customHeight="1">
      <c r="A8418" s="2">
        <v>148068.0</v>
      </c>
      <c r="B8418" s="2" t="s">
        <v>15391</v>
      </c>
      <c r="C8418" s="2" t="s">
        <v>15392</v>
      </c>
      <c r="D8418" s="2" t="s">
        <v>114</v>
      </c>
      <c r="E8418" s="2" t="s">
        <v>7844</v>
      </c>
      <c r="F8418" s="2">
        <v>1.0</v>
      </c>
      <c r="G8418" s="2">
        <v>500.0</v>
      </c>
      <c r="H8418" s="3" t="str">
        <f>HYPERLINK("http://www.linkedin.com/in/darwinhanson","http://www.linkedin.com/in/darwinhanson")</f>
        <v>http://www.linkedin.com/in/darwinhanson</v>
      </c>
      <c r="I8418" s="2" t="s">
        <v>48</v>
      </c>
      <c r="J8418" s="2" t="s">
        <v>102</v>
      </c>
      <c r="K8418" s="2" t="s">
        <v>14080</v>
      </c>
    </row>
    <row r="8419" ht="15.75" customHeight="1">
      <c r="A8419" s="2">
        <v>148076.0</v>
      </c>
      <c r="B8419" s="2" t="s">
        <v>677</v>
      </c>
      <c r="C8419" s="2" t="s">
        <v>15393</v>
      </c>
      <c r="D8419" s="2" t="s">
        <v>2491</v>
      </c>
      <c r="E8419" s="2" t="s">
        <v>1190</v>
      </c>
      <c r="F8419" s="2">
        <v>26.0</v>
      </c>
      <c r="G8419" s="2">
        <v>500.0</v>
      </c>
      <c r="H8419" s="3" t="str">
        <f>HYPERLINK("http://www.linkedin.com/in/directresponsemarketing","http://www.linkedin.com/in/directresponsemarketing")</f>
        <v>http://www.linkedin.com/in/directresponsemarketing</v>
      </c>
      <c r="I8419" s="2" t="s">
        <v>105</v>
      </c>
      <c r="J8419" s="2" t="s">
        <v>102</v>
      </c>
      <c r="K8419" s="2" t="s">
        <v>14092</v>
      </c>
    </row>
    <row r="8420" ht="15.75" customHeight="1">
      <c r="A8420" s="2">
        <v>148131.0</v>
      </c>
      <c r="B8420" s="2" t="s">
        <v>15394</v>
      </c>
      <c r="C8420" s="2" t="s">
        <v>15395</v>
      </c>
      <c r="D8420" s="2" t="s">
        <v>1966</v>
      </c>
      <c r="E8420" s="2" t="s">
        <v>136</v>
      </c>
      <c r="F8420" s="2">
        <v>5.0</v>
      </c>
      <c r="G8420" s="2">
        <v>500.0</v>
      </c>
      <c r="H8420" s="3" t="str">
        <f>HYPERLINK("http://www.linkedin.com/in/shrikantlohokare","http://www.linkedin.com/in/shrikantlohokare")</f>
        <v>http://www.linkedin.com/in/shrikantlohokare</v>
      </c>
      <c r="I8420" s="2" t="s">
        <v>709</v>
      </c>
      <c r="J8420" s="2" t="s">
        <v>102</v>
      </c>
      <c r="K8420" s="2" t="s">
        <v>14074</v>
      </c>
    </row>
    <row r="8421" ht="15.75" customHeight="1">
      <c r="A8421" s="2">
        <v>148226.0</v>
      </c>
      <c r="B8421" s="2" t="s">
        <v>1173</v>
      </c>
      <c r="C8421" s="2" t="s">
        <v>15396</v>
      </c>
      <c r="D8421" s="2" t="s">
        <v>13</v>
      </c>
      <c r="E8421" s="2" t="s">
        <v>136</v>
      </c>
      <c r="F8421" s="2">
        <v>0.0</v>
      </c>
      <c r="G8421" s="2">
        <v>500.0</v>
      </c>
      <c r="H8421" s="3" t="str">
        <f>HYPERLINK("https://www.linkedin.com/in/gershik","https://www.linkedin.com/in/gershik")</f>
        <v>https://www.linkedin.com/in/gershik</v>
      </c>
      <c r="I8421" s="2" t="s">
        <v>48</v>
      </c>
      <c r="J8421" s="2" t="s">
        <v>102</v>
      </c>
      <c r="K8421" s="2" t="s">
        <v>14074</v>
      </c>
    </row>
    <row r="8422" ht="15.75" customHeight="1">
      <c r="A8422" s="2">
        <v>148369.0</v>
      </c>
      <c r="B8422" s="2" t="s">
        <v>845</v>
      </c>
      <c r="C8422" s="2" t="s">
        <v>15397</v>
      </c>
      <c r="D8422" s="2" t="s">
        <v>7962</v>
      </c>
      <c r="E8422" s="2" t="s">
        <v>301</v>
      </c>
      <c r="F8422" s="2">
        <v>0.0</v>
      </c>
      <c r="G8422" s="2">
        <v>331.0</v>
      </c>
      <c r="H8422" s="3" t="str">
        <f>HYPERLINK("http://www.linkedin.com/pub/david-douenias/29/218/AB5","http://www.linkedin.com/pub/david-douenias/29/218/AB5")</f>
        <v>http://www.linkedin.com/pub/david-douenias/29/218/AB5</v>
      </c>
      <c r="I8422" s="2" t="s">
        <v>3857</v>
      </c>
      <c r="J8422" s="2" t="s">
        <v>102</v>
      </c>
      <c r="K8422" s="2" t="s">
        <v>14055</v>
      </c>
    </row>
    <row r="8423" ht="15.75" customHeight="1">
      <c r="A8423" s="2">
        <v>148379.0</v>
      </c>
      <c r="B8423" s="2" t="s">
        <v>15398</v>
      </c>
      <c r="C8423" s="2" t="s">
        <v>15399</v>
      </c>
      <c r="D8423" s="2" t="s">
        <v>128</v>
      </c>
      <c r="E8423" s="2" t="s">
        <v>14011</v>
      </c>
      <c r="F8423" s="2">
        <v>6.0</v>
      </c>
      <c r="G8423" s="2">
        <v>451.0</v>
      </c>
      <c r="H8423" s="3" t="str">
        <f>HYPERLINK("http://www.linkedin.com/in/vonkenrickaneshiro","http://www.linkedin.com/in/vonkenrickaneshiro")</f>
        <v>http://www.linkedin.com/in/vonkenrickaneshiro</v>
      </c>
      <c r="I8423" s="2" t="s">
        <v>1496</v>
      </c>
      <c r="J8423" s="2" t="s">
        <v>102</v>
      </c>
      <c r="K8423" s="2" t="s">
        <v>14105</v>
      </c>
    </row>
    <row r="8424" ht="15.75" customHeight="1">
      <c r="A8424" s="2">
        <v>148431.0</v>
      </c>
      <c r="B8424" s="2" t="s">
        <v>3776</v>
      </c>
      <c r="C8424" s="2" t="s">
        <v>8753</v>
      </c>
      <c r="D8424" s="2" t="s">
        <v>15400</v>
      </c>
      <c r="E8424" s="2" t="s">
        <v>136</v>
      </c>
      <c r="F8424" s="2">
        <v>7.0</v>
      </c>
      <c r="G8424" s="2">
        <v>500.0</v>
      </c>
      <c r="H8424" s="3" t="str">
        <f>HYPERLINK("http://www.linkedin.com/in/pedromartins","http://www.linkedin.com/in/pedromartins")</f>
        <v>http://www.linkedin.com/in/pedromartins</v>
      </c>
      <c r="I8424" s="2" t="s">
        <v>69</v>
      </c>
      <c r="J8424" s="2" t="s">
        <v>102</v>
      </c>
      <c r="K8424" s="2" t="s">
        <v>14080</v>
      </c>
    </row>
    <row r="8425" ht="15.75" customHeight="1">
      <c r="A8425" s="2">
        <v>148516.0</v>
      </c>
      <c r="B8425" s="2" t="s">
        <v>15401</v>
      </c>
      <c r="C8425" s="2" t="s">
        <v>6794</v>
      </c>
      <c r="D8425" s="2" t="s">
        <v>15402</v>
      </c>
      <c r="E8425" s="2" t="s">
        <v>15403</v>
      </c>
      <c r="F8425" s="2">
        <v>10.0</v>
      </c>
      <c r="G8425" s="2">
        <v>500.0</v>
      </c>
      <c r="H8425" s="3" t="str">
        <f>HYPERLINK("http://www.linkedin.com/in/shelbyferrari","http://www.linkedin.com/in/shelbyferrari")</f>
        <v>http://www.linkedin.com/in/shelbyferrari</v>
      </c>
      <c r="I8425" s="2" t="s">
        <v>69</v>
      </c>
      <c r="J8425" s="2" t="s">
        <v>102</v>
      </c>
      <c r="K8425" s="2" t="s">
        <v>14055</v>
      </c>
    </row>
    <row r="8426" ht="15.75" customHeight="1">
      <c r="A8426" s="2">
        <v>148680.0</v>
      </c>
      <c r="B8426" s="2" t="s">
        <v>752</v>
      </c>
      <c r="C8426" s="2" t="s">
        <v>760</v>
      </c>
      <c r="D8426" s="2" t="s">
        <v>47</v>
      </c>
      <c r="E8426" s="2" t="s">
        <v>628</v>
      </c>
      <c r="F8426" s="2">
        <v>4.0</v>
      </c>
      <c r="G8426" s="2">
        <v>500.0</v>
      </c>
      <c r="H8426" s="3" t="str">
        <f>HYPERLINK("http://www.linkedin.com/pub/jim-holden/6/328/A02","http://www.linkedin.com/pub/jim-holden/6/328/A02")</f>
        <v>http://www.linkedin.com/pub/jim-holden/6/328/A02</v>
      </c>
      <c r="I8426" s="2" t="s">
        <v>1390</v>
      </c>
      <c r="J8426" s="2" t="s">
        <v>102</v>
      </c>
      <c r="K8426" s="2" t="s">
        <v>14055</v>
      </c>
    </row>
    <row r="8427" ht="15.75" customHeight="1">
      <c r="A8427" s="2">
        <v>148702.0</v>
      </c>
      <c r="B8427" s="2" t="s">
        <v>291</v>
      </c>
      <c r="C8427" s="2" t="s">
        <v>15404</v>
      </c>
      <c r="D8427" s="2" t="s">
        <v>2491</v>
      </c>
      <c r="E8427" s="2" t="s">
        <v>914</v>
      </c>
      <c r="F8427" s="2" t="s">
        <v>13</v>
      </c>
      <c r="G8427" s="2">
        <v>500.0</v>
      </c>
      <c r="H8427" s="3" t="str">
        <f>HYPERLINK("http://www.linkedin.com/pub/gary-flake/27/396/82B","http://www.linkedin.com/pub/gary-flake/27/396/82B")</f>
        <v>http://www.linkedin.com/pub/gary-flake/27/396/82B</v>
      </c>
      <c r="I8427" s="2" t="s">
        <v>69</v>
      </c>
      <c r="J8427" s="2" t="s">
        <v>102</v>
      </c>
      <c r="K8427" s="2" t="s">
        <v>14073</v>
      </c>
    </row>
    <row r="8428" ht="15.75" customHeight="1">
      <c r="A8428" s="2">
        <v>149115.0</v>
      </c>
      <c r="B8428" s="2" t="s">
        <v>1096</v>
      </c>
      <c r="C8428" s="2" t="s">
        <v>6252</v>
      </c>
      <c r="D8428" s="2" t="s">
        <v>42</v>
      </c>
      <c r="E8428" s="2" t="s">
        <v>1886</v>
      </c>
      <c r="F8428" s="2">
        <v>1.0</v>
      </c>
      <c r="G8428" s="2">
        <v>500.0</v>
      </c>
      <c r="H8428" s="3" t="str">
        <f>HYPERLINK("http://www.linkedin.com/in/taxsearch","http://www.linkedin.com/in/taxsearch")</f>
        <v>http://www.linkedin.com/in/taxsearch</v>
      </c>
      <c r="I8428" s="2" t="s">
        <v>248</v>
      </c>
      <c r="J8428" s="2" t="s">
        <v>102</v>
      </c>
      <c r="K8428" s="2" t="s">
        <v>14140</v>
      </c>
    </row>
    <row r="8429" ht="15.75" customHeight="1">
      <c r="A8429" s="2">
        <v>149256.0</v>
      </c>
      <c r="B8429" s="2" t="s">
        <v>275</v>
      </c>
      <c r="C8429" s="2" t="s">
        <v>15405</v>
      </c>
      <c r="D8429" s="2" t="s">
        <v>47</v>
      </c>
      <c r="E8429" s="2" t="s">
        <v>407</v>
      </c>
      <c r="F8429" s="2">
        <v>2.0</v>
      </c>
      <c r="G8429" s="2">
        <v>500.0</v>
      </c>
      <c r="H8429" s="3" t="str">
        <f>HYPERLINK("http://www.linkedin.com/pub/mark-wyllie/1/ABB/331","http://www.linkedin.com/pub/mark-wyllie/1/ABB/331")</f>
        <v>http://www.linkedin.com/pub/mark-wyllie/1/ABB/331</v>
      </c>
      <c r="I8429" s="2" t="s">
        <v>119</v>
      </c>
      <c r="J8429" s="2" t="s">
        <v>102</v>
      </c>
      <c r="K8429" s="2" t="s">
        <v>14422</v>
      </c>
    </row>
    <row r="8430" ht="15.75" customHeight="1">
      <c r="A8430" s="2">
        <v>149404.0</v>
      </c>
      <c r="B8430" s="2" t="s">
        <v>1004</v>
      </c>
      <c r="C8430" s="2" t="s">
        <v>3249</v>
      </c>
      <c r="D8430" s="2" t="s">
        <v>47</v>
      </c>
      <c r="E8430" s="2" t="s">
        <v>971</v>
      </c>
      <c r="F8430" s="2">
        <v>12.0</v>
      </c>
      <c r="G8430" s="2">
        <v>500.0</v>
      </c>
      <c r="H8430" s="3" t="str">
        <f>HYPERLINK("http://www.linkedin.com/in/callcenter","http://www.linkedin.com/in/callcenter")</f>
        <v>http://www.linkedin.com/in/callcenter</v>
      </c>
      <c r="I8430" s="2" t="s">
        <v>1012</v>
      </c>
      <c r="J8430" s="2" t="s">
        <v>102</v>
      </c>
      <c r="K8430" s="2" t="s">
        <v>14068</v>
      </c>
    </row>
    <row r="8431" ht="15.75" customHeight="1">
      <c r="A8431" s="2">
        <v>149693.0</v>
      </c>
      <c r="B8431" s="2" t="s">
        <v>15406</v>
      </c>
      <c r="C8431" s="2" t="s">
        <v>15407</v>
      </c>
      <c r="D8431" s="2" t="s">
        <v>47</v>
      </c>
      <c r="E8431" s="2" t="s">
        <v>15408</v>
      </c>
      <c r="F8431" s="2">
        <v>4.0</v>
      </c>
      <c r="G8431" s="2">
        <v>500.0</v>
      </c>
      <c r="H8431" s="3" t="str">
        <f>HYPERLINK("http://www.linkedin.com/pub/gilles-gil-aouizerat/7/A07/12A","http://www.linkedin.com/pub/gilles-gil-aouizerat/7/A07/12A")</f>
        <v>http://www.linkedin.com/pub/gilles-gil-aouizerat/7/A07/12A</v>
      </c>
      <c r="I8431" s="2" t="s">
        <v>167</v>
      </c>
      <c r="J8431" s="2" t="s">
        <v>102</v>
      </c>
      <c r="K8431" s="2" t="s">
        <v>14074</v>
      </c>
    </row>
    <row r="8432" ht="15.75" customHeight="1">
      <c r="A8432" s="2">
        <v>149943.0</v>
      </c>
      <c r="B8432" s="2" t="s">
        <v>15409</v>
      </c>
      <c r="C8432" s="2" t="s">
        <v>15410</v>
      </c>
      <c r="D8432" s="2" t="s">
        <v>309</v>
      </c>
      <c r="E8432" s="2" t="s">
        <v>6327</v>
      </c>
      <c r="F8432" s="2">
        <v>5.0</v>
      </c>
      <c r="G8432" s="2">
        <v>500.0</v>
      </c>
      <c r="H8432" s="3" t="str">
        <f>HYPERLINK("http://www.linkedin.com/in/kayweb","http://www.linkedin.com/in/kayweb")</f>
        <v>http://www.linkedin.com/in/kayweb</v>
      </c>
      <c r="I8432" s="2" t="s">
        <v>69</v>
      </c>
      <c r="J8432" s="2" t="s">
        <v>337</v>
      </c>
      <c r="K8432" s="2" t="s">
        <v>14074</v>
      </c>
    </row>
    <row r="8433" ht="15.75" customHeight="1">
      <c r="A8433" s="2">
        <v>150002.0</v>
      </c>
      <c r="B8433" s="2" t="s">
        <v>2543</v>
      </c>
      <c r="C8433" s="2" t="s">
        <v>15411</v>
      </c>
      <c r="D8433" s="2" t="s">
        <v>400</v>
      </c>
      <c r="E8433" s="2" t="s">
        <v>2426</v>
      </c>
      <c r="F8433" s="2">
        <v>14.0</v>
      </c>
      <c r="G8433" s="2">
        <v>500.0</v>
      </c>
      <c r="H8433" s="3" t="str">
        <f>HYPERLINK("http://www.linkedin.com/in/doncrowther","http://www.linkedin.com/in/doncrowther")</f>
        <v>http://www.linkedin.com/in/doncrowther</v>
      </c>
      <c r="I8433" s="2" t="s">
        <v>48</v>
      </c>
      <c r="J8433" s="2" t="s">
        <v>102</v>
      </c>
      <c r="K8433" s="2" t="s">
        <v>14142</v>
      </c>
    </row>
    <row r="8434" ht="15.75" customHeight="1">
      <c r="A8434" s="2">
        <v>150040.0</v>
      </c>
      <c r="B8434" s="2" t="s">
        <v>1479</v>
      </c>
      <c r="C8434" s="2" t="s">
        <v>15412</v>
      </c>
      <c r="D8434" s="2" t="s">
        <v>114</v>
      </c>
      <c r="E8434" s="2" t="s">
        <v>1576</v>
      </c>
      <c r="F8434" s="2">
        <v>2.0</v>
      </c>
      <c r="G8434" s="2">
        <v>370.0</v>
      </c>
      <c r="H8434" s="3" t="str">
        <f>HYPERLINK("http://www.linkedin.com/in/fklesitz","http://www.linkedin.com/in/fklesitz")</f>
        <v>http://www.linkedin.com/in/fklesitz</v>
      </c>
      <c r="I8434" s="2" t="s">
        <v>105</v>
      </c>
      <c r="J8434" s="2" t="s">
        <v>102</v>
      </c>
      <c r="K8434" s="2" t="s">
        <v>14055</v>
      </c>
    </row>
    <row r="8435" ht="15.75" customHeight="1">
      <c r="A8435" s="2">
        <v>150178.0</v>
      </c>
      <c r="B8435" s="2" t="s">
        <v>1004</v>
      </c>
      <c r="C8435" s="2" t="s">
        <v>15413</v>
      </c>
      <c r="D8435" s="2" t="s">
        <v>15414</v>
      </c>
      <c r="E8435" s="2" t="s">
        <v>251</v>
      </c>
      <c r="F8435" s="2">
        <v>6.0</v>
      </c>
      <c r="G8435" s="2">
        <v>500.0</v>
      </c>
      <c r="H8435" s="3" t="str">
        <f>HYPERLINK("http://www.linkedin.com/in/scottkosch","http://www.linkedin.com/in/scottkosch")</f>
        <v>http://www.linkedin.com/in/scottkosch</v>
      </c>
      <c r="I8435" s="2" t="s">
        <v>709</v>
      </c>
      <c r="J8435" s="2" t="s">
        <v>102</v>
      </c>
      <c r="K8435" s="2" t="s">
        <v>14088</v>
      </c>
    </row>
    <row r="8436" ht="15.75" customHeight="1">
      <c r="A8436" s="2">
        <v>150209.0</v>
      </c>
      <c r="B8436" s="2" t="s">
        <v>15415</v>
      </c>
      <c r="C8436" s="2" t="s">
        <v>15416</v>
      </c>
      <c r="D8436" s="2" t="s">
        <v>6210</v>
      </c>
      <c r="E8436" s="2" t="s">
        <v>2058</v>
      </c>
      <c r="F8436" s="2">
        <v>10.0</v>
      </c>
      <c r="G8436" s="2">
        <v>500.0</v>
      </c>
      <c r="H8436" s="3" t="str">
        <f>HYPERLINK("http://www.linkedin.com/in/herbkraft","http://www.linkedin.com/in/herbkraft")</f>
        <v>http://www.linkedin.com/in/herbkraft</v>
      </c>
      <c r="I8436" s="2" t="s">
        <v>48</v>
      </c>
      <c r="J8436" s="2" t="s">
        <v>102</v>
      </c>
      <c r="K8436" s="2" t="s">
        <v>14808</v>
      </c>
    </row>
    <row r="8437" ht="15.75" customHeight="1">
      <c r="A8437" s="2">
        <v>150244.0</v>
      </c>
      <c r="B8437" s="2" t="s">
        <v>3976</v>
      </c>
      <c r="C8437" s="2" t="s">
        <v>15417</v>
      </c>
      <c r="D8437" s="2" t="s">
        <v>400</v>
      </c>
      <c r="E8437" s="2" t="s">
        <v>136</v>
      </c>
      <c r="F8437" s="2">
        <v>6.0</v>
      </c>
      <c r="G8437" s="2">
        <v>500.0</v>
      </c>
      <c r="H8437" s="3" t="str">
        <f>HYPERLINK("http://www.linkedin.com/in/michaelkrafft","http://www.linkedin.com/in/michaelkrafft")</f>
        <v>http://www.linkedin.com/in/michaelkrafft</v>
      </c>
      <c r="I8437" s="2" t="s">
        <v>6750</v>
      </c>
      <c r="J8437" s="2" t="s">
        <v>102</v>
      </c>
      <c r="K8437" s="2" t="s">
        <v>14074</v>
      </c>
    </row>
    <row r="8438" ht="15.75" customHeight="1">
      <c r="A8438" s="2">
        <v>150598.0</v>
      </c>
      <c r="B8438" s="2" t="s">
        <v>862</v>
      </c>
      <c r="C8438" s="2" t="s">
        <v>15418</v>
      </c>
      <c r="D8438" s="2" t="s">
        <v>47</v>
      </c>
      <c r="E8438" s="2" t="s">
        <v>15419</v>
      </c>
      <c r="F8438" s="2">
        <v>1.0</v>
      </c>
      <c r="G8438" s="2">
        <v>490.0</v>
      </c>
      <c r="H8438" s="3" t="str">
        <f>HYPERLINK("http://www.linkedin.com/in/gabriellopezseco","http://www.linkedin.com/in/gabriellopezseco")</f>
        <v>http://www.linkedin.com/in/gabriellopezseco</v>
      </c>
      <c r="I8438" s="2" t="s">
        <v>15</v>
      </c>
      <c r="J8438" s="2" t="s">
        <v>102</v>
      </c>
      <c r="K8438" s="2" t="s">
        <v>14080</v>
      </c>
    </row>
    <row r="8439" ht="15.75" customHeight="1">
      <c r="A8439" s="2">
        <v>150614.0</v>
      </c>
      <c r="B8439" s="2" t="s">
        <v>2014</v>
      </c>
      <c r="C8439" s="2" t="s">
        <v>15420</v>
      </c>
      <c r="D8439" s="2" t="s">
        <v>15421</v>
      </c>
      <c r="E8439" s="2" t="s">
        <v>1407</v>
      </c>
      <c r="F8439" s="2">
        <v>29.0</v>
      </c>
      <c r="G8439" s="2">
        <v>500.0</v>
      </c>
      <c r="H8439" s="3" t="str">
        <f>HYPERLINK("http://www.linkedin.com/in/kencooper","http://www.linkedin.com/in/kencooper")</f>
        <v>http://www.linkedin.com/in/kencooper</v>
      </c>
      <c r="I8439" s="2" t="s">
        <v>48</v>
      </c>
      <c r="J8439" s="2" t="s">
        <v>102</v>
      </c>
      <c r="K8439" s="2" t="s">
        <v>14074</v>
      </c>
    </row>
    <row r="8440" ht="15.75" customHeight="1">
      <c r="A8440" s="2">
        <v>150715.0</v>
      </c>
      <c r="B8440" s="2" t="s">
        <v>4170</v>
      </c>
      <c r="C8440" s="2" t="s">
        <v>15422</v>
      </c>
      <c r="D8440" s="2" t="s">
        <v>47</v>
      </c>
      <c r="E8440" s="2" t="s">
        <v>1329</v>
      </c>
      <c r="F8440" s="2">
        <v>12.0</v>
      </c>
      <c r="G8440" s="2">
        <v>500.0</v>
      </c>
      <c r="H8440" s="3" t="str">
        <f>HYPERLINK("http://www.linkedin.com/in/coreynorthcutt","http://www.linkedin.com/in/coreynorthcutt")</f>
        <v>http://www.linkedin.com/in/coreynorthcutt</v>
      </c>
      <c r="I8440" s="2" t="s">
        <v>105</v>
      </c>
      <c r="J8440" s="2" t="s">
        <v>102</v>
      </c>
      <c r="K8440" s="2" t="s">
        <v>14074</v>
      </c>
    </row>
    <row r="8441" ht="15.75" customHeight="1">
      <c r="A8441" s="2">
        <v>150846.0</v>
      </c>
      <c r="B8441" s="2" t="s">
        <v>5200</v>
      </c>
      <c r="C8441" s="2" t="s">
        <v>15423</v>
      </c>
      <c r="D8441" s="2" t="s">
        <v>114</v>
      </c>
      <c r="E8441" s="2" t="s">
        <v>971</v>
      </c>
      <c r="F8441" s="2">
        <v>30.0</v>
      </c>
      <c r="G8441" s="2">
        <v>500.0</v>
      </c>
      <c r="H8441" s="3" t="str">
        <f>HYPERLINK("http://www.linkedin.com/in/cynthiamott","http://www.linkedin.com/in/cynthiamott")</f>
        <v>http://www.linkedin.com/in/cynthiamott</v>
      </c>
      <c r="I8441" s="2" t="s">
        <v>458</v>
      </c>
      <c r="J8441" s="2" t="s">
        <v>102</v>
      </c>
      <c r="K8441" s="2" t="s">
        <v>14055</v>
      </c>
    </row>
    <row r="8442" ht="15.75" customHeight="1">
      <c r="A8442" s="2">
        <v>150923.0</v>
      </c>
      <c r="B8442" s="2" t="s">
        <v>15424</v>
      </c>
      <c r="C8442" s="2" t="s">
        <v>12561</v>
      </c>
      <c r="D8442" s="2" t="s">
        <v>2802</v>
      </c>
      <c r="E8442" s="2" t="s">
        <v>1190</v>
      </c>
      <c r="F8442" s="2">
        <v>1.0</v>
      </c>
      <c r="G8442" s="2">
        <v>500.0</v>
      </c>
      <c r="H8442" s="3" t="str">
        <f>HYPERLINK("http://www.linkedin.com/pub/suzan-mcdowell/4/457/1A","http://www.linkedin.com/pub/suzan-mcdowell/4/457/1A")</f>
        <v>http://www.linkedin.com/pub/suzan-mcdowell/4/457/1A</v>
      </c>
      <c r="I8442" s="2" t="s">
        <v>844</v>
      </c>
      <c r="J8442" s="2" t="s">
        <v>102</v>
      </c>
      <c r="K8442" s="2" t="s">
        <v>14074</v>
      </c>
    </row>
    <row r="8443" ht="15.75" customHeight="1">
      <c r="A8443" s="2">
        <v>150975.0</v>
      </c>
      <c r="B8443" s="2" t="s">
        <v>592</v>
      </c>
      <c r="C8443" s="2" t="s">
        <v>15425</v>
      </c>
      <c r="D8443" s="2" t="s">
        <v>1059</v>
      </c>
      <c r="E8443" s="2" t="s">
        <v>1190</v>
      </c>
      <c r="F8443" s="2">
        <v>4.0</v>
      </c>
      <c r="G8443" s="2">
        <v>500.0</v>
      </c>
      <c r="H8443" s="3" t="str">
        <f>HYPERLINK("http://www.linkedin.com/in/ironwoodrecruiting","http://www.linkedin.com/in/ironwoodrecruiting")</f>
        <v>http://www.linkedin.com/in/ironwoodrecruiting</v>
      </c>
      <c r="I8443" s="2" t="s">
        <v>248</v>
      </c>
      <c r="J8443" s="2" t="s">
        <v>102</v>
      </c>
      <c r="K8443" s="2" t="s">
        <v>14055</v>
      </c>
    </row>
    <row r="8444" ht="15.75" customHeight="1">
      <c r="A8444" s="2">
        <v>151063.0</v>
      </c>
      <c r="B8444" s="2" t="s">
        <v>1899</v>
      </c>
      <c r="C8444" s="2" t="s">
        <v>15426</v>
      </c>
      <c r="D8444" s="2" t="s">
        <v>5436</v>
      </c>
      <c r="E8444" s="2" t="s">
        <v>3865</v>
      </c>
      <c r="F8444" s="2">
        <v>14.0</v>
      </c>
      <c r="G8444" s="2">
        <v>500.0</v>
      </c>
      <c r="H8444" s="3" t="str">
        <f>HYPERLINK("http://www.linkedin.com/in/raghu","http://www.linkedin.com/in/raghu")</f>
        <v>http://www.linkedin.com/in/raghu</v>
      </c>
      <c r="I8444" s="2" t="s">
        <v>48</v>
      </c>
      <c r="J8444" s="2" t="s">
        <v>102</v>
      </c>
      <c r="K8444" s="2" t="s">
        <v>14071</v>
      </c>
    </row>
    <row r="8445" ht="15.75" customHeight="1">
      <c r="A8445" s="2">
        <v>151131.0</v>
      </c>
      <c r="B8445" s="2" t="s">
        <v>302</v>
      </c>
      <c r="C8445" s="2" t="s">
        <v>3037</v>
      </c>
      <c r="D8445" s="2" t="s">
        <v>15427</v>
      </c>
      <c r="E8445" s="2" t="s">
        <v>728</v>
      </c>
      <c r="F8445" s="2" t="s">
        <v>13</v>
      </c>
      <c r="G8445" s="2">
        <v>500.0</v>
      </c>
      <c r="H8445" s="3" t="str">
        <f>HYPERLINK("http://www.linkedin.com/in/billdouglas","http://www.linkedin.com/in/billdouglas")</f>
        <v>http://www.linkedin.com/in/billdouglas</v>
      </c>
      <c r="I8445" s="2" t="s">
        <v>15</v>
      </c>
      <c r="J8445" s="2" t="s">
        <v>102</v>
      </c>
      <c r="K8445" s="2" t="s">
        <v>14197</v>
      </c>
    </row>
    <row r="8446" ht="15.75" customHeight="1">
      <c r="A8446" s="2">
        <v>151326.0</v>
      </c>
      <c r="B8446" s="2" t="s">
        <v>1786</v>
      </c>
      <c r="C8446" s="2" t="s">
        <v>15428</v>
      </c>
      <c r="D8446" s="2" t="s">
        <v>3298</v>
      </c>
      <c r="E8446" s="2" t="s">
        <v>1190</v>
      </c>
      <c r="F8446" s="2">
        <v>19.0</v>
      </c>
      <c r="G8446" s="2">
        <v>500.0</v>
      </c>
      <c r="H8446" s="3" t="str">
        <f>HYPERLINK("http://www.linkedin.com/in/marilynoliva","http://www.linkedin.com/in/marilynoliva")</f>
        <v>http://www.linkedin.com/in/marilynoliva</v>
      </c>
      <c r="I8446" s="2" t="s">
        <v>105</v>
      </c>
      <c r="J8446" s="2" t="s">
        <v>102</v>
      </c>
      <c r="K8446" s="2" t="s">
        <v>14074</v>
      </c>
    </row>
    <row r="8447" ht="15.75" customHeight="1">
      <c r="A8447" s="2">
        <v>151335.0</v>
      </c>
      <c r="B8447" s="2" t="s">
        <v>15429</v>
      </c>
      <c r="C8447" s="2" t="s">
        <v>15430</v>
      </c>
      <c r="D8447" s="2" t="s">
        <v>15431</v>
      </c>
      <c r="E8447" s="2" t="s">
        <v>301</v>
      </c>
      <c r="F8447" s="2" t="s">
        <v>13</v>
      </c>
      <c r="G8447" s="2">
        <v>500.0</v>
      </c>
      <c r="H8447" s="3" t="str">
        <f>HYPERLINK("http://www.linkedin.com/in/sarkiskarayan","http://www.linkedin.com/in/sarkiskarayan")</f>
        <v>http://www.linkedin.com/in/sarkiskarayan</v>
      </c>
      <c r="I8447" s="2" t="s">
        <v>15</v>
      </c>
      <c r="J8447" s="2" t="s">
        <v>102</v>
      </c>
      <c r="K8447" s="2" t="s">
        <v>14882</v>
      </c>
    </row>
    <row r="8448" ht="15.75" customHeight="1">
      <c r="A8448" s="2">
        <v>151348.0</v>
      </c>
      <c r="B8448" s="2" t="s">
        <v>133</v>
      </c>
      <c r="C8448" s="2" t="s">
        <v>8230</v>
      </c>
      <c r="D8448" s="2" t="s">
        <v>42</v>
      </c>
      <c r="E8448" s="2" t="s">
        <v>1190</v>
      </c>
      <c r="F8448" s="2">
        <v>2.0</v>
      </c>
      <c r="G8448" s="2">
        <v>500.0</v>
      </c>
      <c r="H8448" s="3" t="str">
        <f>HYPERLINK("http://www.linkedin.com/pub/michael-orlando/7/B20/34A","http://www.linkedin.com/pub/michael-orlando/7/B20/34A")</f>
        <v>http://www.linkedin.com/pub/michael-orlando/7/B20/34A</v>
      </c>
      <c r="I8448" s="2" t="s">
        <v>910</v>
      </c>
      <c r="J8448" s="2" t="s">
        <v>102</v>
      </c>
      <c r="K8448" s="2" t="s">
        <v>14055</v>
      </c>
    </row>
    <row r="8449" ht="15.75" customHeight="1">
      <c r="A8449" s="2">
        <v>151353.0</v>
      </c>
      <c r="B8449" s="2" t="s">
        <v>5244</v>
      </c>
      <c r="C8449" s="2" t="s">
        <v>12426</v>
      </c>
      <c r="D8449" s="2" t="s">
        <v>15432</v>
      </c>
      <c r="E8449" s="2" t="s">
        <v>628</v>
      </c>
      <c r="F8449" s="2">
        <v>15.0</v>
      </c>
      <c r="G8449" s="2">
        <v>500.0</v>
      </c>
      <c r="H8449" s="3" t="str">
        <f>HYPERLINK("http://www.linkedin.com/in/larkin","http://www.linkedin.com/in/larkin")</f>
        <v>http://www.linkedin.com/in/larkin</v>
      </c>
      <c r="I8449" s="2" t="s">
        <v>105</v>
      </c>
      <c r="J8449" s="2" t="s">
        <v>102</v>
      </c>
      <c r="K8449" s="2" t="s">
        <v>14074</v>
      </c>
    </row>
    <row r="8450" ht="15.75" customHeight="1">
      <c r="A8450" s="2">
        <v>151480.0</v>
      </c>
      <c r="B8450" s="2" t="s">
        <v>15433</v>
      </c>
      <c r="C8450" s="2" t="s">
        <v>15434</v>
      </c>
      <c r="D8450" s="2" t="s">
        <v>15435</v>
      </c>
      <c r="E8450" s="2" t="s">
        <v>2058</v>
      </c>
      <c r="F8450" s="2">
        <v>1.0</v>
      </c>
      <c r="G8450" s="2">
        <v>500.0</v>
      </c>
      <c r="H8450" s="3" t="str">
        <f>HYPERLINK("http://www.linkedin.com/pub/benoit-pecqueur/4/BB8/298","http://www.linkedin.com/pub/benoit-pecqueur/4/BB8/298")</f>
        <v>http://www.linkedin.com/pub/benoit-pecqueur/4/BB8/298</v>
      </c>
      <c r="I8450" s="2" t="s">
        <v>69</v>
      </c>
      <c r="J8450" s="2" t="s">
        <v>102</v>
      </c>
      <c r="K8450" s="2" t="s">
        <v>15436</v>
      </c>
    </row>
    <row r="8451" ht="15.75" customHeight="1">
      <c r="A8451" s="2">
        <v>151629.0</v>
      </c>
      <c r="B8451" s="2" t="s">
        <v>1015</v>
      </c>
      <c r="C8451" s="2" t="s">
        <v>15437</v>
      </c>
      <c r="D8451" s="2" t="s">
        <v>15438</v>
      </c>
      <c r="E8451" s="2" t="s">
        <v>728</v>
      </c>
      <c r="F8451" s="2">
        <v>26.0</v>
      </c>
      <c r="G8451" s="2">
        <v>500.0</v>
      </c>
      <c r="H8451" s="3" t="str">
        <f>HYPERLINK("http://www.linkedin.com/in/brianzab","http://www.linkedin.com/in/brianzab")</f>
        <v>http://www.linkedin.com/in/brianzab</v>
      </c>
      <c r="I8451" s="2" t="s">
        <v>15</v>
      </c>
      <c r="J8451" s="2" t="s">
        <v>102</v>
      </c>
      <c r="K8451" s="2" t="s">
        <v>14057</v>
      </c>
    </row>
    <row r="8452" ht="15.75" customHeight="1">
      <c r="A8452" s="2">
        <v>151650.0</v>
      </c>
      <c r="B8452" s="2" t="s">
        <v>1167</v>
      </c>
      <c r="C8452" s="2" t="s">
        <v>15439</v>
      </c>
      <c r="D8452" s="2" t="s">
        <v>1145</v>
      </c>
      <c r="E8452" s="2" t="s">
        <v>15440</v>
      </c>
      <c r="F8452" s="2">
        <v>18.0</v>
      </c>
      <c r="G8452" s="2">
        <v>500.0</v>
      </c>
      <c r="H8452" s="3" t="str">
        <f>HYPERLINK("http://www.linkedin.com/in/benmcdougal","http://www.linkedin.com/in/benmcdougal")</f>
        <v>http://www.linkedin.com/in/benmcdougal</v>
      </c>
      <c r="I8452" s="2" t="s">
        <v>69</v>
      </c>
      <c r="J8452" s="2" t="s">
        <v>102</v>
      </c>
      <c r="K8452" s="2" t="s">
        <v>14073</v>
      </c>
    </row>
    <row r="8453" ht="15.75" customHeight="1">
      <c r="A8453" s="2">
        <v>151658.0</v>
      </c>
      <c r="B8453" s="2" t="s">
        <v>1617</v>
      </c>
      <c r="C8453" s="2" t="s">
        <v>15441</v>
      </c>
      <c r="D8453" s="2" t="s">
        <v>15442</v>
      </c>
      <c r="E8453" s="2" t="s">
        <v>1329</v>
      </c>
      <c r="F8453" s="2">
        <v>64.0</v>
      </c>
      <c r="G8453" s="2">
        <v>500.0</v>
      </c>
      <c r="H8453" s="3" t="str">
        <f>HYPERLINK("http://www.linkedin.com/in/ryansnell","http://www.linkedin.com/in/ryansnell")</f>
        <v>http://www.linkedin.com/in/ryansnell</v>
      </c>
      <c r="I8453" s="2" t="s">
        <v>15</v>
      </c>
      <c r="J8453" s="2" t="s">
        <v>102</v>
      </c>
      <c r="K8453" s="2" t="s">
        <v>14080</v>
      </c>
    </row>
    <row r="8454" ht="15.75" customHeight="1">
      <c r="A8454" s="2">
        <v>151664.0</v>
      </c>
      <c r="B8454" s="2" t="s">
        <v>3243</v>
      </c>
      <c r="C8454" s="2" t="s">
        <v>292</v>
      </c>
      <c r="D8454" s="2" t="s">
        <v>15443</v>
      </c>
      <c r="E8454" s="2" t="s">
        <v>14739</v>
      </c>
      <c r="F8454" s="2">
        <v>15.0</v>
      </c>
      <c r="G8454" s="2">
        <v>500.0</v>
      </c>
      <c r="H8454" s="3" t="str">
        <f>HYPERLINK("http://www.linkedin.com/pub/travis-smith/3/260/991","http://www.linkedin.com/pub/travis-smith/3/260/991")</f>
        <v>http://www.linkedin.com/pub/travis-smith/3/260/991</v>
      </c>
      <c r="I8454" s="2" t="s">
        <v>105</v>
      </c>
      <c r="J8454" s="2" t="s">
        <v>102</v>
      </c>
      <c r="K8454" s="2" t="s">
        <v>14055</v>
      </c>
    </row>
    <row r="8455" ht="15.75" customHeight="1">
      <c r="A8455" s="2">
        <v>151669.0</v>
      </c>
      <c r="B8455" s="2" t="s">
        <v>752</v>
      </c>
      <c r="C8455" s="2" t="s">
        <v>11719</v>
      </c>
      <c r="D8455" s="2" t="s">
        <v>15444</v>
      </c>
      <c r="E8455" s="2" t="s">
        <v>728</v>
      </c>
      <c r="F8455" s="2">
        <v>25.0</v>
      </c>
      <c r="G8455" s="2">
        <v>500.0</v>
      </c>
      <c r="H8455" s="3" t="str">
        <f>HYPERLINK("http://www.linkedin.com/in/jimdickson","http://www.linkedin.com/in/jimdickson")</f>
        <v>http://www.linkedin.com/in/jimdickson</v>
      </c>
      <c r="I8455" s="2" t="s">
        <v>48</v>
      </c>
      <c r="J8455" s="2" t="s">
        <v>102</v>
      </c>
      <c r="K8455" s="2" t="s">
        <v>14092</v>
      </c>
    </row>
    <row r="8456" ht="15.75" customHeight="1">
      <c r="A8456" s="2">
        <v>151736.0</v>
      </c>
      <c r="B8456" s="2" t="s">
        <v>2286</v>
      </c>
      <c r="C8456" s="2" t="s">
        <v>5335</v>
      </c>
      <c r="D8456" s="2" t="s">
        <v>15445</v>
      </c>
      <c r="E8456" s="2" t="s">
        <v>2058</v>
      </c>
      <c r="F8456" s="2">
        <v>12.0</v>
      </c>
      <c r="G8456" s="2">
        <v>500.0</v>
      </c>
      <c r="H8456" s="3" t="str">
        <f>HYPERLINK("http://www.linkedin.com/in/amymelissaharris","http://www.linkedin.com/in/amymelissaharris")</f>
        <v>http://www.linkedin.com/in/amymelissaharris</v>
      </c>
      <c r="I8456" s="2" t="s">
        <v>105</v>
      </c>
      <c r="J8456" s="2" t="s">
        <v>102</v>
      </c>
      <c r="K8456" s="2" t="s">
        <v>14074</v>
      </c>
    </row>
    <row r="8457" ht="15.75" customHeight="1">
      <c r="A8457" s="2">
        <v>152573.0</v>
      </c>
      <c r="B8457" s="2" t="s">
        <v>1582</v>
      </c>
      <c r="C8457" s="2" t="s">
        <v>15446</v>
      </c>
      <c r="D8457" s="2" t="s">
        <v>955</v>
      </c>
      <c r="E8457" s="2" t="s">
        <v>1041</v>
      </c>
      <c r="F8457" s="2">
        <v>5.0</v>
      </c>
      <c r="G8457" s="2">
        <v>500.0</v>
      </c>
      <c r="H8457" s="3" t="str">
        <f>HYPERLINK("http://www.linkedin.com/in/erinjohnson15","http://www.linkedin.com/in/erinjohnson15")</f>
        <v>http://www.linkedin.com/in/erinjohnson15</v>
      </c>
      <c r="I8457" s="2" t="s">
        <v>6750</v>
      </c>
      <c r="J8457" s="2" t="s">
        <v>102</v>
      </c>
      <c r="K8457" s="2" t="s">
        <v>14055</v>
      </c>
    </row>
    <row r="8458" ht="15.75" customHeight="1">
      <c r="A8458" s="2">
        <v>152592.0</v>
      </c>
      <c r="B8458" s="2" t="s">
        <v>1377</v>
      </c>
      <c r="C8458" s="2" t="s">
        <v>15447</v>
      </c>
      <c r="D8458" s="2" t="s">
        <v>15448</v>
      </c>
      <c r="E8458" s="2" t="s">
        <v>808</v>
      </c>
      <c r="F8458" s="2">
        <v>6.0</v>
      </c>
      <c r="G8458" s="2">
        <v>500.0</v>
      </c>
      <c r="H8458" s="3" t="str">
        <f>HYPERLINK("http://www.linkedin.com/pub/marty-kurner/4/890/1B2","http://www.linkedin.com/pub/marty-kurner/4/890/1B2")</f>
        <v>http://www.linkedin.com/pub/marty-kurner/4/890/1B2</v>
      </c>
      <c r="I8458" s="2" t="s">
        <v>8782</v>
      </c>
      <c r="J8458" s="2" t="s">
        <v>102</v>
      </c>
      <c r="K8458" s="2" t="s">
        <v>14074</v>
      </c>
    </row>
    <row r="8459" ht="15.75" customHeight="1">
      <c r="A8459" s="2">
        <v>152607.0</v>
      </c>
      <c r="B8459" s="2" t="s">
        <v>15449</v>
      </c>
      <c r="C8459" s="2" t="s">
        <v>15450</v>
      </c>
      <c r="D8459" s="2" t="s">
        <v>3466</v>
      </c>
      <c r="E8459" s="2" t="s">
        <v>4087</v>
      </c>
      <c r="F8459" s="2">
        <v>5.0</v>
      </c>
      <c r="G8459" s="2">
        <v>500.0</v>
      </c>
      <c r="H8459" s="3" t="str">
        <f>HYPERLINK("http://www.linkedin.com/pub/jr-dew/7/AA/619","http://www.linkedin.com/pub/jr-dew/7/AA/619")</f>
        <v>http://www.linkedin.com/pub/jr-dew/7/AA/619</v>
      </c>
      <c r="I8459" s="2" t="s">
        <v>1237</v>
      </c>
      <c r="J8459" s="2" t="s">
        <v>102</v>
      </c>
      <c r="K8459" s="2" t="s">
        <v>14266</v>
      </c>
    </row>
    <row r="8460" ht="15.75" customHeight="1">
      <c r="A8460" s="2">
        <v>152623.0</v>
      </c>
      <c r="B8460" s="2" t="s">
        <v>3227</v>
      </c>
      <c r="C8460" s="2" t="s">
        <v>15451</v>
      </c>
      <c r="D8460" s="2" t="s">
        <v>1320</v>
      </c>
      <c r="E8460" s="2" t="s">
        <v>505</v>
      </c>
      <c r="F8460" s="2">
        <v>10.0</v>
      </c>
      <c r="G8460" s="2">
        <v>500.0</v>
      </c>
      <c r="H8460" s="3" t="str">
        <f>HYPERLINK("http://www.linkedin.com/in/chadwb","http://www.linkedin.com/in/chadwb")</f>
        <v>http://www.linkedin.com/in/chadwb</v>
      </c>
      <c r="I8460" s="2" t="s">
        <v>119</v>
      </c>
      <c r="J8460" s="2" t="s">
        <v>102</v>
      </c>
      <c r="K8460" s="2" t="s">
        <v>14074</v>
      </c>
    </row>
    <row r="8461" ht="15.75" customHeight="1">
      <c r="A8461" s="2">
        <v>152662.0</v>
      </c>
      <c r="B8461" s="2" t="s">
        <v>1173</v>
      </c>
      <c r="C8461" s="2" t="s">
        <v>15452</v>
      </c>
      <c r="D8461" s="2" t="s">
        <v>11431</v>
      </c>
      <c r="E8461" s="2" t="s">
        <v>4084</v>
      </c>
      <c r="F8461" s="2">
        <v>0.0</v>
      </c>
      <c r="G8461" s="2">
        <v>180.0</v>
      </c>
      <c r="H8461" s="3" t="str">
        <f>HYPERLINK("http://www.linkedin.com/in/steveworrell","http://www.linkedin.com/in/steveworrell")</f>
        <v>http://www.linkedin.com/in/steveworrell</v>
      </c>
      <c r="I8461" s="2" t="s">
        <v>248</v>
      </c>
      <c r="J8461" s="2" t="s">
        <v>102</v>
      </c>
      <c r="K8461" s="2" t="s">
        <v>14617</v>
      </c>
    </row>
    <row r="8462" ht="15.75" customHeight="1">
      <c r="A8462" s="2">
        <v>152664.0</v>
      </c>
      <c r="B8462" s="2" t="s">
        <v>3477</v>
      </c>
      <c r="C8462" s="2" t="s">
        <v>15453</v>
      </c>
      <c r="D8462" s="2" t="s">
        <v>1098</v>
      </c>
      <c r="E8462" s="2" t="s">
        <v>728</v>
      </c>
      <c r="F8462" s="2">
        <v>2.0</v>
      </c>
      <c r="G8462" s="2">
        <v>215.0</v>
      </c>
      <c r="H8462" s="3" t="str">
        <f>HYPERLINK("http://www.linkedin.com/pub/josh-juhasz/10/66B/865","http://www.linkedin.com/pub/josh-juhasz/10/66B/865")</f>
        <v>http://www.linkedin.com/pub/josh-juhasz/10/66B/865</v>
      </c>
      <c r="I8462" s="2" t="s">
        <v>69</v>
      </c>
      <c r="J8462" s="2" t="s">
        <v>102</v>
      </c>
      <c r="K8462" s="2" t="s">
        <v>14055</v>
      </c>
    </row>
    <row r="8463" ht="15.75" customHeight="1">
      <c r="A8463" s="2">
        <v>152677.0</v>
      </c>
      <c r="B8463" s="2" t="s">
        <v>11149</v>
      </c>
      <c r="C8463" s="2" t="s">
        <v>15454</v>
      </c>
      <c r="D8463" s="2" t="s">
        <v>15455</v>
      </c>
      <c r="E8463" s="2" t="s">
        <v>101</v>
      </c>
      <c r="F8463" s="2">
        <v>1.0</v>
      </c>
      <c r="G8463" s="2">
        <v>128.0</v>
      </c>
      <c r="H8463" s="3" t="str">
        <f>HYPERLINK("http://www.linkedin.com/in/bretthujik","http://www.linkedin.com/in/bretthujik")</f>
        <v>http://www.linkedin.com/in/bretthujik</v>
      </c>
      <c r="I8463" s="2" t="s">
        <v>48</v>
      </c>
      <c r="J8463" s="2" t="s">
        <v>102</v>
      </c>
      <c r="K8463" s="2" t="s">
        <v>14082</v>
      </c>
    </row>
    <row r="8464" ht="15.75" customHeight="1">
      <c r="A8464" s="2">
        <v>152773.0</v>
      </c>
      <c r="B8464" s="2" t="s">
        <v>242</v>
      </c>
      <c r="C8464" s="2" t="s">
        <v>6155</v>
      </c>
      <c r="D8464" s="2" t="s">
        <v>13</v>
      </c>
      <c r="E8464" s="2" t="s">
        <v>136</v>
      </c>
      <c r="F8464" s="2">
        <v>0.0</v>
      </c>
      <c r="G8464" s="2">
        <v>500.0</v>
      </c>
      <c r="H8464" s="3" t="str">
        <f>HYPERLINK("https://www.linkedin.com/in/annanguyen","https://www.linkedin.com/in/annanguyen")</f>
        <v>https://www.linkedin.com/in/annanguyen</v>
      </c>
      <c r="I8464" s="2" t="s">
        <v>69</v>
      </c>
      <c r="J8464" s="2" t="s">
        <v>102</v>
      </c>
      <c r="K8464" s="2" t="s">
        <v>14218</v>
      </c>
    </row>
    <row r="8465" ht="15.75" customHeight="1">
      <c r="A8465" s="2">
        <v>152796.0</v>
      </c>
      <c r="B8465" s="2" t="s">
        <v>1015</v>
      </c>
      <c r="C8465" s="2" t="s">
        <v>15456</v>
      </c>
      <c r="D8465" s="2" t="s">
        <v>13</v>
      </c>
      <c r="E8465" s="2" t="s">
        <v>14087</v>
      </c>
      <c r="F8465" s="2">
        <v>3.0</v>
      </c>
      <c r="G8465" s="2">
        <v>500.0</v>
      </c>
      <c r="H8465" s="3" t="str">
        <f>HYPERLINK("http://www.linkedin.com/in/brianharding","http://www.linkedin.com/in/brianharding")</f>
        <v>http://www.linkedin.com/in/brianharding</v>
      </c>
      <c r="I8465" s="2" t="s">
        <v>248</v>
      </c>
      <c r="J8465" s="2" t="s">
        <v>102</v>
      </c>
      <c r="K8465" s="2" t="s">
        <v>14080</v>
      </c>
    </row>
    <row r="8466" ht="15.75" customHeight="1">
      <c r="A8466" s="2">
        <v>152811.0</v>
      </c>
      <c r="B8466" s="2" t="s">
        <v>1479</v>
      </c>
      <c r="C8466" s="2" t="s">
        <v>3001</v>
      </c>
      <c r="D8466" s="2" t="s">
        <v>100</v>
      </c>
      <c r="E8466" s="2" t="s">
        <v>3334</v>
      </c>
      <c r="F8466" s="2">
        <v>7.0</v>
      </c>
      <c r="G8466" s="2">
        <v>352.0</v>
      </c>
      <c r="H8466" s="3" t="str">
        <f>HYPERLINK("http://www.linkedin.com/in/franklouie","http://www.linkedin.com/in/franklouie")</f>
        <v>http://www.linkedin.com/in/franklouie</v>
      </c>
      <c r="I8466" s="2" t="s">
        <v>15</v>
      </c>
      <c r="J8466" s="2" t="s">
        <v>102</v>
      </c>
      <c r="K8466" s="2" t="s">
        <v>14105</v>
      </c>
    </row>
    <row r="8467" ht="15.75" customHeight="1">
      <c r="A8467" s="2">
        <v>152903.0</v>
      </c>
      <c r="B8467" s="2" t="s">
        <v>10450</v>
      </c>
      <c r="C8467" s="2" t="s">
        <v>15457</v>
      </c>
      <c r="D8467" s="2" t="s">
        <v>15458</v>
      </c>
      <c r="E8467" s="2" t="s">
        <v>1407</v>
      </c>
      <c r="F8467" s="2">
        <v>6.0</v>
      </c>
      <c r="G8467" s="2">
        <v>500.0</v>
      </c>
      <c r="H8467" s="3" t="str">
        <f>HYPERLINK("http://www.linkedin.com/in/bryanmckinley","http://www.linkedin.com/in/bryanmckinley")</f>
        <v>http://www.linkedin.com/in/bryanmckinley</v>
      </c>
      <c r="I8467" s="2" t="s">
        <v>15</v>
      </c>
      <c r="J8467" s="2" t="s">
        <v>102</v>
      </c>
      <c r="K8467" s="2" t="s">
        <v>15459</v>
      </c>
    </row>
    <row r="8468" ht="15.75" customHeight="1">
      <c r="A8468" s="2">
        <v>152930.0</v>
      </c>
      <c r="B8468" s="2" t="s">
        <v>2099</v>
      </c>
      <c r="C8468" s="2" t="s">
        <v>1218</v>
      </c>
      <c r="D8468" s="2" t="s">
        <v>15460</v>
      </c>
      <c r="E8468" s="2" t="s">
        <v>457</v>
      </c>
      <c r="F8468" s="2">
        <v>8.0</v>
      </c>
      <c r="G8468" s="2">
        <v>500.0</v>
      </c>
      <c r="H8468" s="3" t="str">
        <f>HYPERLINK("http://www.linkedin.com/in/charlesmurphy01","http://www.linkedin.com/in/charlesmurphy01")</f>
        <v>http://www.linkedin.com/in/charlesmurphy01</v>
      </c>
      <c r="I8468" s="2" t="s">
        <v>77</v>
      </c>
      <c r="J8468" s="2" t="s">
        <v>102</v>
      </c>
      <c r="K8468" s="2" t="s">
        <v>15140</v>
      </c>
    </row>
    <row r="8469" ht="15.75" customHeight="1">
      <c r="A8469" s="2">
        <v>152931.0</v>
      </c>
      <c r="B8469" s="2" t="s">
        <v>784</v>
      </c>
      <c r="C8469" s="2" t="s">
        <v>2660</v>
      </c>
      <c r="D8469" s="2" t="s">
        <v>1805</v>
      </c>
      <c r="E8469" s="2" t="s">
        <v>136</v>
      </c>
      <c r="F8469" s="2">
        <v>11.0</v>
      </c>
      <c r="G8469" s="2">
        <v>500.0</v>
      </c>
      <c r="H8469" s="3" t="str">
        <f>HYPERLINK("http://www.linkedin.com/pub/jeff-olson/1/B1/B7","http://www.linkedin.com/pub/jeff-olson/1/B1/B7")</f>
        <v>http://www.linkedin.com/pub/jeff-olson/1/B1/B7</v>
      </c>
      <c r="I8469" s="2" t="s">
        <v>15</v>
      </c>
      <c r="J8469" s="2" t="s">
        <v>102</v>
      </c>
      <c r="K8469" s="2" t="s">
        <v>14088</v>
      </c>
    </row>
    <row r="8470" ht="15.75" customHeight="1">
      <c r="A8470" s="2">
        <v>152935.0</v>
      </c>
      <c r="B8470" s="2" t="s">
        <v>874</v>
      </c>
      <c r="C8470" s="2" t="s">
        <v>1497</v>
      </c>
      <c r="D8470" s="2" t="s">
        <v>125</v>
      </c>
      <c r="E8470" s="2" t="s">
        <v>5072</v>
      </c>
      <c r="F8470" s="2">
        <v>6.0</v>
      </c>
      <c r="G8470" s="2">
        <v>500.0</v>
      </c>
      <c r="H8470" s="3" t="str">
        <f>HYPERLINK("http://www.linkedin.com/in/tim0thyr0y","http://www.linkedin.com/in/tim0thyr0y")</f>
        <v>http://www.linkedin.com/in/tim0thyr0y</v>
      </c>
      <c r="I8470" s="2" t="s">
        <v>15</v>
      </c>
      <c r="J8470" s="2" t="s">
        <v>102</v>
      </c>
      <c r="K8470" s="2" t="s">
        <v>14092</v>
      </c>
    </row>
    <row r="8471" ht="15.75" customHeight="1">
      <c r="A8471" s="2">
        <v>152981.0</v>
      </c>
      <c r="B8471" s="2" t="s">
        <v>1015</v>
      </c>
      <c r="C8471" s="2" t="s">
        <v>15461</v>
      </c>
      <c r="D8471" s="2" t="s">
        <v>15462</v>
      </c>
      <c r="E8471" s="2" t="s">
        <v>15463</v>
      </c>
      <c r="F8471" s="2">
        <v>1.0</v>
      </c>
      <c r="G8471" s="2">
        <v>500.0</v>
      </c>
      <c r="H8471" s="3" t="str">
        <f>HYPERLINK("http://www.linkedin.com/in/bgunther","http://www.linkedin.com/in/bgunther")</f>
        <v>http://www.linkedin.com/in/bgunther</v>
      </c>
      <c r="I8471" s="2" t="s">
        <v>48</v>
      </c>
      <c r="J8471" s="2" t="s">
        <v>102</v>
      </c>
      <c r="K8471" s="2" t="s">
        <v>14142</v>
      </c>
    </row>
    <row r="8472" ht="15.75" customHeight="1">
      <c r="A8472" s="2">
        <v>152988.0</v>
      </c>
      <c r="B8472" s="2" t="s">
        <v>2383</v>
      </c>
      <c r="C8472" s="2" t="s">
        <v>2752</v>
      </c>
      <c r="D8472" s="2" t="s">
        <v>4854</v>
      </c>
      <c r="E8472" s="2" t="s">
        <v>101</v>
      </c>
      <c r="F8472" s="2">
        <v>0.0</v>
      </c>
      <c r="G8472" s="2">
        <v>500.0</v>
      </c>
      <c r="H8472" s="3" t="str">
        <f>HYPERLINK("http://www.linkedin.com/pub/shawn-craig/1/B27/866","http://www.linkedin.com/pub/shawn-craig/1/B27/866")</f>
        <v>http://www.linkedin.com/pub/shawn-craig/1/B27/866</v>
      </c>
      <c r="I8472" s="2" t="s">
        <v>69</v>
      </c>
      <c r="J8472" s="2" t="s">
        <v>102</v>
      </c>
      <c r="K8472" s="2" t="s">
        <v>14088</v>
      </c>
    </row>
    <row r="8473" ht="15.75" customHeight="1">
      <c r="A8473" s="2">
        <v>153013.0</v>
      </c>
      <c r="B8473" s="2" t="s">
        <v>15464</v>
      </c>
      <c r="C8473" s="2" t="s">
        <v>15465</v>
      </c>
      <c r="D8473" s="2" t="s">
        <v>42</v>
      </c>
      <c r="E8473" s="2" t="s">
        <v>15466</v>
      </c>
      <c r="F8473" s="2">
        <v>4.0</v>
      </c>
      <c r="G8473" s="2">
        <v>282.0</v>
      </c>
      <c r="H8473" s="3" t="str">
        <f>HYPERLINK("http://www.linkedin.com/in/carsoncombs","http://www.linkedin.com/in/carsoncombs")</f>
        <v>http://www.linkedin.com/in/carsoncombs</v>
      </c>
      <c r="I8473" s="2" t="s">
        <v>2843</v>
      </c>
      <c r="J8473" s="2" t="s">
        <v>102</v>
      </c>
      <c r="K8473" s="2" t="s">
        <v>14055</v>
      </c>
    </row>
    <row r="8474" ht="15.75" customHeight="1">
      <c r="A8474" s="2">
        <v>153078.0</v>
      </c>
      <c r="B8474" s="2" t="s">
        <v>1019</v>
      </c>
      <c r="C8474" s="2" t="s">
        <v>4012</v>
      </c>
      <c r="D8474" s="2" t="s">
        <v>3546</v>
      </c>
      <c r="E8474" s="2" t="s">
        <v>136</v>
      </c>
      <c r="F8474" s="2">
        <v>6.0</v>
      </c>
      <c r="G8474" s="2">
        <v>404.0</v>
      </c>
      <c r="H8474" s="3" t="str">
        <f>HYPERLINK("http://www.linkedin.com/pub/matt-evans/0/B8A/B48","http://www.linkedin.com/pub/matt-evans/0/B8A/B48")</f>
        <v>http://www.linkedin.com/pub/matt-evans/0/B8A/B48</v>
      </c>
      <c r="I8474" s="2" t="s">
        <v>77</v>
      </c>
      <c r="J8474" s="2" t="s">
        <v>102</v>
      </c>
      <c r="K8474" s="2" t="s">
        <v>14211</v>
      </c>
    </row>
    <row r="8475" ht="15.75" customHeight="1">
      <c r="A8475" s="2">
        <v>153096.0</v>
      </c>
      <c r="B8475" s="2" t="s">
        <v>1757</v>
      </c>
      <c r="C8475" s="2" t="s">
        <v>15467</v>
      </c>
      <c r="D8475" s="2" t="s">
        <v>114</v>
      </c>
      <c r="E8475" s="2" t="s">
        <v>15468</v>
      </c>
      <c r="F8475" s="2">
        <v>8.0</v>
      </c>
      <c r="G8475" s="2">
        <v>500.0</v>
      </c>
      <c r="H8475" s="3" t="str">
        <f>HYPERLINK("http://www.linkedin.com/in/halkneller","http://www.linkedin.com/in/halkneller")</f>
        <v>http://www.linkedin.com/in/halkneller</v>
      </c>
      <c r="I8475" s="2" t="s">
        <v>195</v>
      </c>
      <c r="J8475" s="2" t="s">
        <v>102</v>
      </c>
      <c r="K8475" s="2" t="s">
        <v>14115</v>
      </c>
    </row>
    <row r="8476" ht="15.75" customHeight="1">
      <c r="A8476" s="2">
        <v>153105.0</v>
      </c>
      <c r="B8476" s="2" t="s">
        <v>295</v>
      </c>
      <c r="C8476" s="2" t="s">
        <v>4990</v>
      </c>
      <c r="D8476" s="2" t="s">
        <v>13</v>
      </c>
      <c r="E8476" s="2" t="s">
        <v>1407</v>
      </c>
      <c r="F8476" s="2">
        <v>0.0</v>
      </c>
      <c r="G8476" s="2">
        <v>500.0</v>
      </c>
      <c r="H8476" s="3" t="str">
        <f>HYPERLINK("http://www.linkedin.com/pub/sean-green/3/AB0/983","http://www.linkedin.com/pub/sean-green/3/AB0/983")</f>
        <v>http://www.linkedin.com/pub/sean-green/3/AB0/983</v>
      </c>
      <c r="I8476" s="2" t="s">
        <v>77</v>
      </c>
      <c r="J8476" s="2" t="s">
        <v>102</v>
      </c>
      <c r="K8476" s="2" t="s">
        <v>14211</v>
      </c>
    </row>
    <row r="8477" ht="15.75" customHeight="1">
      <c r="A8477" s="2">
        <v>153147.0</v>
      </c>
      <c r="B8477" s="2" t="s">
        <v>10450</v>
      </c>
      <c r="C8477" s="2" t="s">
        <v>2564</v>
      </c>
      <c r="D8477" s="2" t="s">
        <v>410</v>
      </c>
      <c r="E8477" s="2" t="s">
        <v>5396</v>
      </c>
      <c r="F8477" s="2">
        <v>10.0</v>
      </c>
      <c r="G8477" s="2">
        <v>500.0</v>
      </c>
      <c r="H8477" s="3" t="str">
        <f>HYPERLINK("http://www.linkedin.com/in/bryankshort","http://www.linkedin.com/in/bryankshort")</f>
        <v>http://www.linkedin.com/in/bryankshort</v>
      </c>
      <c r="I8477" s="2" t="s">
        <v>15</v>
      </c>
      <c r="J8477" s="2" t="s">
        <v>102</v>
      </c>
      <c r="K8477" s="2" t="s">
        <v>14204</v>
      </c>
    </row>
    <row r="8478" ht="15.75" customHeight="1">
      <c r="A8478" s="2">
        <v>153158.0</v>
      </c>
      <c r="B8478" s="2" t="s">
        <v>940</v>
      </c>
      <c r="C8478" s="2" t="s">
        <v>15469</v>
      </c>
      <c r="D8478" s="2" t="s">
        <v>13</v>
      </c>
      <c r="E8478" s="2" t="s">
        <v>181</v>
      </c>
      <c r="F8478" s="2">
        <v>21.0</v>
      </c>
      <c r="G8478" s="2">
        <v>500.0</v>
      </c>
      <c r="H8478" s="3" t="str">
        <f>HYPERLINK("http://www.linkedin.com/pub/bob-sansone/10/1A2/1A1","http://www.linkedin.com/pub/bob-sansone/10/1A2/1A1")</f>
        <v>http://www.linkedin.com/pub/bob-sansone/10/1A2/1A1</v>
      </c>
      <c r="I8478" s="2" t="s">
        <v>1352</v>
      </c>
      <c r="J8478" s="2" t="s">
        <v>102</v>
      </c>
      <c r="K8478" s="2" t="s">
        <v>14055</v>
      </c>
    </row>
    <row r="8479" ht="15.75" customHeight="1">
      <c r="A8479" s="2">
        <v>153523.0</v>
      </c>
      <c r="B8479" s="2" t="s">
        <v>721</v>
      </c>
      <c r="C8479" s="2" t="s">
        <v>15470</v>
      </c>
      <c r="D8479" s="2" t="s">
        <v>11431</v>
      </c>
      <c r="E8479" s="2" t="s">
        <v>101</v>
      </c>
      <c r="F8479" s="2">
        <v>6.0</v>
      </c>
      <c r="G8479" s="2">
        <v>500.0</v>
      </c>
      <c r="H8479" s="3" t="str">
        <f>HYPERLINK("http://www.linkedin.com/pub/andrew-dickman/A/600/194","http://www.linkedin.com/pub/andrew-dickman/A/600/194")</f>
        <v>http://www.linkedin.com/pub/andrew-dickman/A/600/194</v>
      </c>
      <c r="I8479" s="2" t="s">
        <v>15</v>
      </c>
      <c r="J8479" s="2" t="s">
        <v>102</v>
      </c>
      <c r="K8479" s="2" t="s">
        <v>14088</v>
      </c>
    </row>
    <row r="8480" ht="15.75" customHeight="1">
      <c r="A8480" s="2">
        <v>153528.0</v>
      </c>
      <c r="B8480" s="2" t="s">
        <v>59</v>
      </c>
      <c r="C8480" s="2" t="s">
        <v>10590</v>
      </c>
      <c r="D8480" s="2" t="s">
        <v>15471</v>
      </c>
      <c r="E8480" s="2" t="s">
        <v>762</v>
      </c>
      <c r="F8480" s="2">
        <v>4.0</v>
      </c>
      <c r="G8480" s="2">
        <v>500.0</v>
      </c>
      <c r="H8480" s="3" t="str">
        <f>HYPERLINK("http://www.linkedin.com/in/martintolsen","http://www.linkedin.com/in/martintolsen")</f>
        <v>http://www.linkedin.com/in/martintolsen</v>
      </c>
      <c r="I8480" s="2" t="s">
        <v>669</v>
      </c>
      <c r="J8480" s="2" t="s">
        <v>102</v>
      </c>
      <c r="K8480" s="2" t="s">
        <v>14055</v>
      </c>
    </row>
    <row r="8481" ht="15.75" customHeight="1">
      <c r="A8481" s="2">
        <v>153684.0</v>
      </c>
      <c r="B8481" s="2" t="s">
        <v>845</v>
      </c>
      <c r="C8481" s="2" t="s">
        <v>15472</v>
      </c>
      <c r="D8481" s="2" t="s">
        <v>15473</v>
      </c>
      <c r="E8481" s="2" t="s">
        <v>3709</v>
      </c>
      <c r="F8481" s="2">
        <v>5.0</v>
      </c>
      <c r="G8481" s="2">
        <v>500.0</v>
      </c>
      <c r="H8481" s="3" t="str">
        <f>HYPERLINK("http://uk.linkedin.com/pub/david-howorth/1/394/329","http://uk.linkedin.com/pub/david-howorth/1/394/329")</f>
        <v>http://uk.linkedin.com/pub/david-howorth/1/394/329</v>
      </c>
      <c r="I8481" s="2" t="s">
        <v>160</v>
      </c>
      <c r="J8481" s="2" t="s">
        <v>53</v>
      </c>
      <c r="K8481" s="2" t="s">
        <v>14055</v>
      </c>
    </row>
    <row r="8482" ht="15.75" customHeight="1">
      <c r="A8482" s="2">
        <v>153700.0</v>
      </c>
      <c r="B8482" s="2" t="s">
        <v>2109</v>
      </c>
      <c r="C8482" s="2" t="s">
        <v>15474</v>
      </c>
      <c r="D8482" s="2" t="s">
        <v>13</v>
      </c>
      <c r="E8482" s="2" t="s">
        <v>7844</v>
      </c>
      <c r="F8482" s="2">
        <v>0.0</v>
      </c>
      <c r="G8482" s="2">
        <v>500.0</v>
      </c>
      <c r="H8482" s="3" t="str">
        <f>HYPERLINK("http://www.linkedin.com/pub/rob-phythian/26/469/A83","http://www.linkedin.com/pub/rob-phythian/26/469/A83")</f>
        <v>http://www.linkedin.com/pub/rob-phythian/26/469/A83</v>
      </c>
      <c r="I8482" s="2" t="s">
        <v>48</v>
      </c>
      <c r="J8482" s="2" t="s">
        <v>102</v>
      </c>
      <c r="K8482" s="2" t="s">
        <v>14197</v>
      </c>
    </row>
    <row r="8483" ht="15.75" customHeight="1">
      <c r="A8483" s="2">
        <v>154091.0</v>
      </c>
      <c r="B8483" s="2" t="s">
        <v>15475</v>
      </c>
      <c r="C8483" s="2" t="s">
        <v>3375</v>
      </c>
      <c r="D8483" s="2" t="s">
        <v>15476</v>
      </c>
      <c r="E8483" s="2" t="s">
        <v>1190</v>
      </c>
      <c r="F8483" s="2">
        <v>2.0</v>
      </c>
      <c r="G8483" s="2">
        <v>102.0</v>
      </c>
      <c r="H8483" s="3" t="str">
        <f>HYPERLINK("http://www.linkedin.com/in/srrubin","http://www.linkedin.com/in/srrubin")</f>
        <v>http://www.linkedin.com/in/srrubin</v>
      </c>
      <c r="I8483" s="2" t="s">
        <v>279</v>
      </c>
      <c r="J8483" s="2" t="s">
        <v>102</v>
      </c>
      <c r="K8483" s="2" t="s">
        <v>14105</v>
      </c>
    </row>
    <row r="8484" ht="15.75" customHeight="1">
      <c r="A8484" s="2">
        <v>154279.0</v>
      </c>
      <c r="B8484" s="2" t="s">
        <v>752</v>
      </c>
      <c r="C8484" s="2" t="s">
        <v>15477</v>
      </c>
      <c r="D8484" s="2" t="s">
        <v>13</v>
      </c>
      <c r="E8484" s="2" t="s">
        <v>15478</v>
      </c>
      <c r="F8484" s="2">
        <v>0.0</v>
      </c>
      <c r="G8484" s="2">
        <v>343.0</v>
      </c>
      <c r="H8484" s="3" t="str">
        <f>HYPERLINK("http://www.linkedin.com/pub/jim-schonewolf/7/972/943","http://www.linkedin.com/pub/jim-schonewolf/7/972/943")</f>
        <v>http://www.linkedin.com/pub/jim-schonewolf/7/972/943</v>
      </c>
      <c r="I8484" s="2" t="s">
        <v>69</v>
      </c>
      <c r="J8484" s="2" t="s">
        <v>102</v>
      </c>
      <c r="K8484" s="2" t="s">
        <v>14142</v>
      </c>
    </row>
    <row r="8485" ht="15.75" customHeight="1">
      <c r="A8485" s="2">
        <v>154550.0</v>
      </c>
      <c r="B8485" s="2" t="s">
        <v>5585</v>
      </c>
      <c r="C8485" s="2" t="s">
        <v>15479</v>
      </c>
      <c r="D8485" s="2" t="s">
        <v>114</v>
      </c>
      <c r="E8485" s="2" t="s">
        <v>1190</v>
      </c>
      <c r="F8485" s="2">
        <v>3.0</v>
      </c>
      <c r="G8485" s="2">
        <v>500.0</v>
      </c>
      <c r="H8485" s="3" t="str">
        <f>HYPERLINK("http://www.linkedin.com/pub/julie-silver-talenfeld/6/A65/310","http://www.linkedin.com/pub/julie-silver-talenfeld/6/A65/310")</f>
        <v>http://www.linkedin.com/pub/julie-silver-talenfeld/6/A65/310</v>
      </c>
      <c r="I8485" s="2" t="s">
        <v>844</v>
      </c>
      <c r="J8485" s="2" t="s">
        <v>102</v>
      </c>
      <c r="K8485" s="2" t="s">
        <v>14055</v>
      </c>
    </row>
    <row r="8486" ht="15.75" customHeight="1">
      <c r="A8486" s="2">
        <v>154615.0</v>
      </c>
      <c r="B8486" s="2" t="s">
        <v>15480</v>
      </c>
      <c r="C8486" s="2" t="s">
        <v>15481</v>
      </c>
      <c r="D8486" s="2" t="s">
        <v>13</v>
      </c>
      <c r="E8486" s="2" t="s">
        <v>1190</v>
      </c>
      <c r="F8486" s="2">
        <v>0.0</v>
      </c>
      <c r="G8486" s="2">
        <v>500.0</v>
      </c>
      <c r="H8486" s="3" t="str">
        <f>HYPERLINK("http://www.linkedin.com/pub/rasciel-socarras/5/303/98B","http://www.linkedin.com/pub/rasciel-socarras/5/303/98B")</f>
        <v>http://www.linkedin.com/pub/rasciel-socarras/5/303/98B</v>
      </c>
      <c r="I8486" s="2" t="s">
        <v>9079</v>
      </c>
      <c r="J8486" s="2" t="s">
        <v>102</v>
      </c>
      <c r="K8486" s="2" t="s">
        <v>14062</v>
      </c>
    </row>
    <row r="8487" ht="15.75" customHeight="1">
      <c r="A8487" s="2">
        <v>154649.0</v>
      </c>
      <c r="B8487" s="2" t="s">
        <v>1087</v>
      </c>
      <c r="C8487" s="2" t="s">
        <v>15482</v>
      </c>
      <c r="D8487" s="2" t="s">
        <v>400</v>
      </c>
      <c r="E8487" s="2" t="s">
        <v>136</v>
      </c>
      <c r="F8487" s="2">
        <v>8.0</v>
      </c>
      <c r="G8487" s="2">
        <v>468.0</v>
      </c>
      <c r="H8487" s="3" t="str">
        <f>HYPERLINK("http://www.linkedin.com/in/jamesstayton","http://www.linkedin.com/in/jamesstayton")</f>
        <v>http://www.linkedin.com/in/jamesstayton</v>
      </c>
      <c r="I8487" s="2" t="s">
        <v>105</v>
      </c>
      <c r="J8487" s="2" t="s">
        <v>102</v>
      </c>
      <c r="K8487" s="2" t="s">
        <v>14074</v>
      </c>
    </row>
    <row r="8488" ht="15.75" customHeight="1">
      <c r="A8488" s="2">
        <v>154741.0</v>
      </c>
      <c r="B8488" s="2" t="s">
        <v>460</v>
      </c>
      <c r="C8488" s="2" t="s">
        <v>15483</v>
      </c>
      <c r="D8488" s="2" t="s">
        <v>15484</v>
      </c>
      <c r="E8488" s="2" t="s">
        <v>407</v>
      </c>
      <c r="F8488" s="2">
        <v>5.0</v>
      </c>
      <c r="G8488" s="2">
        <v>500.0</v>
      </c>
      <c r="H8488" s="3" t="str">
        <f>HYPERLINK("http://www.linkedin.com/in/johnstuddard","http://www.linkedin.com/in/johnstuddard")</f>
        <v>http://www.linkedin.com/in/johnstuddard</v>
      </c>
      <c r="I8488" s="2" t="s">
        <v>69</v>
      </c>
      <c r="J8488" s="2" t="s">
        <v>102</v>
      </c>
      <c r="K8488" s="2" t="s">
        <v>14088</v>
      </c>
    </row>
    <row r="8489" ht="15.75" customHeight="1">
      <c r="A8489" s="2">
        <v>154900.0</v>
      </c>
      <c r="B8489" s="2" t="s">
        <v>5335</v>
      </c>
      <c r="C8489" s="2" t="s">
        <v>2019</v>
      </c>
      <c r="D8489" s="2" t="s">
        <v>13</v>
      </c>
      <c r="E8489" s="2" t="s">
        <v>4258</v>
      </c>
      <c r="F8489" s="2">
        <v>0.0</v>
      </c>
      <c r="G8489" s="2">
        <v>354.0</v>
      </c>
      <c r="H8489" s="3" t="str">
        <f>HYPERLINK("http://www.linkedin.com/pub/harris-turner/4/57/19A","http://www.linkedin.com/pub/harris-turner/4/57/19A")</f>
        <v>http://www.linkedin.com/pub/harris-turner/4/57/19A</v>
      </c>
      <c r="I8489" s="2" t="s">
        <v>48</v>
      </c>
      <c r="J8489" s="2" t="s">
        <v>102</v>
      </c>
      <c r="K8489" s="2" t="s">
        <v>14197</v>
      </c>
    </row>
    <row r="8490" ht="15.75" customHeight="1">
      <c r="A8490" s="2">
        <v>154914.0</v>
      </c>
      <c r="B8490" s="2" t="s">
        <v>45</v>
      </c>
      <c r="C8490" s="2" t="s">
        <v>15485</v>
      </c>
      <c r="D8490" s="2" t="s">
        <v>2751</v>
      </c>
      <c r="E8490" s="2" t="s">
        <v>1190</v>
      </c>
      <c r="F8490" s="2">
        <v>3.0</v>
      </c>
      <c r="G8490" s="2">
        <v>500.0</v>
      </c>
      <c r="H8490" s="3" t="str">
        <f>HYPERLINK("http://www.linkedin.com/in/carlosuo","http://www.linkedin.com/in/carlosuo")</f>
        <v>http://www.linkedin.com/in/carlosuo</v>
      </c>
      <c r="I8490" s="2" t="s">
        <v>105</v>
      </c>
      <c r="J8490" s="2" t="s">
        <v>102</v>
      </c>
      <c r="K8490" s="2" t="s">
        <v>14092</v>
      </c>
    </row>
    <row r="8491" ht="15.75" customHeight="1">
      <c r="A8491" s="2">
        <v>155089.0</v>
      </c>
      <c r="B8491" s="2" t="s">
        <v>15486</v>
      </c>
      <c r="C8491" s="2" t="s">
        <v>15487</v>
      </c>
      <c r="D8491" s="2" t="s">
        <v>47</v>
      </c>
      <c r="E8491" s="2" t="s">
        <v>1407</v>
      </c>
      <c r="F8491" s="2" t="s">
        <v>13</v>
      </c>
      <c r="G8491" s="2">
        <v>500.0</v>
      </c>
      <c r="H8491" s="3" t="str">
        <f>HYPERLINK("http://www.linkedin.com/in/trentvoigt","http://www.linkedin.com/in/trentvoigt")</f>
        <v>http://www.linkedin.com/in/trentvoigt</v>
      </c>
      <c r="I8491" s="2" t="s">
        <v>279</v>
      </c>
      <c r="J8491" s="2" t="s">
        <v>102</v>
      </c>
      <c r="K8491" s="2" t="s">
        <v>14105</v>
      </c>
    </row>
    <row r="8492" ht="15.75" customHeight="1">
      <c r="A8492" s="2">
        <v>155683.0</v>
      </c>
      <c r="B8492" s="2" t="s">
        <v>1254</v>
      </c>
      <c r="C8492" s="2" t="s">
        <v>4591</v>
      </c>
      <c r="D8492" s="2" t="s">
        <v>15488</v>
      </c>
      <c r="E8492" s="2" t="s">
        <v>101</v>
      </c>
      <c r="F8492" s="2">
        <v>0.0</v>
      </c>
      <c r="G8492" s="2">
        <v>500.0</v>
      </c>
      <c r="H8492" s="3" t="str">
        <f>HYPERLINK("http://www.linkedin.com/pub/rick-woods/8/142/473","http://www.linkedin.com/pub/rick-woods/8/142/473")</f>
        <v>http://www.linkedin.com/pub/rick-woods/8/142/473</v>
      </c>
      <c r="I8492" s="2" t="s">
        <v>48</v>
      </c>
      <c r="J8492" s="2" t="s">
        <v>102</v>
      </c>
      <c r="K8492" s="2" t="s">
        <v>14142</v>
      </c>
    </row>
    <row r="8493" ht="15.75" customHeight="1">
      <c r="A8493" s="2">
        <v>156477.0</v>
      </c>
      <c r="B8493" s="2" t="s">
        <v>1934</v>
      </c>
      <c r="C8493" s="2" t="s">
        <v>15489</v>
      </c>
      <c r="D8493" s="2" t="s">
        <v>15490</v>
      </c>
      <c r="E8493" s="2" t="s">
        <v>181</v>
      </c>
      <c r="F8493" s="2">
        <v>30.0</v>
      </c>
      <c r="G8493" s="2">
        <v>500.0</v>
      </c>
      <c r="H8493" s="3" t="str">
        <f>HYPERLINK("https://www.linkedin.com/in/kellyomara1","https://www.linkedin.com/in/kellyomara1")</f>
        <v>https://www.linkedin.com/in/kellyomara1</v>
      </c>
      <c r="I8493" s="2" t="s">
        <v>458</v>
      </c>
      <c r="J8493" s="2" t="s">
        <v>102</v>
      </c>
      <c r="K8493" s="2" t="s">
        <v>14105</v>
      </c>
    </row>
    <row r="8494" ht="15.75" customHeight="1">
      <c r="A8494" s="2">
        <v>156972.0</v>
      </c>
      <c r="B8494" s="2" t="s">
        <v>6988</v>
      </c>
      <c r="C8494" s="2" t="s">
        <v>15491</v>
      </c>
      <c r="D8494" s="2" t="s">
        <v>13</v>
      </c>
      <c r="E8494" s="2" t="s">
        <v>13454</v>
      </c>
      <c r="F8494" s="2">
        <v>5.0</v>
      </c>
      <c r="G8494" s="2">
        <v>500.0</v>
      </c>
      <c r="H8494" s="3" t="str">
        <f>HYPERLINK("http://www.linkedin.com/pub/ernesto-reza-gardu%C3%B1o/15/955/61b","http://www.linkedin.com/pub/ernesto-reza-gardu%C3%B1o/15/955/61b")</f>
        <v>http://www.linkedin.com/pub/ernesto-reza-gardu%C3%B1o/15/955/61b</v>
      </c>
      <c r="I8494" s="2" t="s">
        <v>57</v>
      </c>
      <c r="J8494" s="2" t="s">
        <v>102</v>
      </c>
      <c r="K8494" s="2" t="s">
        <v>14074</v>
      </c>
    </row>
    <row r="8495" ht="15.75" customHeight="1">
      <c r="A8495" s="2">
        <v>157587.0</v>
      </c>
      <c r="B8495" s="2" t="s">
        <v>1004</v>
      </c>
      <c r="C8495" s="2" t="s">
        <v>15492</v>
      </c>
      <c r="D8495" s="2" t="s">
        <v>410</v>
      </c>
      <c r="E8495" s="2" t="s">
        <v>2058</v>
      </c>
      <c r="F8495" s="2">
        <v>8.0</v>
      </c>
      <c r="G8495" s="2">
        <v>500.0</v>
      </c>
      <c r="H8495" s="3" t="str">
        <f>HYPERLINK("http://www.linkedin.com/pub/scott-anderholt/0/796/6B8","http://www.linkedin.com/pub/scott-anderholt/0/796/6B8")</f>
        <v>http://www.linkedin.com/pub/scott-anderholt/0/796/6B8</v>
      </c>
      <c r="I8495" s="2" t="s">
        <v>115</v>
      </c>
      <c r="J8495" s="2" t="s">
        <v>102</v>
      </c>
      <c r="K8495" s="2" t="s">
        <v>14092</v>
      </c>
    </row>
    <row r="8496" ht="15.75" customHeight="1">
      <c r="A8496" s="2">
        <v>157648.0</v>
      </c>
      <c r="B8496" s="2" t="s">
        <v>178</v>
      </c>
      <c r="C8496" s="2" t="s">
        <v>8591</v>
      </c>
      <c r="D8496" s="2" t="s">
        <v>47</v>
      </c>
      <c r="E8496" s="2" t="s">
        <v>1190</v>
      </c>
      <c r="F8496" s="2" t="s">
        <v>13</v>
      </c>
      <c r="G8496" s="2">
        <v>364.0</v>
      </c>
      <c r="H8496" s="3" t="str">
        <f>HYPERLINK("http://www.linkedin.com/pub/joe-cronin/A/313/298","http://www.linkedin.com/pub/joe-cronin/A/313/298")</f>
        <v>http://www.linkedin.com/pub/joe-cronin/A/313/298</v>
      </c>
      <c r="I8496" s="2" t="s">
        <v>105</v>
      </c>
      <c r="J8496" s="2" t="s">
        <v>102</v>
      </c>
      <c r="K8496" s="2" t="s">
        <v>14092</v>
      </c>
    </row>
    <row r="8497" ht="15.75" customHeight="1">
      <c r="A8497" s="2">
        <v>157673.0</v>
      </c>
      <c r="B8497" s="2" t="s">
        <v>1284</v>
      </c>
      <c r="C8497" s="2" t="s">
        <v>7365</v>
      </c>
      <c r="D8497" s="2" t="s">
        <v>1145</v>
      </c>
      <c r="E8497" s="2" t="s">
        <v>2454</v>
      </c>
      <c r="F8497" s="2">
        <v>144.0</v>
      </c>
      <c r="G8497" s="2">
        <v>500.0</v>
      </c>
      <c r="H8497" s="3" t="str">
        <f>HYPERLINK("http://www.linkedin.com/in/anthonygemma","http://www.linkedin.com/in/anthonygemma")</f>
        <v>http://www.linkedin.com/in/anthonygemma</v>
      </c>
      <c r="I8497" s="2" t="s">
        <v>1948</v>
      </c>
      <c r="J8497" s="2" t="s">
        <v>102</v>
      </c>
      <c r="K8497" s="2" t="s">
        <v>14074</v>
      </c>
    </row>
    <row r="8498" ht="15.75" customHeight="1">
      <c r="A8498" s="2">
        <v>157859.0</v>
      </c>
      <c r="B8498" s="2" t="s">
        <v>45</v>
      </c>
      <c r="C8498" s="2" t="s">
        <v>845</v>
      </c>
      <c r="D8498" s="2" t="s">
        <v>15493</v>
      </c>
      <c r="E8498" s="2" t="s">
        <v>255</v>
      </c>
      <c r="F8498" s="2">
        <v>17.0</v>
      </c>
      <c r="G8498" s="2">
        <v>500.0</v>
      </c>
      <c r="H8498" s="3" t="str">
        <f>HYPERLINK("http://www.linkedin.com/pub/carlos-david-pmp/0/287/893","http://www.linkedin.com/pub/carlos-david-pmp/0/287/893")</f>
        <v>http://www.linkedin.com/pub/carlos-david-pmp/0/287/893</v>
      </c>
      <c r="I8498" s="2" t="s">
        <v>15</v>
      </c>
      <c r="J8498" s="2" t="s">
        <v>102</v>
      </c>
      <c r="K8498" s="2" t="s">
        <v>14088</v>
      </c>
    </row>
    <row r="8499" ht="15.75" customHeight="1">
      <c r="A8499" s="2">
        <v>158755.0</v>
      </c>
      <c r="B8499" s="2" t="s">
        <v>1185</v>
      </c>
      <c r="C8499" s="2" t="s">
        <v>15494</v>
      </c>
      <c r="D8499" s="2" t="s">
        <v>15495</v>
      </c>
      <c r="E8499" s="2" t="s">
        <v>1407</v>
      </c>
      <c r="F8499" s="2">
        <v>15.0</v>
      </c>
      <c r="G8499" s="2">
        <v>500.0</v>
      </c>
      <c r="H8499" s="3" t="str">
        <f>HYPERLINK("http://www.linkedin.com/pub/xavier-alegria/4/85B/608","http://www.linkedin.com/pub/xavier-alegria/4/85B/608")</f>
        <v>http://www.linkedin.com/pub/xavier-alegria/4/85B/608</v>
      </c>
      <c r="I8499" s="2" t="s">
        <v>69</v>
      </c>
      <c r="J8499" s="2" t="s">
        <v>102</v>
      </c>
      <c r="K8499" s="2" t="s">
        <v>14057</v>
      </c>
    </row>
    <row r="8500" ht="15.75" customHeight="1">
      <c r="A8500" s="2">
        <v>158924.0</v>
      </c>
      <c r="B8500" s="2" t="s">
        <v>1375</v>
      </c>
      <c r="C8500" s="2" t="s">
        <v>15382</v>
      </c>
      <c r="D8500" s="2" t="s">
        <v>13</v>
      </c>
      <c r="E8500" s="2" t="s">
        <v>136</v>
      </c>
      <c r="F8500" s="2">
        <v>2.0</v>
      </c>
      <c r="G8500" s="2">
        <v>500.0</v>
      </c>
      <c r="H8500" s="3" t="str">
        <f>HYPERLINK("http://www.linkedin.com/in/khannasuresh","http://www.linkedin.com/in/khannasuresh")</f>
        <v>http://www.linkedin.com/in/khannasuresh</v>
      </c>
      <c r="I8500" s="2" t="s">
        <v>69</v>
      </c>
      <c r="J8500" s="2" t="s">
        <v>102</v>
      </c>
      <c r="K8500" s="2" t="s">
        <v>14078</v>
      </c>
    </row>
    <row r="8501" ht="15.75" customHeight="1">
      <c r="A8501" s="2">
        <v>158980.0</v>
      </c>
      <c r="B8501" s="2" t="s">
        <v>15496</v>
      </c>
      <c r="C8501" s="2" t="s">
        <v>3842</v>
      </c>
      <c r="D8501" s="2" t="s">
        <v>47</v>
      </c>
      <c r="E8501" s="2" t="s">
        <v>136</v>
      </c>
      <c r="F8501" s="2">
        <v>19.0</v>
      </c>
      <c r="G8501" s="2">
        <v>500.0</v>
      </c>
      <c r="H8501" s="3" t="str">
        <f>HYPERLINK("http://www.linkedin.com/in/auren","http://www.linkedin.com/in/auren")</f>
        <v>http://www.linkedin.com/in/auren</v>
      </c>
      <c r="I8501" s="2" t="s">
        <v>105</v>
      </c>
      <c r="J8501" s="2" t="s">
        <v>102</v>
      </c>
      <c r="K8501" s="2" t="s">
        <v>14074</v>
      </c>
    </row>
    <row r="8502" ht="15.75" customHeight="1">
      <c r="A8502" s="2">
        <v>158981.0</v>
      </c>
      <c r="B8502" s="2" t="s">
        <v>993</v>
      </c>
      <c r="C8502" s="2" t="s">
        <v>15497</v>
      </c>
      <c r="D8502" s="2" t="s">
        <v>15498</v>
      </c>
      <c r="E8502" s="2" t="s">
        <v>136</v>
      </c>
      <c r="F8502" s="2">
        <v>7.0</v>
      </c>
      <c r="G8502" s="2">
        <v>500.0</v>
      </c>
      <c r="H8502" s="3" t="str">
        <f>HYPERLINK("http://www.linkedin.com/in/jonchun","http://www.linkedin.com/in/jonchun")</f>
        <v>http://www.linkedin.com/in/jonchun</v>
      </c>
      <c r="I8502" s="2" t="s">
        <v>69</v>
      </c>
      <c r="J8502" s="2" t="s">
        <v>102</v>
      </c>
      <c r="K8502" s="2" t="s">
        <v>14078</v>
      </c>
    </row>
    <row r="8503" ht="15.75" customHeight="1">
      <c r="A8503" s="2">
        <v>158989.0</v>
      </c>
      <c r="B8503" s="2" t="s">
        <v>157</v>
      </c>
      <c r="C8503" s="2" t="s">
        <v>15499</v>
      </c>
      <c r="D8503" s="2" t="s">
        <v>309</v>
      </c>
      <c r="E8503" s="2" t="s">
        <v>136</v>
      </c>
      <c r="F8503" s="2">
        <v>18.0</v>
      </c>
      <c r="G8503" s="2">
        <v>500.0</v>
      </c>
      <c r="H8503" s="3" t="str">
        <f>HYPERLINK("http://www.linkedin.com/in/jonathanabrams","http://www.linkedin.com/in/jonathanabrams")</f>
        <v>http://www.linkedin.com/in/jonathanabrams</v>
      </c>
      <c r="I8503" s="2" t="s">
        <v>69</v>
      </c>
      <c r="J8503" s="2" t="s">
        <v>102</v>
      </c>
      <c r="K8503" s="2" t="s">
        <v>14071</v>
      </c>
    </row>
    <row r="8504" ht="15.75" customHeight="1">
      <c r="A8504" s="2">
        <v>159006.0</v>
      </c>
      <c r="B8504" s="2" t="s">
        <v>625</v>
      </c>
      <c r="C8504" s="2" t="s">
        <v>12025</v>
      </c>
      <c r="D8504" s="2" t="s">
        <v>15500</v>
      </c>
      <c r="E8504" s="2" t="s">
        <v>989</v>
      </c>
      <c r="F8504" s="2">
        <v>8.0</v>
      </c>
      <c r="G8504" s="2">
        <v>500.0</v>
      </c>
      <c r="H8504" s="3" t="str">
        <f>HYPERLINK("http://www.linkedin.com/in/electronicart","http://www.linkedin.com/in/electronicart")</f>
        <v>http://www.linkedin.com/in/electronicart</v>
      </c>
      <c r="I8504" s="2" t="s">
        <v>15</v>
      </c>
      <c r="J8504" s="2" t="s">
        <v>102</v>
      </c>
      <c r="K8504" s="2" t="s">
        <v>14071</v>
      </c>
    </row>
    <row r="8505" ht="15.75" customHeight="1">
      <c r="A8505" s="2">
        <v>159011.0</v>
      </c>
      <c r="B8505" s="2" t="s">
        <v>423</v>
      </c>
      <c r="C8505" s="2" t="s">
        <v>15501</v>
      </c>
      <c r="D8505" s="2" t="s">
        <v>15502</v>
      </c>
      <c r="E8505" s="2" t="s">
        <v>713</v>
      </c>
      <c r="F8505" s="2" t="s">
        <v>13</v>
      </c>
      <c r="G8505" s="2">
        <v>500.0</v>
      </c>
      <c r="H8505" s="3" t="str">
        <f>HYPERLINK("http://www.linkedin.com/pub/carolina-vallucci/0/40/85A","http://www.linkedin.com/pub/carolina-vallucci/0/40/85A")</f>
        <v>http://www.linkedin.com/pub/carolina-vallucci/0/40/85A</v>
      </c>
      <c r="I8505" s="2" t="s">
        <v>374</v>
      </c>
      <c r="J8505" s="2" t="s">
        <v>102</v>
      </c>
      <c r="K8505" s="2" t="s">
        <v>14092</v>
      </c>
    </row>
    <row r="8506" ht="15.75" customHeight="1">
      <c r="A8506" s="2">
        <v>159015.0</v>
      </c>
      <c r="B8506" s="2" t="s">
        <v>275</v>
      </c>
      <c r="C8506" s="2" t="s">
        <v>15503</v>
      </c>
      <c r="D8506" s="2" t="s">
        <v>13</v>
      </c>
      <c r="E8506" s="2" t="s">
        <v>914</v>
      </c>
      <c r="F8506" s="2">
        <v>0.0</v>
      </c>
      <c r="G8506" s="2">
        <v>500.0</v>
      </c>
      <c r="H8506" s="3" t="str">
        <f>HYPERLINK("http://www.linkedin.com/in/markbauer","http://www.linkedin.com/in/markbauer")</f>
        <v>http://www.linkedin.com/in/markbauer</v>
      </c>
      <c r="I8506" s="2" t="s">
        <v>15</v>
      </c>
      <c r="J8506" s="2" t="s">
        <v>102</v>
      </c>
      <c r="K8506" s="2" t="s">
        <v>14204</v>
      </c>
    </row>
    <row r="8507" ht="15.75" customHeight="1">
      <c r="A8507" s="2">
        <v>159017.0</v>
      </c>
      <c r="B8507" s="2" t="s">
        <v>721</v>
      </c>
      <c r="C8507" s="2" t="s">
        <v>2095</v>
      </c>
      <c r="D8507" s="2" t="s">
        <v>15504</v>
      </c>
      <c r="E8507" s="2" t="s">
        <v>136</v>
      </c>
      <c r="F8507" s="2">
        <v>0.0</v>
      </c>
      <c r="G8507" s="2">
        <v>474.0</v>
      </c>
      <c r="H8507" s="3" t="str">
        <f>HYPERLINK("http://www.linkedin.com/in/areid5","http://www.linkedin.com/in/areid5")</f>
        <v>http://www.linkedin.com/in/areid5</v>
      </c>
      <c r="I8507" s="2" t="s">
        <v>48</v>
      </c>
      <c r="J8507" s="2" t="s">
        <v>102</v>
      </c>
      <c r="K8507" s="2" t="s">
        <v>14088</v>
      </c>
    </row>
    <row r="8508" ht="15.75" customHeight="1">
      <c r="A8508" s="2">
        <v>159020.0</v>
      </c>
      <c r="B8508" s="2" t="s">
        <v>1868</v>
      </c>
      <c r="C8508" s="2" t="s">
        <v>15505</v>
      </c>
      <c r="D8508" s="2" t="s">
        <v>114</v>
      </c>
      <c r="E8508" s="2" t="s">
        <v>325</v>
      </c>
      <c r="F8508" s="2">
        <v>1.0</v>
      </c>
      <c r="G8508" s="2">
        <v>500.0</v>
      </c>
      <c r="H8508" s="3" t="str">
        <f>HYPERLINK("http://www.linkedin.com/in/jackbourque123acquiretalent","http://www.linkedin.com/in/jackbourque123acquiretalent")</f>
        <v>http://www.linkedin.com/in/jackbourque123acquiretalent</v>
      </c>
      <c r="I8508" s="2" t="s">
        <v>248</v>
      </c>
      <c r="J8508" s="2" t="s">
        <v>102</v>
      </c>
      <c r="K8508" s="2" t="s">
        <v>14140</v>
      </c>
    </row>
    <row r="8509" ht="15.75" customHeight="1">
      <c r="A8509" s="2">
        <v>159029.0</v>
      </c>
      <c r="B8509" s="2" t="s">
        <v>1593</v>
      </c>
      <c r="C8509" s="2" t="s">
        <v>15506</v>
      </c>
      <c r="D8509" s="2" t="s">
        <v>114</v>
      </c>
      <c r="E8509" s="2" t="s">
        <v>136</v>
      </c>
      <c r="F8509" s="2" t="s">
        <v>13</v>
      </c>
      <c r="G8509" s="2">
        <v>150.0</v>
      </c>
      <c r="H8509" s="3" t="str">
        <f>HYPERLINK("http://www.linkedin.com/in/adamcrigger","http://www.linkedin.com/in/adamcrigger")</f>
        <v>http://www.linkedin.com/in/adamcrigger</v>
      </c>
      <c r="I8509" s="2" t="s">
        <v>15</v>
      </c>
      <c r="J8509" s="2" t="s">
        <v>102</v>
      </c>
      <c r="K8509" s="2" t="s">
        <v>14088</v>
      </c>
    </row>
    <row r="8510" ht="15.75" customHeight="1">
      <c r="A8510" s="2">
        <v>159088.0</v>
      </c>
      <c r="B8510" s="2" t="s">
        <v>839</v>
      </c>
      <c r="C8510" s="2" t="s">
        <v>15507</v>
      </c>
      <c r="D8510" s="2" t="s">
        <v>15508</v>
      </c>
      <c r="E8510" s="2" t="s">
        <v>136</v>
      </c>
      <c r="F8510" s="2">
        <v>10.0</v>
      </c>
      <c r="G8510" s="2">
        <v>500.0</v>
      </c>
      <c r="H8510" s="3" t="str">
        <f>HYPERLINK("http://www.linkedin.com/in/dnielsen","http://www.linkedin.com/in/dnielsen")</f>
        <v>http://www.linkedin.com/in/dnielsen</v>
      </c>
      <c r="I8510" s="2" t="s">
        <v>15</v>
      </c>
      <c r="J8510" s="2" t="s">
        <v>102</v>
      </c>
      <c r="K8510" s="2" t="s">
        <v>14078</v>
      </c>
    </row>
    <row r="8511" ht="15.75" customHeight="1">
      <c r="A8511" s="2">
        <v>159089.0</v>
      </c>
      <c r="B8511" s="2" t="s">
        <v>631</v>
      </c>
      <c r="C8511" s="2" t="s">
        <v>15509</v>
      </c>
      <c r="D8511" s="2" t="s">
        <v>47</v>
      </c>
      <c r="E8511" s="2" t="s">
        <v>101</v>
      </c>
      <c r="F8511" s="2">
        <v>4.0</v>
      </c>
      <c r="G8511" s="2">
        <v>500.0</v>
      </c>
      <c r="H8511" s="3" t="str">
        <f>HYPERLINK("http://www.linkedin.com/pub/chris-klaus/0/52/646","http://www.linkedin.com/pub/chris-klaus/0/52/646")</f>
        <v>http://www.linkedin.com/pub/chris-klaus/0/52/646</v>
      </c>
      <c r="I8511" s="2" t="s">
        <v>143</v>
      </c>
      <c r="J8511" s="2" t="s">
        <v>102</v>
      </c>
      <c r="K8511" s="2" t="s">
        <v>14073</v>
      </c>
    </row>
    <row r="8512" ht="15.75" customHeight="1">
      <c r="A8512" s="2">
        <v>159181.0</v>
      </c>
      <c r="B8512" s="2" t="s">
        <v>133</v>
      </c>
      <c r="C8512" s="2" t="s">
        <v>15510</v>
      </c>
      <c r="D8512" s="2" t="s">
        <v>47</v>
      </c>
      <c r="E8512" s="2" t="s">
        <v>136</v>
      </c>
      <c r="F8512" s="2">
        <v>45.0</v>
      </c>
      <c r="G8512" s="2">
        <v>500.0</v>
      </c>
      <c r="H8512" s="3" t="str">
        <f>HYPERLINK("http://www.linkedin.com/in/michaelraneri","http://www.linkedin.com/in/michaelraneri")</f>
        <v>http://www.linkedin.com/in/michaelraneri</v>
      </c>
      <c r="I8512" s="2" t="s">
        <v>279</v>
      </c>
      <c r="J8512" s="2" t="s">
        <v>102</v>
      </c>
      <c r="K8512" s="2" t="s">
        <v>14055</v>
      </c>
    </row>
    <row r="8513" ht="15.75" customHeight="1">
      <c r="A8513" s="2">
        <v>159194.0</v>
      </c>
      <c r="B8513" s="2" t="s">
        <v>460</v>
      </c>
      <c r="C8513" s="2" t="s">
        <v>15511</v>
      </c>
      <c r="D8513" s="2" t="s">
        <v>11051</v>
      </c>
      <c r="E8513" s="2" t="s">
        <v>4951</v>
      </c>
      <c r="F8513" s="2">
        <v>4.0</v>
      </c>
      <c r="G8513" s="2">
        <v>500.0</v>
      </c>
      <c r="H8513" s="3" t="str">
        <f>HYPERLINK("http://www.linkedin.com/in/johnmmccalla","http://www.linkedin.com/in/johnmmccalla")</f>
        <v>http://www.linkedin.com/in/johnmmccalla</v>
      </c>
      <c r="I8513" s="2" t="s">
        <v>446</v>
      </c>
      <c r="J8513" s="2" t="s">
        <v>102</v>
      </c>
      <c r="K8513" s="2" t="s">
        <v>14211</v>
      </c>
    </row>
    <row r="8514" ht="15.75" customHeight="1">
      <c r="A8514" s="2">
        <v>159219.0</v>
      </c>
      <c r="B8514" s="2" t="s">
        <v>1610</v>
      </c>
      <c r="C8514" s="2" t="s">
        <v>15512</v>
      </c>
      <c r="D8514" s="2" t="s">
        <v>100</v>
      </c>
      <c r="E8514" s="2" t="s">
        <v>136</v>
      </c>
      <c r="F8514" s="2">
        <v>8.0</v>
      </c>
      <c r="G8514" s="2">
        <v>500.0</v>
      </c>
      <c r="H8514" s="3" t="str">
        <f>HYPERLINK("http://www.linkedin.com/in/mosesma","http://www.linkedin.com/in/mosesma")</f>
        <v>http://www.linkedin.com/in/mosesma</v>
      </c>
      <c r="I8514" s="2" t="s">
        <v>15</v>
      </c>
      <c r="J8514" s="2" t="s">
        <v>102</v>
      </c>
      <c r="K8514" s="2" t="s">
        <v>14204</v>
      </c>
    </row>
    <row r="8515" ht="15.75" customHeight="1">
      <c r="A8515" s="2">
        <v>159221.0</v>
      </c>
      <c r="B8515" s="2" t="s">
        <v>1364</v>
      </c>
      <c r="C8515" s="2" t="s">
        <v>15513</v>
      </c>
      <c r="D8515" s="2" t="s">
        <v>114</v>
      </c>
      <c r="E8515" s="2" t="s">
        <v>136</v>
      </c>
      <c r="F8515" s="2">
        <v>39.0</v>
      </c>
      <c r="G8515" s="2">
        <v>500.0</v>
      </c>
      <c r="H8515" s="3" t="str">
        <f>HYPERLINK("http://www.linkedin.com/pub/dennis-omanoff/0/76/40A","http://www.linkedin.com/pub/dennis-omanoff/0/76/40A")</f>
        <v>http://www.linkedin.com/pub/dennis-omanoff/0/76/40A</v>
      </c>
      <c r="I8515" s="2" t="s">
        <v>119</v>
      </c>
      <c r="J8515" s="2" t="s">
        <v>102</v>
      </c>
      <c r="K8515" s="2" t="s">
        <v>14105</v>
      </c>
    </row>
    <row r="8516" ht="15.75" customHeight="1">
      <c r="A8516" s="2">
        <v>159227.0</v>
      </c>
      <c r="B8516" s="2" t="s">
        <v>1015</v>
      </c>
      <c r="C8516" s="2" t="s">
        <v>15514</v>
      </c>
      <c r="D8516" s="2" t="s">
        <v>517</v>
      </c>
      <c r="E8516" s="2" t="s">
        <v>762</v>
      </c>
      <c r="F8516" s="2">
        <v>42.0</v>
      </c>
      <c r="G8516" s="2">
        <v>500.0</v>
      </c>
      <c r="H8516" s="3" t="str">
        <f>HYPERLINK("http://www.linkedin.com/in/brianmcclure","http://www.linkedin.com/in/brianmcclure")</f>
        <v>http://www.linkedin.com/in/brianmcclure</v>
      </c>
      <c r="I8516" s="2" t="s">
        <v>696</v>
      </c>
      <c r="J8516" s="2" t="s">
        <v>102</v>
      </c>
      <c r="K8516" s="2" t="s">
        <v>14092</v>
      </c>
    </row>
    <row r="8517" ht="15.75" customHeight="1">
      <c r="A8517" s="2">
        <v>159230.0</v>
      </c>
      <c r="B8517" s="2" t="s">
        <v>2752</v>
      </c>
      <c r="C8517" s="2" t="s">
        <v>15515</v>
      </c>
      <c r="D8517" s="2" t="s">
        <v>13</v>
      </c>
      <c r="E8517" s="2" t="s">
        <v>713</v>
      </c>
      <c r="F8517" s="2">
        <v>0.0</v>
      </c>
      <c r="G8517" s="2">
        <v>500.0</v>
      </c>
      <c r="H8517" s="3" t="str">
        <f>HYPERLINK("http://www.linkedin.com/in/craigprimiani","http://www.linkedin.com/in/craigprimiani")</f>
        <v>http://www.linkedin.com/in/craigprimiani</v>
      </c>
      <c r="I8517" s="2" t="s">
        <v>2419</v>
      </c>
      <c r="J8517" s="2" t="s">
        <v>102</v>
      </c>
      <c r="K8517" s="2" t="s">
        <v>14197</v>
      </c>
    </row>
    <row r="8518" ht="15.75" customHeight="1">
      <c r="A8518" s="2">
        <v>159242.0</v>
      </c>
      <c r="B8518" s="2" t="s">
        <v>302</v>
      </c>
      <c r="C8518" s="2" t="s">
        <v>1153</v>
      </c>
      <c r="D8518" s="2" t="s">
        <v>2705</v>
      </c>
      <c r="E8518" s="2" t="s">
        <v>136</v>
      </c>
      <c r="F8518" s="2">
        <v>7.0</v>
      </c>
      <c r="G8518" s="2">
        <v>500.0</v>
      </c>
      <c r="H8518" s="3" t="str">
        <f>HYPERLINK("http://www.linkedin.com/in/influencecommunications","http://www.linkedin.com/in/influencecommunications")</f>
        <v>http://www.linkedin.com/in/influencecommunications</v>
      </c>
      <c r="I8518" s="2" t="s">
        <v>2936</v>
      </c>
      <c r="J8518" s="2" t="s">
        <v>102</v>
      </c>
      <c r="K8518" s="2" t="s">
        <v>14055</v>
      </c>
    </row>
    <row r="8519" ht="15.75" customHeight="1">
      <c r="A8519" s="2">
        <v>159251.0</v>
      </c>
      <c r="B8519" s="2" t="s">
        <v>15516</v>
      </c>
      <c r="C8519" s="2" t="s">
        <v>15517</v>
      </c>
      <c r="D8519" s="2" t="s">
        <v>15518</v>
      </c>
      <c r="E8519" s="2" t="s">
        <v>301</v>
      </c>
      <c r="F8519" s="2" t="s">
        <v>13</v>
      </c>
      <c r="G8519" s="2">
        <v>500.0</v>
      </c>
      <c r="H8519" s="3" t="str">
        <f>HYPERLINK("http://www.linkedin.com/in/rodgerdesai","http://www.linkedin.com/in/rodgerdesai")</f>
        <v>http://www.linkedin.com/in/rodgerdesai</v>
      </c>
      <c r="I8519" s="2" t="s">
        <v>69</v>
      </c>
      <c r="J8519" s="2" t="s">
        <v>102</v>
      </c>
      <c r="K8519" s="2" t="s">
        <v>14460</v>
      </c>
    </row>
    <row r="8520" ht="15.75" customHeight="1">
      <c r="A8520" s="2">
        <v>159275.0</v>
      </c>
      <c r="B8520" s="2" t="s">
        <v>15519</v>
      </c>
      <c r="C8520" s="2" t="s">
        <v>3655</v>
      </c>
      <c r="D8520" s="2" t="s">
        <v>3136</v>
      </c>
      <c r="E8520" s="2" t="s">
        <v>235</v>
      </c>
      <c r="F8520" s="2">
        <v>31.0</v>
      </c>
      <c r="G8520" s="2">
        <v>500.0</v>
      </c>
      <c r="H8520" s="3" t="str">
        <f>HYPERLINK("http://www.linkedin.com/in/shiraharrington","http://www.linkedin.com/in/shiraharrington")</f>
        <v>http://www.linkedin.com/in/shiraharrington</v>
      </c>
      <c r="I8520" s="2" t="s">
        <v>248</v>
      </c>
      <c r="J8520" s="2" t="s">
        <v>102</v>
      </c>
      <c r="K8520" s="2" t="s">
        <v>14115</v>
      </c>
    </row>
    <row r="8521" ht="15.75" customHeight="1">
      <c r="A8521" s="2">
        <v>159298.0</v>
      </c>
      <c r="B8521" s="2" t="s">
        <v>1366</v>
      </c>
      <c r="C8521" s="2" t="s">
        <v>15520</v>
      </c>
      <c r="D8521" s="2" t="s">
        <v>1320</v>
      </c>
      <c r="E8521" s="2" t="s">
        <v>136</v>
      </c>
      <c r="F8521" s="2">
        <v>46.0</v>
      </c>
      <c r="G8521" s="2">
        <v>500.0</v>
      </c>
      <c r="H8521" s="3" t="str">
        <f>HYPERLINK("http://www.linkedin.com/in/petermerguerian","http://www.linkedin.com/in/petermerguerian")</f>
        <v>http://www.linkedin.com/in/petermerguerian</v>
      </c>
      <c r="I8521" s="2" t="s">
        <v>77</v>
      </c>
      <c r="J8521" s="2" t="s">
        <v>102</v>
      </c>
      <c r="K8521" s="2" t="s">
        <v>14422</v>
      </c>
    </row>
    <row r="8522" ht="15.75" customHeight="1">
      <c r="A8522" s="2">
        <v>159305.0</v>
      </c>
      <c r="B8522" s="2" t="s">
        <v>1932</v>
      </c>
      <c r="C8522" s="2" t="s">
        <v>15521</v>
      </c>
      <c r="D8522" s="2" t="s">
        <v>15522</v>
      </c>
      <c r="E8522" s="2" t="s">
        <v>136</v>
      </c>
      <c r="F8522" s="2">
        <v>15.0</v>
      </c>
      <c r="G8522" s="2">
        <v>500.0</v>
      </c>
      <c r="H8522" s="3" t="str">
        <f>HYPERLINK("http://www.linkedin.com/in/michelleherman","http://www.linkedin.com/in/michelleherman")</f>
        <v>http://www.linkedin.com/in/michelleherman</v>
      </c>
      <c r="I8522" s="2" t="s">
        <v>48</v>
      </c>
      <c r="J8522" s="2" t="s">
        <v>102</v>
      </c>
      <c r="K8522" s="2" t="s">
        <v>14080</v>
      </c>
    </row>
    <row r="8523" ht="15.75" customHeight="1">
      <c r="A8523" s="2">
        <v>159332.0</v>
      </c>
      <c r="B8523" s="2" t="s">
        <v>107</v>
      </c>
      <c r="C8523" s="2" t="s">
        <v>15523</v>
      </c>
      <c r="D8523" s="2" t="s">
        <v>309</v>
      </c>
      <c r="E8523" s="2" t="s">
        <v>301</v>
      </c>
      <c r="F8523" s="2">
        <v>1.0</v>
      </c>
      <c r="G8523" s="2">
        <v>500.0</v>
      </c>
      <c r="H8523" s="3" t="str">
        <f>HYPERLINK("http://www.linkedin.com/in/avneron","http://www.linkedin.com/in/avneron")</f>
        <v>http://www.linkedin.com/in/avneron</v>
      </c>
      <c r="I8523" s="2" t="s">
        <v>1452</v>
      </c>
      <c r="J8523" s="2" t="s">
        <v>102</v>
      </c>
      <c r="K8523" s="2" t="s">
        <v>14115</v>
      </c>
    </row>
    <row r="8524" ht="15.75" customHeight="1">
      <c r="A8524" s="2">
        <v>159341.0</v>
      </c>
      <c r="B8524" s="2" t="s">
        <v>947</v>
      </c>
      <c r="C8524" s="2" t="s">
        <v>15524</v>
      </c>
      <c r="D8524" s="2" t="s">
        <v>47</v>
      </c>
      <c r="E8524" s="2" t="s">
        <v>136</v>
      </c>
      <c r="F8524" s="2" t="s">
        <v>13</v>
      </c>
      <c r="G8524" s="2">
        <v>500.0</v>
      </c>
      <c r="H8524" s="3" t="str">
        <f>HYPERLINK("http://www.linkedin.com/pub/glenn-gow/0/20/720","http://www.linkedin.com/pub/glenn-gow/0/20/720")</f>
        <v>http://www.linkedin.com/pub/glenn-gow/0/20/720</v>
      </c>
      <c r="I8524" s="2" t="s">
        <v>105</v>
      </c>
      <c r="J8524" s="2" t="s">
        <v>102</v>
      </c>
      <c r="K8524" s="2" t="s">
        <v>14055</v>
      </c>
    </row>
    <row r="8525" ht="15.75" customHeight="1">
      <c r="A8525" s="2">
        <v>159350.0</v>
      </c>
      <c r="B8525" s="2" t="s">
        <v>1497</v>
      </c>
      <c r="C8525" s="2" t="s">
        <v>2006</v>
      </c>
      <c r="D8525" s="2" t="s">
        <v>47</v>
      </c>
      <c r="E8525" s="2" t="s">
        <v>136</v>
      </c>
      <c r="F8525" s="2">
        <v>1.0</v>
      </c>
      <c r="G8525" s="2">
        <v>500.0</v>
      </c>
      <c r="H8525" s="3" t="str">
        <f>HYPERLINK("http://www.linkedin.com/in/roygilbert","http://www.linkedin.com/in/roygilbert")</f>
        <v>http://www.linkedin.com/in/roygilbert</v>
      </c>
      <c r="I8525" s="2" t="s">
        <v>69</v>
      </c>
      <c r="J8525" s="2" t="s">
        <v>102</v>
      </c>
      <c r="K8525" s="2" t="s">
        <v>14460</v>
      </c>
    </row>
    <row r="8526" ht="15.75" customHeight="1">
      <c r="A8526" s="2">
        <v>159398.0</v>
      </c>
      <c r="B8526" s="2" t="s">
        <v>133</v>
      </c>
      <c r="C8526" s="2" t="s">
        <v>12006</v>
      </c>
      <c r="D8526" s="2" t="s">
        <v>15525</v>
      </c>
      <c r="E8526" s="2" t="s">
        <v>136</v>
      </c>
      <c r="F8526" s="2">
        <v>11.0</v>
      </c>
      <c r="G8526" s="2">
        <v>500.0</v>
      </c>
      <c r="H8526" s="3" t="str">
        <f>HYPERLINK("http://www.linkedin.com/pub/michael-yang/0/A/ABB","http://www.linkedin.com/pub/michael-yang/0/A/ABB")</f>
        <v>http://www.linkedin.com/pub/michael-yang/0/A/ABB</v>
      </c>
      <c r="I8526" s="2" t="s">
        <v>69</v>
      </c>
      <c r="J8526" s="2" t="s">
        <v>102</v>
      </c>
      <c r="K8526" s="2" t="s">
        <v>14088</v>
      </c>
    </row>
    <row r="8527" ht="15.75" customHeight="1">
      <c r="A8527" s="2">
        <v>159452.0</v>
      </c>
      <c r="B8527" s="2" t="s">
        <v>1475</v>
      </c>
      <c r="C8527" s="2" t="s">
        <v>15526</v>
      </c>
      <c r="D8527" s="2" t="s">
        <v>1620</v>
      </c>
      <c r="E8527" s="2" t="s">
        <v>136</v>
      </c>
      <c r="F8527" s="2">
        <v>1.0</v>
      </c>
      <c r="G8527" s="2">
        <v>500.0</v>
      </c>
      <c r="H8527" s="3" t="str">
        <f>HYPERLINK("http://www.linkedin.com/in/lisagansky","http://www.linkedin.com/in/lisagansky")</f>
        <v>http://www.linkedin.com/in/lisagansky</v>
      </c>
      <c r="I8527" s="2" t="s">
        <v>69</v>
      </c>
      <c r="J8527" s="2" t="s">
        <v>102</v>
      </c>
      <c r="K8527" s="2" t="s">
        <v>14092</v>
      </c>
    </row>
    <row r="8528" ht="15.75" customHeight="1">
      <c r="A8528" s="2">
        <v>159453.0</v>
      </c>
      <c r="B8528" s="2" t="s">
        <v>211</v>
      </c>
      <c r="C8528" s="2" t="s">
        <v>1610</v>
      </c>
      <c r="D8528" s="2" t="s">
        <v>2802</v>
      </c>
      <c r="E8528" s="2" t="s">
        <v>2058</v>
      </c>
      <c r="F8528" s="2">
        <v>15.0</v>
      </c>
      <c r="G8528" s="2">
        <v>500.0</v>
      </c>
      <c r="H8528" s="3" t="str">
        <f>HYPERLINK("http://www.linkedin.com/in/susanmoses","http://www.linkedin.com/in/susanmoses")</f>
        <v>http://www.linkedin.com/in/susanmoses</v>
      </c>
      <c r="I8528" s="2" t="s">
        <v>2081</v>
      </c>
      <c r="J8528" s="2" t="s">
        <v>102</v>
      </c>
      <c r="K8528" s="2" t="s">
        <v>14105</v>
      </c>
    </row>
    <row r="8529" ht="15.75" customHeight="1">
      <c r="A8529" s="2">
        <v>159489.0</v>
      </c>
      <c r="B8529" s="2" t="s">
        <v>15527</v>
      </c>
      <c r="C8529" s="2" t="s">
        <v>15528</v>
      </c>
      <c r="D8529" s="2" t="s">
        <v>15529</v>
      </c>
      <c r="E8529" s="2" t="s">
        <v>301</v>
      </c>
      <c r="F8529" s="2">
        <v>1.0</v>
      </c>
      <c r="G8529" s="2">
        <v>500.0</v>
      </c>
      <c r="H8529" s="3" t="str">
        <f>HYPERLINK("http://www.linkedin.com/in/oritkeren","http://www.linkedin.com/in/oritkeren")</f>
        <v>http://www.linkedin.com/in/oritkeren</v>
      </c>
      <c r="I8529" s="2" t="s">
        <v>1421</v>
      </c>
      <c r="J8529" s="2" t="s">
        <v>102</v>
      </c>
      <c r="K8529" s="2" t="s">
        <v>14055</v>
      </c>
    </row>
    <row r="8530" ht="15.75" customHeight="1">
      <c r="A8530" s="2">
        <v>159512.0</v>
      </c>
      <c r="B8530" s="2" t="s">
        <v>1767</v>
      </c>
      <c r="C8530" s="2" t="s">
        <v>15530</v>
      </c>
      <c r="D8530" s="2" t="s">
        <v>42</v>
      </c>
      <c r="E8530" s="2" t="s">
        <v>914</v>
      </c>
      <c r="F8530" s="2">
        <v>2.0</v>
      </c>
      <c r="G8530" s="2">
        <v>199.0</v>
      </c>
      <c r="H8530" s="3" t="str">
        <f>HYPERLINK("http://www.linkedin.com/in/ethauvin","http://www.linkedin.com/in/ethauvin")</f>
        <v>http://www.linkedin.com/in/ethauvin</v>
      </c>
      <c r="I8530" s="2" t="s">
        <v>69</v>
      </c>
      <c r="J8530" s="2" t="s">
        <v>102</v>
      </c>
      <c r="K8530" s="2" t="s">
        <v>14105</v>
      </c>
    </row>
    <row r="8531" ht="15.75" customHeight="1">
      <c r="A8531" s="2">
        <v>159534.0</v>
      </c>
      <c r="B8531" s="2" t="s">
        <v>11227</v>
      </c>
      <c r="C8531" s="2" t="s">
        <v>15531</v>
      </c>
      <c r="D8531" s="2" t="s">
        <v>15532</v>
      </c>
      <c r="E8531" s="2" t="s">
        <v>914</v>
      </c>
      <c r="F8531" s="2">
        <v>5.0</v>
      </c>
      <c r="G8531" s="2">
        <v>500.0</v>
      </c>
      <c r="H8531" s="3" t="str">
        <f>HYPERLINK("http://www.linkedin.com/in/elliotsolomon","http://www.linkedin.com/in/elliotsolomon")</f>
        <v>http://www.linkedin.com/in/elliotsolomon</v>
      </c>
      <c r="I8531" s="2" t="s">
        <v>143</v>
      </c>
      <c r="J8531" s="2" t="s">
        <v>102</v>
      </c>
      <c r="K8531" s="2" t="s">
        <v>14095</v>
      </c>
    </row>
    <row r="8532" ht="15.75" customHeight="1">
      <c r="A8532" s="2">
        <v>159542.0</v>
      </c>
      <c r="B8532" s="2" t="s">
        <v>631</v>
      </c>
      <c r="C8532" s="2" t="s">
        <v>15533</v>
      </c>
      <c r="D8532" s="2" t="s">
        <v>42</v>
      </c>
      <c r="E8532" s="2" t="s">
        <v>914</v>
      </c>
      <c r="F8532" s="2">
        <v>9.0</v>
      </c>
      <c r="G8532" s="2">
        <v>500.0</v>
      </c>
      <c r="H8532" s="3" t="str">
        <f>HYPERLINK("http://www.linkedin.com/in/chrispirillo","http://www.linkedin.com/in/chrispirillo")</f>
        <v>http://www.linkedin.com/in/chrispirillo</v>
      </c>
      <c r="I8532" s="2" t="s">
        <v>69</v>
      </c>
      <c r="J8532" s="2" t="s">
        <v>102</v>
      </c>
      <c r="K8532" s="2" t="s">
        <v>14105</v>
      </c>
    </row>
    <row r="8533" ht="15.75" customHeight="1">
      <c r="A8533" s="2">
        <v>159629.0</v>
      </c>
      <c r="B8533" s="2" t="s">
        <v>15534</v>
      </c>
      <c r="C8533" s="2" t="s">
        <v>4367</v>
      </c>
      <c r="D8533" s="2" t="s">
        <v>13</v>
      </c>
      <c r="E8533" s="2" t="s">
        <v>136</v>
      </c>
      <c r="F8533" s="2">
        <v>5.0</v>
      </c>
      <c r="G8533" s="2">
        <v>500.0</v>
      </c>
      <c r="H8533" s="3" t="str">
        <f>HYPERLINK("http://www.linkedin.com/in/maymitchell","http://www.linkedin.com/in/maymitchell")</f>
        <v>http://www.linkedin.com/in/maymitchell</v>
      </c>
      <c r="I8533" s="2" t="s">
        <v>160</v>
      </c>
      <c r="J8533" s="2" t="s">
        <v>102</v>
      </c>
      <c r="K8533" s="2" t="s">
        <v>14073</v>
      </c>
    </row>
    <row r="8534" ht="15.75" customHeight="1">
      <c r="A8534" s="2">
        <v>159692.0</v>
      </c>
      <c r="B8534" s="2" t="s">
        <v>1570</v>
      </c>
      <c r="C8534" s="2" t="s">
        <v>13651</v>
      </c>
      <c r="D8534" s="2" t="s">
        <v>13</v>
      </c>
      <c r="E8534" s="2" t="s">
        <v>2090</v>
      </c>
      <c r="F8534" s="2">
        <v>15.0</v>
      </c>
      <c r="G8534" s="2">
        <v>500.0</v>
      </c>
      <c r="H8534" s="3" t="str">
        <f>HYPERLINK("http://www.linkedin.com/in/drewlindsay","http://www.linkedin.com/in/drewlindsay")</f>
        <v>http://www.linkedin.com/in/drewlindsay</v>
      </c>
      <c r="I8534" s="2" t="s">
        <v>15</v>
      </c>
      <c r="J8534" s="2" t="s">
        <v>44</v>
      </c>
      <c r="K8534" s="2" t="s">
        <v>14057</v>
      </c>
    </row>
    <row r="8535" ht="15.75" customHeight="1">
      <c r="A8535" s="2">
        <v>159721.0</v>
      </c>
      <c r="B8535" s="2" t="s">
        <v>1405</v>
      </c>
      <c r="C8535" s="2" t="s">
        <v>15535</v>
      </c>
      <c r="D8535" s="2" t="s">
        <v>15536</v>
      </c>
      <c r="E8535" s="2" t="s">
        <v>136</v>
      </c>
      <c r="F8535" s="2">
        <v>10.0</v>
      </c>
      <c r="G8535" s="2">
        <v>500.0</v>
      </c>
      <c r="H8535" s="3" t="str">
        <f>HYPERLINK("http://www.linkedin.com/pub/ron-drabkin/0/4/9B1","http://www.linkedin.com/pub/ron-drabkin/0/4/9B1")</f>
        <v>http://www.linkedin.com/pub/ron-drabkin/0/4/9B1</v>
      </c>
      <c r="I8535" s="2" t="s">
        <v>69</v>
      </c>
      <c r="J8535" s="2" t="s">
        <v>102</v>
      </c>
      <c r="K8535" s="2" t="s">
        <v>14088</v>
      </c>
    </row>
    <row r="8536" ht="15.75" customHeight="1">
      <c r="A8536" s="2">
        <v>159751.0</v>
      </c>
      <c r="B8536" s="2" t="s">
        <v>845</v>
      </c>
      <c r="C8536" s="2" t="s">
        <v>15537</v>
      </c>
      <c r="D8536" s="2" t="s">
        <v>47</v>
      </c>
      <c r="E8536" s="2" t="s">
        <v>136</v>
      </c>
      <c r="F8536" s="2">
        <v>11.0</v>
      </c>
      <c r="G8536" s="2">
        <v>500.0</v>
      </c>
      <c r="H8536" s="3" t="str">
        <f>HYPERLINK("http://www.linkedin.com/pub/david-taber/0/8/242","http://www.linkedin.com/pub/david-taber/0/8/242")</f>
        <v>http://www.linkedin.com/pub/david-taber/0/8/242</v>
      </c>
      <c r="I8536" s="2" t="s">
        <v>15</v>
      </c>
      <c r="J8536" s="2" t="s">
        <v>102</v>
      </c>
      <c r="K8536" s="2" t="s">
        <v>14073</v>
      </c>
    </row>
    <row r="8537" ht="15.75" customHeight="1">
      <c r="A8537" s="2">
        <v>159774.0</v>
      </c>
      <c r="B8537" s="2" t="s">
        <v>15538</v>
      </c>
      <c r="C8537" s="2" t="s">
        <v>2121</v>
      </c>
      <c r="D8537" s="2" t="s">
        <v>15539</v>
      </c>
      <c r="E8537" s="2" t="s">
        <v>762</v>
      </c>
      <c r="F8537" s="2">
        <v>49.0</v>
      </c>
      <c r="G8537" s="2">
        <v>500.0</v>
      </c>
      <c r="H8537" s="3" t="str">
        <f>HYPERLINK("http://www.linkedin.com/in/bijoygoswami","http://www.linkedin.com/in/bijoygoswami")</f>
        <v>http://www.linkedin.com/in/bijoygoswami</v>
      </c>
      <c r="I8537" s="2" t="s">
        <v>57</v>
      </c>
      <c r="J8537" s="2" t="s">
        <v>102</v>
      </c>
      <c r="K8537" s="2" t="s">
        <v>14074</v>
      </c>
    </row>
    <row r="8538" ht="15.75" customHeight="1">
      <c r="A8538" s="2">
        <v>159847.0</v>
      </c>
      <c r="B8538" s="2" t="s">
        <v>15540</v>
      </c>
      <c r="C8538" s="2" t="s">
        <v>2019</v>
      </c>
      <c r="D8538" s="2" t="s">
        <v>1145</v>
      </c>
      <c r="E8538" s="2" t="s">
        <v>1407</v>
      </c>
      <c r="F8538" s="2">
        <v>44.0</v>
      </c>
      <c r="G8538" s="2">
        <v>500.0</v>
      </c>
      <c r="H8538" s="3" t="str">
        <f>HYPERLINK("http://www.linkedin.com/in/president","http://www.linkedin.com/in/president")</f>
        <v>http://www.linkedin.com/in/president</v>
      </c>
      <c r="I8538" s="2" t="s">
        <v>15</v>
      </c>
      <c r="J8538" s="2" t="s">
        <v>102</v>
      </c>
      <c r="K8538" s="2" t="s">
        <v>14080</v>
      </c>
    </row>
    <row r="8539" ht="15.75" customHeight="1">
      <c r="A8539" s="2">
        <v>159866.0</v>
      </c>
      <c r="B8539" s="2" t="s">
        <v>341</v>
      </c>
      <c r="C8539" s="2" t="s">
        <v>5026</v>
      </c>
      <c r="D8539" s="2" t="s">
        <v>1324</v>
      </c>
      <c r="E8539" s="2" t="s">
        <v>136</v>
      </c>
      <c r="F8539" s="2">
        <v>18.0</v>
      </c>
      <c r="G8539" s="2">
        <v>500.0</v>
      </c>
      <c r="H8539" s="3" t="str">
        <f>HYPERLINK("http://www.linkedin.com/in/kwheeler","http://www.linkedin.com/in/kwheeler")</f>
        <v>http://www.linkedin.com/in/kwheeler</v>
      </c>
      <c r="I8539" s="2" t="s">
        <v>57</v>
      </c>
      <c r="J8539" s="2" t="s">
        <v>102</v>
      </c>
      <c r="K8539" s="2" t="s">
        <v>14055</v>
      </c>
    </row>
    <row r="8540" ht="15.75" customHeight="1">
      <c r="A8540" s="2">
        <v>159877.0</v>
      </c>
      <c r="B8540" s="2" t="s">
        <v>15541</v>
      </c>
      <c r="C8540" s="2" t="s">
        <v>15542</v>
      </c>
      <c r="D8540" s="2" t="s">
        <v>47</v>
      </c>
      <c r="E8540" s="2" t="s">
        <v>136</v>
      </c>
      <c r="F8540" s="2">
        <v>0.0</v>
      </c>
      <c r="G8540" s="2">
        <v>500.0</v>
      </c>
      <c r="H8540" s="3" t="str">
        <f>HYPERLINK("http://www.linkedin.com/in/vikkipachera","http://www.linkedin.com/in/vikkipachera")</f>
        <v>http://www.linkedin.com/in/vikkipachera</v>
      </c>
      <c r="I8540" s="2" t="s">
        <v>248</v>
      </c>
      <c r="J8540" s="2" t="s">
        <v>102</v>
      </c>
      <c r="K8540" s="2" t="s">
        <v>14115</v>
      </c>
    </row>
    <row r="8541" ht="15.75" customHeight="1">
      <c r="A8541" s="2">
        <v>159916.0</v>
      </c>
      <c r="B8541" s="2" t="s">
        <v>15543</v>
      </c>
      <c r="C8541" s="2" t="s">
        <v>15544</v>
      </c>
      <c r="D8541" s="2" t="s">
        <v>15545</v>
      </c>
      <c r="E8541" s="2" t="s">
        <v>155</v>
      </c>
      <c r="F8541" s="2">
        <v>2.0</v>
      </c>
      <c r="G8541" s="2">
        <v>500.0</v>
      </c>
      <c r="H8541" s="3" t="str">
        <f>HYPERLINK("http://www.linkedin.com/in/giancarlomori","http://www.linkedin.com/in/giancarlomori")</f>
        <v>http://www.linkedin.com/in/giancarlomori</v>
      </c>
      <c r="I8541" s="2" t="s">
        <v>143</v>
      </c>
      <c r="J8541" s="2" t="s">
        <v>102</v>
      </c>
      <c r="K8541" s="2" t="s">
        <v>14088</v>
      </c>
    </row>
    <row r="8542" ht="15.75" customHeight="1">
      <c r="A8542" s="2">
        <v>159977.0</v>
      </c>
      <c r="B8542" s="2" t="s">
        <v>2049</v>
      </c>
      <c r="C8542" s="2" t="s">
        <v>14943</v>
      </c>
      <c r="D8542" s="2" t="s">
        <v>1320</v>
      </c>
      <c r="E8542" s="2" t="s">
        <v>505</v>
      </c>
      <c r="F8542" s="2">
        <v>52.0</v>
      </c>
      <c r="G8542" s="2">
        <v>500.0</v>
      </c>
      <c r="H8542" s="3" t="str">
        <f>HYPERLINK("http://www.linkedin.com/in/stephaniewise","http://www.linkedin.com/in/stephaniewise")</f>
        <v>http://www.linkedin.com/in/stephaniewise</v>
      </c>
      <c r="I8542" s="2" t="s">
        <v>248</v>
      </c>
      <c r="J8542" s="2" t="s">
        <v>102</v>
      </c>
      <c r="K8542" s="2" t="s">
        <v>14481</v>
      </c>
    </row>
    <row r="8543" ht="15.75" customHeight="1">
      <c r="A8543" s="2">
        <v>160010.0</v>
      </c>
      <c r="B8543" s="2" t="s">
        <v>3227</v>
      </c>
      <c r="C8543" s="2" t="s">
        <v>15546</v>
      </c>
      <c r="D8543" s="2" t="s">
        <v>1935</v>
      </c>
      <c r="E8543" s="2" t="s">
        <v>101</v>
      </c>
      <c r="F8543" s="2">
        <v>55.0</v>
      </c>
      <c r="G8543" s="2">
        <v>500.0</v>
      </c>
      <c r="H8543" s="3" t="str">
        <f>HYPERLINK("http://www.linkedin.com/in/chadmassaker","http://www.linkedin.com/in/chadmassaker")</f>
        <v>http://www.linkedin.com/in/chadmassaker</v>
      </c>
      <c r="I8543" s="2" t="s">
        <v>15</v>
      </c>
      <c r="J8543" s="2" t="s">
        <v>102</v>
      </c>
      <c r="K8543" s="2" t="s">
        <v>14073</v>
      </c>
    </row>
    <row r="8544" ht="15.75" customHeight="1">
      <c r="A8544" s="2">
        <v>160042.0</v>
      </c>
      <c r="B8544" s="2" t="s">
        <v>1437</v>
      </c>
      <c r="C8544" s="2" t="s">
        <v>15547</v>
      </c>
      <c r="D8544" s="2" t="s">
        <v>114</v>
      </c>
      <c r="E8544" s="2" t="s">
        <v>301</v>
      </c>
      <c r="F8544" s="2">
        <v>7.0</v>
      </c>
      <c r="G8544" s="2">
        <v>500.0</v>
      </c>
      <c r="H8544" s="3" t="str">
        <f>HYPERLINK("http://www.linkedin.com/in/alrosenblum","http://www.linkedin.com/in/alrosenblum")</f>
        <v>http://www.linkedin.com/in/alrosenblum</v>
      </c>
      <c r="I8544" s="2" t="s">
        <v>248</v>
      </c>
      <c r="J8544" s="2" t="s">
        <v>102</v>
      </c>
      <c r="K8544" s="2" t="s">
        <v>14074</v>
      </c>
    </row>
    <row r="8545" ht="15.75" customHeight="1">
      <c r="A8545" s="2">
        <v>160049.0</v>
      </c>
      <c r="B8545" s="2" t="s">
        <v>10204</v>
      </c>
      <c r="C8545" s="2" t="s">
        <v>15548</v>
      </c>
      <c r="D8545" s="2" t="s">
        <v>15549</v>
      </c>
      <c r="E8545" s="2" t="s">
        <v>804</v>
      </c>
      <c r="F8545" s="2">
        <v>16.0</v>
      </c>
      <c r="G8545" s="2">
        <v>500.0</v>
      </c>
      <c r="H8545" s="3" t="str">
        <f>HYPERLINK("http://www.linkedin.com/in/rachelcutlerbaliff","http://www.linkedin.com/in/rachelcutlerbaliff")</f>
        <v>http://www.linkedin.com/in/rachelcutlerbaliff</v>
      </c>
      <c r="I8545" s="2" t="s">
        <v>96</v>
      </c>
      <c r="J8545" s="2" t="s">
        <v>102</v>
      </c>
      <c r="K8545" s="2" t="s">
        <v>14055</v>
      </c>
    </row>
    <row r="8546" ht="15.75" customHeight="1">
      <c r="A8546" s="2">
        <v>160065.0</v>
      </c>
      <c r="B8546" s="2" t="s">
        <v>3202</v>
      </c>
      <c r="C8546" s="2" t="s">
        <v>15550</v>
      </c>
      <c r="D8546" s="2" t="s">
        <v>416</v>
      </c>
      <c r="E8546" s="2" t="s">
        <v>235</v>
      </c>
      <c r="F8546" s="2">
        <v>16.0</v>
      </c>
      <c r="G8546" s="2">
        <v>500.0</v>
      </c>
      <c r="H8546" s="3" t="str">
        <f>HYPERLINK("http://www.linkedin.com/in/mshue","http://www.linkedin.com/in/mshue")</f>
        <v>http://www.linkedin.com/in/mshue</v>
      </c>
      <c r="I8546" s="2" t="s">
        <v>279</v>
      </c>
      <c r="J8546" s="2" t="s">
        <v>102</v>
      </c>
      <c r="K8546" s="2" t="s">
        <v>14078</v>
      </c>
    </row>
    <row r="8547" ht="15.75" customHeight="1">
      <c r="A8547" s="2">
        <v>160092.0</v>
      </c>
      <c r="B8547" s="2" t="s">
        <v>460</v>
      </c>
      <c r="C8547" s="2" t="s">
        <v>15551</v>
      </c>
      <c r="D8547" s="2" t="s">
        <v>15552</v>
      </c>
      <c r="E8547" s="2" t="s">
        <v>15553</v>
      </c>
      <c r="F8547" s="2">
        <v>7.0</v>
      </c>
      <c r="G8547" s="2">
        <v>500.0</v>
      </c>
      <c r="H8547" s="3" t="str">
        <f>HYPERLINK("http://www.linkedin.com/in/johnkyounger","http://www.linkedin.com/in/johnkyounger")</f>
        <v>http://www.linkedin.com/in/johnkyounger</v>
      </c>
      <c r="I8547" s="2" t="s">
        <v>458</v>
      </c>
      <c r="J8547" s="2" t="s">
        <v>102</v>
      </c>
      <c r="K8547" s="2" t="s">
        <v>14204</v>
      </c>
    </row>
    <row r="8548" ht="15.75" customHeight="1">
      <c r="A8548" s="2">
        <v>160125.0</v>
      </c>
      <c r="B8548" s="2" t="s">
        <v>15554</v>
      </c>
      <c r="C8548" s="2" t="s">
        <v>15555</v>
      </c>
      <c r="D8548" s="2" t="s">
        <v>15556</v>
      </c>
      <c r="E8548" s="2" t="s">
        <v>5657</v>
      </c>
      <c r="F8548" s="2">
        <v>34.0</v>
      </c>
      <c r="G8548" s="2">
        <v>500.0</v>
      </c>
      <c r="H8548" s="3" t="str">
        <f>HYPERLINK("http://www.linkedin.com/pub/jeffrey-b-reeves/1/692/13","http://www.linkedin.com/pub/jeffrey-b-reeves/1/692/13")</f>
        <v>http://www.linkedin.com/pub/jeffrey-b-reeves/1/692/13</v>
      </c>
      <c r="I8548" s="2" t="s">
        <v>156</v>
      </c>
      <c r="J8548" s="2" t="s">
        <v>102</v>
      </c>
      <c r="K8548" s="2" t="s">
        <v>14055</v>
      </c>
    </row>
    <row r="8549" ht="15.75" customHeight="1">
      <c r="A8549" s="2">
        <v>160160.0</v>
      </c>
      <c r="B8549" s="2" t="s">
        <v>1454</v>
      </c>
      <c r="C8549" s="2" t="s">
        <v>15557</v>
      </c>
      <c r="D8549" s="2" t="s">
        <v>289</v>
      </c>
      <c r="E8549" s="2" t="s">
        <v>2343</v>
      </c>
      <c r="F8549" s="2">
        <v>0.0</v>
      </c>
      <c r="G8549" s="2">
        <v>500.0</v>
      </c>
      <c r="H8549" s="3" t="str">
        <f>HYPERLINK("http://www.linkedin.com/in/alanlochridge","http://www.linkedin.com/in/alanlochridge")</f>
        <v>http://www.linkedin.com/in/alanlochridge</v>
      </c>
      <c r="I8549" s="2" t="s">
        <v>57</v>
      </c>
      <c r="J8549" s="2" t="s">
        <v>102</v>
      </c>
      <c r="K8549" s="2" t="s">
        <v>14071</v>
      </c>
    </row>
    <row r="8550" ht="15.75" customHeight="1">
      <c r="A8550" s="2">
        <v>160162.0</v>
      </c>
      <c r="B8550" s="2" t="s">
        <v>412</v>
      </c>
      <c r="C8550" s="2" t="s">
        <v>4773</v>
      </c>
      <c r="D8550" s="2" t="s">
        <v>47</v>
      </c>
      <c r="E8550" s="2" t="s">
        <v>15558</v>
      </c>
      <c r="F8550" s="2">
        <v>21.0</v>
      </c>
      <c r="G8550" s="2">
        <v>500.0</v>
      </c>
      <c r="H8550" s="3" t="str">
        <f>HYPERLINK("http://www.linkedin.com/in/robertpricelion","http://www.linkedin.com/in/robertpricelion")</f>
        <v>http://www.linkedin.com/in/robertpricelion</v>
      </c>
      <c r="I8550" s="2" t="s">
        <v>865</v>
      </c>
      <c r="J8550" s="2" t="s">
        <v>102</v>
      </c>
      <c r="K8550" s="2" t="s">
        <v>14074</v>
      </c>
    </row>
    <row r="8551" ht="15.75" customHeight="1">
      <c r="A8551" s="2">
        <v>160214.0</v>
      </c>
      <c r="B8551" s="2" t="s">
        <v>412</v>
      </c>
      <c r="C8551" s="2" t="s">
        <v>15559</v>
      </c>
      <c r="D8551" s="2" t="s">
        <v>15560</v>
      </c>
      <c r="E8551" s="2" t="s">
        <v>235</v>
      </c>
      <c r="F8551" s="2">
        <v>24.0</v>
      </c>
      <c r="G8551" s="2">
        <v>500.0</v>
      </c>
      <c r="H8551" s="3" t="str">
        <f>HYPERLINK("http://www.linkedin.com/in/robertorbob","http://www.linkedin.com/in/robertorbob")</f>
        <v>http://www.linkedin.com/in/robertorbob</v>
      </c>
      <c r="I8551" s="2" t="s">
        <v>69</v>
      </c>
      <c r="J8551" s="2" t="s">
        <v>102</v>
      </c>
      <c r="K8551" s="2" t="s">
        <v>14071</v>
      </c>
    </row>
    <row r="8552" ht="15.75" customHeight="1">
      <c r="A8552" s="2">
        <v>160256.0</v>
      </c>
      <c r="B8552" s="2" t="s">
        <v>1015</v>
      </c>
      <c r="C8552" s="2" t="s">
        <v>1527</v>
      </c>
      <c r="D8552" s="2" t="s">
        <v>3371</v>
      </c>
      <c r="E8552" s="2" t="s">
        <v>808</v>
      </c>
      <c r="F8552" s="2">
        <v>6.0</v>
      </c>
      <c r="G8552" s="2">
        <v>500.0</v>
      </c>
      <c r="H8552" s="3" t="str">
        <f>HYPERLINK("http://www.linkedin.com/in/brianclarkgraperadio","http://www.linkedin.com/in/brianclarkgraperadio")</f>
        <v>http://www.linkedin.com/in/brianclarkgraperadio</v>
      </c>
      <c r="I8552" s="2" t="s">
        <v>48</v>
      </c>
      <c r="J8552" s="2" t="s">
        <v>102</v>
      </c>
      <c r="K8552" s="2" t="s">
        <v>14088</v>
      </c>
    </row>
    <row r="8553" ht="15.75" customHeight="1">
      <c r="A8553" s="2">
        <v>160263.0</v>
      </c>
      <c r="B8553" s="2" t="s">
        <v>1157</v>
      </c>
      <c r="C8553" s="2" t="s">
        <v>15561</v>
      </c>
      <c r="D8553" s="2" t="s">
        <v>2279</v>
      </c>
      <c r="E8553" s="2" t="s">
        <v>1234</v>
      </c>
      <c r="F8553" s="2">
        <v>14.0</v>
      </c>
      <c r="G8553" s="2">
        <v>500.0</v>
      </c>
      <c r="H8553" s="3" t="str">
        <f>HYPERLINK("http://www.linkedin.com/in/hlawsoniii","http://www.linkedin.com/in/hlawsoniii")</f>
        <v>http://www.linkedin.com/in/hlawsoniii</v>
      </c>
      <c r="I8553" s="2" t="s">
        <v>248</v>
      </c>
      <c r="J8553" s="2" t="s">
        <v>102</v>
      </c>
      <c r="K8553" s="2" t="s">
        <v>14115</v>
      </c>
    </row>
    <row r="8554" ht="15.75" customHeight="1">
      <c r="A8554" s="2">
        <v>160305.0</v>
      </c>
      <c r="B8554" s="2" t="s">
        <v>15562</v>
      </c>
      <c r="C8554" s="2" t="s">
        <v>15563</v>
      </c>
      <c r="D8554" s="2"/>
      <c r="E8554" s="2" t="s">
        <v>136</v>
      </c>
      <c r="F8554" s="2">
        <v>1.0</v>
      </c>
      <c r="G8554" s="2">
        <v>500.0</v>
      </c>
      <c r="H8554" s="3" t="str">
        <f>HYPERLINK("http://www.linkedin.com/pub/lou-montulli/0/38/BA9","http://www.linkedin.com/pub/lou-montulli/0/38/BA9")</f>
        <v>http://www.linkedin.com/pub/lou-montulli/0/38/BA9</v>
      </c>
      <c r="I8554" s="2" t="s">
        <v>48</v>
      </c>
      <c r="J8554" s="2" t="s">
        <v>102</v>
      </c>
      <c r="K8554" s="2" t="s">
        <v>14339</v>
      </c>
    </row>
    <row r="8555" ht="15.75" customHeight="1">
      <c r="A8555" s="2">
        <v>160315.0</v>
      </c>
      <c r="B8555" s="2" t="s">
        <v>1173</v>
      </c>
      <c r="C8555" s="2" t="s">
        <v>2172</v>
      </c>
      <c r="D8555" s="2" t="s">
        <v>3989</v>
      </c>
      <c r="E8555" s="2" t="s">
        <v>1918</v>
      </c>
      <c r="F8555" s="2">
        <v>6.0</v>
      </c>
      <c r="G8555" s="2">
        <v>500.0</v>
      </c>
      <c r="H8555" s="3" t="str">
        <f>HYPERLINK("http://www.linkedin.com/in/bondstevebond","http://www.linkedin.com/in/bondstevebond")</f>
        <v>http://www.linkedin.com/in/bondstevebond</v>
      </c>
      <c r="I8555" s="2" t="s">
        <v>599</v>
      </c>
      <c r="J8555" s="2" t="s">
        <v>102</v>
      </c>
      <c r="K8555" s="2" t="s">
        <v>14055</v>
      </c>
    </row>
    <row r="8556" ht="15.75" customHeight="1">
      <c r="A8556" s="2">
        <v>160369.0</v>
      </c>
      <c r="B8556" s="2" t="s">
        <v>15564</v>
      </c>
      <c r="C8556" s="2" t="s">
        <v>15565</v>
      </c>
      <c r="D8556" s="2" t="s">
        <v>13</v>
      </c>
      <c r="E8556" s="2" t="s">
        <v>181</v>
      </c>
      <c r="F8556" s="2">
        <v>0.0</v>
      </c>
      <c r="G8556" s="2">
        <v>500.0</v>
      </c>
      <c r="H8556" s="3" t="str">
        <f>HYPERLINK("http://www.linkedin.com/in/kristabradford/","http://www.linkedin.com/in/kristabradford/")</f>
        <v>http://www.linkedin.com/in/kristabradford/</v>
      </c>
      <c r="I8556" s="2" t="s">
        <v>248</v>
      </c>
      <c r="J8556" s="2" t="s">
        <v>102</v>
      </c>
      <c r="K8556" s="2" t="s">
        <v>14481</v>
      </c>
    </row>
    <row r="8557" ht="15.75" customHeight="1">
      <c r="A8557" s="2">
        <v>160410.0</v>
      </c>
      <c r="B8557" s="2" t="s">
        <v>146</v>
      </c>
      <c r="C8557" s="2" t="s">
        <v>13737</v>
      </c>
      <c r="D8557" s="2" t="s">
        <v>47</v>
      </c>
      <c r="E8557" s="2" t="s">
        <v>1317</v>
      </c>
      <c r="F8557" s="2">
        <v>1.0</v>
      </c>
      <c r="G8557" s="2">
        <v>500.0</v>
      </c>
      <c r="H8557" s="3" t="str">
        <f>HYPERLINK("http://www.linkedin.com/in/enriquemendozaarce","http://www.linkedin.com/in/enriquemendozaarce")</f>
        <v>http://www.linkedin.com/in/enriquemendozaarce</v>
      </c>
      <c r="I8557" s="2" t="s">
        <v>15</v>
      </c>
      <c r="J8557" s="2" t="s">
        <v>102</v>
      </c>
      <c r="K8557" s="2" t="s">
        <v>14080</v>
      </c>
    </row>
    <row r="8558" ht="15.75" customHeight="1">
      <c r="A8558" s="2">
        <v>160485.0</v>
      </c>
      <c r="B8558" s="2" t="s">
        <v>15566</v>
      </c>
      <c r="C8558" s="2" t="s">
        <v>15567</v>
      </c>
      <c r="D8558" s="2" t="s">
        <v>13</v>
      </c>
      <c r="E8558" s="2" t="s">
        <v>457</v>
      </c>
      <c r="F8558" s="2">
        <v>0.0</v>
      </c>
      <c r="G8558" s="2">
        <v>500.0</v>
      </c>
      <c r="H8558" s="3" t="str">
        <f>HYPERLINK("http://www.linkedin.com/pub/george-r-jensen-jr/3/1a8/627","http://www.linkedin.com/pub/george-r-jensen-jr/3/1a8/627")</f>
        <v>http://www.linkedin.com/pub/george-r-jensen-jr/3/1a8/627</v>
      </c>
      <c r="I8558" s="2" t="s">
        <v>709</v>
      </c>
      <c r="J8558" s="2" t="s">
        <v>102</v>
      </c>
      <c r="K8558" s="2" t="s">
        <v>14105</v>
      </c>
    </row>
    <row r="8559" ht="15.75" customHeight="1">
      <c r="A8559" s="2">
        <v>160505.0</v>
      </c>
      <c r="B8559" s="2" t="s">
        <v>862</v>
      </c>
      <c r="C8559" s="2" t="s">
        <v>13019</v>
      </c>
      <c r="D8559" s="2" t="s">
        <v>15568</v>
      </c>
      <c r="E8559" s="2" t="s">
        <v>728</v>
      </c>
      <c r="F8559" s="2">
        <v>9.0</v>
      </c>
      <c r="G8559" s="2">
        <v>500.0</v>
      </c>
      <c r="H8559" s="3" t="str">
        <f>HYPERLINK("http://www.linkedin.com/pub/gabriel-lawson/3/333/502","http://www.linkedin.com/pub/gabriel-lawson/3/333/502")</f>
        <v>http://www.linkedin.com/pub/gabriel-lawson/3/333/502</v>
      </c>
      <c r="I8559" s="2" t="s">
        <v>48</v>
      </c>
      <c r="J8559" s="2" t="s">
        <v>102</v>
      </c>
      <c r="K8559" s="2" t="s">
        <v>14092</v>
      </c>
    </row>
    <row r="8560" ht="15.75" customHeight="1">
      <c r="A8560" s="2">
        <v>160740.0</v>
      </c>
      <c r="B8560" s="2" t="s">
        <v>1042</v>
      </c>
      <c r="C8560" s="2" t="s">
        <v>15569</v>
      </c>
      <c r="D8560" s="2" t="s">
        <v>15570</v>
      </c>
      <c r="E8560" s="2" t="s">
        <v>713</v>
      </c>
      <c r="F8560" s="2">
        <v>7.0</v>
      </c>
      <c r="G8560" s="2">
        <v>261.0</v>
      </c>
      <c r="H8560" s="3" t="str">
        <f>HYPERLINK("http://www.linkedin.com/in/marinariazanska","http://www.linkedin.com/in/marinariazanska")</f>
        <v>http://www.linkedin.com/in/marinariazanska</v>
      </c>
      <c r="I8560" s="2" t="s">
        <v>2268</v>
      </c>
      <c r="J8560" s="2" t="s">
        <v>102</v>
      </c>
      <c r="K8560" s="2" t="s">
        <v>14055</v>
      </c>
    </row>
    <row r="8561" ht="15.75" customHeight="1">
      <c r="A8561" s="2">
        <v>160800.0</v>
      </c>
      <c r="B8561" s="2" t="s">
        <v>2202</v>
      </c>
      <c r="C8561" s="2" t="s">
        <v>15571</v>
      </c>
      <c r="D8561" s="2"/>
      <c r="E8561" s="2" t="s">
        <v>136</v>
      </c>
      <c r="F8561" s="2">
        <v>3.0</v>
      </c>
      <c r="G8561" s="2">
        <v>283.0</v>
      </c>
      <c r="H8561" s="3" t="str">
        <f>HYPERLINK("http://www.linkedin.com/pub/arun-taneja/0/A27/15A","http://www.linkedin.com/pub/arun-taneja/0/A27/15A")</f>
        <v>http://www.linkedin.com/pub/arun-taneja/0/A27/15A</v>
      </c>
      <c r="I8561" s="2" t="s">
        <v>15</v>
      </c>
      <c r="J8561" s="2" t="s">
        <v>102</v>
      </c>
      <c r="K8561" s="2" t="s">
        <v>14055</v>
      </c>
    </row>
    <row r="8562" ht="15.75" customHeight="1">
      <c r="A8562" s="2">
        <v>160821.0</v>
      </c>
      <c r="B8562" s="2" t="s">
        <v>15572</v>
      </c>
      <c r="C8562" s="2" t="s">
        <v>15573</v>
      </c>
      <c r="D8562" s="2" t="s">
        <v>42</v>
      </c>
      <c r="E8562" s="2" t="s">
        <v>4951</v>
      </c>
      <c r="F8562" s="2">
        <v>4.0</v>
      </c>
      <c r="G8562" s="2">
        <v>500.0</v>
      </c>
      <c r="H8562" s="3" t="str">
        <f>HYPERLINK("http://www.linkedin.com/in/balverts","http://www.linkedin.com/in/balverts")</f>
        <v>http://www.linkedin.com/in/balverts</v>
      </c>
      <c r="I8562" s="2" t="s">
        <v>15</v>
      </c>
      <c r="J8562" s="2" t="s">
        <v>102</v>
      </c>
      <c r="K8562" s="2" t="s">
        <v>14074</v>
      </c>
    </row>
    <row r="8563" ht="15.75" customHeight="1">
      <c r="A8563" s="2">
        <v>160976.0</v>
      </c>
      <c r="B8563" s="2" t="s">
        <v>1015</v>
      </c>
      <c r="C8563" s="2" t="s">
        <v>15574</v>
      </c>
      <c r="D8563" s="2" t="s">
        <v>15575</v>
      </c>
      <c r="E8563" s="2" t="s">
        <v>1918</v>
      </c>
      <c r="F8563" s="2">
        <v>6.0</v>
      </c>
      <c r="G8563" s="2">
        <v>500.0</v>
      </c>
      <c r="H8563" s="3" t="str">
        <f>HYPERLINK("http://www.linkedin.com/in/briannoerr","http://www.linkedin.com/in/briannoerr")</f>
        <v>http://www.linkedin.com/in/briannoerr</v>
      </c>
      <c r="I8563" s="2" t="s">
        <v>248</v>
      </c>
      <c r="J8563" s="2" t="s">
        <v>102</v>
      </c>
      <c r="K8563" s="2" t="s">
        <v>14055</v>
      </c>
    </row>
    <row r="8564" ht="15.75" customHeight="1">
      <c r="A8564" s="2">
        <v>161066.0</v>
      </c>
      <c r="B8564" s="2" t="s">
        <v>710</v>
      </c>
      <c r="C8564" s="2" t="s">
        <v>15576</v>
      </c>
      <c r="D8564" s="2" t="s">
        <v>15577</v>
      </c>
      <c r="E8564" s="2" t="s">
        <v>101</v>
      </c>
      <c r="F8564" s="2">
        <v>55.0</v>
      </c>
      <c r="G8564" s="2">
        <v>500.0</v>
      </c>
      <c r="H8564" s="3" t="str">
        <f>HYPERLINK("http://www.linkedin.com/in/jasonputnam","http://www.linkedin.com/in/jasonputnam")</f>
        <v>http://www.linkedin.com/in/jasonputnam</v>
      </c>
      <c r="I8564" s="2" t="s">
        <v>69</v>
      </c>
      <c r="J8564" s="2" t="s">
        <v>102</v>
      </c>
      <c r="K8564" s="2" t="s">
        <v>14080</v>
      </c>
    </row>
    <row r="8565" ht="15.75" customHeight="1">
      <c r="A8565" s="2">
        <v>161098.0</v>
      </c>
      <c r="B8565" s="2" t="s">
        <v>2124</v>
      </c>
      <c r="C8565" s="2" t="s">
        <v>15578</v>
      </c>
      <c r="D8565" s="2" t="s">
        <v>125</v>
      </c>
      <c r="E8565" s="2" t="s">
        <v>713</v>
      </c>
      <c r="F8565" s="2">
        <v>3.0</v>
      </c>
      <c r="G8565" s="2">
        <v>500.0</v>
      </c>
      <c r="H8565" s="3" t="str">
        <f>HYPERLINK("http://www.linkedin.com/in/jouellette","http://www.linkedin.com/in/jouellette")</f>
        <v>http://www.linkedin.com/in/jouellette</v>
      </c>
      <c r="I8565" s="2" t="s">
        <v>48</v>
      </c>
      <c r="J8565" s="2" t="s">
        <v>102</v>
      </c>
      <c r="K8565" s="2" t="s">
        <v>15579</v>
      </c>
    </row>
    <row r="8566" ht="15.75" customHeight="1">
      <c r="A8566" s="2">
        <v>161104.0</v>
      </c>
      <c r="B8566" s="2" t="s">
        <v>15580</v>
      </c>
      <c r="C8566" s="2" t="s">
        <v>15581</v>
      </c>
      <c r="D8566" s="2" t="s">
        <v>15582</v>
      </c>
      <c r="E8566" s="2" t="s">
        <v>15583</v>
      </c>
      <c r="F8566" s="2">
        <v>4.0</v>
      </c>
      <c r="G8566" s="2">
        <v>500.0</v>
      </c>
      <c r="H8566" s="3" t="str">
        <f>HYPERLINK("http://www.linkedin.com/in/brucejtrimbur","http://www.linkedin.com/in/brucejtrimbur")</f>
        <v>http://www.linkedin.com/in/brucejtrimbur</v>
      </c>
      <c r="I8566" s="2" t="s">
        <v>167</v>
      </c>
      <c r="J8566" s="2" t="s">
        <v>102</v>
      </c>
      <c r="K8566" s="2" t="s">
        <v>14055</v>
      </c>
    </row>
    <row r="8567" ht="15.75" customHeight="1">
      <c r="A8567" s="2">
        <v>161115.0</v>
      </c>
      <c r="B8567" s="2" t="s">
        <v>839</v>
      </c>
      <c r="C8567" s="2" t="s">
        <v>15584</v>
      </c>
      <c r="D8567" s="2" t="s">
        <v>125</v>
      </c>
      <c r="E8567" s="2" t="s">
        <v>713</v>
      </c>
      <c r="F8567" s="2">
        <v>6.0</v>
      </c>
      <c r="G8567" s="2">
        <v>500.0</v>
      </c>
      <c r="H8567" s="3" t="str">
        <f>HYPERLINK("http://www.linkedin.com/in/davegreenwoodboston","http://www.linkedin.com/in/davegreenwoodboston")</f>
        <v>http://www.linkedin.com/in/davegreenwoodboston</v>
      </c>
      <c r="I8567" s="2" t="s">
        <v>48</v>
      </c>
      <c r="J8567" s="2" t="s">
        <v>102</v>
      </c>
      <c r="K8567" s="2" t="s">
        <v>14142</v>
      </c>
    </row>
    <row r="8568" ht="15.75" customHeight="1">
      <c r="A8568" s="2">
        <v>161182.0</v>
      </c>
      <c r="B8568" s="2" t="s">
        <v>534</v>
      </c>
      <c r="C8568" s="2" t="s">
        <v>15585</v>
      </c>
      <c r="D8568" s="2" t="s">
        <v>14497</v>
      </c>
      <c r="E8568" s="2" t="s">
        <v>713</v>
      </c>
      <c r="F8568" s="2" t="s">
        <v>13</v>
      </c>
      <c r="G8568" s="2">
        <v>464.0</v>
      </c>
      <c r="H8568" s="3" t="str">
        <f>HYPERLINK("http://www.linkedin.com/pub/matthew-asiaf/3/2A9/B35","http://www.linkedin.com/pub/matthew-asiaf/3/2A9/B35")</f>
        <v>http://www.linkedin.com/pub/matthew-asiaf/3/2A9/B35</v>
      </c>
      <c r="I8568" s="2" t="s">
        <v>48</v>
      </c>
      <c r="J8568" s="2" t="s">
        <v>102</v>
      </c>
      <c r="K8568" s="2" t="s">
        <v>14095</v>
      </c>
    </row>
    <row r="8569" ht="15.75" customHeight="1">
      <c r="A8569" s="2">
        <v>161188.0</v>
      </c>
      <c r="B8569" s="2" t="s">
        <v>4371</v>
      </c>
      <c r="C8569" s="2" t="s">
        <v>15586</v>
      </c>
      <c r="D8569" s="2" t="s">
        <v>410</v>
      </c>
      <c r="E8569" s="2" t="s">
        <v>136</v>
      </c>
      <c r="F8569" s="2">
        <v>9.0</v>
      </c>
      <c r="G8569" s="2">
        <v>500.0</v>
      </c>
      <c r="H8569" s="3" t="str">
        <f>HYPERLINK("http://www.linkedin.com/in/neerajahuja101","http://www.linkedin.com/in/neerajahuja101")</f>
        <v>http://www.linkedin.com/in/neerajahuja101</v>
      </c>
      <c r="I8569" s="2" t="s">
        <v>15</v>
      </c>
      <c r="J8569" s="2" t="s">
        <v>102</v>
      </c>
      <c r="K8569" s="2" t="s">
        <v>14080</v>
      </c>
    </row>
    <row r="8570" ht="15.75" customHeight="1">
      <c r="A8570" s="2">
        <v>161238.0</v>
      </c>
      <c r="B8570" s="2" t="s">
        <v>10781</v>
      </c>
      <c r="C8570" s="2" t="s">
        <v>15587</v>
      </c>
      <c r="D8570" s="2" t="s">
        <v>15588</v>
      </c>
      <c r="E8570" s="2" t="s">
        <v>1329</v>
      </c>
      <c r="F8570" s="2">
        <v>21.0</v>
      </c>
      <c r="G8570" s="2">
        <v>500.0</v>
      </c>
      <c r="H8570" s="3" t="str">
        <f>HYPERLINK("http://www.linkedin.com/in/dannylena","http://www.linkedin.com/in/dannylena")</f>
        <v>http://www.linkedin.com/in/dannylena</v>
      </c>
      <c r="I8570" s="2" t="s">
        <v>105</v>
      </c>
      <c r="J8570" s="2" t="s">
        <v>102</v>
      </c>
      <c r="K8570" s="2" t="s">
        <v>14055</v>
      </c>
    </row>
    <row r="8571" ht="15.75" customHeight="1">
      <c r="A8571" s="2">
        <v>161291.0</v>
      </c>
      <c r="B8571" s="2" t="s">
        <v>12223</v>
      </c>
      <c r="C8571" s="2" t="s">
        <v>15589</v>
      </c>
      <c r="D8571" s="2" t="s">
        <v>950</v>
      </c>
      <c r="E8571" s="2" t="s">
        <v>136</v>
      </c>
      <c r="F8571" s="2">
        <v>4.0</v>
      </c>
      <c r="G8571" s="2">
        <v>500.0</v>
      </c>
      <c r="H8571" s="3" t="str">
        <f>HYPERLINK("http://www.linkedin.com/in/brendandarby","http://www.linkedin.com/in/brendandarby")</f>
        <v>http://www.linkedin.com/in/brendandarby</v>
      </c>
      <c r="I8571" s="2" t="s">
        <v>69</v>
      </c>
      <c r="J8571" s="2" t="s">
        <v>102</v>
      </c>
      <c r="K8571" s="2" t="s">
        <v>14078</v>
      </c>
    </row>
    <row r="8572" ht="15.75" customHeight="1">
      <c r="A8572" s="2">
        <v>161390.0</v>
      </c>
      <c r="B8572" s="2" t="s">
        <v>15590</v>
      </c>
      <c r="C8572" s="2" t="s">
        <v>15591</v>
      </c>
      <c r="D8572" s="2" t="s">
        <v>3466</v>
      </c>
      <c r="E8572" s="2" t="s">
        <v>762</v>
      </c>
      <c r="F8572" s="2">
        <v>5.0</v>
      </c>
      <c r="G8572" s="2">
        <v>500.0</v>
      </c>
      <c r="H8572" s="3" t="str">
        <f>HYPERLINK("http://www.linkedin.com/in/hauptmeier","http://www.linkedin.com/in/hauptmeier")</f>
        <v>http://www.linkedin.com/in/hauptmeier</v>
      </c>
      <c r="I8572" s="2" t="s">
        <v>15</v>
      </c>
      <c r="J8572" s="2" t="s">
        <v>102</v>
      </c>
      <c r="K8572" s="2" t="s">
        <v>14071</v>
      </c>
    </row>
    <row r="8573" ht="15.75" customHeight="1">
      <c r="A8573" s="2">
        <v>161410.0</v>
      </c>
      <c r="B8573" s="2" t="s">
        <v>4044</v>
      </c>
      <c r="C8573" s="2" t="s">
        <v>12409</v>
      </c>
      <c r="D8573" s="2" t="s">
        <v>125</v>
      </c>
      <c r="E8573" s="2" t="s">
        <v>7844</v>
      </c>
      <c r="F8573" s="2">
        <v>16.0</v>
      </c>
      <c r="G8573" s="2">
        <v>500.0</v>
      </c>
      <c r="H8573" s="3" t="str">
        <f>HYPERLINK("http://www.linkedin.com/pub/marcia-morey/5/745/746","http://www.linkedin.com/pub/marcia-morey/5/745/746")</f>
        <v>http://www.linkedin.com/pub/marcia-morey/5/745/746</v>
      </c>
      <c r="I8573" s="2" t="s">
        <v>48</v>
      </c>
      <c r="J8573" s="2" t="s">
        <v>102</v>
      </c>
      <c r="K8573" s="2" t="s">
        <v>14057</v>
      </c>
    </row>
    <row r="8574" ht="15.75" customHeight="1">
      <c r="A8574" s="2">
        <v>161429.0</v>
      </c>
      <c r="B8574" s="2" t="s">
        <v>1362</v>
      </c>
      <c r="C8574" s="2" t="s">
        <v>15592</v>
      </c>
      <c r="D8574" s="2" t="s">
        <v>1320</v>
      </c>
      <c r="E8574" s="2" t="s">
        <v>2426</v>
      </c>
      <c r="F8574" s="2">
        <v>7.0</v>
      </c>
      <c r="G8574" s="2">
        <v>468.0</v>
      </c>
      <c r="H8574" s="3" t="str">
        <f>HYPERLINK("http://www.linkedin.com/pub/william-bazeley/5/9B4/924","http://www.linkedin.com/pub/william-bazeley/5/9B4/924")</f>
        <v>http://www.linkedin.com/pub/william-bazeley/5/9B4/924</v>
      </c>
      <c r="I8574" s="2" t="s">
        <v>69</v>
      </c>
      <c r="J8574" s="2" t="s">
        <v>102</v>
      </c>
      <c r="K8574" s="2" t="s">
        <v>14073</v>
      </c>
    </row>
    <row r="8575" ht="15.75" customHeight="1">
      <c r="A8575" s="2">
        <v>161565.0</v>
      </c>
      <c r="B8575" s="2" t="s">
        <v>3432</v>
      </c>
      <c r="C8575" s="2" t="s">
        <v>15593</v>
      </c>
      <c r="D8575" s="2" t="s">
        <v>3118</v>
      </c>
      <c r="E8575" s="2" t="s">
        <v>628</v>
      </c>
      <c r="F8575" s="2">
        <v>2.0</v>
      </c>
      <c r="G8575" s="2">
        <v>500.0</v>
      </c>
      <c r="H8575" s="3" t="str">
        <f>HYPERLINK("http://www.linkedin.com/pub/joseph-morrissey/7/485/892","http://www.linkedin.com/pub/joseph-morrissey/7/485/892")</f>
        <v>http://www.linkedin.com/pub/joseph-morrissey/7/485/892</v>
      </c>
      <c r="I8575" s="2" t="s">
        <v>458</v>
      </c>
      <c r="J8575" s="2" t="s">
        <v>102</v>
      </c>
      <c r="K8575" s="2" t="s">
        <v>14197</v>
      </c>
    </row>
    <row r="8576" ht="15.75" customHeight="1">
      <c r="A8576" s="2">
        <v>161571.0</v>
      </c>
      <c r="B8576" s="2" t="s">
        <v>15594</v>
      </c>
      <c r="C8576" s="2" t="s">
        <v>15595</v>
      </c>
      <c r="D8576" s="2" t="s">
        <v>13</v>
      </c>
      <c r="E8576" s="2" t="s">
        <v>1818</v>
      </c>
      <c r="F8576" s="2">
        <v>11.0</v>
      </c>
      <c r="G8576" s="2">
        <v>500.0</v>
      </c>
      <c r="H8576" s="3" t="str">
        <f>HYPERLINK("http://www.linkedin.com/pub/illango-dhandayudham-ingo/7/5a4/901","http://www.linkedin.com/pub/illango-dhandayudham-ingo/7/5a4/901")</f>
        <v>http://www.linkedin.com/pub/illango-dhandayudham-ingo/7/5a4/901</v>
      </c>
      <c r="I8576" s="2" t="s">
        <v>48</v>
      </c>
      <c r="J8576" s="2" t="s">
        <v>102</v>
      </c>
      <c r="K8576" s="2" t="s">
        <v>14057</v>
      </c>
    </row>
    <row r="8577" ht="15.75" customHeight="1">
      <c r="A8577" s="2">
        <v>161641.0</v>
      </c>
      <c r="B8577" s="2" t="s">
        <v>10926</v>
      </c>
      <c r="C8577" s="2" t="s">
        <v>2631</v>
      </c>
      <c r="D8577" s="2" t="s">
        <v>2279</v>
      </c>
      <c r="E8577" s="2" t="s">
        <v>744</v>
      </c>
      <c r="F8577" s="2">
        <v>10.0</v>
      </c>
      <c r="G8577" s="2">
        <v>500.0</v>
      </c>
      <c r="H8577" s="3" t="str">
        <f>HYPERLINK("http://www.linkedin.com/in/forrestmason","http://www.linkedin.com/in/forrestmason")</f>
        <v>http://www.linkedin.com/in/forrestmason</v>
      </c>
      <c r="I8577" s="2" t="s">
        <v>2843</v>
      </c>
      <c r="J8577" s="2" t="s">
        <v>102</v>
      </c>
      <c r="K8577" s="2" t="s">
        <v>14055</v>
      </c>
    </row>
    <row r="8578" ht="15.75" customHeight="1">
      <c r="A8578" s="2">
        <v>161654.0</v>
      </c>
      <c r="B8578" s="2" t="s">
        <v>245</v>
      </c>
      <c r="C8578" s="2" t="s">
        <v>15596</v>
      </c>
      <c r="D8578" s="2" t="s">
        <v>15597</v>
      </c>
      <c r="E8578" s="2" t="s">
        <v>294</v>
      </c>
      <c r="F8578" s="2">
        <v>3.0</v>
      </c>
      <c r="G8578" s="2">
        <v>451.0</v>
      </c>
      <c r="H8578" s="3" t="str">
        <f>HYPERLINK("http://www.linkedin.com/pub/steven-kornfeld/8/9A7/734","http://www.linkedin.com/pub/steven-kornfeld/8/9A7/734")</f>
        <v>http://www.linkedin.com/pub/steven-kornfeld/8/9A7/734</v>
      </c>
      <c r="I8578" s="2" t="s">
        <v>1679</v>
      </c>
      <c r="J8578" s="2" t="s">
        <v>102</v>
      </c>
      <c r="K8578" s="2" t="s">
        <v>14055</v>
      </c>
    </row>
    <row r="8579" ht="15.75" customHeight="1">
      <c r="A8579" s="2">
        <v>161776.0</v>
      </c>
      <c r="B8579" s="2" t="s">
        <v>302</v>
      </c>
      <c r="C8579" s="2" t="s">
        <v>13632</v>
      </c>
      <c r="D8579" s="2" t="s">
        <v>15598</v>
      </c>
      <c r="E8579" s="2" t="s">
        <v>166</v>
      </c>
      <c r="F8579" s="2">
        <v>3.0</v>
      </c>
      <c r="G8579" s="2">
        <v>500.0</v>
      </c>
      <c r="H8579" s="3" t="str">
        <f>HYPERLINK("http://www.linkedin.com/in/billcasale","http://www.linkedin.com/in/billcasale")</f>
        <v>http://www.linkedin.com/in/billcasale</v>
      </c>
      <c r="I8579" s="2" t="s">
        <v>15</v>
      </c>
      <c r="J8579" s="2" t="s">
        <v>102</v>
      </c>
      <c r="K8579" s="2" t="s">
        <v>14197</v>
      </c>
    </row>
    <row r="8580" ht="15.75" customHeight="1">
      <c r="A8580" s="2">
        <v>161921.0</v>
      </c>
      <c r="B8580" s="2" t="s">
        <v>1071</v>
      </c>
      <c r="C8580" s="2" t="s">
        <v>15599</v>
      </c>
      <c r="D8580" s="2" t="s">
        <v>114</v>
      </c>
      <c r="E8580" s="2" t="s">
        <v>1615</v>
      </c>
      <c r="F8580" s="2">
        <v>18.0</v>
      </c>
      <c r="G8580" s="2">
        <v>500.0</v>
      </c>
      <c r="H8580" s="3" t="str">
        <f>HYPERLINK("http://www.linkedin.com/in/ericfarst","http://www.linkedin.com/in/ericfarst")</f>
        <v>http://www.linkedin.com/in/ericfarst</v>
      </c>
      <c r="I8580" s="2" t="s">
        <v>57</v>
      </c>
      <c r="J8580" s="2" t="s">
        <v>102</v>
      </c>
      <c r="K8580" s="2" t="s">
        <v>14105</v>
      </c>
    </row>
    <row r="8581" ht="15.75" customHeight="1">
      <c r="A8581" s="2">
        <v>162001.0</v>
      </c>
      <c r="B8581" s="2" t="s">
        <v>2350</v>
      </c>
      <c r="C8581" s="2" t="s">
        <v>15600</v>
      </c>
      <c r="D8581" s="2" t="s">
        <v>15601</v>
      </c>
      <c r="E8581" s="2" t="s">
        <v>1407</v>
      </c>
      <c r="F8581" s="2">
        <v>22.0</v>
      </c>
      <c r="G8581" s="2">
        <v>500.0</v>
      </c>
      <c r="H8581" s="3" t="str">
        <f>HYPERLINK("http://www.linkedin.com/pub/fred-jimenez-iii/16/800/919","http://www.linkedin.com/pub/fred-jimenez-iii/16/800/919")</f>
        <v>http://www.linkedin.com/pub/fred-jimenez-iii/16/800/919</v>
      </c>
      <c r="I8581" s="2" t="s">
        <v>15</v>
      </c>
      <c r="J8581" s="2" t="s">
        <v>102</v>
      </c>
      <c r="K8581" s="2" t="s">
        <v>14565</v>
      </c>
    </row>
    <row r="8582" ht="15.75" customHeight="1">
      <c r="A8582" s="2">
        <v>162051.0</v>
      </c>
      <c r="B8582" s="2" t="s">
        <v>15602</v>
      </c>
      <c r="C8582" s="2" t="s">
        <v>15603</v>
      </c>
      <c r="D8582" s="2" t="s">
        <v>15604</v>
      </c>
      <c r="E8582" s="2" t="s">
        <v>628</v>
      </c>
      <c r="F8582" s="2" t="s">
        <v>13</v>
      </c>
      <c r="G8582" s="2">
        <v>500.0</v>
      </c>
      <c r="H8582" s="3" t="str">
        <f>HYPERLINK("http://www.linkedin.com/in/knipextools","http://www.linkedin.com/in/knipextools")</f>
        <v>http://www.linkedin.com/in/knipextools</v>
      </c>
      <c r="I8582" s="2" t="s">
        <v>612</v>
      </c>
      <c r="J8582" s="2" t="s">
        <v>102</v>
      </c>
      <c r="K8582" s="2" t="s">
        <v>14074</v>
      </c>
    </row>
    <row r="8583" ht="15.75" customHeight="1">
      <c r="A8583" s="2">
        <v>162075.0</v>
      </c>
      <c r="B8583" s="2" t="s">
        <v>460</v>
      </c>
      <c r="C8583" s="2" t="s">
        <v>15605</v>
      </c>
      <c r="D8583" s="2" t="s">
        <v>3118</v>
      </c>
      <c r="E8583" s="2" t="s">
        <v>136</v>
      </c>
      <c r="F8583" s="2">
        <v>3.0</v>
      </c>
      <c r="G8583" s="2">
        <v>500.0</v>
      </c>
      <c r="H8583" s="3" t="str">
        <f>HYPERLINK("http://www.linkedin.com/pub/john-connolly/1A/95B/882","http://www.linkedin.com/pub/john-connolly/1A/95B/882")</f>
        <v>http://www.linkedin.com/pub/john-connolly/1A/95B/882</v>
      </c>
      <c r="I8583" s="2" t="s">
        <v>48</v>
      </c>
      <c r="J8583" s="2" t="s">
        <v>102</v>
      </c>
      <c r="K8583" s="2" t="s">
        <v>14095</v>
      </c>
    </row>
    <row r="8584" ht="15.75" customHeight="1">
      <c r="A8584" s="2">
        <v>162184.0</v>
      </c>
      <c r="B8584" s="2" t="s">
        <v>1309</v>
      </c>
      <c r="C8584" s="2" t="s">
        <v>13786</v>
      </c>
      <c r="D8584" s="2" t="s">
        <v>15606</v>
      </c>
      <c r="E8584" s="2" t="s">
        <v>1190</v>
      </c>
      <c r="F8584" s="2">
        <v>9.0</v>
      </c>
      <c r="G8584" s="2">
        <v>500.0</v>
      </c>
      <c r="H8584" s="3" t="str">
        <f>HYPERLINK("http://www.linkedin.com/in/alfredofuentes","http://www.linkedin.com/in/alfredofuentes")</f>
        <v>http://www.linkedin.com/in/alfredofuentes</v>
      </c>
      <c r="I8584" s="2" t="s">
        <v>48</v>
      </c>
      <c r="J8584" s="2" t="s">
        <v>102</v>
      </c>
      <c r="K8584" s="2" t="s">
        <v>14339</v>
      </c>
    </row>
    <row r="8585" ht="15.75" customHeight="1">
      <c r="A8585" s="2">
        <v>162192.0</v>
      </c>
      <c r="B8585" s="2" t="s">
        <v>291</v>
      </c>
      <c r="C8585" s="2" t="s">
        <v>15607</v>
      </c>
      <c r="D8585" s="2" t="s">
        <v>3118</v>
      </c>
      <c r="E8585" s="2" t="s">
        <v>5396</v>
      </c>
      <c r="F8585" s="2">
        <v>15.0</v>
      </c>
      <c r="G8585" s="2">
        <v>500.0</v>
      </c>
      <c r="H8585" s="3" t="str">
        <f>HYPERLINK("http://www.linkedin.com/pub/gary-gozdor/3/6B2/96A","http://www.linkedin.com/pub/gary-gozdor/3/6B2/96A")</f>
        <v>http://www.linkedin.com/pub/gary-gozdor/3/6B2/96A</v>
      </c>
      <c r="I8585" s="2" t="s">
        <v>48</v>
      </c>
      <c r="J8585" s="2" t="s">
        <v>102</v>
      </c>
      <c r="K8585" s="2" t="s">
        <v>14617</v>
      </c>
    </row>
    <row r="8586" ht="15.75" customHeight="1">
      <c r="A8586" s="2">
        <v>162386.0</v>
      </c>
      <c r="B8586" s="2" t="s">
        <v>302</v>
      </c>
      <c r="C8586" s="2" t="s">
        <v>15608</v>
      </c>
      <c r="D8586" s="2" t="s">
        <v>15609</v>
      </c>
      <c r="E8586" s="2" t="s">
        <v>3902</v>
      </c>
      <c r="F8586" s="2">
        <v>6.0</v>
      </c>
      <c r="G8586" s="2">
        <v>500.0</v>
      </c>
      <c r="H8586" s="3" t="str">
        <f>HYPERLINK("http://www.linkedin.com/in/bluckey","http://www.linkedin.com/in/bluckey")</f>
        <v>http://www.linkedin.com/in/bluckey</v>
      </c>
      <c r="I8586" s="2" t="s">
        <v>119</v>
      </c>
      <c r="J8586" s="2" t="s">
        <v>102</v>
      </c>
      <c r="K8586" s="2" t="s">
        <v>15610</v>
      </c>
    </row>
    <row r="8587" ht="15.75" customHeight="1">
      <c r="A8587" s="2">
        <v>162814.0</v>
      </c>
      <c r="B8587" s="2" t="s">
        <v>631</v>
      </c>
      <c r="C8587" s="2" t="s">
        <v>1585</v>
      </c>
      <c r="D8587" s="2"/>
      <c r="E8587" s="2" t="s">
        <v>136</v>
      </c>
      <c r="F8587" s="2">
        <v>1.0</v>
      </c>
      <c r="G8587" s="2">
        <v>500.0</v>
      </c>
      <c r="H8587" s="3" t="str">
        <f>HYPERLINK("http://www.linkedin.com/pub/chris-thomas/0/124/906","http://www.linkedin.com/pub/chris-thomas/0/124/906")</f>
        <v>http://www.linkedin.com/pub/chris-thomas/0/124/906</v>
      </c>
      <c r="I8587" s="2" t="s">
        <v>15</v>
      </c>
      <c r="J8587" s="2" t="s">
        <v>102</v>
      </c>
      <c r="K8587" s="2" t="s">
        <v>14057</v>
      </c>
    </row>
    <row r="8588" ht="15.75" customHeight="1">
      <c r="A8588" s="2">
        <v>162950.0</v>
      </c>
      <c r="B8588" s="2" t="s">
        <v>1816</v>
      </c>
      <c r="C8588" s="2" t="s">
        <v>4990</v>
      </c>
      <c r="D8588" s="2" t="s">
        <v>15611</v>
      </c>
      <c r="E8588" s="2" t="s">
        <v>5312</v>
      </c>
      <c r="F8588" s="2">
        <v>14.0</v>
      </c>
      <c r="G8588" s="2">
        <v>500.0</v>
      </c>
      <c r="H8588" s="3" t="str">
        <f>HYPERLINK("http://www.linkedin.com/in/accushred","http://www.linkedin.com/in/accushred")</f>
        <v>http://www.linkedin.com/in/accushred</v>
      </c>
      <c r="I8588" s="2" t="s">
        <v>1237</v>
      </c>
      <c r="J8588" s="2" t="s">
        <v>102</v>
      </c>
      <c r="K8588" s="2" t="s">
        <v>14142</v>
      </c>
    </row>
    <row r="8589" ht="15.75" customHeight="1">
      <c r="A8589" s="2">
        <v>162980.0</v>
      </c>
      <c r="B8589" s="2" t="s">
        <v>511</v>
      </c>
      <c r="C8589" s="2" t="s">
        <v>15612</v>
      </c>
      <c r="D8589" s="2" t="s">
        <v>13</v>
      </c>
      <c r="E8589" s="2" t="s">
        <v>914</v>
      </c>
      <c r="F8589" s="2">
        <v>0.0</v>
      </c>
      <c r="G8589" s="2">
        <v>500.0</v>
      </c>
      <c r="H8589" s="3" t="str">
        <f>HYPERLINK("https://www.linkedin.com/in/mikeiem","https://www.linkedin.com/in/mikeiem")</f>
        <v>https://www.linkedin.com/in/mikeiem</v>
      </c>
      <c r="I8589" s="2" t="s">
        <v>48</v>
      </c>
      <c r="J8589" s="2" t="s">
        <v>102</v>
      </c>
      <c r="K8589" s="2" t="s">
        <v>14074</v>
      </c>
    </row>
    <row r="8590" ht="15.75" customHeight="1">
      <c r="A8590" s="2">
        <v>163012.0</v>
      </c>
      <c r="B8590" s="2" t="s">
        <v>178</v>
      </c>
      <c r="C8590" s="2" t="s">
        <v>15613</v>
      </c>
      <c r="D8590" s="2" t="s">
        <v>114</v>
      </c>
      <c r="E8590" s="2" t="s">
        <v>1473</v>
      </c>
      <c r="F8590" s="2">
        <v>7.0</v>
      </c>
      <c r="G8590" s="2">
        <v>500.0</v>
      </c>
      <c r="H8590" s="3" t="str">
        <f>HYPERLINK("http://www.linkedin.com/pub/joe-adamaitis/5/47A/537","http://www.linkedin.com/pub/joe-adamaitis/5/47A/537")</f>
        <v>http://www.linkedin.com/pub/joe-adamaitis/5/47A/537</v>
      </c>
      <c r="I8590" s="2" t="s">
        <v>279</v>
      </c>
      <c r="J8590" s="2" t="s">
        <v>102</v>
      </c>
      <c r="K8590" s="2" t="s">
        <v>14074</v>
      </c>
    </row>
    <row r="8591" ht="15.75" customHeight="1">
      <c r="A8591" s="2">
        <v>163045.0</v>
      </c>
      <c r="B8591" s="2" t="s">
        <v>1004</v>
      </c>
      <c r="C8591" s="2" t="s">
        <v>2344</v>
      </c>
      <c r="D8591" s="2" t="s">
        <v>15614</v>
      </c>
      <c r="E8591" s="2" t="s">
        <v>101</v>
      </c>
      <c r="F8591" s="2">
        <v>6.0</v>
      </c>
      <c r="G8591" s="2">
        <v>500.0</v>
      </c>
      <c r="H8591" s="3" t="str">
        <f>HYPERLINK("http://www.linkedin.com/in/scgibson","http://www.linkedin.com/in/scgibson")</f>
        <v>http://www.linkedin.com/in/scgibson</v>
      </c>
      <c r="I8591" s="2" t="s">
        <v>160</v>
      </c>
      <c r="J8591" s="2" t="s">
        <v>102</v>
      </c>
      <c r="K8591" s="2" t="s">
        <v>14211</v>
      </c>
    </row>
    <row r="8592" ht="15.75" customHeight="1">
      <c r="A8592" s="2">
        <v>163062.0</v>
      </c>
      <c r="B8592" s="2" t="s">
        <v>784</v>
      </c>
      <c r="C8592" s="2" t="s">
        <v>1029</v>
      </c>
      <c r="D8592" s="2" t="s">
        <v>15615</v>
      </c>
      <c r="E8592" s="2" t="s">
        <v>2730</v>
      </c>
      <c r="F8592" s="2">
        <v>8.0</v>
      </c>
      <c r="G8592" s="2">
        <v>500.0</v>
      </c>
      <c r="H8592" s="3" t="str">
        <f>HYPERLINK("http://www.linkedin.com/in/jeffreyalogan","http://www.linkedin.com/in/jeffreyalogan")</f>
        <v>http://www.linkedin.com/in/jeffreyalogan</v>
      </c>
      <c r="I8592" s="2" t="s">
        <v>48</v>
      </c>
      <c r="J8592" s="2" t="s">
        <v>102</v>
      </c>
      <c r="K8592" s="2" t="s">
        <v>14173</v>
      </c>
    </row>
    <row r="8593" ht="15.75" customHeight="1">
      <c r="A8593" s="2">
        <v>163081.0</v>
      </c>
      <c r="B8593" s="2" t="s">
        <v>15616</v>
      </c>
      <c r="C8593" s="2" t="s">
        <v>1289</v>
      </c>
      <c r="D8593" s="2" t="s">
        <v>15617</v>
      </c>
      <c r="E8593" s="2" t="s">
        <v>628</v>
      </c>
      <c r="F8593" s="2">
        <v>6.0</v>
      </c>
      <c r="G8593" s="2">
        <v>447.0</v>
      </c>
      <c r="H8593" s="3" t="str">
        <f>HYPERLINK("http://www.linkedin.com/pub/teague-cliff/4/318/B68","http://www.linkedin.com/pub/teague-cliff/4/318/B68")</f>
        <v>http://www.linkedin.com/pub/teague-cliff/4/318/B68</v>
      </c>
      <c r="I8593" s="2" t="s">
        <v>15</v>
      </c>
      <c r="J8593" s="2" t="s">
        <v>102</v>
      </c>
      <c r="K8593" s="2" t="s">
        <v>14092</v>
      </c>
    </row>
    <row r="8594" ht="15.75" customHeight="1">
      <c r="A8594" s="2">
        <v>163265.0</v>
      </c>
      <c r="B8594" s="2" t="s">
        <v>1068</v>
      </c>
      <c r="C8594" s="2" t="s">
        <v>15618</v>
      </c>
      <c r="D8594" s="2" t="s">
        <v>13</v>
      </c>
      <c r="E8594" s="2" t="s">
        <v>15619</v>
      </c>
      <c r="F8594" s="2">
        <v>0.0</v>
      </c>
      <c r="G8594" s="2">
        <v>450.0</v>
      </c>
      <c r="H8594" s="3" t="str">
        <f>HYPERLINK("http://www.linkedin.com/pub/jerry-hyland/12/3BA/554","http://www.linkedin.com/pub/jerry-hyland/12/3BA/554")</f>
        <v>http://www.linkedin.com/pub/jerry-hyland/12/3BA/554</v>
      </c>
      <c r="I8594" s="2" t="s">
        <v>195</v>
      </c>
      <c r="J8594" s="2" t="s">
        <v>102</v>
      </c>
      <c r="K8594" s="2" t="s">
        <v>14617</v>
      </c>
    </row>
    <row r="8595" ht="15.75" customHeight="1">
      <c r="A8595" s="2">
        <v>163317.0</v>
      </c>
      <c r="B8595" s="2" t="s">
        <v>15620</v>
      </c>
      <c r="C8595" s="2" t="s">
        <v>15621</v>
      </c>
      <c r="D8595" s="2" t="s">
        <v>1073</v>
      </c>
      <c r="E8595" s="2" t="s">
        <v>5396</v>
      </c>
      <c r="F8595" s="2">
        <v>36.0</v>
      </c>
      <c r="G8595" s="2">
        <v>296.0</v>
      </c>
      <c r="H8595" s="3" t="str">
        <f>HYPERLINK("http://www.linkedin.com/pub/jennie-boeckmann/17/523/309","http://www.linkedin.com/pub/jennie-boeckmann/17/523/309")</f>
        <v>http://www.linkedin.com/pub/jennie-boeckmann/17/523/309</v>
      </c>
      <c r="I8595" s="2" t="s">
        <v>48</v>
      </c>
      <c r="J8595" s="2" t="s">
        <v>102</v>
      </c>
      <c r="K8595" s="2" t="s">
        <v>14057</v>
      </c>
    </row>
    <row r="8596" ht="15.75" customHeight="1">
      <c r="A8596" s="2">
        <v>163352.0</v>
      </c>
      <c r="B8596" s="2" t="s">
        <v>133</v>
      </c>
      <c r="C8596" s="2" t="s">
        <v>15622</v>
      </c>
      <c r="D8596" s="2" t="s">
        <v>15623</v>
      </c>
      <c r="E8596" s="2" t="s">
        <v>728</v>
      </c>
      <c r="F8596" s="2" t="s">
        <v>13</v>
      </c>
      <c r="G8596" s="2">
        <v>375.0</v>
      </c>
      <c r="H8596" s="3" t="str">
        <f>HYPERLINK("http://www.linkedin.com/pub/michael-brinks/21/1B4/A4A","http://www.linkedin.com/pub/michael-brinks/21/1B4/A4A")</f>
        <v>http://www.linkedin.com/pub/michael-brinks/21/1B4/A4A</v>
      </c>
      <c r="I8596" s="2" t="s">
        <v>15</v>
      </c>
      <c r="J8596" s="2" t="s">
        <v>102</v>
      </c>
      <c r="K8596" s="2" t="s">
        <v>14057</v>
      </c>
    </row>
    <row r="8597" ht="15.75" customHeight="1">
      <c r="A8597" s="2">
        <v>163481.0</v>
      </c>
      <c r="B8597" s="2" t="s">
        <v>534</v>
      </c>
      <c r="C8597" s="2" t="s">
        <v>15624</v>
      </c>
      <c r="D8597" s="2" t="s">
        <v>4026</v>
      </c>
      <c r="E8597" s="2" t="s">
        <v>808</v>
      </c>
      <c r="F8597" s="2">
        <v>5.0</v>
      </c>
      <c r="G8597" s="2">
        <v>500.0</v>
      </c>
      <c r="H8597" s="3" t="str">
        <f>HYPERLINK("http://www.linkedin.com/in/mwconnelly","http://www.linkedin.com/in/mwconnelly")</f>
        <v>http://www.linkedin.com/in/mwconnelly</v>
      </c>
      <c r="I8597" s="2" t="s">
        <v>279</v>
      </c>
      <c r="J8597" s="2" t="s">
        <v>102</v>
      </c>
      <c r="K8597" s="2" t="s">
        <v>14055</v>
      </c>
    </row>
    <row r="8598" ht="15.75" customHeight="1">
      <c r="A8598" s="2">
        <v>163548.0</v>
      </c>
      <c r="B8598" s="2" t="s">
        <v>957</v>
      </c>
      <c r="C8598" s="2" t="s">
        <v>15625</v>
      </c>
      <c r="D8598" s="2" t="s">
        <v>309</v>
      </c>
      <c r="E8598" s="2" t="s">
        <v>136</v>
      </c>
      <c r="F8598" s="2">
        <v>18.0</v>
      </c>
      <c r="G8598" s="2">
        <v>500.0</v>
      </c>
      <c r="H8598" s="3" t="str">
        <f>HYPERLINK("https://www.linkedin.com/in/mylermedia","https://www.linkedin.com/in/mylermedia")</f>
        <v>https://www.linkedin.com/in/mylermedia</v>
      </c>
      <c r="I8598" s="2" t="s">
        <v>69</v>
      </c>
      <c r="J8598" s="2" t="s">
        <v>102</v>
      </c>
      <c r="K8598" s="2" t="s">
        <v>14074</v>
      </c>
    </row>
    <row r="8599" ht="15.75" customHeight="1">
      <c r="A8599" s="2">
        <v>163554.0</v>
      </c>
      <c r="B8599" s="2" t="s">
        <v>3695</v>
      </c>
      <c r="C8599" s="2" t="s">
        <v>15626</v>
      </c>
      <c r="D8599" s="2" t="s">
        <v>15627</v>
      </c>
      <c r="E8599" s="2" t="s">
        <v>728</v>
      </c>
      <c r="F8599" s="2">
        <v>10.0</v>
      </c>
      <c r="G8599" s="2">
        <v>500.0</v>
      </c>
      <c r="H8599" s="3" t="str">
        <f>HYPERLINK("http://www.linkedin.com/in/andredurand","http://www.linkedin.com/in/andredurand")</f>
        <v>http://www.linkedin.com/in/andredurand</v>
      </c>
      <c r="I8599" s="2" t="s">
        <v>48</v>
      </c>
      <c r="J8599" s="2" t="s">
        <v>102</v>
      </c>
      <c r="K8599" s="2" t="s">
        <v>14197</v>
      </c>
    </row>
    <row r="8600" ht="15.75" customHeight="1">
      <c r="A8600" s="2">
        <v>163563.0</v>
      </c>
      <c r="B8600" s="2" t="s">
        <v>15628</v>
      </c>
      <c r="C8600" s="2" t="s">
        <v>15629</v>
      </c>
      <c r="D8600" s="2" t="s">
        <v>15630</v>
      </c>
      <c r="E8600" s="2" t="s">
        <v>2426</v>
      </c>
      <c r="F8600" s="2">
        <v>30.0</v>
      </c>
      <c r="G8600" s="2">
        <v>500.0</v>
      </c>
      <c r="H8600" s="3" t="str">
        <f>HYPERLINK("http://www.linkedin.com/in/souheilbadran","http://www.linkedin.com/in/souheilbadran")</f>
        <v>http://www.linkedin.com/in/souheilbadran</v>
      </c>
      <c r="I8600" s="2" t="s">
        <v>69</v>
      </c>
      <c r="J8600" s="2" t="s">
        <v>102</v>
      </c>
      <c r="K8600" s="2" t="s">
        <v>14078</v>
      </c>
    </row>
    <row r="8601" ht="15.75" customHeight="1">
      <c r="A8601" s="2">
        <v>163581.0</v>
      </c>
      <c r="B8601" s="2" t="s">
        <v>511</v>
      </c>
      <c r="C8601" s="2" t="s">
        <v>15631</v>
      </c>
      <c r="D8601" s="2" t="s">
        <v>15632</v>
      </c>
      <c r="E8601" s="2" t="s">
        <v>457</v>
      </c>
      <c r="F8601" s="2" t="s">
        <v>13</v>
      </c>
      <c r="G8601" s="2">
        <v>399.0</v>
      </c>
      <c r="H8601" s="3" t="str">
        <f>HYPERLINK("http://www.linkedin.com/in/mikelizun","http://www.linkedin.com/in/mikelizun")</f>
        <v>http://www.linkedin.com/in/mikelizun</v>
      </c>
      <c r="I8601" s="2" t="s">
        <v>844</v>
      </c>
      <c r="J8601" s="2" t="s">
        <v>102</v>
      </c>
      <c r="K8601" s="2" t="s">
        <v>14078</v>
      </c>
    </row>
    <row r="8602" ht="15.75" customHeight="1">
      <c r="A8602" s="2">
        <v>163602.0</v>
      </c>
      <c r="B8602" s="2" t="s">
        <v>1366</v>
      </c>
      <c r="C8602" s="2" t="s">
        <v>15633</v>
      </c>
      <c r="D8602" s="2" t="s">
        <v>13</v>
      </c>
      <c r="E8602" s="2" t="s">
        <v>136</v>
      </c>
      <c r="F8602" s="2">
        <v>0.0</v>
      </c>
      <c r="G8602" s="2">
        <v>500.0</v>
      </c>
      <c r="H8602" s="3" t="str">
        <f>HYPERLINK("http://www.linkedin.com/in/peterostrow","http://www.linkedin.com/in/peterostrow")</f>
        <v>http://www.linkedin.com/in/peterostrow</v>
      </c>
      <c r="I8602" s="2" t="s">
        <v>306</v>
      </c>
      <c r="J8602" s="2" t="s">
        <v>102</v>
      </c>
      <c r="K8602" s="2" t="s">
        <v>14073</v>
      </c>
    </row>
    <row r="8603" ht="15.75" customHeight="1">
      <c r="A8603" s="2">
        <v>163625.0</v>
      </c>
      <c r="B8603" s="2" t="s">
        <v>845</v>
      </c>
      <c r="C8603" s="2" t="s">
        <v>1646</v>
      </c>
      <c r="D8603" s="2" t="s">
        <v>114</v>
      </c>
      <c r="E8603" s="2" t="s">
        <v>136</v>
      </c>
      <c r="F8603" s="2">
        <v>7.0</v>
      </c>
      <c r="G8603" s="2">
        <v>500.0</v>
      </c>
      <c r="H8603" s="3" t="str">
        <f>HYPERLINK("http://www.linkedin.com/in/dmsnyder","http://www.linkedin.com/in/dmsnyder")</f>
        <v>http://www.linkedin.com/in/dmsnyder</v>
      </c>
      <c r="I8603" s="2" t="s">
        <v>15</v>
      </c>
      <c r="J8603" s="2" t="s">
        <v>102</v>
      </c>
      <c r="K8603" s="2" t="s">
        <v>14057</v>
      </c>
    </row>
    <row r="8604" ht="15.75" customHeight="1">
      <c r="A8604" s="2">
        <v>163633.0</v>
      </c>
      <c r="B8604" s="2" t="s">
        <v>4367</v>
      </c>
      <c r="C8604" s="2" t="s">
        <v>2092</v>
      </c>
      <c r="D8604" s="2" t="s">
        <v>15634</v>
      </c>
      <c r="E8604" s="2" t="s">
        <v>2263</v>
      </c>
      <c r="F8604" s="2">
        <v>53.0</v>
      </c>
      <c r="G8604" s="2">
        <v>500.0</v>
      </c>
      <c r="H8604" s="3" t="str">
        <f>HYPERLINK("http://www.linkedin.com/in/mitchelllevy","http://www.linkedin.com/in/mitchelllevy")</f>
        <v>http://www.linkedin.com/in/mitchelllevy</v>
      </c>
      <c r="I8604" s="2" t="s">
        <v>560</v>
      </c>
      <c r="J8604" s="2" t="s">
        <v>102</v>
      </c>
      <c r="K8604" s="2" t="s">
        <v>14074</v>
      </c>
    </row>
    <row r="8605" ht="15.75" customHeight="1">
      <c r="A8605" s="2">
        <v>163658.0</v>
      </c>
      <c r="B8605" s="2" t="s">
        <v>845</v>
      </c>
      <c r="C8605" s="2" t="s">
        <v>15635</v>
      </c>
      <c r="D8605" s="2" t="s">
        <v>5206</v>
      </c>
      <c r="E8605" s="2" t="s">
        <v>882</v>
      </c>
      <c r="F8605" s="2">
        <v>42.0</v>
      </c>
      <c r="G8605" s="2">
        <v>500.0</v>
      </c>
      <c r="H8605" s="3" t="str">
        <f>HYPERLINK("http://www.linkedin.com/in/davidmathison","http://www.linkedin.com/in/davidmathison")</f>
        <v>http://www.linkedin.com/in/davidmathison</v>
      </c>
      <c r="I8605" s="2" t="s">
        <v>248</v>
      </c>
      <c r="J8605" s="2" t="s">
        <v>102</v>
      </c>
      <c r="K8605" s="2" t="s">
        <v>14074</v>
      </c>
    </row>
    <row r="8606" ht="15.75" customHeight="1">
      <c r="A8606" s="2">
        <v>163834.0</v>
      </c>
      <c r="B8606" s="2" t="s">
        <v>845</v>
      </c>
      <c r="C8606" s="2" t="s">
        <v>15636</v>
      </c>
      <c r="D8606" s="2" t="s">
        <v>15637</v>
      </c>
      <c r="E8606" s="2" t="s">
        <v>136</v>
      </c>
      <c r="F8606" s="2">
        <v>16.0</v>
      </c>
      <c r="G8606" s="2">
        <v>500.0</v>
      </c>
      <c r="H8606" s="3" t="str">
        <f>HYPERLINK("http://www.linkedin.com/in/davidkoehn","http://www.linkedin.com/in/davidkoehn")</f>
        <v>http://www.linkedin.com/in/davidkoehn</v>
      </c>
      <c r="I8606" s="2" t="s">
        <v>440</v>
      </c>
      <c r="J8606" s="2" t="s">
        <v>102</v>
      </c>
      <c r="K8606" s="2" t="s">
        <v>14055</v>
      </c>
    </row>
    <row r="8607" ht="15.75" customHeight="1">
      <c r="A8607" s="2">
        <v>163857.0</v>
      </c>
      <c r="B8607" s="2" t="s">
        <v>3506</v>
      </c>
      <c r="C8607" s="2" t="s">
        <v>15638</v>
      </c>
      <c r="D8607" s="2" t="s">
        <v>15639</v>
      </c>
      <c r="E8607" s="2" t="s">
        <v>1407</v>
      </c>
      <c r="F8607" s="2">
        <v>5.0</v>
      </c>
      <c r="G8607" s="2">
        <v>500.0</v>
      </c>
      <c r="H8607" s="3" t="str">
        <f>HYPERLINK("http://www.linkedin.com/in/cgionhotmailcom","http://www.linkedin.com/in/cgionhotmailcom")</f>
        <v>http://www.linkedin.com/in/cgionhotmailcom</v>
      </c>
      <c r="I8607" s="2" t="s">
        <v>48</v>
      </c>
      <c r="J8607" s="2" t="s">
        <v>102</v>
      </c>
      <c r="K8607" s="2" t="s">
        <v>14095</v>
      </c>
    </row>
    <row r="8608" ht="15.75" customHeight="1">
      <c r="A8608" s="2">
        <v>163910.0</v>
      </c>
      <c r="B8608" s="2" t="s">
        <v>15640</v>
      </c>
      <c r="C8608" s="2" t="s">
        <v>15641</v>
      </c>
      <c r="D8608" s="2" t="s">
        <v>1320</v>
      </c>
      <c r="E8608" s="2" t="s">
        <v>1407</v>
      </c>
      <c r="F8608" s="2">
        <v>5.0</v>
      </c>
      <c r="G8608" s="2">
        <v>500.0</v>
      </c>
      <c r="H8608" s="3" t="str">
        <f>HYPERLINK("http://www.linkedin.com/pub/dwayne-spradlin/0/22/AB2","http://www.linkedin.com/pub/dwayne-spradlin/0/22/AB2")</f>
        <v>http://www.linkedin.com/pub/dwayne-spradlin/0/22/AB2</v>
      </c>
      <c r="I8608" s="2" t="s">
        <v>69</v>
      </c>
      <c r="J8608" s="2" t="s">
        <v>102</v>
      </c>
      <c r="K8608" s="2" t="s">
        <v>14142</v>
      </c>
    </row>
    <row r="8609" ht="15.75" customHeight="1">
      <c r="A8609" s="2">
        <v>163917.0</v>
      </c>
      <c r="B8609" s="2" t="s">
        <v>547</v>
      </c>
      <c r="C8609" s="2" t="s">
        <v>15642</v>
      </c>
      <c r="D8609" s="2" t="s">
        <v>13</v>
      </c>
      <c r="E8609" s="2" t="s">
        <v>136</v>
      </c>
      <c r="F8609" s="2">
        <v>2.0</v>
      </c>
      <c r="G8609" s="2">
        <v>500.0</v>
      </c>
      <c r="H8609" s="3" t="str">
        <f>HYPERLINK("http://www.linkedin.com/in/geoffbarrall","http://www.linkedin.com/in/geoffbarrall")</f>
        <v>http://www.linkedin.com/in/geoffbarrall</v>
      </c>
      <c r="I8609" s="2" t="s">
        <v>119</v>
      </c>
      <c r="J8609" s="2" t="s">
        <v>102</v>
      </c>
      <c r="K8609" s="2" t="s">
        <v>14092</v>
      </c>
    </row>
    <row r="8610" ht="15.75" customHeight="1">
      <c r="A8610" s="2">
        <v>164544.0</v>
      </c>
      <c r="B8610" s="2" t="s">
        <v>721</v>
      </c>
      <c r="C8610" s="2" t="s">
        <v>15643</v>
      </c>
      <c r="D8610" s="2" t="s">
        <v>47</v>
      </c>
      <c r="E8610" s="2" t="s">
        <v>762</v>
      </c>
      <c r="F8610" s="2">
        <v>1.0</v>
      </c>
      <c r="G8610" s="2">
        <v>500.0</v>
      </c>
      <c r="H8610" s="3" t="str">
        <f>HYPERLINK("http://www.linkedin.com/in/adubinsky","http://www.linkedin.com/in/adubinsky")</f>
        <v>http://www.linkedin.com/in/adubinsky</v>
      </c>
      <c r="I8610" s="2" t="s">
        <v>48</v>
      </c>
      <c r="J8610" s="2" t="s">
        <v>102</v>
      </c>
      <c r="K8610" s="2" t="s">
        <v>14080</v>
      </c>
    </row>
    <row r="8611" ht="15.75" customHeight="1">
      <c r="A8611" s="2">
        <v>164591.0</v>
      </c>
      <c r="B8611" s="2" t="s">
        <v>2567</v>
      </c>
      <c r="C8611" s="2" t="s">
        <v>15644</v>
      </c>
      <c r="D8611" s="2" t="s">
        <v>15645</v>
      </c>
      <c r="E8611" s="2" t="s">
        <v>15646</v>
      </c>
      <c r="F8611" s="2">
        <v>8.0</v>
      </c>
      <c r="G8611" s="2">
        <v>500.0</v>
      </c>
      <c r="H8611" s="3" t="str">
        <f>HYPERLINK("http://www.linkedin.com/in/christopherhytryderrington","http://www.linkedin.com/in/christopherhytryderrington")</f>
        <v>http://www.linkedin.com/in/christopherhytryderrington</v>
      </c>
      <c r="I8611" s="2" t="s">
        <v>69</v>
      </c>
      <c r="J8611" s="2" t="s">
        <v>102</v>
      </c>
      <c r="K8611" s="2" t="s">
        <v>14073</v>
      </c>
    </row>
    <row r="8612" ht="15.75" customHeight="1">
      <c r="A8612" s="2">
        <v>164602.0</v>
      </c>
      <c r="B8612" s="2" t="s">
        <v>2014</v>
      </c>
      <c r="C8612" s="2" t="s">
        <v>15647</v>
      </c>
      <c r="D8612" s="2" t="s">
        <v>3136</v>
      </c>
      <c r="E8612" s="2" t="s">
        <v>1209</v>
      </c>
      <c r="F8612" s="2">
        <v>4.0</v>
      </c>
      <c r="G8612" s="2">
        <v>500.0</v>
      </c>
      <c r="H8612" s="3" t="str">
        <f>HYPERLINK("http://www.linkedin.com/pub/ken-downey/0/24/104","http://www.linkedin.com/pub/ken-downey/0/24/104")</f>
        <v>http://www.linkedin.com/pub/ken-downey/0/24/104</v>
      </c>
      <c r="I8612" s="2" t="s">
        <v>248</v>
      </c>
      <c r="J8612" s="2" t="s">
        <v>102</v>
      </c>
      <c r="K8612" s="2" t="s">
        <v>14115</v>
      </c>
    </row>
    <row r="8613" ht="15.75" customHeight="1">
      <c r="A8613" s="2">
        <v>164626.0</v>
      </c>
      <c r="B8613" s="2" t="s">
        <v>15648</v>
      </c>
      <c r="C8613" s="2" t="s">
        <v>15649</v>
      </c>
      <c r="D8613" s="2" t="s">
        <v>15650</v>
      </c>
      <c r="E8613" s="2" t="s">
        <v>136</v>
      </c>
      <c r="F8613" s="2">
        <v>3.0</v>
      </c>
      <c r="G8613" s="2">
        <v>500.0</v>
      </c>
      <c r="H8613" s="3" t="str">
        <f>HYPERLINK("http://www.linkedin.com/in/edwardmbender","http://www.linkedin.com/in/edwardmbender")</f>
        <v>http://www.linkedin.com/in/edwardmbender</v>
      </c>
      <c r="I8613" s="2" t="s">
        <v>69</v>
      </c>
      <c r="J8613" s="2" t="s">
        <v>102</v>
      </c>
      <c r="K8613" s="2" t="s">
        <v>14082</v>
      </c>
    </row>
    <row r="8614" ht="15.75" customHeight="1">
      <c r="A8614" s="2">
        <v>164636.0</v>
      </c>
      <c r="B8614" s="2" t="s">
        <v>582</v>
      </c>
      <c r="C8614" s="2" t="s">
        <v>15651</v>
      </c>
      <c r="D8614" s="2" t="s">
        <v>536</v>
      </c>
      <c r="E8614" s="2" t="s">
        <v>136</v>
      </c>
      <c r="F8614" s="2">
        <v>0.0</v>
      </c>
      <c r="G8614" s="2">
        <v>500.0</v>
      </c>
      <c r="H8614" s="3" t="str">
        <f>HYPERLINK("http://www.linkedin.com/in/alexandrelebrun","http://www.linkedin.com/in/alexandrelebrun")</f>
        <v>http://www.linkedin.com/in/alexandrelebrun</v>
      </c>
      <c r="I8614" s="2" t="s">
        <v>48</v>
      </c>
      <c r="J8614" s="2" t="s">
        <v>102</v>
      </c>
      <c r="K8614" s="2" t="s">
        <v>14080</v>
      </c>
    </row>
    <row r="8615" ht="15.75" customHeight="1">
      <c r="A8615" s="2">
        <v>164678.0</v>
      </c>
      <c r="B8615" s="2" t="s">
        <v>1004</v>
      </c>
      <c r="C8615" s="2" t="s">
        <v>15652</v>
      </c>
      <c r="D8615" s="2" t="s">
        <v>15653</v>
      </c>
      <c r="E8615" s="2" t="s">
        <v>1802</v>
      </c>
      <c r="F8615" s="2">
        <v>3.0</v>
      </c>
      <c r="G8615" s="2">
        <v>500.0</v>
      </c>
      <c r="H8615" s="3" t="str">
        <f>HYPERLINK("http://www.linkedin.com/in/scottmclements","http://www.linkedin.com/in/scottmclements")</f>
        <v>http://www.linkedin.com/in/scottmclements</v>
      </c>
      <c r="I8615" s="2" t="s">
        <v>5033</v>
      </c>
      <c r="J8615" s="2" t="s">
        <v>1803</v>
      </c>
      <c r="K8615" s="2" t="s">
        <v>14078</v>
      </c>
    </row>
    <row r="8616" ht="15.75" customHeight="1">
      <c r="A8616" s="2">
        <v>164685.0</v>
      </c>
      <c r="B8616" s="2" t="s">
        <v>845</v>
      </c>
      <c r="C8616" s="2" t="s">
        <v>15654</v>
      </c>
      <c r="D8616" s="2" t="s">
        <v>15655</v>
      </c>
      <c r="E8616" s="2" t="s">
        <v>136</v>
      </c>
      <c r="F8616" s="2">
        <v>8.0</v>
      </c>
      <c r="G8616" s="2">
        <v>500.0</v>
      </c>
      <c r="H8616" s="3" t="str">
        <f>HYPERLINK("http://www.linkedin.com/in/gruebele","http://www.linkedin.com/in/gruebele")</f>
        <v>http://www.linkedin.com/in/gruebele</v>
      </c>
      <c r="I8616" s="2" t="s">
        <v>279</v>
      </c>
      <c r="J8616" s="2" t="s">
        <v>102</v>
      </c>
      <c r="K8616" s="2" t="s">
        <v>14074</v>
      </c>
    </row>
    <row r="8617" ht="15.75" customHeight="1">
      <c r="A8617" s="2">
        <v>164704.0</v>
      </c>
      <c r="B8617" s="2" t="s">
        <v>1228</v>
      </c>
      <c r="C8617" s="2" t="s">
        <v>9417</v>
      </c>
      <c r="D8617" s="2" t="s">
        <v>13</v>
      </c>
      <c r="E8617" s="2" t="s">
        <v>136</v>
      </c>
      <c r="F8617" s="2">
        <v>1.0</v>
      </c>
      <c r="G8617" s="2">
        <v>500.0</v>
      </c>
      <c r="H8617" s="3" t="str">
        <f>HYPERLINK("http://www.linkedin.com/in/philippekahn","http://www.linkedin.com/in/philippekahn")</f>
        <v>http://www.linkedin.com/in/philippekahn</v>
      </c>
      <c r="I8617" s="2" t="s">
        <v>714</v>
      </c>
      <c r="J8617" s="2" t="s">
        <v>102</v>
      </c>
      <c r="K8617" s="2" t="s">
        <v>14211</v>
      </c>
    </row>
    <row r="8618" ht="15.75" customHeight="1">
      <c r="A8618" s="2">
        <v>164826.0</v>
      </c>
      <c r="B8618" s="2" t="s">
        <v>631</v>
      </c>
      <c r="C8618" s="2" t="s">
        <v>1989</v>
      </c>
      <c r="D8618" s="2" t="s">
        <v>15656</v>
      </c>
      <c r="E8618" s="2" t="s">
        <v>136</v>
      </c>
      <c r="F8618" s="2">
        <v>1.0</v>
      </c>
      <c r="G8618" s="2">
        <v>500.0</v>
      </c>
      <c r="H8618" s="3" t="str">
        <f>HYPERLINK("http://www.linkedin.com/in/chrispeterson","http://www.linkedin.com/in/chrispeterson")</f>
        <v>http://www.linkedin.com/in/chrispeterson</v>
      </c>
      <c r="I8618" s="2" t="s">
        <v>160</v>
      </c>
      <c r="J8618" s="2" t="s">
        <v>102</v>
      </c>
      <c r="K8618" s="2" t="s">
        <v>14085</v>
      </c>
    </row>
    <row r="8619" ht="15.75" customHeight="1">
      <c r="A8619" s="2">
        <v>164846.0</v>
      </c>
      <c r="B8619" s="2" t="s">
        <v>721</v>
      </c>
      <c r="C8619" s="2" t="s">
        <v>15657</v>
      </c>
      <c r="D8619" s="2" t="s">
        <v>47</v>
      </c>
      <c r="E8619" s="2" t="s">
        <v>713</v>
      </c>
      <c r="F8619" s="2">
        <v>7.0</v>
      </c>
      <c r="G8619" s="2">
        <v>500.0</v>
      </c>
      <c r="H8619" s="3" t="str">
        <f>HYPERLINK("http://www.linkedin.com/in/andrewjamison","http://www.linkedin.com/in/andrewjamison")</f>
        <v>http://www.linkedin.com/in/andrewjamison</v>
      </c>
      <c r="I8619" s="2" t="s">
        <v>48</v>
      </c>
      <c r="J8619" s="2" t="s">
        <v>102</v>
      </c>
      <c r="K8619" s="2" t="s">
        <v>14080</v>
      </c>
    </row>
    <row r="8620" ht="15.75" customHeight="1">
      <c r="A8620" s="2">
        <v>164872.0</v>
      </c>
      <c r="B8620" s="2" t="s">
        <v>15658</v>
      </c>
      <c r="C8620" s="2" t="s">
        <v>12091</v>
      </c>
      <c r="D8620" s="2" t="s">
        <v>517</v>
      </c>
      <c r="E8620" s="2" t="s">
        <v>5453</v>
      </c>
      <c r="F8620" s="2">
        <v>1.0</v>
      </c>
      <c r="G8620" s="2">
        <v>500.0</v>
      </c>
      <c r="H8620" s="3" t="str">
        <f>HYPERLINK("http://www.linkedin.com/in/mspalliance","http://www.linkedin.com/in/mspalliance")</f>
        <v>http://www.linkedin.com/in/mspalliance</v>
      </c>
      <c r="I8620" s="2" t="s">
        <v>15</v>
      </c>
      <c r="J8620" s="2" t="s">
        <v>102</v>
      </c>
      <c r="K8620" s="2" t="s">
        <v>14142</v>
      </c>
    </row>
    <row r="8621" ht="15.75" customHeight="1">
      <c r="A8621" s="2">
        <v>164906.0</v>
      </c>
      <c r="B8621" s="2" t="s">
        <v>15659</v>
      </c>
      <c r="C8621" s="2" t="s">
        <v>15660</v>
      </c>
      <c r="D8621" s="2" t="s">
        <v>15661</v>
      </c>
      <c r="E8621" s="2" t="s">
        <v>804</v>
      </c>
      <c r="F8621" s="2">
        <v>27.0</v>
      </c>
      <c r="G8621" s="2">
        <v>500.0</v>
      </c>
      <c r="H8621" s="3" t="str">
        <f>HYPERLINK("http://www.linkedin.com/in/elineumann","http://www.linkedin.com/in/elineumann")</f>
        <v>http://www.linkedin.com/in/elineumann</v>
      </c>
      <c r="I8621" s="2" t="s">
        <v>160</v>
      </c>
      <c r="J8621" s="2" t="s">
        <v>102</v>
      </c>
      <c r="K8621" s="2" t="s">
        <v>14211</v>
      </c>
    </row>
    <row r="8622" ht="15.75" customHeight="1">
      <c r="A8622" s="2">
        <v>164961.0</v>
      </c>
      <c r="B8622" s="2" t="s">
        <v>133</v>
      </c>
      <c r="C8622" s="2" t="s">
        <v>15662</v>
      </c>
      <c r="D8622" s="2" t="s">
        <v>15663</v>
      </c>
      <c r="E8622" s="2" t="s">
        <v>1041</v>
      </c>
      <c r="F8622" s="2">
        <v>3.0</v>
      </c>
      <c r="G8622" s="2">
        <v>500.0</v>
      </c>
      <c r="H8622" s="3" t="str">
        <f>HYPERLINK("http://www.linkedin.com/in/michaeltiemann","http://www.linkedin.com/in/michaeltiemann")</f>
        <v>http://www.linkedin.com/in/michaeltiemann</v>
      </c>
      <c r="I8622" s="2" t="s">
        <v>48</v>
      </c>
      <c r="J8622" s="2" t="s">
        <v>102</v>
      </c>
      <c r="K8622" s="2" t="s">
        <v>14088</v>
      </c>
    </row>
    <row r="8623" ht="15.75" customHeight="1">
      <c r="A8623" s="2">
        <v>164990.0</v>
      </c>
      <c r="B8623" s="2" t="s">
        <v>15664</v>
      </c>
      <c r="C8623" s="2" t="s">
        <v>15665</v>
      </c>
      <c r="D8623" s="2" t="s">
        <v>3136</v>
      </c>
      <c r="E8623" s="2" t="s">
        <v>136</v>
      </c>
      <c r="F8623" s="2">
        <v>18.0</v>
      </c>
      <c r="G8623" s="2">
        <v>500.0</v>
      </c>
      <c r="H8623" s="3" t="str">
        <f>HYPERLINK("http://www.linkedin.com/in/hnobre","http://www.linkedin.com/in/hnobre")</f>
        <v>http://www.linkedin.com/in/hnobre</v>
      </c>
      <c r="I8623" s="2" t="s">
        <v>69</v>
      </c>
      <c r="J8623" s="2" t="s">
        <v>102</v>
      </c>
      <c r="K8623" s="2" t="s">
        <v>14080</v>
      </c>
    </row>
    <row r="8624" ht="15.75" customHeight="1">
      <c r="A8624" s="2">
        <v>165025.0</v>
      </c>
      <c r="B8624" s="2" t="s">
        <v>15666</v>
      </c>
      <c r="C8624" s="2" t="s">
        <v>15667</v>
      </c>
      <c r="D8624" s="2"/>
      <c r="E8624" s="2" t="s">
        <v>136</v>
      </c>
      <c r="F8624" s="2">
        <v>34.0</v>
      </c>
      <c r="G8624" s="2">
        <v>0.0</v>
      </c>
      <c r="H8624" s="3" t="str">
        <f>HYPERLINK("http://www.linkedin.com/in/akaushik","http://www.linkedin.com/in/akaushik")</f>
        <v>http://www.linkedin.com/in/akaushik</v>
      </c>
      <c r="I8624" s="2" t="s">
        <v>48</v>
      </c>
      <c r="J8624" s="2" t="s">
        <v>102</v>
      </c>
      <c r="K8624" s="2" t="s">
        <v>14082</v>
      </c>
    </row>
    <row r="8625" ht="15.75" customHeight="1">
      <c r="A8625" s="2">
        <v>165097.0</v>
      </c>
      <c r="B8625" s="2" t="s">
        <v>15668</v>
      </c>
      <c r="C8625" s="2" t="s">
        <v>15669</v>
      </c>
      <c r="D8625" s="2" t="s">
        <v>15670</v>
      </c>
      <c r="E8625" s="2" t="s">
        <v>8908</v>
      </c>
      <c r="F8625" s="2">
        <v>16.0</v>
      </c>
      <c r="G8625" s="2">
        <v>498.0</v>
      </c>
      <c r="H8625" s="3" t="str">
        <f>HYPERLINK("http://www.linkedin.com/in/geoffreyberneck","http://www.linkedin.com/in/geoffreyberneck")</f>
        <v>http://www.linkedin.com/in/geoffreyberneck</v>
      </c>
      <c r="I8625" s="2" t="s">
        <v>48</v>
      </c>
      <c r="J8625" s="2" t="s">
        <v>102</v>
      </c>
      <c r="K8625" s="2" t="s">
        <v>14092</v>
      </c>
    </row>
    <row r="8626" ht="15.75" customHeight="1">
      <c r="A8626" s="2">
        <v>165104.0</v>
      </c>
      <c r="B8626" s="2" t="s">
        <v>1100</v>
      </c>
      <c r="C8626" s="2" t="s">
        <v>3780</v>
      </c>
      <c r="D8626" s="2" t="s">
        <v>15671</v>
      </c>
      <c r="E8626" s="2" t="s">
        <v>457</v>
      </c>
      <c r="F8626" s="2">
        <v>5.0</v>
      </c>
      <c r="G8626" s="2">
        <v>500.0</v>
      </c>
      <c r="H8626" s="3" t="str">
        <f>HYPERLINK("http://www.linkedin.com/in/rmohan","http://www.linkedin.com/in/rmohan")</f>
        <v>http://www.linkedin.com/in/rmohan</v>
      </c>
      <c r="I8626" s="2" t="s">
        <v>69</v>
      </c>
      <c r="J8626" s="2" t="s">
        <v>102</v>
      </c>
      <c r="K8626" s="2" t="s">
        <v>14073</v>
      </c>
    </row>
    <row r="8627" ht="15.75" customHeight="1">
      <c r="A8627" s="2">
        <v>165120.0</v>
      </c>
      <c r="B8627" s="2" t="s">
        <v>845</v>
      </c>
      <c r="C8627" s="2" t="s">
        <v>292</v>
      </c>
      <c r="D8627" s="2" t="s">
        <v>47</v>
      </c>
      <c r="E8627" s="2" t="s">
        <v>136</v>
      </c>
      <c r="F8627" s="2">
        <v>8.0</v>
      </c>
      <c r="G8627" s="2">
        <v>500.0</v>
      </c>
      <c r="H8627" s="3" t="str">
        <f>HYPERLINK("http://www.linkedin.com/in/mediasmith","http://www.linkedin.com/in/mediasmith")</f>
        <v>http://www.linkedin.com/in/mediasmith</v>
      </c>
      <c r="I8627" s="2" t="s">
        <v>105</v>
      </c>
      <c r="J8627" s="2" t="s">
        <v>102</v>
      </c>
      <c r="K8627" s="2" t="s">
        <v>14074</v>
      </c>
    </row>
    <row r="8628" ht="15.75" customHeight="1">
      <c r="A8628" s="2">
        <v>165179.0</v>
      </c>
      <c r="B8628" s="2" t="s">
        <v>12630</v>
      </c>
      <c r="C8628" s="2" t="s">
        <v>15672</v>
      </c>
      <c r="D8628" s="2" t="s">
        <v>5436</v>
      </c>
      <c r="E8628" s="2" t="s">
        <v>136</v>
      </c>
      <c r="F8628" s="2">
        <v>5.0</v>
      </c>
      <c r="G8628" s="2">
        <v>500.0</v>
      </c>
      <c r="H8628" s="3" t="str">
        <f>HYPERLINK("http://www.linkedin.com/in/vipulved","http://www.linkedin.com/in/vipulved")</f>
        <v>http://www.linkedin.com/in/vipulved</v>
      </c>
      <c r="I8628" s="2" t="s">
        <v>48</v>
      </c>
      <c r="J8628" s="2" t="s">
        <v>102</v>
      </c>
      <c r="K8628" s="2" t="s">
        <v>14088</v>
      </c>
    </row>
    <row r="8629" ht="15.75" customHeight="1">
      <c r="A8629" s="2">
        <v>165209.0</v>
      </c>
      <c r="B8629" s="2" t="s">
        <v>1377</v>
      </c>
      <c r="C8629" s="2" t="s">
        <v>1088</v>
      </c>
      <c r="D8629" s="2" t="s">
        <v>13</v>
      </c>
      <c r="E8629" s="2" t="s">
        <v>914</v>
      </c>
      <c r="F8629" s="2">
        <v>3.0</v>
      </c>
      <c r="G8629" s="2">
        <v>500.0</v>
      </c>
      <c r="H8629" s="3" t="str">
        <f>HYPERLINK("https://www.linkedin.com/in/martyroberts","https://www.linkedin.com/in/martyroberts")</f>
        <v>https://www.linkedin.com/in/martyroberts</v>
      </c>
      <c r="I8629" s="2" t="s">
        <v>105</v>
      </c>
      <c r="J8629" s="2" t="s">
        <v>102</v>
      </c>
      <c r="K8629" s="2" t="s">
        <v>15673</v>
      </c>
    </row>
    <row r="8630" ht="15.75" customHeight="1">
      <c r="A8630" s="2">
        <v>165236.0</v>
      </c>
      <c r="B8630" s="2" t="s">
        <v>285</v>
      </c>
      <c r="C8630" s="2" t="s">
        <v>6978</v>
      </c>
      <c r="D8630" s="2"/>
      <c r="E8630" s="2" t="s">
        <v>713</v>
      </c>
      <c r="F8630" s="2">
        <v>1.0</v>
      </c>
      <c r="G8630" s="2">
        <v>500.0</v>
      </c>
      <c r="H8630" s="3" t="str">
        <f>HYPERLINK("http://www.linkedin.com/pub/marc-lombardo/0/B44/774","http://www.linkedin.com/pub/marc-lombardo/0/B44/774")</f>
        <v>http://www.linkedin.com/pub/marc-lombardo/0/B44/774</v>
      </c>
      <c r="I8630" s="2" t="s">
        <v>48</v>
      </c>
      <c r="J8630" s="2" t="s">
        <v>102</v>
      </c>
      <c r="K8630" s="2" t="s">
        <v>14095</v>
      </c>
    </row>
    <row r="8631" ht="15.75" customHeight="1">
      <c r="A8631" s="2">
        <v>165238.0</v>
      </c>
      <c r="B8631" s="2" t="s">
        <v>15674</v>
      </c>
      <c r="C8631" s="2" t="s">
        <v>15675</v>
      </c>
      <c r="D8631" s="2" t="s">
        <v>13</v>
      </c>
      <c r="E8631" s="2" t="s">
        <v>2246</v>
      </c>
      <c r="F8631" s="2">
        <v>22.0</v>
      </c>
      <c r="G8631" s="2">
        <v>500.0</v>
      </c>
      <c r="H8631" s="3" t="str">
        <f>HYPERLINK("http://www.linkedin.com/in/jraghuraman","http://www.linkedin.com/in/jraghuraman")</f>
        <v>http://www.linkedin.com/in/jraghuraman</v>
      </c>
      <c r="I8631" s="2" t="s">
        <v>15</v>
      </c>
      <c r="J8631" s="2" t="s">
        <v>102</v>
      </c>
      <c r="K8631" s="2" t="s">
        <v>14080</v>
      </c>
    </row>
    <row r="8632" ht="15.75" customHeight="1">
      <c r="A8632" s="2">
        <v>165268.0</v>
      </c>
      <c r="B8632" s="2" t="s">
        <v>15676</v>
      </c>
      <c r="C8632" s="2" t="s">
        <v>15677</v>
      </c>
      <c r="D8632" s="2" t="s">
        <v>47</v>
      </c>
      <c r="E8632" s="2" t="s">
        <v>10993</v>
      </c>
      <c r="F8632" s="2">
        <v>2.0</v>
      </c>
      <c r="G8632" s="2">
        <v>500.0</v>
      </c>
      <c r="H8632" s="3" t="str">
        <f>HYPERLINK("http://ca.linkedin.com/in/duleepaw","http://ca.linkedin.com/in/duleepaw")</f>
        <v>http://ca.linkedin.com/in/duleepaw</v>
      </c>
      <c r="I8632" s="2" t="s">
        <v>15</v>
      </c>
      <c r="J8632" s="2" t="s">
        <v>44</v>
      </c>
      <c r="K8632" s="2" t="s">
        <v>14142</v>
      </c>
    </row>
    <row r="8633" ht="15.75" customHeight="1">
      <c r="A8633" s="2">
        <v>165314.0</v>
      </c>
      <c r="B8633" s="2" t="s">
        <v>133</v>
      </c>
      <c r="C8633" s="2" t="s">
        <v>1824</v>
      </c>
      <c r="D8633" s="2" t="s">
        <v>13</v>
      </c>
      <c r="E8633" s="2" t="s">
        <v>457</v>
      </c>
      <c r="F8633" s="2">
        <v>4.0</v>
      </c>
      <c r="G8633" s="2">
        <v>500.0</v>
      </c>
      <c r="H8633" s="3" t="str">
        <f>HYPERLINK("http://www.linkedin.com/in/michaelmarks1","http://www.linkedin.com/in/michaelmarks1")</f>
        <v>http://www.linkedin.com/in/michaelmarks1</v>
      </c>
      <c r="I8633" s="2" t="s">
        <v>57</v>
      </c>
      <c r="J8633" s="2" t="s">
        <v>102</v>
      </c>
      <c r="K8633" s="2" t="s">
        <v>14073</v>
      </c>
    </row>
    <row r="8634" ht="15.75" customHeight="1">
      <c r="A8634" s="2">
        <v>165347.0</v>
      </c>
      <c r="B8634" s="2" t="s">
        <v>15678</v>
      </c>
      <c r="C8634" s="2" t="s">
        <v>15679</v>
      </c>
      <c r="D8634" s="2" t="s">
        <v>1825</v>
      </c>
      <c r="E8634" s="2" t="s">
        <v>808</v>
      </c>
      <c r="F8634" s="2">
        <v>2.0</v>
      </c>
      <c r="G8634" s="2">
        <v>500.0</v>
      </c>
      <c r="H8634" s="2" t="s">
        <v>15680</v>
      </c>
      <c r="I8634" s="2" t="s">
        <v>1679</v>
      </c>
      <c r="J8634" s="2" t="s">
        <v>102</v>
      </c>
      <c r="K8634" s="2" t="s">
        <v>14074</v>
      </c>
    </row>
    <row r="8635" ht="15.75" customHeight="1">
      <c r="A8635" s="2">
        <v>165382.0</v>
      </c>
      <c r="B8635" s="2" t="s">
        <v>845</v>
      </c>
      <c r="C8635" s="2" t="s">
        <v>5082</v>
      </c>
      <c r="D8635" s="2" t="s">
        <v>15681</v>
      </c>
      <c r="E8635" s="2" t="s">
        <v>235</v>
      </c>
      <c r="F8635" s="2">
        <v>22.0</v>
      </c>
      <c r="G8635" s="2">
        <v>500.0</v>
      </c>
      <c r="H8635" s="3" t="str">
        <f>HYPERLINK("http://www.linkedin.com/in/davidmrosenthal","http://www.linkedin.com/in/davidmrosenthal")</f>
        <v>http://www.linkedin.com/in/davidmrosenthal</v>
      </c>
      <c r="I8635" s="2" t="s">
        <v>15</v>
      </c>
      <c r="J8635" s="2" t="s">
        <v>102</v>
      </c>
      <c r="K8635" s="2" t="s">
        <v>14080</v>
      </c>
    </row>
    <row r="8636" ht="15.75" customHeight="1">
      <c r="A8636" s="2">
        <v>165417.0</v>
      </c>
      <c r="B8636" s="2" t="s">
        <v>2701</v>
      </c>
      <c r="C8636" s="2" t="s">
        <v>15682</v>
      </c>
      <c r="D8636" s="2" t="s">
        <v>6522</v>
      </c>
      <c r="E8636" s="2" t="s">
        <v>914</v>
      </c>
      <c r="F8636" s="2">
        <v>34.0</v>
      </c>
      <c r="G8636" s="2">
        <v>500.0</v>
      </c>
      <c r="H8636" s="3" t="str">
        <f>HYPERLINK("http://www.linkedin.com/in/gmcmurdo","http://www.linkedin.com/in/gmcmurdo")</f>
        <v>http://www.linkedin.com/in/gmcmurdo</v>
      </c>
      <c r="I8636" s="2" t="s">
        <v>15</v>
      </c>
      <c r="J8636" s="2" t="s">
        <v>102</v>
      </c>
      <c r="K8636" s="2" t="s">
        <v>14142</v>
      </c>
    </row>
    <row r="8637" ht="15.75" customHeight="1">
      <c r="A8637" s="2">
        <v>165470.0</v>
      </c>
      <c r="B8637" s="2" t="s">
        <v>275</v>
      </c>
      <c r="C8637" s="2" t="s">
        <v>11908</v>
      </c>
      <c r="D8637" s="2" t="s">
        <v>47</v>
      </c>
      <c r="E8637" s="2" t="s">
        <v>713</v>
      </c>
      <c r="F8637" s="2">
        <v>14.0</v>
      </c>
      <c r="G8637" s="2">
        <v>500.0</v>
      </c>
      <c r="H8637" s="3" t="str">
        <f>HYPERLINK("http://www.linkedin.com/in/mrkwpalmer","http://www.linkedin.com/in/mrkwpalmer")</f>
        <v>http://www.linkedin.com/in/mrkwpalmer</v>
      </c>
      <c r="I8637" s="2" t="s">
        <v>48</v>
      </c>
      <c r="J8637" s="2" t="s">
        <v>102</v>
      </c>
      <c r="K8637" s="2" t="s">
        <v>14080</v>
      </c>
    </row>
    <row r="8638" ht="15.75" customHeight="1">
      <c r="A8638" s="2">
        <v>165495.0</v>
      </c>
      <c r="B8638" s="2" t="s">
        <v>965</v>
      </c>
      <c r="C8638" s="2" t="s">
        <v>3247</v>
      </c>
      <c r="D8638" s="2" t="s">
        <v>12034</v>
      </c>
      <c r="E8638" s="2" t="s">
        <v>713</v>
      </c>
      <c r="F8638" s="2">
        <v>12.0</v>
      </c>
      <c r="G8638" s="2">
        <v>500.0</v>
      </c>
      <c r="H8638" s="3" t="str">
        <f>HYPERLINK("http://www.linkedin.com/in/jordangoldberg","http://www.linkedin.com/in/jordangoldberg")</f>
        <v>http://www.linkedin.com/in/jordangoldberg</v>
      </c>
      <c r="I8638" s="2" t="s">
        <v>248</v>
      </c>
      <c r="J8638" s="2" t="s">
        <v>102</v>
      </c>
      <c r="K8638" s="2" t="s">
        <v>14121</v>
      </c>
    </row>
    <row r="8639" ht="15.75" customHeight="1">
      <c r="A8639" s="2">
        <v>165628.0</v>
      </c>
      <c r="B8639" s="2" t="s">
        <v>15683</v>
      </c>
      <c r="C8639" s="2" t="s">
        <v>15684</v>
      </c>
      <c r="D8639" s="2" t="s">
        <v>47</v>
      </c>
      <c r="E8639" s="2" t="s">
        <v>155</v>
      </c>
      <c r="F8639" s="2">
        <v>6.0</v>
      </c>
      <c r="G8639" s="2">
        <v>500.0</v>
      </c>
      <c r="H8639" s="3" t="str">
        <f>HYPERLINK("http://www.linkedin.com/in/daveibsen","http://www.linkedin.com/in/daveibsen")</f>
        <v>http://www.linkedin.com/in/daveibsen</v>
      </c>
      <c r="I8639" s="2" t="s">
        <v>105</v>
      </c>
      <c r="J8639" s="2" t="s">
        <v>102</v>
      </c>
      <c r="K8639" s="2" t="s">
        <v>14074</v>
      </c>
    </row>
    <row r="8640" ht="15.75" customHeight="1">
      <c r="A8640" s="2">
        <v>165663.0</v>
      </c>
      <c r="B8640" s="2" t="s">
        <v>341</v>
      </c>
      <c r="C8640" s="2" t="s">
        <v>15685</v>
      </c>
      <c r="D8640" s="2" t="s">
        <v>309</v>
      </c>
      <c r="E8640" s="2" t="s">
        <v>1918</v>
      </c>
      <c r="F8640" s="2">
        <v>72.0</v>
      </c>
      <c r="G8640" s="2">
        <v>500.0</v>
      </c>
      <c r="H8640" s="3" t="str">
        <f>HYPERLINK("http://www.linkedin.com/in/kevinpopovic","http://www.linkedin.com/in/kevinpopovic")</f>
        <v>http://www.linkedin.com/in/kevinpopovic</v>
      </c>
      <c r="I8640" s="2" t="s">
        <v>105</v>
      </c>
      <c r="J8640" s="2" t="s">
        <v>102</v>
      </c>
      <c r="K8640" s="2" t="s">
        <v>14055</v>
      </c>
    </row>
    <row r="8641" ht="15.75" customHeight="1">
      <c r="A8641" s="2">
        <v>165687.0</v>
      </c>
      <c r="B8641" s="2" t="s">
        <v>15686</v>
      </c>
      <c r="C8641" s="2" t="s">
        <v>15687</v>
      </c>
      <c r="D8641" s="2" t="s">
        <v>15688</v>
      </c>
      <c r="E8641" s="2" t="s">
        <v>1234</v>
      </c>
      <c r="F8641" s="2">
        <v>13.0</v>
      </c>
      <c r="G8641" s="2">
        <v>500.0</v>
      </c>
      <c r="H8641" s="3" t="str">
        <f>HYPERLINK("http://www.linkedin.com/in/wyattglynwilliams","http://www.linkedin.com/in/wyattglynwilliams")</f>
        <v>http://www.linkedin.com/in/wyattglynwilliams</v>
      </c>
      <c r="I8641" s="2" t="s">
        <v>105</v>
      </c>
      <c r="J8641" s="2" t="s">
        <v>102</v>
      </c>
      <c r="K8641" s="2" t="s">
        <v>14074</v>
      </c>
    </row>
    <row r="8642" ht="15.75" customHeight="1">
      <c r="A8642" s="2">
        <v>165694.0</v>
      </c>
      <c r="B8642" s="2" t="s">
        <v>5405</v>
      </c>
      <c r="C8642" s="2" t="s">
        <v>15689</v>
      </c>
      <c r="D8642" s="2" t="s">
        <v>15690</v>
      </c>
      <c r="E8642" s="2" t="s">
        <v>136</v>
      </c>
      <c r="F8642" s="2">
        <v>15.0</v>
      </c>
      <c r="G8642" s="2">
        <v>500.0</v>
      </c>
      <c r="H8642" s="3" t="str">
        <f>HYPERLINK("http://www.linkedin.com/in/bartdecrem","http://www.linkedin.com/in/bartdecrem")</f>
        <v>http://www.linkedin.com/in/bartdecrem</v>
      </c>
      <c r="I8642" s="2" t="s">
        <v>910</v>
      </c>
      <c r="J8642" s="2" t="s">
        <v>102</v>
      </c>
      <c r="K8642" s="2" t="s">
        <v>14092</v>
      </c>
    </row>
    <row r="8643" ht="15.75" customHeight="1">
      <c r="A8643" s="2">
        <v>165890.0</v>
      </c>
      <c r="B8643" s="2" t="s">
        <v>6390</v>
      </c>
      <c r="C8643" s="2" t="s">
        <v>15691</v>
      </c>
      <c r="D8643" s="2" t="s">
        <v>13</v>
      </c>
      <c r="E8643" s="2" t="s">
        <v>989</v>
      </c>
      <c r="F8643" s="2">
        <v>0.0</v>
      </c>
      <c r="G8643" s="2">
        <v>500.0</v>
      </c>
      <c r="H8643" s="3" t="str">
        <f>HYPERLINK("https://www.linkedin.com/in/gailspangler","https://www.linkedin.com/in/gailspangler")</f>
        <v>https://www.linkedin.com/in/gailspangler</v>
      </c>
      <c r="I8643" s="2" t="s">
        <v>2268</v>
      </c>
      <c r="J8643" s="2" t="s">
        <v>102</v>
      </c>
      <c r="K8643" s="2" t="s">
        <v>14055</v>
      </c>
    </row>
    <row r="8644" ht="15.75" customHeight="1">
      <c r="A8644" s="2">
        <v>166023.0</v>
      </c>
      <c r="B8644" s="2" t="s">
        <v>15692</v>
      </c>
      <c r="C8644" s="2" t="s">
        <v>2021</v>
      </c>
      <c r="D8644" s="2" t="s">
        <v>47</v>
      </c>
      <c r="E8644" s="2" t="s">
        <v>1407</v>
      </c>
      <c r="F8644" s="2" t="s">
        <v>13</v>
      </c>
      <c r="G8644" s="2">
        <v>56.0</v>
      </c>
      <c r="H8644" s="3" t="str">
        <f>HYPERLINK("http://www.linkedin.com/pub/steve-jaklina-bailey/13/640/394","http://www.linkedin.com/pub/steve-jaklina-bailey/13/640/394")</f>
        <v>http://www.linkedin.com/pub/steve-jaklina-bailey/13/640/394</v>
      </c>
      <c r="I8644" s="2" t="s">
        <v>279</v>
      </c>
      <c r="J8644" s="2" t="s">
        <v>102</v>
      </c>
      <c r="K8644" s="2" t="s">
        <v>14105</v>
      </c>
    </row>
    <row r="8645" ht="15.75" customHeight="1">
      <c r="A8645" s="2">
        <v>166186.0</v>
      </c>
      <c r="B8645" s="2" t="s">
        <v>15693</v>
      </c>
      <c r="C8645" s="2" t="s">
        <v>1144</v>
      </c>
      <c r="D8645" s="2"/>
      <c r="E8645" s="2" t="s">
        <v>136</v>
      </c>
      <c r="F8645" s="2">
        <v>3.0</v>
      </c>
      <c r="G8645" s="2">
        <v>500.0</v>
      </c>
      <c r="H8645" s="3" t="str">
        <f>HYPERLINK("http://www.linkedin.com/pub/abigail-allen/1/213/599","http://www.linkedin.com/pub/abigail-allen/1/213/599")</f>
        <v>http://www.linkedin.com/pub/abigail-allen/1/213/599</v>
      </c>
      <c r="I8645" s="2" t="s">
        <v>48</v>
      </c>
      <c r="J8645" s="2" t="s">
        <v>102</v>
      </c>
      <c r="K8645" s="2" t="s">
        <v>14057</v>
      </c>
    </row>
    <row r="8646" ht="15.75" customHeight="1">
      <c r="A8646" s="2">
        <v>166364.0</v>
      </c>
      <c r="B8646" s="2" t="s">
        <v>133</v>
      </c>
      <c r="C8646" s="2" t="s">
        <v>15694</v>
      </c>
      <c r="D8646" s="2" t="s">
        <v>13</v>
      </c>
      <c r="E8646" s="2" t="s">
        <v>15695</v>
      </c>
      <c r="F8646" s="2">
        <v>0.0</v>
      </c>
      <c r="G8646" s="2">
        <v>500.0</v>
      </c>
      <c r="H8646" s="3" t="str">
        <f>HYPERLINK("http://www.linkedin.com/pub/michael-joerin/4/b89/703","http://www.linkedin.com/pub/michael-joerin/4/b89/703")</f>
        <v>http://www.linkedin.com/pub/michael-joerin/4/b89/703</v>
      </c>
      <c r="I8646" s="2" t="s">
        <v>69</v>
      </c>
      <c r="J8646" s="2" t="s">
        <v>53</v>
      </c>
      <c r="K8646" s="2" t="s">
        <v>14204</v>
      </c>
    </row>
    <row r="8647" ht="15.75" customHeight="1">
      <c r="A8647" s="2">
        <v>166628.0</v>
      </c>
      <c r="B8647" s="2" t="s">
        <v>15696</v>
      </c>
      <c r="C8647" s="2" t="s">
        <v>15697</v>
      </c>
      <c r="D8647" s="2" t="s">
        <v>15698</v>
      </c>
      <c r="E8647" s="2" t="s">
        <v>136</v>
      </c>
      <c r="F8647" s="2">
        <v>11.0</v>
      </c>
      <c r="G8647" s="2">
        <v>500.0</v>
      </c>
      <c r="H8647" s="3" t="str">
        <f>HYPERLINK("http://www.linkedin.com/in/rdhjr","http://www.linkedin.com/in/rdhjr")</f>
        <v>http://www.linkedin.com/in/rdhjr</v>
      </c>
      <c r="I8647" s="2" t="s">
        <v>69</v>
      </c>
      <c r="J8647" s="2" t="s">
        <v>102</v>
      </c>
      <c r="K8647" s="2" t="s">
        <v>14078</v>
      </c>
    </row>
    <row r="8648" ht="15.75" customHeight="1">
      <c r="A8648" s="2">
        <v>166712.0</v>
      </c>
      <c r="B8648" s="2" t="s">
        <v>12998</v>
      </c>
      <c r="C8648" s="2" t="s">
        <v>3075</v>
      </c>
      <c r="D8648" s="2" t="s">
        <v>114</v>
      </c>
      <c r="E8648" s="2" t="s">
        <v>136</v>
      </c>
      <c r="F8648" s="2">
        <v>0.0</v>
      </c>
      <c r="G8648" s="2">
        <v>500.0</v>
      </c>
      <c r="H8648" s="3" t="str">
        <f>HYPERLINK("http://www.linkedin.com/in/jpmorgansfca","http://www.linkedin.com/in/jpmorgansfca")</f>
        <v>http://www.linkedin.com/in/jpmorgansfca</v>
      </c>
      <c r="I8648" s="2" t="s">
        <v>15</v>
      </c>
      <c r="J8648" s="2" t="s">
        <v>102</v>
      </c>
      <c r="K8648" s="2" t="s">
        <v>14078</v>
      </c>
    </row>
    <row r="8649" ht="15.75" customHeight="1">
      <c r="A8649" s="2">
        <v>166724.0</v>
      </c>
      <c r="B8649" s="2" t="s">
        <v>1364</v>
      </c>
      <c r="C8649" s="2" t="s">
        <v>15699</v>
      </c>
      <c r="D8649" s="2" t="s">
        <v>4854</v>
      </c>
      <c r="E8649" s="2" t="s">
        <v>13482</v>
      </c>
      <c r="F8649" s="2">
        <v>1.0</v>
      </c>
      <c r="G8649" s="2">
        <v>500.0</v>
      </c>
      <c r="H8649" s="3" t="str">
        <f>HYPERLINK("http://www.linkedin.com/pub/dennis-ashcroft/9/51A/848","http://www.linkedin.com/pub/dennis-ashcroft/9/51A/848")</f>
        <v>http://www.linkedin.com/pub/dennis-ashcroft/9/51A/848</v>
      </c>
      <c r="I8649" s="2" t="s">
        <v>1679</v>
      </c>
      <c r="J8649" s="2" t="s">
        <v>102</v>
      </c>
      <c r="K8649" s="2" t="s">
        <v>14092</v>
      </c>
    </row>
    <row r="8650" ht="15.75" customHeight="1">
      <c r="A8650" s="2">
        <v>166807.0</v>
      </c>
      <c r="B8650" s="2" t="s">
        <v>1951</v>
      </c>
      <c r="C8650" s="2" t="s">
        <v>4233</v>
      </c>
      <c r="D8650" s="2" t="s">
        <v>15700</v>
      </c>
      <c r="E8650" s="2" t="s">
        <v>1190</v>
      </c>
      <c r="F8650" s="2">
        <v>0.0</v>
      </c>
      <c r="G8650" s="2">
        <v>303.0</v>
      </c>
      <c r="H8650" s="3" t="str">
        <f>HYPERLINK("http://www.linkedin.com/pub/amadeo-gonzalez/22/5AA/244","http://www.linkedin.com/pub/amadeo-gonzalez/22/5AA/244")</f>
        <v>http://www.linkedin.com/pub/amadeo-gonzalez/22/5AA/244</v>
      </c>
      <c r="I8650" s="2" t="s">
        <v>669</v>
      </c>
      <c r="J8650" s="2" t="s">
        <v>102</v>
      </c>
      <c r="K8650" s="2" t="s">
        <v>14074</v>
      </c>
    </row>
    <row r="8651" ht="15.75" customHeight="1">
      <c r="A8651" s="2">
        <v>166924.0</v>
      </c>
      <c r="B8651" s="2" t="s">
        <v>2014</v>
      </c>
      <c r="C8651" s="2" t="s">
        <v>15701</v>
      </c>
      <c r="D8651" s="2" t="s">
        <v>15702</v>
      </c>
      <c r="E8651" s="2" t="s">
        <v>136</v>
      </c>
      <c r="F8651" s="2" t="s">
        <v>13</v>
      </c>
      <c r="G8651" s="2">
        <v>500.0</v>
      </c>
      <c r="H8651" s="3" t="str">
        <f>HYPERLINK("http://www.linkedin.com/pub/ken-rahn/7/68B/42B","http://www.linkedin.com/pub/ken-rahn/7/68B/42B")</f>
        <v>http://www.linkedin.com/pub/ken-rahn/7/68B/42B</v>
      </c>
      <c r="I8651" s="2" t="s">
        <v>663</v>
      </c>
      <c r="J8651" s="2" t="s">
        <v>102</v>
      </c>
      <c r="K8651" s="2" t="s">
        <v>14422</v>
      </c>
    </row>
    <row r="8652" ht="15.75" customHeight="1">
      <c r="A8652" s="2">
        <v>166929.0</v>
      </c>
      <c r="B8652" s="2" t="s">
        <v>178</v>
      </c>
      <c r="C8652" s="2" t="s">
        <v>5088</v>
      </c>
      <c r="D8652" s="2" t="s">
        <v>950</v>
      </c>
      <c r="E8652" s="2" t="s">
        <v>136</v>
      </c>
      <c r="F8652" s="2">
        <v>0.0</v>
      </c>
      <c r="G8652" s="2">
        <v>340.0</v>
      </c>
      <c r="H8652" s="3" t="str">
        <f>HYPERLINK("http://www.linkedin.com/in/joesantos","http://www.linkedin.com/in/joesantos")</f>
        <v>http://www.linkedin.com/in/joesantos</v>
      </c>
      <c r="I8652" s="2" t="s">
        <v>15</v>
      </c>
      <c r="J8652" s="2" t="s">
        <v>102</v>
      </c>
      <c r="K8652" s="2" t="s">
        <v>14452</v>
      </c>
    </row>
    <row r="8653" ht="15.75" customHeight="1">
      <c r="A8653" s="2">
        <v>166939.0</v>
      </c>
      <c r="B8653" s="2" t="s">
        <v>953</v>
      </c>
      <c r="C8653" s="2" t="s">
        <v>15703</v>
      </c>
      <c r="D8653" s="2" t="s">
        <v>2896</v>
      </c>
      <c r="E8653" s="2" t="s">
        <v>728</v>
      </c>
      <c r="F8653" s="2">
        <v>3.0</v>
      </c>
      <c r="G8653" s="2">
        <v>500.0</v>
      </c>
      <c r="H8653" s="3" t="str">
        <f>HYPERLINK("http://www.linkedin.com/in/heidijwahl","http://www.linkedin.com/in/heidijwahl")</f>
        <v>http://www.linkedin.com/in/heidijwahl</v>
      </c>
      <c r="I8653" s="2" t="s">
        <v>77</v>
      </c>
      <c r="J8653" s="2" t="s">
        <v>102</v>
      </c>
      <c r="K8653" s="2" t="s">
        <v>14211</v>
      </c>
    </row>
    <row r="8654" ht="15.75" customHeight="1">
      <c r="A8654" s="2">
        <v>166984.0</v>
      </c>
      <c r="B8654" s="2" t="s">
        <v>1071</v>
      </c>
      <c r="C8654" s="2" t="s">
        <v>9968</v>
      </c>
      <c r="D8654" s="2" t="s">
        <v>15704</v>
      </c>
      <c r="E8654" s="2" t="s">
        <v>136</v>
      </c>
      <c r="F8654" s="2">
        <v>4.0</v>
      </c>
      <c r="G8654" s="2">
        <v>500.0</v>
      </c>
      <c r="H8654" s="3" t="str">
        <f>HYPERLINK("http://www.linkedin.com/pub/eric-rosa/0/842/12","http://www.linkedin.com/pub/eric-rosa/0/842/12")</f>
        <v>http://www.linkedin.com/pub/eric-rosa/0/842/12</v>
      </c>
      <c r="I8654" s="2" t="s">
        <v>48</v>
      </c>
      <c r="J8654" s="2" t="s">
        <v>102</v>
      </c>
      <c r="K8654" s="2" t="s">
        <v>14142</v>
      </c>
    </row>
    <row r="8655" ht="15.75" customHeight="1">
      <c r="A8655" s="2">
        <v>167422.0</v>
      </c>
      <c r="B8655" s="2" t="s">
        <v>295</v>
      </c>
      <c r="C8655" s="2" t="s">
        <v>3684</v>
      </c>
      <c r="D8655" s="2" t="s">
        <v>536</v>
      </c>
      <c r="E8655" s="2" t="s">
        <v>713</v>
      </c>
      <c r="F8655" s="2">
        <v>2.0</v>
      </c>
      <c r="G8655" s="2">
        <v>409.0</v>
      </c>
      <c r="H8655" s="3" t="str">
        <f>HYPERLINK("http://www.linkedin.com/in/seanbwalter","http://www.linkedin.com/in/seanbwalter")</f>
        <v>http://www.linkedin.com/in/seanbwalter</v>
      </c>
      <c r="I8655" s="2" t="s">
        <v>48</v>
      </c>
      <c r="J8655" s="2" t="s">
        <v>102</v>
      </c>
      <c r="K8655" s="2" t="s">
        <v>14197</v>
      </c>
    </row>
    <row r="8656" ht="15.75" customHeight="1">
      <c r="A8656" s="2">
        <v>167424.0</v>
      </c>
      <c r="B8656" s="2" t="s">
        <v>460</v>
      </c>
      <c r="C8656" s="2" t="s">
        <v>15705</v>
      </c>
      <c r="D8656" s="2" t="s">
        <v>13</v>
      </c>
      <c r="E8656" s="2" t="s">
        <v>2429</v>
      </c>
      <c r="F8656" s="2">
        <v>0.0</v>
      </c>
      <c r="G8656" s="2">
        <v>500.0</v>
      </c>
      <c r="H8656" s="3" t="str">
        <f>HYPERLINK("http://www.linkedin.com/in/johnjsetlak/","http://www.linkedin.com/in/johnjsetlak/")</f>
        <v>http://www.linkedin.com/in/johnjsetlak/</v>
      </c>
      <c r="I8656" s="2" t="s">
        <v>48</v>
      </c>
      <c r="J8656" s="2" t="s">
        <v>102</v>
      </c>
      <c r="K8656" s="2" t="s">
        <v>14078</v>
      </c>
    </row>
    <row r="8657" ht="15.75" customHeight="1">
      <c r="A8657" s="2">
        <v>167455.0</v>
      </c>
      <c r="B8657" s="2" t="s">
        <v>302</v>
      </c>
      <c r="C8657" s="2" t="s">
        <v>15706</v>
      </c>
      <c r="D8657" s="2" t="s">
        <v>1556</v>
      </c>
      <c r="E8657" s="2" t="s">
        <v>136</v>
      </c>
      <c r="F8657" s="2">
        <v>48.0</v>
      </c>
      <c r="G8657" s="2">
        <v>500.0</v>
      </c>
      <c r="H8657" s="3" t="str">
        <f>HYPERLINK("http://www.linkedin.com/in/bshepardcooforum","http://www.linkedin.com/in/bshepardcooforum")</f>
        <v>http://www.linkedin.com/in/bshepardcooforum</v>
      </c>
      <c r="I8657" s="2" t="s">
        <v>1390</v>
      </c>
      <c r="J8657" s="2" t="s">
        <v>102</v>
      </c>
      <c r="K8657" s="2" t="s">
        <v>14074</v>
      </c>
    </row>
    <row r="8658" ht="15.75" customHeight="1">
      <c r="A8658" s="2">
        <v>167517.0</v>
      </c>
      <c r="B8658" s="2" t="s">
        <v>15707</v>
      </c>
      <c r="C8658" s="2" t="s">
        <v>15708</v>
      </c>
      <c r="D8658" s="2" t="s">
        <v>114</v>
      </c>
      <c r="E8658" s="2" t="s">
        <v>10658</v>
      </c>
      <c r="F8658" s="2">
        <v>3.0</v>
      </c>
      <c r="G8658" s="2">
        <v>500.0</v>
      </c>
      <c r="H8658" s="3" t="str">
        <f>HYPERLINK("http://www.linkedin.com/in/errolwirasinghe","http://www.linkedin.com/in/errolwirasinghe")</f>
        <v>http://www.linkedin.com/in/errolwirasinghe</v>
      </c>
      <c r="I8658" s="2" t="s">
        <v>1390</v>
      </c>
      <c r="J8658" s="2" t="s">
        <v>102</v>
      </c>
      <c r="K8658" s="2" t="s">
        <v>14055</v>
      </c>
    </row>
    <row r="8659" ht="15.75" customHeight="1">
      <c r="A8659" s="2">
        <v>167599.0</v>
      </c>
      <c r="B8659" s="2" t="s">
        <v>1004</v>
      </c>
      <c r="C8659" s="2" t="s">
        <v>15709</v>
      </c>
      <c r="D8659" s="2" t="s">
        <v>4517</v>
      </c>
      <c r="E8659" s="2" t="s">
        <v>101</v>
      </c>
      <c r="F8659" s="2">
        <v>10.0</v>
      </c>
      <c r="G8659" s="2">
        <v>500.0</v>
      </c>
      <c r="H8659" s="3" t="str">
        <f>HYPERLINK("http://www.linkedin.com/in/magnes","http://www.linkedin.com/in/magnes")</f>
        <v>http://www.linkedin.com/in/magnes</v>
      </c>
      <c r="I8659" s="2" t="s">
        <v>15</v>
      </c>
      <c r="J8659" s="2" t="s">
        <v>102</v>
      </c>
      <c r="K8659" s="2" t="s">
        <v>14088</v>
      </c>
    </row>
    <row r="8660" ht="15.75" customHeight="1">
      <c r="A8660" s="2">
        <v>167631.0</v>
      </c>
      <c r="B8660" s="2" t="s">
        <v>460</v>
      </c>
      <c r="C8660" s="2" t="s">
        <v>15710</v>
      </c>
      <c r="D8660" s="2" t="s">
        <v>47</v>
      </c>
      <c r="E8660" s="2" t="s">
        <v>2263</v>
      </c>
      <c r="F8660" s="2">
        <v>7.0</v>
      </c>
      <c r="G8660" s="2">
        <v>500.0</v>
      </c>
      <c r="H8660" s="3" t="str">
        <f>HYPERLINK("http://www.linkedin.com/in/jgale","http://www.linkedin.com/in/jgale")</f>
        <v>http://www.linkedin.com/in/jgale</v>
      </c>
      <c r="I8660" s="2" t="s">
        <v>57</v>
      </c>
      <c r="J8660" s="2" t="s">
        <v>102</v>
      </c>
      <c r="K8660" s="2" t="s">
        <v>14074</v>
      </c>
    </row>
    <row r="8661" ht="15.75" customHeight="1">
      <c r="A8661" s="2">
        <v>167685.0</v>
      </c>
      <c r="B8661" s="2" t="s">
        <v>3441</v>
      </c>
      <c r="C8661" s="2" t="s">
        <v>15711</v>
      </c>
      <c r="D8661" s="2" t="s">
        <v>13</v>
      </c>
      <c r="E8661" s="2" t="s">
        <v>136</v>
      </c>
      <c r="F8661" s="2">
        <v>0.0</v>
      </c>
      <c r="G8661" s="2">
        <v>500.0</v>
      </c>
      <c r="H8661" s="3" t="str">
        <f>HYPERLINK("http://www.linkedin.com/in/elizabethcaselton","http://www.linkedin.com/in/elizabethcaselton")</f>
        <v>http://www.linkedin.com/in/elizabethcaselton</v>
      </c>
      <c r="I8661" s="2" t="s">
        <v>248</v>
      </c>
      <c r="J8661" s="2" t="s">
        <v>102</v>
      </c>
      <c r="K8661" s="2" t="s">
        <v>14115</v>
      </c>
    </row>
    <row r="8662" ht="15.75" customHeight="1">
      <c r="A8662" s="2">
        <v>167704.0</v>
      </c>
      <c r="B8662" s="2" t="s">
        <v>287</v>
      </c>
      <c r="C8662" s="2" t="s">
        <v>15712</v>
      </c>
      <c r="D8662" s="2" t="s">
        <v>1320</v>
      </c>
      <c r="E8662" s="2" t="s">
        <v>713</v>
      </c>
      <c r="F8662" s="2" t="s">
        <v>13</v>
      </c>
      <c r="G8662" s="2">
        <v>500.0</v>
      </c>
      <c r="H8662" s="3" t="str">
        <f>HYPERLINK("http://www.linkedin.com/pub/paul-bemis/0/18B/BA1","http://www.linkedin.com/pub/paul-bemis/0/18B/BA1")</f>
        <v>http://www.linkedin.com/pub/paul-bemis/0/18B/BA1</v>
      </c>
      <c r="I8662" s="2" t="s">
        <v>48</v>
      </c>
      <c r="J8662" s="2" t="s">
        <v>102</v>
      </c>
      <c r="K8662" s="2" t="s">
        <v>14080</v>
      </c>
    </row>
    <row r="8663" ht="15.75" customHeight="1">
      <c r="A8663" s="2">
        <v>167705.0</v>
      </c>
      <c r="B8663" s="2" t="s">
        <v>15713</v>
      </c>
      <c r="C8663" s="2" t="s">
        <v>15714</v>
      </c>
      <c r="D8663" s="2" t="s">
        <v>13</v>
      </c>
      <c r="E8663" s="2" t="s">
        <v>2058</v>
      </c>
      <c r="F8663" s="2">
        <v>12.0</v>
      </c>
      <c r="G8663" s="2">
        <v>500.0</v>
      </c>
      <c r="H8663" s="3" t="str">
        <f>HYPERLINK("https://www.linkedin.com/in/krvashee","https://www.linkedin.com/in/krvashee")</f>
        <v>https://www.linkedin.com/in/krvashee</v>
      </c>
      <c r="I8663" s="2" t="s">
        <v>48</v>
      </c>
      <c r="J8663" s="2" t="s">
        <v>102</v>
      </c>
      <c r="K8663" s="2" t="s">
        <v>14142</v>
      </c>
    </row>
    <row r="8664" ht="15.75" customHeight="1">
      <c r="A8664" s="2">
        <v>167706.0</v>
      </c>
      <c r="B8664" s="2" t="s">
        <v>1300</v>
      </c>
      <c r="C8664" s="2" t="s">
        <v>15715</v>
      </c>
      <c r="D8664" s="2" t="s">
        <v>15716</v>
      </c>
      <c r="E8664" s="2" t="s">
        <v>5396</v>
      </c>
      <c r="F8664" s="2">
        <v>9.0</v>
      </c>
      <c r="G8664" s="2">
        <v>500.0</v>
      </c>
      <c r="H8664" s="3" t="str">
        <f>HYPERLINK("http://www.linkedin.com/in/emerton","http://www.linkedin.com/in/emerton")</f>
        <v>http://www.linkedin.com/in/emerton</v>
      </c>
      <c r="I8664" s="2" t="s">
        <v>15</v>
      </c>
      <c r="J8664" s="2" t="s">
        <v>102</v>
      </c>
      <c r="K8664" s="2" t="s">
        <v>14617</v>
      </c>
    </row>
    <row r="8665" ht="15.75" customHeight="1">
      <c r="A8665" s="2">
        <v>167754.0</v>
      </c>
      <c r="B8665" s="2" t="s">
        <v>1593</v>
      </c>
      <c r="C8665" s="2" t="s">
        <v>15717</v>
      </c>
      <c r="D8665" s="2" t="s">
        <v>47</v>
      </c>
      <c r="E8665" s="2" t="s">
        <v>728</v>
      </c>
      <c r="F8665" s="2">
        <v>5.0</v>
      </c>
      <c r="G8665" s="2">
        <v>500.0</v>
      </c>
      <c r="H8665" s="3" t="str">
        <f>HYPERLINK("http://www.linkedin.com/in/lingoport","http://www.linkedin.com/in/lingoport")</f>
        <v>http://www.linkedin.com/in/lingoport</v>
      </c>
      <c r="I8665" s="2" t="s">
        <v>48</v>
      </c>
      <c r="J8665" s="2" t="s">
        <v>102</v>
      </c>
      <c r="K8665" s="2" t="s">
        <v>14080</v>
      </c>
    </row>
    <row r="8666" ht="15.75" customHeight="1">
      <c r="A8666" s="2">
        <v>167838.0</v>
      </c>
      <c r="B8666" s="2" t="s">
        <v>5173</v>
      </c>
      <c r="C8666" s="2" t="s">
        <v>15718</v>
      </c>
      <c r="D8666" s="2" t="s">
        <v>15719</v>
      </c>
      <c r="E8666" s="2" t="s">
        <v>155</v>
      </c>
      <c r="F8666" s="2">
        <v>11.0</v>
      </c>
      <c r="G8666" s="2">
        <v>500.0</v>
      </c>
      <c r="H8666" s="3" t="str">
        <f>HYPERLINK("http://www.linkedin.com/in/richmironov","http://www.linkedin.com/in/richmironov")</f>
        <v>http://www.linkedin.com/in/richmironov</v>
      </c>
      <c r="I8666" s="2" t="s">
        <v>48</v>
      </c>
      <c r="J8666" s="2" t="s">
        <v>102</v>
      </c>
      <c r="K8666" s="2" t="s">
        <v>15720</v>
      </c>
    </row>
    <row r="8667" ht="15.75" customHeight="1">
      <c r="A8667" s="2">
        <v>167890.0</v>
      </c>
      <c r="B8667" s="2" t="s">
        <v>298</v>
      </c>
      <c r="C8667" s="2" t="s">
        <v>15721</v>
      </c>
      <c r="D8667" s="2" t="s">
        <v>6567</v>
      </c>
      <c r="E8667" s="2" t="s">
        <v>713</v>
      </c>
      <c r="F8667" s="2">
        <v>13.0</v>
      </c>
      <c r="G8667" s="2">
        <v>348.0</v>
      </c>
      <c r="H8667" s="3" t="str">
        <f>HYPERLINK("http://www.linkedin.com/pub/krishna-krovi/0/B3/6A","http://www.linkedin.com/pub/krishna-krovi/0/B3/6A")</f>
        <v>http://www.linkedin.com/pub/krishna-krovi/0/B3/6A</v>
      </c>
      <c r="I8667" s="2" t="s">
        <v>69</v>
      </c>
      <c r="J8667" s="2" t="s">
        <v>102</v>
      </c>
      <c r="K8667" s="2" t="s">
        <v>14078</v>
      </c>
    </row>
    <row r="8668" ht="15.75" customHeight="1">
      <c r="A8668" s="2">
        <v>167968.0</v>
      </c>
      <c r="B8668" s="2" t="s">
        <v>414</v>
      </c>
      <c r="C8668" s="2" t="s">
        <v>15722</v>
      </c>
      <c r="D8668" s="2" t="s">
        <v>100</v>
      </c>
      <c r="E8668" s="2" t="s">
        <v>713</v>
      </c>
      <c r="F8668" s="2">
        <v>16.0</v>
      </c>
      <c r="G8668" s="2">
        <v>500.0</v>
      </c>
      <c r="H8668" s="3" t="str">
        <f>HYPERLINK("http://www.linkedin.com/in/tmandosa","http://www.linkedin.com/in/tmandosa")</f>
        <v>http://www.linkedin.com/in/tmandosa</v>
      </c>
      <c r="I8668" s="2" t="s">
        <v>15</v>
      </c>
      <c r="J8668" s="2" t="s">
        <v>102</v>
      </c>
      <c r="K8668" s="2" t="s">
        <v>14074</v>
      </c>
    </row>
    <row r="8669" ht="15.75" customHeight="1">
      <c r="A8669" s="2">
        <v>167990.0</v>
      </c>
      <c r="B8669" s="2" t="s">
        <v>940</v>
      </c>
      <c r="C8669" s="2" t="s">
        <v>869</v>
      </c>
      <c r="D8669" s="2" t="s">
        <v>100</v>
      </c>
      <c r="E8669" s="2" t="s">
        <v>2058</v>
      </c>
      <c r="F8669" s="2">
        <v>9.0</v>
      </c>
      <c r="G8669" s="2">
        <v>500.0</v>
      </c>
      <c r="H8669" s="3" t="str">
        <f>HYPERLINK("http://www.linkedin.com/in/schwartz","http://www.linkedin.com/in/schwartz")</f>
        <v>http://www.linkedin.com/in/schwartz</v>
      </c>
      <c r="I8669" s="2" t="s">
        <v>69</v>
      </c>
      <c r="J8669" s="2" t="s">
        <v>102</v>
      </c>
      <c r="K8669" s="2" t="s">
        <v>14242</v>
      </c>
    </row>
    <row r="8670" ht="15.75" customHeight="1">
      <c r="A8670" s="2">
        <v>168080.0</v>
      </c>
      <c r="B8670" s="2" t="s">
        <v>4322</v>
      </c>
      <c r="C8670" s="2" t="s">
        <v>15723</v>
      </c>
      <c r="D8670" s="2" t="s">
        <v>4026</v>
      </c>
      <c r="E8670" s="2" t="s">
        <v>1918</v>
      </c>
      <c r="F8670" s="2">
        <v>3.0</v>
      </c>
      <c r="G8670" s="2">
        <v>500.0</v>
      </c>
      <c r="H8670" s="3" t="str">
        <f>HYPERLINK("http://www.linkedin.com/in/elaineorler","http://www.linkedin.com/in/elaineorler")</f>
        <v>http://www.linkedin.com/in/elaineorler</v>
      </c>
      <c r="I8670" s="2" t="s">
        <v>248</v>
      </c>
      <c r="J8670" s="2" t="s">
        <v>102</v>
      </c>
      <c r="K8670" s="2" t="s">
        <v>14055</v>
      </c>
    </row>
    <row r="8671" ht="15.75" customHeight="1">
      <c r="A8671" s="2">
        <v>168155.0</v>
      </c>
      <c r="B8671" s="2" t="s">
        <v>275</v>
      </c>
      <c r="C8671" s="2" t="s">
        <v>15724</v>
      </c>
      <c r="D8671" s="2" t="s">
        <v>13</v>
      </c>
      <c r="E8671" s="2" t="s">
        <v>1190</v>
      </c>
      <c r="F8671" s="2">
        <v>2.0</v>
      </c>
      <c r="G8671" s="2">
        <v>500.0</v>
      </c>
      <c r="H8671" s="3" t="str">
        <f>HYPERLINK("http://www.linkedin.com/pub/mark-crofton/0/190/368/","http://www.linkedin.com/pub/mark-crofton/0/190/368/")</f>
        <v>http://www.linkedin.com/pub/mark-crofton/0/190/368/</v>
      </c>
      <c r="I8671" s="2" t="s">
        <v>48</v>
      </c>
      <c r="J8671" s="2" t="s">
        <v>102</v>
      </c>
      <c r="K8671" s="2" t="s">
        <v>14095</v>
      </c>
    </row>
    <row r="8672" ht="15.75" customHeight="1">
      <c r="A8672" s="2">
        <v>168171.0</v>
      </c>
      <c r="B8672" s="2" t="s">
        <v>15322</v>
      </c>
      <c r="C8672" s="2" t="s">
        <v>15725</v>
      </c>
      <c r="D8672" s="2" t="s">
        <v>15726</v>
      </c>
      <c r="E8672" s="2" t="s">
        <v>791</v>
      </c>
      <c r="F8672" s="2">
        <v>0.0</v>
      </c>
      <c r="G8672" s="2">
        <v>500.0</v>
      </c>
      <c r="H8672" s="3" t="str">
        <f>HYPERLINK("http://www.linkedin.com/in/gerhardeschelbeck","http://www.linkedin.com/in/gerhardeschelbeck")</f>
        <v>http://www.linkedin.com/in/gerhardeschelbeck</v>
      </c>
      <c r="I8672" s="2" t="s">
        <v>48</v>
      </c>
      <c r="J8672" s="2" t="s">
        <v>575</v>
      </c>
      <c r="K8672" s="2" t="s">
        <v>14142</v>
      </c>
    </row>
    <row r="8673" ht="15.75" customHeight="1">
      <c r="A8673" s="2">
        <v>168243.0</v>
      </c>
      <c r="B8673" s="2" t="s">
        <v>1593</v>
      </c>
      <c r="C8673" s="2" t="s">
        <v>4020</v>
      </c>
      <c r="D8673" s="2" t="s">
        <v>47</v>
      </c>
      <c r="E8673" s="2" t="s">
        <v>15727</v>
      </c>
      <c r="F8673" s="2" t="s">
        <v>13</v>
      </c>
      <c r="G8673" s="2">
        <v>500.0</v>
      </c>
      <c r="H8673" s="3" t="str">
        <f>HYPERLINK("http://www.linkedin.com/in/adamzak","http://www.linkedin.com/in/adamzak")</f>
        <v>http://www.linkedin.com/in/adamzak</v>
      </c>
      <c r="I8673" s="2" t="s">
        <v>248</v>
      </c>
      <c r="J8673" s="2" t="s">
        <v>102</v>
      </c>
      <c r="K8673" s="2" t="s">
        <v>14115</v>
      </c>
    </row>
    <row r="8674" ht="15.75" customHeight="1">
      <c r="A8674" s="2">
        <v>168280.0</v>
      </c>
      <c r="B8674" s="2" t="s">
        <v>291</v>
      </c>
      <c r="C8674" s="2" t="s">
        <v>15728</v>
      </c>
      <c r="D8674" s="2" t="s">
        <v>15729</v>
      </c>
      <c r="E8674" s="2" t="s">
        <v>251</v>
      </c>
      <c r="F8674" s="2">
        <v>16.0</v>
      </c>
      <c r="G8674" s="2">
        <v>500.0</v>
      </c>
      <c r="H8674" s="3" t="str">
        <f>HYPERLINK("http://www.linkedin.com/in/garyonealtx","http://www.linkedin.com/in/garyonealtx")</f>
        <v>http://www.linkedin.com/in/garyonealtx</v>
      </c>
      <c r="I8674" s="2" t="s">
        <v>248</v>
      </c>
      <c r="J8674" s="2" t="s">
        <v>102</v>
      </c>
      <c r="K8674" s="2" t="s">
        <v>14074</v>
      </c>
    </row>
    <row r="8675" ht="15.75" customHeight="1">
      <c r="A8675" s="2">
        <v>168305.0</v>
      </c>
      <c r="B8675" s="2" t="s">
        <v>1405</v>
      </c>
      <c r="C8675" s="2" t="s">
        <v>15730</v>
      </c>
      <c r="D8675" s="2" t="s">
        <v>15731</v>
      </c>
      <c r="E8675" s="2" t="s">
        <v>136</v>
      </c>
      <c r="F8675" s="2">
        <v>26.0</v>
      </c>
      <c r="G8675" s="2">
        <v>500.0</v>
      </c>
      <c r="H8675" s="3" t="str">
        <f>HYPERLINK("http://www.linkedin.com/in/ronrasmussen","http://www.linkedin.com/in/ronrasmussen")</f>
        <v>http://www.linkedin.com/in/ronrasmussen</v>
      </c>
      <c r="I8675" s="2" t="s">
        <v>48</v>
      </c>
      <c r="J8675" s="2" t="s">
        <v>102</v>
      </c>
      <c r="K8675" s="2" t="s">
        <v>14088</v>
      </c>
    </row>
    <row r="8676" ht="15.75" customHeight="1">
      <c r="A8676" s="2">
        <v>168345.0</v>
      </c>
      <c r="B8676" s="2" t="s">
        <v>15732</v>
      </c>
      <c r="C8676" s="2" t="s">
        <v>15733</v>
      </c>
      <c r="D8676" s="2" t="s">
        <v>15734</v>
      </c>
      <c r="E8676" s="2" t="s">
        <v>457</v>
      </c>
      <c r="F8676" s="2">
        <v>3.0</v>
      </c>
      <c r="G8676" s="2">
        <v>500.0</v>
      </c>
      <c r="H8676" s="3" t="str">
        <f>HYPERLINK("http://www.linkedin.com/in/dimamelnik","http://www.linkedin.com/in/dimamelnik")</f>
        <v>http://www.linkedin.com/in/dimamelnik</v>
      </c>
      <c r="I8676" s="2" t="s">
        <v>48</v>
      </c>
      <c r="J8676" s="2" t="s">
        <v>102</v>
      </c>
      <c r="K8676" s="2" t="s">
        <v>14142</v>
      </c>
    </row>
    <row r="8677" ht="15.75" customHeight="1">
      <c r="A8677" s="2">
        <v>168415.0</v>
      </c>
      <c r="B8677" s="2" t="s">
        <v>1015</v>
      </c>
      <c r="C8677" s="2" t="s">
        <v>9338</v>
      </c>
      <c r="D8677" s="2" t="s">
        <v>15735</v>
      </c>
      <c r="E8677" s="2" t="s">
        <v>14167</v>
      </c>
      <c r="F8677" s="2">
        <v>3.0</v>
      </c>
      <c r="G8677" s="2">
        <v>500.0</v>
      </c>
      <c r="H8677" s="3" t="str">
        <f>HYPERLINK("http://www.linkedin.com/in/brianczarny","http://www.linkedin.com/in/brianczarny")</f>
        <v>http://www.linkedin.com/in/brianczarny</v>
      </c>
      <c r="I8677" s="2" t="s">
        <v>48</v>
      </c>
      <c r="J8677" s="2" t="s">
        <v>102</v>
      </c>
      <c r="K8677" s="2" t="s">
        <v>14142</v>
      </c>
    </row>
    <row r="8678" ht="15.75" customHeight="1">
      <c r="A8678" s="2">
        <v>168430.0</v>
      </c>
      <c r="B8678" s="2" t="s">
        <v>15736</v>
      </c>
      <c r="C8678" s="2" t="s">
        <v>15737</v>
      </c>
      <c r="D8678" s="2" t="s">
        <v>13</v>
      </c>
      <c r="E8678" s="2" t="s">
        <v>10993</v>
      </c>
      <c r="F8678" s="2">
        <v>15.0</v>
      </c>
      <c r="G8678" s="2">
        <v>500.0</v>
      </c>
      <c r="H8678" s="3" t="str">
        <f>HYPERLINK("http://www.linkedin.com/in/sebastienprovencher","http://www.linkedin.com/in/sebastienprovencher")</f>
        <v>http://www.linkedin.com/in/sebastienprovencher</v>
      </c>
      <c r="I8678" s="2" t="s">
        <v>69</v>
      </c>
      <c r="J8678" s="2" t="s">
        <v>44</v>
      </c>
      <c r="K8678" s="2" t="s">
        <v>14088</v>
      </c>
    </row>
    <row r="8679" ht="15.75" customHeight="1">
      <c r="A8679" s="2">
        <v>168561.0</v>
      </c>
      <c r="B8679" s="2" t="s">
        <v>721</v>
      </c>
      <c r="C8679" s="2" t="s">
        <v>15738</v>
      </c>
      <c r="D8679" s="2" t="s">
        <v>1297</v>
      </c>
      <c r="E8679" s="2" t="s">
        <v>914</v>
      </c>
      <c r="F8679" s="2">
        <v>3.0</v>
      </c>
      <c r="G8679" s="2">
        <v>500.0</v>
      </c>
      <c r="H8679" s="3" t="str">
        <f>HYPERLINK("http://www.linkedin.com/in/andrewconru","http://www.linkedin.com/in/andrewconru")</f>
        <v>http://www.linkedin.com/in/andrewconru</v>
      </c>
      <c r="I8679" s="2" t="s">
        <v>910</v>
      </c>
      <c r="J8679" s="2" t="s">
        <v>102</v>
      </c>
      <c r="K8679" s="2" t="s">
        <v>14105</v>
      </c>
    </row>
    <row r="8680" ht="15.75" customHeight="1">
      <c r="A8680" s="2">
        <v>168593.0</v>
      </c>
      <c r="B8680" s="2" t="s">
        <v>534</v>
      </c>
      <c r="C8680" s="2" t="s">
        <v>4829</v>
      </c>
      <c r="D8680" s="2" t="s">
        <v>1017</v>
      </c>
      <c r="E8680" s="2" t="s">
        <v>2730</v>
      </c>
      <c r="F8680" s="2">
        <v>0.0</v>
      </c>
      <c r="G8680" s="2">
        <v>500.0</v>
      </c>
      <c r="H8680" s="3" t="str">
        <f>HYPERLINK("http://www.linkedin.com/pub/matthew-bauer/0/691/5BA","http://www.linkedin.com/pub/matthew-bauer/0/691/5BA")</f>
        <v>http://www.linkedin.com/pub/matthew-bauer/0/691/5BA</v>
      </c>
      <c r="I8680" s="2" t="s">
        <v>15</v>
      </c>
      <c r="J8680" s="2" t="s">
        <v>102</v>
      </c>
      <c r="K8680" s="2" t="s">
        <v>14095</v>
      </c>
    </row>
    <row r="8681" ht="15.75" customHeight="1">
      <c r="A8681" s="2">
        <v>168594.0</v>
      </c>
      <c r="B8681" s="2" t="s">
        <v>993</v>
      </c>
      <c r="C8681" s="2" t="s">
        <v>15739</v>
      </c>
      <c r="D8681" s="2" t="s">
        <v>15740</v>
      </c>
      <c r="E8681" s="2" t="s">
        <v>914</v>
      </c>
      <c r="F8681" s="2">
        <v>16.0</v>
      </c>
      <c r="G8681" s="2">
        <v>500.0</v>
      </c>
      <c r="H8681" s="3" t="str">
        <f>HYPERLINK("http://www.linkedin.com/in/jonstaenberg","http://www.linkedin.com/in/jonstaenberg")</f>
        <v>http://www.linkedin.com/in/jonstaenberg</v>
      </c>
      <c r="I8681" s="2" t="s">
        <v>15</v>
      </c>
      <c r="J8681" s="2" t="s">
        <v>102</v>
      </c>
      <c r="K8681" s="2" t="s">
        <v>14074</v>
      </c>
    </row>
    <row r="8682" ht="15.75" customHeight="1">
      <c r="A8682" s="2">
        <v>168643.0</v>
      </c>
      <c r="B8682" s="2" t="s">
        <v>1599</v>
      </c>
      <c r="C8682" s="2" t="s">
        <v>15741</v>
      </c>
      <c r="D8682" s="2" t="s">
        <v>15742</v>
      </c>
      <c r="E8682" s="2" t="s">
        <v>4060</v>
      </c>
      <c r="F8682" s="2">
        <v>3.0</v>
      </c>
      <c r="G8682" s="2">
        <v>500.0</v>
      </c>
      <c r="H8682" s="3" t="str">
        <f>HYPERLINK("http://www.linkedin.com/in/muoto","http://www.linkedin.com/in/muoto")</f>
        <v>http://www.linkedin.com/in/muoto</v>
      </c>
      <c r="I8682" s="2" t="s">
        <v>69</v>
      </c>
      <c r="J8682" s="2" t="s">
        <v>102</v>
      </c>
      <c r="K8682" s="2" t="s">
        <v>14197</v>
      </c>
    </row>
    <row r="8683" ht="15.75" customHeight="1">
      <c r="A8683" s="2">
        <v>168684.0</v>
      </c>
      <c r="B8683" s="2" t="s">
        <v>15316</v>
      </c>
      <c r="C8683" s="2" t="s">
        <v>15081</v>
      </c>
      <c r="D8683" s="2" t="s">
        <v>13</v>
      </c>
      <c r="E8683" s="2" t="s">
        <v>2058</v>
      </c>
      <c r="F8683" s="2">
        <v>0.0</v>
      </c>
      <c r="G8683" s="2">
        <v>500.0</v>
      </c>
      <c r="H8683" s="3" t="str">
        <f>HYPERLINK("http://www.linkedin.com/in/skipreed","http://www.linkedin.com/in/skipreed")</f>
        <v>http://www.linkedin.com/in/skipreed</v>
      </c>
      <c r="I8683" s="2" t="s">
        <v>105</v>
      </c>
      <c r="J8683" s="2" t="s">
        <v>102</v>
      </c>
      <c r="K8683" s="2" t="s">
        <v>14092</v>
      </c>
    </row>
    <row r="8684" ht="15.75" customHeight="1">
      <c r="A8684" s="2">
        <v>168696.0</v>
      </c>
      <c r="B8684" s="2" t="s">
        <v>2109</v>
      </c>
      <c r="C8684" s="2" t="s">
        <v>15743</v>
      </c>
      <c r="D8684" s="2" t="s">
        <v>3118</v>
      </c>
      <c r="E8684" s="2" t="s">
        <v>2058</v>
      </c>
      <c r="F8684" s="2" t="s">
        <v>13</v>
      </c>
      <c r="G8684" s="2">
        <v>500.0</v>
      </c>
      <c r="H8684" s="3" t="str">
        <f>HYPERLINK("http://www.linkedin.com/in/robsowers","http://www.linkedin.com/in/robsowers")</f>
        <v>http://www.linkedin.com/in/robsowers</v>
      </c>
      <c r="I8684" s="2" t="s">
        <v>48</v>
      </c>
      <c r="J8684" s="2" t="s">
        <v>102</v>
      </c>
      <c r="K8684" s="2" t="s">
        <v>14095</v>
      </c>
    </row>
    <row r="8685" ht="15.75" customHeight="1">
      <c r="A8685" s="2">
        <v>168856.0</v>
      </c>
      <c r="B8685" s="2" t="s">
        <v>133</v>
      </c>
      <c r="C8685" s="2" t="s">
        <v>15744</v>
      </c>
      <c r="D8685" s="2" t="s">
        <v>15745</v>
      </c>
      <c r="E8685" s="2" t="s">
        <v>136</v>
      </c>
      <c r="F8685" s="2">
        <v>5.0</v>
      </c>
      <c r="G8685" s="2">
        <v>500.0</v>
      </c>
      <c r="H8685" s="3" t="str">
        <f>HYPERLINK("http://www.linkedin.com/in/michaelcerda","http://www.linkedin.com/in/michaelcerda")</f>
        <v>http://www.linkedin.com/in/michaelcerda</v>
      </c>
      <c r="I8685" s="2" t="s">
        <v>910</v>
      </c>
      <c r="J8685" s="2" t="s">
        <v>102</v>
      </c>
      <c r="K8685" s="2" t="s">
        <v>14055</v>
      </c>
    </row>
    <row r="8686" ht="15.75" customHeight="1">
      <c r="A8686" s="2">
        <v>168922.0</v>
      </c>
      <c r="B8686" s="2" t="s">
        <v>625</v>
      </c>
      <c r="C8686" s="2" t="s">
        <v>15746</v>
      </c>
      <c r="D8686" s="2" t="s">
        <v>517</v>
      </c>
      <c r="E8686" s="2" t="s">
        <v>1918</v>
      </c>
      <c r="F8686" s="2">
        <v>0.0</v>
      </c>
      <c r="G8686" s="2">
        <v>500.0</v>
      </c>
      <c r="H8686" s="3" t="str">
        <f>HYPERLINK("http://www.linkedin.com/in/timeisenhauer","http://www.linkedin.com/in/timeisenhauer")</f>
        <v>http://www.linkedin.com/in/timeisenhauer</v>
      </c>
      <c r="I8686" s="2" t="s">
        <v>48</v>
      </c>
      <c r="J8686" s="2" t="s">
        <v>102</v>
      </c>
      <c r="K8686" s="2" t="s">
        <v>14204</v>
      </c>
    </row>
    <row r="8687" ht="15.75" customHeight="1">
      <c r="A8687" s="2">
        <v>168951.0</v>
      </c>
      <c r="B8687" s="2" t="s">
        <v>15747</v>
      </c>
      <c r="C8687" s="2" t="s">
        <v>15748</v>
      </c>
      <c r="D8687" s="2" t="s">
        <v>13</v>
      </c>
      <c r="E8687" s="2" t="s">
        <v>2090</v>
      </c>
      <c r="F8687" s="2">
        <v>0.0</v>
      </c>
      <c r="G8687" s="2">
        <v>500.0</v>
      </c>
      <c r="H8687" s="3" t="str">
        <f>HYPERLINK("http://ca.linkedin.com/in/robertmcohen","http://ca.linkedin.com/in/robertmcohen")</f>
        <v>http://ca.linkedin.com/in/robertmcohen</v>
      </c>
      <c r="I8687" s="2" t="s">
        <v>105</v>
      </c>
      <c r="J8687" s="2" t="s">
        <v>44</v>
      </c>
      <c r="K8687" s="2" t="s">
        <v>14074</v>
      </c>
    </row>
    <row r="8688" ht="15.75" customHeight="1">
      <c r="A8688" s="2">
        <v>168995.0</v>
      </c>
      <c r="B8688" s="2" t="s">
        <v>1380</v>
      </c>
      <c r="C8688" s="2" t="s">
        <v>15749</v>
      </c>
      <c r="D8688" s="2" t="s">
        <v>9624</v>
      </c>
      <c r="E8688" s="2" t="s">
        <v>136</v>
      </c>
      <c r="F8688" s="2">
        <v>11.0</v>
      </c>
      <c r="G8688" s="2">
        <v>500.0</v>
      </c>
      <c r="H8688" s="3" t="str">
        <f>HYPERLINK("http://www.linkedin.com/pub/randy-haykin/0/3/334","http://www.linkedin.com/pub/randy-haykin/0/3/334")</f>
        <v>http://www.linkedin.com/pub/randy-haykin/0/3/334</v>
      </c>
      <c r="I8688" s="2" t="s">
        <v>115</v>
      </c>
      <c r="J8688" s="2" t="s">
        <v>102</v>
      </c>
      <c r="K8688" s="2" t="s">
        <v>14204</v>
      </c>
    </row>
    <row r="8689" ht="15.75" customHeight="1">
      <c r="A8689" s="2">
        <v>169126.0</v>
      </c>
      <c r="B8689" s="2" t="s">
        <v>4756</v>
      </c>
      <c r="C8689" s="2" t="s">
        <v>15750</v>
      </c>
      <c r="D8689" s="2" t="s">
        <v>14917</v>
      </c>
      <c r="E8689" s="2" t="s">
        <v>101</v>
      </c>
      <c r="F8689" s="2">
        <v>0.0</v>
      </c>
      <c r="G8689" s="2">
        <v>500.0</v>
      </c>
      <c r="H8689" s="3" t="str">
        <f>HYPERLINK("http://www.linkedin.com/pub/jody-ma-kissling/0/104/741","http://www.linkedin.com/pub/jody-ma-kissling/0/104/741")</f>
        <v>http://www.linkedin.com/pub/jody-ma-kissling/0/104/741</v>
      </c>
      <c r="I8689" s="2" t="s">
        <v>160</v>
      </c>
      <c r="J8689" s="2" t="s">
        <v>102</v>
      </c>
      <c r="K8689" s="2" t="s">
        <v>14125</v>
      </c>
    </row>
    <row r="8690" ht="15.75" customHeight="1">
      <c r="A8690" s="2">
        <v>169130.0</v>
      </c>
      <c r="B8690" s="2" t="s">
        <v>5298</v>
      </c>
      <c r="C8690" s="2" t="s">
        <v>15751</v>
      </c>
      <c r="D8690" s="2" t="s">
        <v>13</v>
      </c>
      <c r="E8690" s="2" t="s">
        <v>136</v>
      </c>
      <c r="F8690" s="2">
        <v>0.0</v>
      </c>
      <c r="G8690" s="2">
        <v>500.0</v>
      </c>
      <c r="H8690" s="3" t="str">
        <f>HYPERLINK("http://www.linkedin.com/in/rezaraji","http://www.linkedin.com/in/rezaraji")</f>
        <v>http://www.linkedin.com/in/rezaraji</v>
      </c>
      <c r="I8690" s="2" t="s">
        <v>69</v>
      </c>
      <c r="J8690" s="2" t="s">
        <v>102</v>
      </c>
      <c r="K8690" s="2" t="s">
        <v>14071</v>
      </c>
    </row>
    <row r="8691" ht="15.75" customHeight="1">
      <c r="A8691" s="2">
        <v>169206.0</v>
      </c>
      <c r="B8691" s="2" t="s">
        <v>6390</v>
      </c>
      <c r="C8691" s="2" t="s">
        <v>15752</v>
      </c>
      <c r="D8691" s="2" t="s">
        <v>47</v>
      </c>
      <c r="E8691" s="2" t="s">
        <v>301</v>
      </c>
      <c r="F8691" s="2">
        <v>0.0</v>
      </c>
      <c r="G8691" s="2">
        <v>500.0</v>
      </c>
      <c r="H8691" s="3" t="str">
        <f>HYPERLINK("http://www.linkedin.com/in/gailconn","http://www.linkedin.com/in/gailconn")</f>
        <v>http://www.linkedin.com/in/gailconn</v>
      </c>
      <c r="I8691" s="2" t="s">
        <v>2046</v>
      </c>
      <c r="J8691" s="2" t="s">
        <v>102</v>
      </c>
      <c r="K8691" s="2" t="s">
        <v>14055</v>
      </c>
    </row>
    <row r="8692" ht="15.75" customHeight="1">
      <c r="A8692" s="2">
        <v>169273.0</v>
      </c>
      <c r="B8692" s="2" t="s">
        <v>15753</v>
      </c>
      <c r="C8692" s="2" t="s">
        <v>15754</v>
      </c>
      <c r="D8692" s="2" t="s">
        <v>47</v>
      </c>
      <c r="E8692" s="2" t="s">
        <v>713</v>
      </c>
      <c r="F8692" s="2">
        <v>5.0</v>
      </c>
      <c r="G8692" s="2">
        <v>431.0</v>
      </c>
      <c r="H8692" s="3" t="str">
        <f>HYPERLINK("http://www.linkedin.com/pub/amnon-aliphas/0/10B/8B3","http://www.linkedin.com/pub/amnon-aliphas/0/10B/8B3")</f>
        <v>http://www.linkedin.com/pub/amnon-aliphas/0/10B/8B3</v>
      </c>
      <c r="I8692" s="2" t="s">
        <v>77</v>
      </c>
      <c r="J8692" s="2" t="s">
        <v>102</v>
      </c>
      <c r="K8692" s="2" t="s">
        <v>14078</v>
      </c>
    </row>
    <row r="8693" ht="15.75" customHeight="1">
      <c r="A8693" s="2">
        <v>169372.0</v>
      </c>
      <c r="B8693" s="2" t="s">
        <v>15755</v>
      </c>
      <c r="C8693" s="2" t="s">
        <v>3274</v>
      </c>
      <c r="D8693" s="2" t="s">
        <v>529</v>
      </c>
      <c r="E8693" s="2" t="s">
        <v>1615</v>
      </c>
      <c r="F8693" s="2">
        <v>3.0</v>
      </c>
      <c r="G8693" s="2">
        <v>500.0</v>
      </c>
      <c r="H8693" s="3" t="str">
        <f>HYPERLINK("http://www.linkedin.com/in/darrinalexbrandt","http://www.linkedin.com/in/darrinalexbrandt")</f>
        <v>http://www.linkedin.com/in/darrinalexbrandt</v>
      </c>
      <c r="I8693" s="2" t="s">
        <v>48</v>
      </c>
      <c r="J8693" s="2" t="s">
        <v>102</v>
      </c>
      <c r="K8693" s="2" t="s">
        <v>14080</v>
      </c>
    </row>
    <row r="8694" ht="15.75" customHeight="1">
      <c r="A8694" s="2">
        <v>169383.0</v>
      </c>
      <c r="B8694" s="2" t="s">
        <v>754</v>
      </c>
      <c r="C8694" s="2" t="s">
        <v>15756</v>
      </c>
      <c r="D8694" s="2" t="s">
        <v>15757</v>
      </c>
      <c r="E8694" s="2" t="s">
        <v>15758</v>
      </c>
      <c r="F8694" s="2">
        <v>4.0</v>
      </c>
      <c r="G8694" s="2">
        <v>500.0</v>
      </c>
      <c r="H8694" s="3" t="str">
        <f>HYPERLINK("http://www.linkedin.com/pub/greg-fallon/0/897/730","http://www.linkedin.com/pub/greg-fallon/0/897/730")</f>
        <v>http://www.linkedin.com/pub/greg-fallon/0/897/730</v>
      </c>
      <c r="I8694" s="2" t="s">
        <v>48</v>
      </c>
      <c r="J8694" s="2" t="s">
        <v>102</v>
      </c>
      <c r="K8694" s="2" t="s">
        <v>15759</v>
      </c>
    </row>
    <row r="8695" ht="15.75" customHeight="1">
      <c r="A8695" s="2">
        <v>169456.0</v>
      </c>
      <c r="B8695" s="2" t="s">
        <v>4905</v>
      </c>
      <c r="C8695" s="2" t="s">
        <v>15760</v>
      </c>
      <c r="D8695" s="2" t="s">
        <v>3100</v>
      </c>
      <c r="E8695" s="2" t="s">
        <v>882</v>
      </c>
      <c r="F8695" s="2">
        <v>0.0</v>
      </c>
      <c r="G8695" s="2">
        <v>500.0</v>
      </c>
      <c r="H8695" s="3" t="str">
        <f>HYPERLINK("http://www.linkedin.com/in/colleenfarrell","http://www.linkedin.com/in/colleenfarrell")</f>
        <v>http://www.linkedin.com/in/colleenfarrell</v>
      </c>
      <c r="I8695" s="2" t="s">
        <v>440</v>
      </c>
      <c r="J8695" s="2" t="s">
        <v>102</v>
      </c>
      <c r="K8695" s="2" t="s">
        <v>14085</v>
      </c>
    </row>
    <row r="8696" ht="15.75" customHeight="1">
      <c r="A8696" s="2">
        <v>169498.0</v>
      </c>
      <c r="B8696" s="2" t="s">
        <v>845</v>
      </c>
      <c r="C8696" s="2" t="s">
        <v>15761</v>
      </c>
      <c r="D8696" s="2" t="s">
        <v>47</v>
      </c>
      <c r="E8696" s="2" t="s">
        <v>136</v>
      </c>
      <c r="F8696" s="2">
        <v>31.0</v>
      </c>
      <c r="G8696" s="2">
        <v>500.0</v>
      </c>
      <c r="H8696" s="3" t="str">
        <f>HYPERLINK("http://www.linkedin.com/in/dweekly","http://www.linkedin.com/in/dweekly")</f>
        <v>http://www.linkedin.com/in/dweekly</v>
      </c>
      <c r="I8696" s="2" t="s">
        <v>69</v>
      </c>
      <c r="J8696" s="2" t="s">
        <v>102</v>
      </c>
      <c r="K8696" s="2" t="s">
        <v>14073</v>
      </c>
    </row>
    <row r="8697" ht="15.75" customHeight="1">
      <c r="A8697" s="2">
        <v>169504.0</v>
      </c>
      <c r="B8697" s="2" t="s">
        <v>625</v>
      </c>
      <c r="C8697" s="2" t="s">
        <v>15762</v>
      </c>
      <c r="D8697" s="2" t="s">
        <v>15763</v>
      </c>
      <c r="E8697" s="2" t="s">
        <v>1918</v>
      </c>
      <c r="F8697" s="2">
        <v>1.0</v>
      </c>
      <c r="G8697" s="2">
        <v>500.0</v>
      </c>
      <c r="H8697" s="3" t="str">
        <f>HYPERLINK("http://www.linkedin.com/in/timhuckaby","http://www.linkedin.com/in/timhuckaby")</f>
        <v>http://www.linkedin.com/in/timhuckaby</v>
      </c>
      <c r="I8697" s="2" t="s">
        <v>48</v>
      </c>
      <c r="J8697" s="2" t="s">
        <v>102</v>
      </c>
      <c r="K8697" s="2" t="s">
        <v>14142</v>
      </c>
    </row>
    <row r="8698" ht="15.75" customHeight="1">
      <c r="A8698" s="2">
        <v>169506.0</v>
      </c>
      <c r="B8698" s="2" t="s">
        <v>625</v>
      </c>
      <c r="C8698" s="2" t="s">
        <v>1157</v>
      </c>
      <c r="D8698" s="2" t="s">
        <v>5009</v>
      </c>
      <c r="E8698" s="2" t="s">
        <v>971</v>
      </c>
      <c r="F8698" s="2">
        <v>7.0</v>
      </c>
      <c r="G8698" s="2">
        <v>500.0</v>
      </c>
      <c r="H8698" s="3" t="str">
        <f>HYPERLINK("http://www.linkedin.com/in/timhoward","http://www.linkedin.com/in/timhoward")</f>
        <v>http://www.linkedin.com/in/timhoward</v>
      </c>
      <c r="I8698" s="2" t="s">
        <v>579</v>
      </c>
      <c r="J8698" s="2" t="s">
        <v>102</v>
      </c>
      <c r="K8698" s="2" t="s">
        <v>14422</v>
      </c>
    </row>
    <row r="8699" ht="15.75" customHeight="1">
      <c r="A8699" s="2">
        <v>169523.0</v>
      </c>
      <c r="B8699" s="2" t="s">
        <v>15764</v>
      </c>
      <c r="C8699" s="2" t="s">
        <v>89</v>
      </c>
      <c r="D8699" s="2" t="s">
        <v>536</v>
      </c>
      <c r="E8699" s="2" t="s">
        <v>15403</v>
      </c>
      <c r="F8699" s="2" t="s">
        <v>13</v>
      </c>
      <c r="G8699" s="2">
        <v>302.0</v>
      </c>
      <c r="H8699" s="3" t="str">
        <f>HYPERLINK("http://www.linkedin.com/in/acdaitan","http://www.linkedin.com/in/acdaitan")</f>
        <v>http://www.linkedin.com/in/acdaitan</v>
      </c>
      <c r="I8699" s="2" t="s">
        <v>77</v>
      </c>
      <c r="J8699" s="2" t="s">
        <v>102</v>
      </c>
      <c r="K8699" s="2" t="s">
        <v>14211</v>
      </c>
    </row>
    <row r="8700" ht="15.75" customHeight="1">
      <c r="A8700" s="2">
        <v>169561.0</v>
      </c>
      <c r="B8700" s="2" t="s">
        <v>4170</v>
      </c>
      <c r="C8700" s="2" t="s">
        <v>6561</v>
      </c>
      <c r="D8700" s="2" t="s">
        <v>15765</v>
      </c>
      <c r="E8700" s="2" t="s">
        <v>628</v>
      </c>
      <c r="F8700" s="2">
        <v>6.0</v>
      </c>
      <c r="G8700" s="2">
        <v>500.0</v>
      </c>
      <c r="H8700" s="3" t="str">
        <f>HYPERLINK("http://www.linkedin.com/in/coreyhaines","http://www.linkedin.com/in/coreyhaines")</f>
        <v>http://www.linkedin.com/in/coreyhaines</v>
      </c>
      <c r="I8700" s="2" t="s">
        <v>48</v>
      </c>
      <c r="J8700" s="2" t="s">
        <v>102</v>
      </c>
      <c r="K8700" s="2" t="s">
        <v>14092</v>
      </c>
    </row>
    <row r="8701" ht="15.75" customHeight="1">
      <c r="A8701" s="2">
        <v>169586.0</v>
      </c>
      <c r="B8701" s="2" t="s">
        <v>302</v>
      </c>
      <c r="C8701" s="2" t="s">
        <v>15766</v>
      </c>
      <c r="D8701" s="2" t="s">
        <v>15767</v>
      </c>
      <c r="E8701" s="2" t="s">
        <v>628</v>
      </c>
      <c r="F8701" s="2">
        <v>13.0</v>
      </c>
      <c r="G8701" s="2">
        <v>500.0</v>
      </c>
      <c r="H8701" s="3" t="str">
        <f>HYPERLINK("http://www.linkedin.com/in/billblount","http://www.linkedin.com/in/billblount")</f>
        <v>http://www.linkedin.com/in/billblount</v>
      </c>
      <c r="I8701" s="2" t="s">
        <v>252</v>
      </c>
      <c r="J8701" s="2" t="s">
        <v>102</v>
      </c>
      <c r="K8701" s="2" t="s">
        <v>14197</v>
      </c>
    </row>
    <row r="8702" ht="15.75" customHeight="1">
      <c r="A8702" s="2">
        <v>169649.0</v>
      </c>
      <c r="B8702" s="2" t="s">
        <v>471</v>
      </c>
      <c r="C8702" s="2" t="s">
        <v>5335</v>
      </c>
      <c r="D8702" s="2" t="s">
        <v>400</v>
      </c>
      <c r="E8702" s="2" t="s">
        <v>11867</v>
      </c>
      <c r="F8702" s="2">
        <v>39.0</v>
      </c>
      <c r="G8702" s="2">
        <v>500.0</v>
      </c>
      <c r="H8702" s="3" t="str">
        <f>HYPERLINK("http://www.linkedin.com/in/dannydharris","http://www.linkedin.com/in/dannydharris")</f>
        <v>http://www.linkedin.com/in/dannydharris</v>
      </c>
      <c r="I8702" s="2" t="s">
        <v>105</v>
      </c>
      <c r="J8702" s="2" t="s">
        <v>102</v>
      </c>
      <c r="K8702" s="2" t="s">
        <v>14092</v>
      </c>
    </row>
    <row r="8703" ht="15.75" customHeight="1">
      <c r="A8703" s="2">
        <v>169741.0</v>
      </c>
      <c r="B8703" s="2" t="s">
        <v>5244</v>
      </c>
      <c r="C8703" s="2" t="s">
        <v>15768</v>
      </c>
      <c r="D8703" s="2" t="s">
        <v>1915</v>
      </c>
      <c r="E8703" s="2" t="s">
        <v>628</v>
      </c>
      <c r="F8703" s="2" t="s">
        <v>13</v>
      </c>
      <c r="G8703" s="2">
        <v>500.0</v>
      </c>
      <c r="H8703" s="3" t="str">
        <f>HYPERLINK("http://www.linkedin.com/in/dickmulvihill","http://www.linkedin.com/in/dickmulvihill")</f>
        <v>http://www.linkedin.com/in/dickmulvihill</v>
      </c>
      <c r="I8703" s="2" t="s">
        <v>160</v>
      </c>
      <c r="J8703" s="2" t="s">
        <v>102</v>
      </c>
      <c r="K8703" s="2" t="s">
        <v>14085</v>
      </c>
    </row>
    <row r="8704" ht="15.75" customHeight="1">
      <c r="A8704" s="2">
        <v>169742.0</v>
      </c>
      <c r="B8704" s="2" t="s">
        <v>1254</v>
      </c>
      <c r="C8704" s="2" t="s">
        <v>4628</v>
      </c>
      <c r="D8704" s="2"/>
      <c r="E8704" s="2" t="s">
        <v>728</v>
      </c>
      <c r="F8704" s="2">
        <v>1.0</v>
      </c>
      <c r="G8704" s="2">
        <v>119.0</v>
      </c>
      <c r="H8704" s="3" t="str">
        <f>HYPERLINK("http://www.linkedin.com/pub/rick-cummings/0/176/A66","http://www.linkedin.com/pub/rick-cummings/0/176/A66")</f>
        <v>http://www.linkedin.com/pub/rick-cummings/0/176/A66</v>
      </c>
      <c r="I8704" s="2" t="s">
        <v>69</v>
      </c>
      <c r="J8704" s="2" t="s">
        <v>102</v>
      </c>
      <c r="K8704" s="2" t="s">
        <v>14088</v>
      </c>
    </row>
    <row r="8705" ht="15.75" customHeight="1">
      <c r="A8705" s="2">
        <v>169878.0</v>
      </c>
      <c r="B8705" s="2" t="s">
        <v>15769</v>
      </c>
      <c r="C8705" s="2" t="s">
        <v>15770</v>
      </c>
      <c r="D8705" s="2" t="s">
        <v>15771</v>
      </c>
      <c r="E8705" s="2" t="s">
        <v>136</v>
      </c>
      <c r="F8705" s="2">
        <v>5.0</v>
      </c>
      <c r="G8705" s="2">
        <v>500.0</v>
      </c>
      <c r="H8705" s="3" t="str">
        <f>HYPERLINK("http://www.linkedin.com/pub/guillaume-vives/0/21B/279","http://www.linkedin.com/pub/guillaume-vives/0/21B/279")</f>
        <v>http://www.linkedin.com/pub/guillaume-vives/0/21B/279</v>
      </c>
      <c r="I8705" s="2" t="s">
        <v>69</v>
      </c>
      <c r="J8705" s="2" t="s">
        <v>102</v>
      </c>
      <c r="K8705" s="2" t="s">
        <v>14882</v>
      </c>
    </row>
    <row r="8706" ht="15.75" customHeight="1">
      <c r="A8706" s="2">
        <v>169897.0</v>
      </c>
      <c r="B8706" s="2" t="s">
        <v>15562</v>
      </c>
      <c r="C8706" s="2" t="s">
        <v>15772</v>
      </c>
      <c r="D8706" s="2" t="s">
        <v>2466</v>
      </c>
      <c r="E8706" s="2" t="s">
        <v>301</v>
      </c>
      <c r="F8706" s="2">
        <v>16.0</v>
      </c>
      <c r="G8706" s="2">
        <v>500.0</v>
      </c>
      <c r="H8706" s="3" t="str">
        <f>HYPERLINK("http://www.linkedin.com/in/lougasco","http://www.linkedin.com/in/lougasco")</f>
        <v>http://www.linkedin.com/in/lougasco</v>
      </c>
      <c r="I8706" s="2" t="s">
        <v>57</v>
      </c>
      <c r="J8706" s="2" t="s">
        <v>102</v>
      </c>
      <c r="K8706" s="2" t="s">
        <v>14055</v>
      </c>
    </row>
    <row r="8707" ht="15.75" customHeight="1">
      <c r="A8707" s="2">
        <v>169986.0</v>
      </c>
      <c r="B8707" s="2" t="s">
        <v>940</v>
      </c>
      <c r="C8707" s="2" t="s">
        <v>15773</v>
      </c>
      <c r="D8707" s="2" t="s">
        <v>15774</v>
      </c>
      <c r="E8707" s="2" t="s">
        <v>136</v>
      </c>
      <c r="F8707" s="2">
        <v>7.0</v>
      </c>
      <c r="G8707" s="2">
        <v>500.0</v>
      </c>
      <c r="H8707" s="3" t="str">
        <f>HYPERLINK("http://www.linkedin.com/in/brosin","http://www.linkedin.com/in/brosin")</f>
        <v>http://www.linkedin.com/in/brosin</v>
      </c>
      <c r="I8707" s="2" t="s">
        <v>48</v>
      </c>
      <c r="J8707" s="2" t="s">
        <v>102</v>
      </c>
      <c r="K8707" s="2" t="s">
        <v>14088</v>
      </c>
    </row>
    <row r="8708" ht="15.75" customHeight="1">
      <c r="A8708" s="2">
        <v>170000.0</v>
      </c>
      <c r="B8708" s="2" t="s">
        <v>15775</v>
      </c>
      <c r="C8708" s="2" t="s">
        <v>15776</v>
      </c>
      <c r="D8708" s="2" t="s">
        <v>47</v>
      </c>
      <c r="E8708" s="2" t="s">
        <v>136</v>
      </c>
      <c r="F8708" s="2">
        <v>6.0</v>
      </c>
      <c r="G8708" s="2">
        <v>500.0</v>
      </c>
      <c r="H8708" s="3" t="str">
        <f>HYPERLINK("http://www.linkedin.com/in/mcateer","http://www.linkedin.com/in/mcateer")</f>
        <v>http://www.linkedin.com/in/mcateer</v>
      </c>
      <c r="I8708" s="2" t="s">
        <v>1496</v>
      </c>
      <c r="J8708" s="2" t="s">
        <v>102</v>
      </c>
      <c r="K8708" s="2" t="s">
        <v>14092</v>
      </c>
    </row>
    <row r="8709" ht="15.75" customHeight="1">
      <c r="A8709" s="2">
        <v>170066.0</v>
      </c>
      <c r="B8709" s="2" t="s">
        <v>2215</v>
      </c>
      <c r="C8709" s="2" t="s">
        <v>3869</v>
      </c>
      <c r="D8709" s="2" t="s">
        <v>15777</v>
      </c>
      <c r="E8709" s="2" t="s">
        <v>713</v>
      </c>
      <c r="F8709" s="2">
        <v>0.0</v>
      </c>
      <c r="G8709" s="2">
        <v>500.0</v>
      </c>
      <c r="H8709" s="3" t="str">
        <f>HYPERLINK("http://www.linkedin.com/pub/donna-williams/1/12/1","http://www.linkedin.com/pub/donna-williams/1/12/1")</f>
        <v>http://www.linkedin.com/pub/donna-williams/1/12/1</v>
      </c>
      <c r="I8709" s="2" t="s">
        <v>48</v>
      </c>
      <c r="J8709" s="2" t="s">
        <v>102</v>
      </c>
      <c r="K8709" s="2" t="s">
        <v>14095</v>
      </c>
    </row>
    <row r="8710" ht="15.75" customHeight="1">
      <c r="A8710" s="2">
        <v>170074.0</v>
      </c>
      <c r="B8710" s="2" t="s">
        <v>3250</v>
      </c>
      <c r="C8710" s="2" t="s">
        <v>15778</v>
      </c>
      <c r="D8710" s="2" t="s">
        <v>15779</v>
      </c>
      <c r="E8710" s="2" t="s">
        <v>136</v>
      </c>
      <c r="F8710" s="2">
        <v>44.0</v>
      </c>
      <c r="G8710" s="2">
        <v>500.0</v>
      </c>
      <c r="H8710" s="3" t="str">
        <f>HYPERLINK("http://www.linkedin.com/in/bpeele","http://www.linkedin.com/in/bpeele")</f>
        <v>http://www.linkedin.com/in/bpeele</v>
      </c>
      <c r="I8710" s="2" t="s">
        <v>69</v>
      </c>
      <c r="J8710" s="2" t="s">
        <v>102</v>
      </c>
      <c r="K8710" s="2" t="s">
        <v>14078</v>
      </c>
    </row>
    <row r="8711" ht="15.75" customHeight="1">
      <c r="A8711" s="2">
        <v>170076.0</v>
      </c>
      <c r="B8711" s="2" t="s">
        <v>1919</v>
      </c>
      <c r="C8711" s="2" t="s">
        <v>15780</v>
      </c>
      <c r="D8711" s="2" t="s">
        <v>13</v>
      </c>
      <c r="E8711" s="2" t="s">
        <v>15781</v>
      </c>
      <c r="F8711" s="2">
        <v>0.0</v>
      </c>
      <c r="G8711" s="2">
        <v>500.0</v>
      </c>
      <c r="H8711" s="3" t="str">
        <f>HYPERLINK("https://www.linkedin.com/in/lgenkin","https://www.linkedin.com/in/lgenkin")</f>
        <v>https://www.linkedin.com/in/lgenkin</v>
      </c>
      <c r="I8711" s="2" t="s">
        <v>560</v>
      </c>
      <c r="J8711" s="2" t="s">
        <v>102</v>
      </c>
      <c r="K8711" s="2" t="s">
        <v>14074</v>
      </c>
    </row>
    <row r="8712" ht="15.75" customHeight="1">
      <c r="A8712" s="2">
        <v>170097.0</v>
      </c>
      <c r="B8712" s="2" t="s">
        <v>59</v>
      </c>
      <c r="C8712" s="2" t="s">
        <v>2610</v>
      </c>
      <c r="D8712" s="2" t="s">
        <v>517</v>
      </c>
      <c r="E8712" s="2" t="s">
        <v>136</v>
      </c>
      <c r="F8712" s="2">
        <v>11.0</v>
      </c>
      <c r="G8712" s="2">
        <v>500.0</v>
      </c>
      <c r="H8712" s="3" t="str">
        <f>HYPERLINK("http://www.linkedin.com/in/martinhall","http://www.linkedin.com/in/martinhall")</f>
        <v>http://www.linkedin.com/in/martinhall</v>
      </c>
      <c r="I8712" s="2" t="s">
        <v>15</v>
      </c>
      <c r="J8712" s="2" t="s">
        <v>102</v>
      </c>
      <c r="K8712" s="2" t="s">
        <v>14197</v>
      </c>
    </row>
    <row r="8713" ht="15.75" customHeight="1">
      <c r="A8713" s="2">
        <v>170194.0</v>
      </c>
      <c r="B8713" s="2" t="s">
        <v>2008</v>
      </c>
      <c r="C8713" s="2" t="s">
        <v>1626</v>
      </c>
      <c r="D8713" s="2" t="s">
        <v>309</v>
      </c>
      <c r="E8713" s="2" t="s">
        <v>136</v>
      </c>
      <c r="F8713" s="2">
        <v>21.0</v>
      </c>
      <c r="G8713" s="2">
        <v>500.0</v>
      </c>
      <c r="H8713" s="3" t="str">
        <f>HYPERLINK("http://www.linkedin.com/in/djdas","http://www.linkedin.com/in/djdas")</f>
        <v>http://www.linkedin.com/in/djdas</v>
      </c>
      <c r="I8713" s="2" t="s">
        <v>15</v>
      </c>
      <c r="J8713" s="2" t="s">
        <v>102</v>
      </c>
      <c r="K8713" s="2" t="s">
        <v>14071</v>
      </c>
    </row>
    <row r="8714" ht="15.75" customHeight="1">
      <c r="A8714" s="2">
        <v>170350.0</v>
      </c>
      <c r="B8714" s="2" t="s">
        <v>15782</v>
      </c>
      <c r="C8714" s="2" t="s">
        <v>15783</v>
      </c>
      <c r="D8714" s="2" t="s">
        <v>9783</v>
      </c>
      <c r="E8714" s="2" t="s">
        <v>15784</v>
      </c>
      <c r="F8714" s="2">
        <v>1.0</v>
      </c>
      <c r="G8714" s="2">
        <v>500.0</v>
      </c>
      <c r="H8714" s="3" t="str">
        <f>HYPERLINK("http://www.linkedin.com/pub/gerry-glynn/0/199/6B0","http://www.linkedin.com/pub/gerry-glynn/0/199/6B0")</f>
        <v>http://www.linkedin.com/pub/gerry-glynn/0/199/6B0</v>
      </c>
      <c r="I8714" s="2" t="s">
        <v>15</v>
      </c>
      <c r="J8714" s="2" t="s">
        <v>102</v>
      </c>
      <c r="K8714" s="2" t="s">
        <v>14142</v>
      </c>
    </row>
    <row r="8715" ht="15.75" customHeight="1">
      <c r="A8715" s="2">
        <v>170378.0</v>
      </c>
      <c r="B8715" s="2" t="s">
        <v>11</v>
      </c>
      <c r="C8715" s="2" t="s">
        <v>10742</v>
      </c>
      <c r="D8715" s="2" t="s">
        <v>15785</v>
      </c>
      <c r="E8715" s="2" t="s">
        <v>457</v>
      </c>
      <c r="F8715" s="2">
        <v>17.0</v>
      </c>
      <c r="G8715" s="2">
        <v>500.0</v>
      </c>
      <c r="H8715" s="3" t="str">
        <f>HYPERLINK("http://www.linkedin.com/in/edbarrett","http://www.linkedin.com/in/edbarrett")</f>
        <v>http://www.linkedin.com/in/edbarrett</v>
      </c>
      <c r="I8715" s="2" t="s">
        <v>105</v>
      </c>
      <c r="J8715" s="2" t="s">
        <v>102</v>
      </c>
      <c r="K8715" s="2" t="s">
        <v>14266</v>
      </c>
    </row>
    <row r="8716" ht="15.75" customHeight="1">
      <c r="A8716" s="2">
        <v>170505.0</v>
      </c>
      <c r="B8716" s="2" t="s">
        <v>133</v>
      </c>
      <c r="C8716" s="2" t="s">
        <v>15786</v>
      </c>
      <c r="D8716" s="2" t="s">
        <v>15787</v>
      </c>
      <c r="E8716" s="2" t="s">
        <v>136</v>
      </c>
      <c r="F8716" s="2">
        <v>13.0</v>
      </c>
      <c r="G8716" s="2">
        <v>500.0</v>
      </c>
      <c r="H8716" s="3" t="str">
        <f>HYPERLINK("http://www.linkedin.com/pub/michael-crane/0/1/167","http://www.linkedin.com/pub/michael-crane/0/1/167")</f>
        <v>http://www.linkedin.com/pub/michael-crane/0/1/167</v>
      </c>
      <c r="I8716" s="2" t="s">
        <v>15</v>
      </c>
      <c r="J8716" s="2" t="s">
        <v>102</v>
      </c>
      <c r="K8716" s="2" t="s">
        <v>14565</v>
      </c>
    </row>
    <row r="8717" ht="15.75" customHeight="1">
      <c r="A8717" s="2">
        <v>170514.0</v>
      </c>
      <c r="B8717" s="2" t="s">
        <v>15788</v>
      </c>
      <c r="C8717" s="2" t="s">
        <v>15789</v>
      </c>
      <c r="D8717" s="2" t="s">
        <v>114</v>
      </c>
      <c r="E8717" s="2" t="s">
        <v>136</v>
      </c>
      <c r="F8717" s="2">
        <v>17.0</v>
      </c>
      <c r="G8717" s="2">
        <v>500.0</v>
      </c>
      <c r="H8717" s="3" t="str">
        <f>HYPERLINK("http://www.linkedin.com/in/adriaantheron","http://www.linkedin.com/in/adriaantheron")</f>
        <v>http://www.linkedin.com/in/adriaantheron</v>
      </c>
      <c r="I8717" s="2" t="s">
        <v>15</v>
      </c>
      <c r="J8717" s="2" t="s">
        <v>102</v>
      </c>
      <c r="K8717" s="2" t="s">
        <v>14197</v>
      </c>
    </row>
    <row r="8718" ht="15.75" customHeight="1">
      <c r="A8718" s="2">
        <v>170545.0</v>
      </c>
      <c r="B8718" s="2" t="s">
        <v>412</v>
      </c>
      <c r="C8718" s="2" t="s">
        <v>3716</v>
      </c>
      <c r="D8718" s="2"/>
      <c r="E8718" s="2" t="s">
        <v>136</v>
      </c>
      <c r="F8718" s="2">
        <v>0.0</v>
      </c>
      <c r="G8718" s="2">
        <v>500.0</v>
      </c>
      <c r="H8718" s="3" t="str">
        <f>HYPERLINK("http://www.linkedin.com/pub/robert-day/0/28B/770","http://www.linkedin.com/pub/robert-day/0/28B/770")</f>
        <v>http://www.linkedin.com/pub/robert-day/0/28B/770</v>
      </c>
      <c r="I8718" s="2" t="s">
        <v>48</v>
      </c>
      <c r="J8718" s="2" t="s">
        <v>102</v>
      </c>
      <c r="K8718" s="2" t="s">
        <v>14142</v>
      </c>
    </row>
    <row r="8719" ht="15.75" customHeight="1">
      <c r="A8719" s="2">
        <v>170582.0</v>
      </c>
      <c r="B8719" s="2" t="s">
        <v>2609</v>
      </c>
      <c r="C8719" s="2" t="s">
        <v>15790</v>
      </c>
      <c r="D8719" s="2" t="s">
        <v>47</v>
      </c>
      <c r="E8719" s="2" t="s">
        <v>1547</v>
      </c>
      <c r="F8719" s="2">
        <v>4.0</v>
      </c>
      <c r="G8719" s="2">
        <v>500.0</v>
      </c>
      <c r="H8719" s="3" t="str">
        <f>HYPERLINK("http://www.linkedin.com/in/carlgunell","http://www.linkedin.com/in/carlgunell")</f>
        <v>http://www.linkedin.com/in/carlgunell</v>
      </c>
      <c r="I8719" s="2" t="s">
        <v>15</v>
      </c>
      <c r="J8719" s="2" t="s">
        <v>102</v>
      </c>
      <c r="K8719" s="2" t="s">
        <v>14460</v>
      </c>
    </row>
    <row r="8720" ht="15.75" customHeight="1">
      <c r="A8720" s="2">
        <v>170587.0</v>
      </c>
      <c r="B8720" s="2" t="s">
        <v>1004</v>
      </c>
      <c r="C8720" s="2" t="s">
        <v>296</v>
      </c>
      <c r="D8720" s="2" t="s">
        <v>14863</v>
      </c>
      <c r="E8720" s="2" t="s">
        <v>166</v>
      </c>
      <c r="F8720" s="2" t="s">
        <v>13</v>
      </c>
      <c r="G8720" s="2">
        <v>500.0</v>
      </c>
      <c r="H8720" s="3" t="str">
        <f>HYPERLINK("http://www.linkedin.com/in/scottdelaney","http://www.linkedin.com/in/scottdelaney")</f>
        <v>http://www.linkedin.com/in/scottdelaney</v>
      </c>
      <c r="I8720" s="2" t="s">
        <v>15</v>
      </c>
      <c r="J8720" s="2" t="s">
        <v>102</v>
      </c>
      <c r="K8720" s="2" t="s">
        <v>14095</v>
      </c>
    </row>
    <row r="8721" ht="15.75" customHeight="1">
      <c r="A8721" s="2">
        <v>170595.0</v>
      </c>
      <c r="B8721" s="2" t="s">
        <v>845</v>
      </c>
      <c r="C8721" s="2" t="s">
        <v>1004</v>
      </c>
      <c r="D8721" s="2"/>
      <c r="E8721" s="2" t="s">
        <v>457</v>
      </c>
      <c r="F8721" s="2">
        <v>2.0</v>
      </c>
      <c r="G8721" s="2">
        <v>500.0</v>
      </c>
      <c r="H8721" s="3" t="str">
        <f>HYPERLINK("http://www.linkedin.com/pub/david-scott/0/2A2/29B","http://www.linkedin.com/pub/david-scott/0/2A2/29B")</f>
        <v>http://www.linkedin.com/pub/david-scott/0/2A2/29B</v>
      </c>
      <c r="I8721" s="2" t="s">
        <v>15</v>
      </c>
      <c r="J8721" s="2" t="s">
        <v>102</v>
      </c>
      <c r="K8721" s="2" t="s">
        <v>14422</v>
      </c>
    </row>
    <row r="8722" ht="15.75" customHeight="1">
      <c r="A8722" s="2">
        <v>170674.0</v>
      </c>
      <c r="B8722" s="2" t="s">
        <v>15791</v>
      </c>
      <c r="C8722" s="2" t="s">
        <v>15792</v>
      </c>
      <c r="D8722" s="2" t="s">
        <v>15793</v>
      </c>
      <c r="E8722" s="2" t="s">
        <v>762</v>
      </c>
      <c r="F8722" s="2">
        <v>13.0</v>
      </c>
      <c r="G8722" s="2">
        <v>500.0</v>
      </c>
      <c r="H8722" s="3" t="str">
        <f>HYPERLINK("http://www.linkedin.com/in/silona","http://www.linkedin.com/in/silona")</f>
        <v>http://www.linkedin.com/in/silona</v>
      </c>
      <c r="I8722" s="2" t="s">
        <v>48</v>
      </c>
      <c r="J8722" s="2" t="s">
        <v>102</v>
      </c>
      <c r="K8722" s="2" t="s">
        <v>14088</v>
      </c>
    </row>
    <row r="8723" ht="15.75" customHeight="1">
      <c r="A8723" s="2">
        <v>170686.0</v>
      </c>
      <c r="B8723" s="2" t="s">
        <v>15564</v>
      </c>
      <c r="C8723" s="2" t="s">
        <v>1585</v>
      </c>
      <c r="D8723" s="2" t="s">
        <v>15794</v>
      </c>
      <c r="E8723" s="2" t="s">
        <v>4479</v>
      </c>
      <c r="F8723" s="2">
        <v>3.0</v>
      </c>
      <c r="G8723" s="2">
        <v>500.0</v>
      </c>
      <c r="H8723" s="3" t="str">
        <f>HYPERLINK("http://www.linkedin.com/in/kristathomas","http://www.linkedin.com/in/kristathomas")</f>
        <v>http://www.linkedin.com/in/kristathomas</v>
      </c>
      <c r="I8723" s="2" t="s">
        <v>105</v>
      </c>
      <c r="J8723" s="2" t="s">
        <v>102</v>
      </c>
      <c r="K8723" s="2" t="s">
        <v>14055</v>
      </c>
    </row>
    <row r="8724" ht="15.75" customHeight="1">
      <c r="A8724" s="2">
        <v>170726.0</v>
      </c>
      <c r="B8724" s="2" t="s">
        <v>1716</v>
      </c>
      <c r="C8724" s="2" t="s">
        <v>15795</v>
      </c>
      <c r="D8724" s="2" t="s">
        <v>114</v>
      </c>
      <c r="E8724" s="2" t="s">
        <v>136</v>
      </c>
      <c r="F8724" s="2">
        <v>0.0</v>
      </c>
      <c r="G8724" s="2">
        <v>500.0</v>
      </c>
      <c r="H8724" s="3" t="str">
        <f>HYPERLINK("http://www.linkedin.com/pub/lars-mapstead/0/11/5A6","http://www.linkedin.com/pub/lars-mapstead/0/11/5A6")</f>
        <v>http://www.linkedin.com/pub/lars-mapstead/0/11/5A6</v>
      </c>
      <c r="I8724" s="2" t="s">
        <v>69</v>
      </c>
      <c r="J8724" s="2" t="s">
        <v>102</v>
      </c>
      <c r="K8724" s="2" t="s">
        <v>14088</v>
      </c>
    </row>
    <row r="8725" ht="15.75" customHeight="1">
      <c r="A8725" s="2">
        <v>170849.0</v>
      </c>
      <c r="B8725" s="2" t="s">
        <v>2740</v>
      </c>
      <c r="C8725" s="2" t="s">
        <v>1817</v>
      </c>
      <c r="D8725" s="2" t="s">
        <v>15796</v>
      </c>
      <c r="E8725" s="2" t="s">
        <v>136</v>
      </c>
      <c r="F8725" s="2">
        <v>12.0</v>
      </c>
      <c r="G8725" s="2">
        <v>500.0</v>
      </c>
      <c r="H8725" s="3" t="str">
        <f>HYPERLINK("http://www.linkedin.com/in/stewartfox","http://www.linkedin.com/in/stewartfox")</f>
        <v>http://www.linkedin.com/in/stewartfox</v>
      </c>
      <c r="I8725" s="2" t="s">
        <v>160</v>
      </c>
      <c r="J8725" s="2" t="s">
        <v>102</v>
      </c>
      <c r="K8725" s="2" t="s">
        <v>14211</v>
      </c>
    </row>
    <row r="8726" ht="15.75" customHeight="1">
      <c r="A8726" s="2">
        <v>170924.0</v>
      </c>
      <c r="B8726" s="2" t="s">
        <v>11046</v>
      </c>
      <c r="C8726" s="2" t="s">
        <v>15797</v>
      </c>
      <c r="D8726" s="2" t="s">
        <v>3614</v>
      </c>
      <c r="E8726" s="2" t="s">
        <v>136</v>
      </c>
      <c r="F8726" s="2">
        <v>1.0</v>
      </c>
      <c r="G8726" s="2">
        <v>342.0</v>
      </c>
      <c r="H8726" s="3" t="str">
        <f>HYPERLINK("http://www.linkedin.com/in/rockclapper","http://www.linkedin.com/in/rockclapper")</f>
        <v>http://www.linkedin.com/in/rockclapper</v>
      </c>
      <c r="I8726" s="2" t="s">
        <v>15</v>
      </c>
      <c r="J8726" s="2" t="s">
        <v>102</v>
      </c>
      <c r="K8726" s="2" t="s">
        <v>14105</v>
      </c>
    </row>
    <row r="8727" ht="15.75" customHeight="1">
      <c r="A8727" s="2">
        <v>170962.0</v>
      </c>
      <c r="B8727" s="2" t="s">
        <v>10450</v>
      </c>
      <c r="C8727" s="2" t="s">
        <v>15798</v>
      </c>
      <c r="D8727" s="2" t="s">
        <v>309</v>
      </c>
      <c r="E8727" s="2" t="s">
        <v>11392</v>
      </c>
      <c r="F8727" s="2">
        <v>24.0</v>
      </c>
      <c r="G8727" s="2">
        <v>500.0</v>
      </c>
      <c r="H8727" s="3" t="str">
        <f>HYPERLINK("https://www.linkedin.com/in/bryangiss","https://www.linkedin.com/in/bryangiss")</f>
        <v>https://www.linkedin.com/in/bryangiss</v>
      </c>
      <c r="I8727" s="2" t="s">
        <v>105</v>
      </c>
      <c r="J8727" s="2" t="s">
        <v>102</v>
      </c>
      <c r="K8727" s="2" t="s">
        <v>14074</v>
      </c>
    </row>
    <row r="8728" ht="15.75" customHeight="1">
      <c r="A8728" s="2">
        <v>170998.0</v>
      </c>
      <c r="B8728" s="2" t="s">
        <v>609</v>
      </c>
      <c r="C8728" s="2" t="s">
        <v>15799</v>
      </c>
      <c r="D8728" s="2" t="s">
        <v>47</v>
      </c>
      <c r="E8728" s="2" t="s">
        <v>1190</v>
      </c>
      <c r="F8728" s="2">
        <v>16.0</v>
      </c>
      <c r="G8728" s="2">
        <v>500.0</v>
      </c>
      <c r="H8728" s="3" t="str">
        <f>HYPERLINK("http://www.linkedin.com/in/gonda","http://www.linkedin.com/in/gonda")</f>
        <v>http://www.linkedin.com/in/gonda</v>
      </c>
      <c r="I8728" s="2" t="s">
        <v>77</v>
      </c>
      <c r="J8728" s="2" t="s">
        <v>102</v>
      </c>
      <c r="K8728" s="2" t="s">
        <v>14218</v>
      </c>
    </row>
    <row r="8729" ht="15.75" customHeight="1">
      <c r="A8729" s="2">
        <v>171278.0</v>
      </c>
      <c r="B8729" s="2" t="s">
        <v>3217</v>
      </c>
      <c r="C8729" s="2" t="s">
        <v>15800</v>
      </c>
      <c r="D8729" s="2" t="s">
        <v>15801</v>
      </c>
      <c r="E8729" s="2" t="s">
        <v>136</v>
      </c>
      <c r="F8729" s="2">
        <v>13.0</v>
      </c>
      <c r="G8729" s="2">
        <v>500.0</v>
      </c>
      <c r="H8729" s="3" t="str">
        <f>HYPERLINK("http://www.linkedin.com/pub/gregory-hampton/0/467/AA6","http://www.linkedin.com/pub/gregory-hampton/0/467/AA6")</f>
        <v>http://www.linkedin.com/pub/gregory-hampton/0/467/AA6</v>
      </c>
      <c r="I8729" s="2" t="s">
        <v>160</v>
      </c>
      <c r="J8729" s="2" t="s">
        <v>102</v>
      </c>
      <c r="K8729" s="2" t="s">
        <v>14211</v>
      </c>
    </row>
    <row r="8730" ht="15.75" customHeight="1">
      <c r="A8730" s="2">
        <v>171294.0</v>
      </c>
      <c r="B8730" s="2" t="s">
        <v>302</v>
      </c>
      <c r="C8730" s="2" t="s">
        <v>15802</v>
      </c>
      <c r="D8730" s="2" t="s">
        <v>47</v>
      </c>
      <c r="E8730" s="2" t="s">
        <v>1190</v>
      </c>
      <c r="F8730" s="2" t="s">
        <v>13</v>
      </c>
      <c r="G8730" s="2">
        <v>500.0</v>
      </c>
      <c r="H8730" s="3" t="str">
        <f>HYPERLINK("http://www.linkedin.com/in/billgerba","http://www.linkedin.com/in/billgerba")</f>
        <v>http://www.linkedin.com/in/billgerba</v>
      </c>
      <c r="I8730" s="2" t="s">
        <v>105</v>
      </c>
      <c r="J8730" s="2" t="s">
        <v>102</v>
      </c>
      <c r="K8730" s="2" t="s">
        <v>14092</v>
      </c>
    </row>
    <row r="8731" ht="15.75" customHeight="1">
      <c r="A8731" s="2">
        <v>171366.0</v>
      </c>
      <c r="B8731" s="2" t="s">
        <v>1653</v>
      </c>
      <c r="C8731" s="2" t="s">
        <v>490</v>
      </c>
      <c r="D8731" s="2" t="s">
        <v>13</v>
      </c>
      <c r="E8731" s="2" t="s">
        <v>15803</v>
      </c>
      <c r="F8731" s="2">
        <v>0.0</v>
      </c>
      <c r="G8731" s="2">
        <v>500.0</v>
      </c>
      <c r="H8731" s="3" t="str">
        <f>HYPERLINK("http://www.linkedin.com/in/harddollar","http://www.linkedin.com/in/harddollar")</f>
        <v>http://www.linkedin.com/in/harddollar</v>
      </c>
      <c r="I8731" s="2" t="s">
        <v>48</v>
      </c>
      <c r="J8731" s="2" t="s">
        <v>102</v>
      </c>
      <c r="K8731" s="2" t="s">
        <v>14073</v>
      </c>
    </row>
    <row r="8732" ht="15.75" customHeight="1">
      <c r="A8732" s="2">
        <v>171523.0</v>
      </c>
      <c r="B8732" s="2" t="s">
        <v>1984</v>
      </c>
      <c r="C8732" s="2" t="s">
        <v>4019</v>
      </c>
      <c r="D8732" s="2" t="s">
        <v>15804</v>
      </c>
      <c r="E8732" s="2" t="s">
        <v>294</v>
      </c>
      <c r="F8732" s="2">
        <v>6.0</v>
      </c>
      <c r="G8732" s="2">
        <v>500.0</v>
      </c>
      <c r="H8732" s="3" t="str">
        <f>HYPERLINK("http://www.linkedin.com/in/annehunter","http://www.linkedin.com/in/annehunter")</f>
        <v>http://www.linkedin.com/in/annehunter</v>
      </c>
      <c r="I8732" s="2" t="s">
        <v>69</v>
      </c>
      <c r="J8732" s="2" t="s">
        <v>102</v>
      </c>
      <c r="K8732" s="2" t="s">
        <v>14088</v>
      </c>
    </row>
    <row r="8733" ht="15.75" customHeight="1">
      <c r="A8733" s="2">
        <v>171541.0</v>
      </c>
      <c r="B8733" s="2" t="s">
        <v>793</v>
      </c>
      <c r="C8733" s="2" t="s">
        <v>15805</v>
      </c>
      <c r="D8733" s="2" t="s">
        <v>15806</v>
      </c>
      <c r="E8733" s="2" t="s">
        <v>457</v>
      </c>
      <c r="F8733" s="2">
        <v>2.0</v>
      </c>
      <c r="G8733" s="2">
        <v>500.0</v>
      </c>
      <c r="H8733" s="3" t="str">
        <f>HYPERLINK("http://www.linkedin.com/in/rayrosti","http://www.linkedin.com/in/rayrosti")</f>
        <v>http://www.linkedin.com/in/rayrosti</v>
      </c>
      <c r="I8733" s="2" t="s">
        <v>105</v>
      </c>
      <c r="J8733" s="2" t="s">
        <v>102</v>
      </c>
      <c r="K8733" s="2" t="s">
        <v>14074</v>
      </c>
    </row>
    <row r="8734" ht="15.75" customHeight="1">
      <c r="A8734" s="2">
        <v>171597.0</v>
      </c>
      <c r="B8734" s="2" t="s">
        <v>1004</v>
      </c>
      <c r="C8734" s="2" t="s">
        <v>3131</v>
      </c>
      <c r="D8734" s="2" t="s">
        <v>3100</v>
      </c>
      <c r="E8734" s="2" t="s">
        <v>713</v>
      </c>
      <c r="F8734" s="2">
        <v>0.0</v>
      </c>
      <c r="G8734" s="2">
        <v>500.0</v>
      </c>
      <c r="H8734" s="3" t="str">
        <f>HYPERLINK("http://www.linkedin.com/in/scottcfitzgerald","http://www.linkedin.com/in/scottcfitzgerald")</f>
        <v>http://www.linkedin.com/in/scottcfitzgerald</v>
      </c>
      <c r="I8734" s="2" t="s">
        <v>48</v>
      </c>
      <c r="J8734" s="2" t="s">
        <v>102</v>
      </c>
      <c r="K8734" s="2" t="s">
        <v>14095</v>
      </c>
    </row>
    <row r="8735" ht="15.75" customHeight="1">
      <c r="A8735" s="2">
        <v>171721.0</v>
      </c>
      <c r="B8735" s="2" t="s">
        <v>10958</v>
      </c>
      <c r="C8735" s="2" t="s">
        <v>15807</v>
      </c>
      <c r="D8735" s="2" t="s">
        <v>15808</v>
      </c>
      <c r="E8735" s="2" t="s">
        <v>235</v>
      </c>
      <c r="F8735" s="2">
        <v>5.0</v>
      </c>
      <c r="G8735" s="2">
        <v>500.0</v>
      </c>
      <c r="H8735" s="3" t="str">
        <f>HYPERLINK("http://www.linkedin.com/in/rolandwaddellnc1","http://www.linkedin.com/in/rolandwaddellnc1")</f>
        <v>http://www.linkedin.com/in/rolandwaddellnc1</v>
      </c>
      <c r="I8735" s="2" t="s">
        <v>15</v>
      </c>
      <c r="J8735" s="2" t="s">
        <v>102</v>
      </c>
      <c r="K8735" s="2" t="s">
        <v>14080</v>
      </c>
    </row>
    <row r="8736" ht="15.75" customHeight="1">
      <c r="A8736" s="2">
        <v>171814.0</v>
      </c>
      <c r="B8736" s="2" t="s">
        <v>15809</v>
      </c>
      <c r="C8736" s="2" t="s">
        <v>6534</v>
      </c>
      <c r="D8736" s="2" t="s">
        <v>15810</v>
      </c>
      <c r="E8736" s="2" t="s">
        <v>713</v>
      </c>
      <c r="F8736" s="2">
        <v>0.0</v>
      </c>
      <c r="G8736" s="2">
        <v>500.0</v>
      </c>
      <c r="H8736" s="3" t="str">
        <f>HYPERLINK("http://www.linkedin.com/pub/deb-richards/0/226/121","http://www.linkedin.com/pub/deb-richards/0/226/121")</f>
        <v>http://www.linkedin.com/pub/deb-richards/0/226/121</v>
      </c>
      <c r="I8736" s="2" t="s">
        <v>48</v>
      </c>
      <c r="J8736" s="2" t="s">
        <v>102</v>
      </c>
      <c r="K8736" s="2" t="s">
        <v>14092</v>
      </c>
    </row>
    <row r="8737" ht="15.75" customHeight="1">
      <c r="A8737" s="2">
        <v>172057.0</v>
      </c>
      <c r="B8737" s="2" t="s">
        <v>752</v>
      </c>
      <c r="C8737" s="2" t="s">
        <v>15811</v>
      </c>
      <c r="D8737" s="2" t="s">
        <v>15812</v>
      </c>
      <c r="E8737" s="2" t="s">
        <v>1407</v>
      </c>
      <c r="F8737" s="2">
        <v>43.0</v>
      </c>
      <c r="G8737" s="2">
        <v>500.0</v>
      </c>
      <c r="H8737" s="3" t="str">
        <f>HYPERLINK("http://www.linkedin.com/in/jimdurbin","http://www.linkedin.com/in/jimdurbin")</f>
        <v>http://www.linkedin.com/in/jimdurbin</v>
      </c>
      <c r="I8737" s="2" t="s">
        <v>105</v>
      </c>
      <c r="J8737" s="2" t="s">
        <v>102</v>
      </c>
      <c r="K8737" s="2" t="s">
        <v>14074</v>
      </c>
    </row>
    <row r="8738" ht="15.75" customHeight="1">
      <c r="A8738" s="2">
        <v>172113.0</v>
      </c>
      <c r="B8738" s="2" t="s">
        <v>15813</v>
      </c>
      <c r="C8738" s="2" t="s">
        <v>15814</v>
      </c>
      <c r="D8738" s="2" t="s">
        <v>1145</v>
      </c>
      <c r="E8738" s="2" t="s">
        <v>136</v>
      </c>
      <c r="F8738" s="2">
        <v>16.0</v>
      </c>
      <c r="G8738" s="2">
        <v>500.0</v>
      </c>
      <c r="H8738" s="3" t="str">
        <f>HYPERLINK("http://www.linkedin.com/in/franbinc","http://www.linkedin.com/in/franbinc")</f>
        <v>http://www.linkedin.com/in/franbinc</v>
      </c>
      <c r="I8738" s="2" t="s">
        <v>326</v>
      </c>
      <c r="J8738" s="2" t="s">
        <v>102</v>
      </c>
      <c r="K8738" s="2" t="s">
        <v>14055</v>
      </c>
    </row>
    <row r="8739" ht="15.75" customHeight="1">
      <c r="A8739" s="2">
        <v>172117.0</v>
      </c>
      <c r="B8739" s="2" t="s">
        <v>15815</v>
      </c>
      <c r="C8739" s="2" t="s">
        <v>15816</v>
      </c>
      <c r="D8739" s="2" t="s">
        <v>4080</v>
      </c>
      <c r="E8739" s="2" t="s">
        <v>992</v>
      </c>
      <c r="F8739" s="2">
        <v>16.0</v>
      </c>
      <c r="G8739" s="2">
        <v>500.0</v>
      </c>
      <c r="H8739" s="3" t="str">
        <f>HYPERLINK("http://www.linkedin.com/in/jatinmaniar","http://www.linkedin.com/in/jatinmaniar")</f>
        <v>http://www.linkedin.com/in/jatinmaniar</v>
      </c>
      <c r="I8739" s="2" t="s">
        <v>69</v>
      </c>
      <c r="J8739" s="2" t="s">
        <v>102</v>
      </c>
      <c r="K8739" s="2" t="s">
        <v>14140</v>
      </c>
    </row>
    <row r="8740" ht="15.75" customHeight="1">
      <c r="A8740" s="2">
        <v>172179.0</v>
      </c>
      <c r="B8740" s="2" t="s">
        <v>15817</v>
      </c>
      <c r="C8740" s="2" t="s">
        <v>15818</v>
      </c>
      <c r="D8740" s="2"/>
      <c r="E8740" s="2" t="s">
        <v>136</v>
      </c>
      <c r="F8740" s="2">
        <v>0.0</v>
      </c>
      <c r="G8740" s="2">
        <v>500.0</v>
      </c>
      <c r="H8740" s="3" t="str">
        <f>HYPERLINK("http://www.linkedin.com/pub/mary-hope-mcquiston/0/965/398","http://www.linkedin.com/pub/mary-hope-mcquiston/0/965/398")</f>
        <v>http://www.linkedin.com/pub/mary-hope-mcquiston/0/965/398</v>
      </c>
      <c r="I8740" s="2" t="s">
        <v>48</v>
      </c>
      <c r="J8740" s="2" t="s">
        <v>102</v>
      </c>
      <c r="K8740" s="2" t="s">
        <v>15759</v>
      </c>
    </row>
    <row r="8741" ht="15.75" customHeight="1">
      <c r="A8741" s="2">
        <v>172207.0</v>
      </c>
      <c r="B8741" s="2" t="s">
        <v>1004</v>
      </c>
      <c r="C8741" s="2" t="s">
        <v>15819</v>
      </c>
      <c r="D8741" s="2" t="s">
        <v>15820</v>
      </c>
      <c r="E8741" s="2" t="s">
        <v>15821</v>
      </c>
      <c r="F8741" s="2">
        <v>11.0</v>
      </c>
      <c r="G8741" s="2">
        <v>500.0</v>
      </c>
      <c r="H8741" s="3" t="str">
        <f>HYPERLINK("http://www.linkedin.com/in/scottsafe","http://www.linkedin.com/in/scottsafe")</f>
        <v>http://www.linkedin.com/in/scottsafe</v>
      </c>
      <c r="I8741" s="2" t="s">
        <v>48</v>
      </c>
      <c r="J8741" s="2" t="s">
        <v>102</v>
      </c>
      <c r="K8741" s="2" t="s">
        <v>14095</v>
      </c>
    </row>
    <row r="8742" ht="15.75" customHeight="1">
      <c r="A8742" s="2">
        <v>172214.0</v>
      </c>
      <c r="B8742" s="2" t="s">
        <v>12571</v>
      </c>
      <c r="C8742" s="2" t="s">
        <v>5593</v>
      </c>
      <c r="D8742" s="2" t="s">
        <v>15822</v>
      </c>
      <c r="E8742" s="2" t="s">
        <v>166</v>
      </c>
      <c r="F8742" s="2">
        <v>5.0</v>
      </c>
      <c r="G8742" s="2">
        <v>453.0</v>
      </c>
      <c r="H8742" s="3" t="str">
        <f>HYPERLINK("http://www.linkedin.com/in/staceyphelps","http://www.linkedin.com/in/staceyphelps")</f>
        <v>http://www.linkedin.com/in/staceyphelps</v>
      </c>
      <c r="I8742" s="2" t="s">
        <v>160</v>
      </c>
      <c r="J8742" s="2" t="s">
        <v>102</v>
      </c>
      <c r="K8742" s="2" t="s">
        <v>14092</v>
      </c>
    </row>
    <row r="8743" ht="15.75" customHeight="1">
      <c r="A8743" s="2">
        <v>172256.0</v>
      </c>
      <c r="B8743" s="2" t="s">
        <v>1144</v>
      </c>
      <c r="C8743" s="2" t="s">
        <v>15823</v>
      </c>
      <c r="D8743" s="2" t="s">
        <v>13</v>
      </c>
      <c r="E8743" s="2" t="s">
        <v>992</v>
      </c>
      <c r="F8743" s="2">
        <v>4.0</v>
      </c>
      <c r="G8743" s="2">
        <v>500.0</v>
      </c>
      <c r="H8743" s="3" t="str">
        <f>HYPERLINK("http://www.linkedin.com/in/allenmale","http://www.linkedin.com/in/allenmale")</f>
        <v>http://www.linkedin.com/in/allenmale</v>
      </c>
      <c r="I8743" s="2" t="s">
        <v>15</v>
      </c>
      <c r="J8743" s="2" t="s">
        <v>102</v>
      </c>
      <c r="K8743" s="2" t="s">
        <v>14211</v>
      </c>
    </row>
    <row r="8744" ht="15.75" customHeight="1">
      <c r="A8744" s="2">
        <v>172360.0</v>
      </c>
      <c r="B8744" s="2" t="s">
        <v>1454</v>
      </c>
      <c r="C8744" s="2" t="s">
        <v>15824</v>
      </c>
      <c r="D8744" s="2" t="s">
        <v>15825</v>
      </c>
      <c r="E8744" s="2" t="s">
        <v>713</v>
      </c>
      <c r="F8744" s="2">
        <v>23.0</v>
      </c>
      <c r="G8744" s="2">
        <v>500.0</v>
      </c>
      <c r="H8744" s="3" t="str">
        <f>HYPERLINK("http://www.linkedin.com/in/alangonsenhauser","http://www.linkedin.com/in/alangonsenhauser")</f>
        <v>http://www.linkedin.com/in/alangonsenhauser</v>
      </c>
      <c r="I8744" s="2" t="s">
        <v>48</v>
      </c>
      <c r="J8744" s="2" t="s">
        <v>102</v>
      </c>
      <c r="K8744" s="2" t="s">
        <v>14117</v>
      </c>
    </row>
    <row r="8745" ht="15.75" customHeight="1">
      <c r="A8745" s="2">
        <v>172392.0</v>
      </c>
      <c r="B8745" s="2" t="s">
        <v>1853</v>
      </c>
      <c r="C8745" s="2" t="s">
        <v>15826</v>
      </c>
      <c r="D8745" s="2" t="s">
        <v>1780</v>
      </c>
      <c r="E8745" s="2" t="s">
        <v>136</v>
      </c>
      <c r="F8745" s="2">
        <v>2.0</v>
      </c>
      <c r="G8745" s="2">
        <v>500.0</v>
      </c>
      <c r="H8745" s="3" t="str">
        <f>HYPERLINK("http://www.linkedin.com/in/sylvialan","http://www.linkedin.com/in/sylvialan")</f>
        <v>http://www.linkedin.com/in/sylvialan</v>
      </c>
      <c r="I8745" s="2" t="s">
        <v>248</v>
      </c>
      <c r="J8745" s="2" t="s">
        <v>102</v>
      </c>
      <c r="K8745" s="2" t="s">
        <v>14078</v>
      </c>
    </row>
    <row r="8746" ht="15.75" customHeight="1">
      <c r="A8746" s="2">
        <v>172437.0</v>
      </c>
      <c r="B8746" s="2" t="s">
        <v>15827</v>
      </c>
      <c r="C8746" s="2" t="s">
        <v>15828</v>
      </c>
      <c r="D8746" s="2" t="s">
        <v>15829</v>
      </c>
      <c r="E8746" s="2" t="s">
        <v>1190</v>
      </c>
      <c r="F8746" s="2">
        <v>2.0</v>
      </c>
      <c r="G8746" s="2">
        <v>500.0</v>
      </c>
      <c r="H8746" s="3" t="str">
        <f>HYPERLINK("http://www.linkedin.com/in/mestroni","http://www.linkedin.com/in/mestroni")</f>
        <v>http://www.linkedin.com/in/mestroni</v>
      </c>
      <c r="I8746" s="2" t="s">
        <v>15</v>
      </c>
      <c r="J8746" s="2" t="s">
        <v>102</v>
      </c>
      <c r="K8746" s="2" t="s">
        <v>14339</v>
      </c>
    </row>
    <row r="8747" ht="15.75" customHeight="1">
      <c r="A8747" s="2">
        <v>172479.0</v>
      </c>
      <c r="B8747" s="2" t="s">
        <v>414</v>
      </c>
      <c r="C8747" s="2" t="s">
        <v>15830</v>
      </c>
      <c r="D8747" s="2" t="s">
        <v>15831</v>
      </c>
      <c r="E8747" s="2" t="s">
        <v>136</v>
      </c>
      <c r="F8747" s="2">
        <v>0.0</v>
      </c>
      <c r="G8747" s="2">
        <v>500.0</v>
      </c>
      <c r="H8747" s="3" t="str">
        <f>HYPERLINK("http://www.linkedin.com/pub/tom-donoghue/0/B70/297","http://www.linkedin.com/pub/tom-donoghue/0/B70/297")</f>
        <v>http://www.linkedin.com/pub/tom-donoghue/0/B70/297</v>
      </c>
      <c r="I8747" s="2" t="s">
        <v>48</v>
      </c>
      <c r="J8747" s="2" t="s">
        <v>102</v>
      </c>
      <c r="K8747" s="2" t="s">
        <v>14078</v>
      </c>
    </row>
    <row r="8748" ht="15.75" customHeight="1">
      <c r="A8748" s="2">
        <v>172654.0</v>
      </c>
      <c r="B8748" s="2" t="s">
        <v>839</v>
      </c>
      <c r="C8748" s="2" t="s">
        <v>15832</v>
      </c>
      <c r="D8748" s="2" t="s">
        <v>400</v>
      </c>
      <c r="E8748" s="2" t="s">
        <v>1190</v>
      </c>
      <c r="F8748" s="2">
        <v>10.0</v>
      </c>
      <c r="G8748" s="2">
        <v>500.0</v>
      </c>
      <c r="H8748" s="3" t="str">
        <f>HYPERLINK("http://www.linkedin.com/pub/dave-noderer/0/295/754","http://www.linkedin.com/pub/dave-noderer/0/295/754")</f>
        <v>http://www.linkedin.com/pub/dave-noderer/0/295/754</v>
      </c>
      <c r="I8748" s="2" t="s">
        <v>48</v>
      </c>
      <c r="J8748" s="2" t="s">
        <v>102</v>
      </c>
      <c r="K8748" s="2" t="s">
        <v>14197</v>
      </c>
    </row>
    <row r="8749" ht="15.75" customHeight="1">
      <c r="A8749" s="2">
        <v>172853.0</v>
      </c>
      <c r="B8749" s="2" t="s">
        <v>752</v>
      </c>
      <c r="C8749" s="2" t="s">
        <v>15833</v>
      </c>
      <c r="D8749" s="2" t="s">
        <v>340</v>
      </c>
      <c r="E8749" s="2" t="s">
        <v>15834</v>
      </c>
      <c r="F8749" s="2">
        <v>45.0</v>
      </c>
      <c r="G8749" s="2">
        <v>500.0</v>
      </c>
      <c r="H8749" s="3" t="str">
        <f>HYPERLINK("http://www.linkedin.com/in/jimgerland","http://www.linkedin.com/in/jimgerland")</f>
        <v>http://www.linkedin.com/in/jimgerland</v>
      </c>
      <c r="I8749" s="2" t="s">
        <v>15</v>
      </c>
      <c r="J8749" s="2" t="s">
        <v>102</v>
      </c>
      <c r="K8749" s="2" t="s">
        <v>14073</v>
      </c>
    </row>
    <row r="8750" ht="15.75" customHeight="1">
      <c r="A8750" s="2">
        <v>173011.0</v>
      </c>
      <c r="B8750" s="2" t="s">
        <v>784</v>
      </c>
      <c r="C8750" s="2" t="s">
        <v>11787</v>
      </c>
      <c r="D8750" s="2" t="s">
        <v>15835</v>
      </c>
      <c r="E8750" s="2" t="s">
        <v>11025</v>
      </c>
      <c r="F8750" s="2">
        <v>5.0</v>
      </c>
      <c r="G8750" s="2">
        <v>500.0</v>
      </c>
      <c r="H8750" s="3" t="str">
        <f>HYPERLINK("http://www.linkedin.com/pub/jeff-petersen/8/94/612","http://www.linkedin.com/pub/jeff-petersen/8/94/612")</f>
        <v>http://www.linkedin.com/pub/jeff-petersen/8/94/612</v>
      </c>
      <c r="I8750" s="2" t="s">
        <v>440</v>
      </c>
      <c r="J8750" s="2" t="s">
        <v>102</v>
      </c>
      <c r="K8750" s="2" t="s">
        <v>14102</v>
      </c>
    </row>
    <row r="8751" ht="15.75" customHeight="1">
      <c r="A8751" s="2">
        <v>173020.0</v>
      </c>
      <c r="B8751" s="2" t="s">
        <v>15836</v>
      </c>
      <c r="C8751" s="2" t="s">
        <v>15837</v>
      </c>
      <c r="D8751" s="2" t="s">
        <v>15838</v>
      </c>
      <c r="E8751" s="2" t="s">
        <v>1190</v>
      </c>
      <c r="F8751" s="2">
        <v>2.0</v>
      </c>
      <c r="G8751" s="2">
        <v>236.0</v>
      </c>
      <c r="H8751" s="3" t="str">
        <f>HYPERLINK("http://www.linkedin.com/pub/wayne-c-tighe/1B/6A7/816","http://www.linkedin.com/pub/wayne-c-tighe/1B/6A7/816")</f>
        <v>http://www.linkedin.com/pub/wayne-c-tighe/1B/6A7/816</v>
      </c>
      <c r="I8751" s="2" t="s">
        <v>669</v>
      </c>
      <c r="J8751" s="2" t="s">
        <v>102</v>
      </c>
      <c r="K8751" s="2" t="s">
        <v>15839</v>
      </c>
    </row>
    <row r="8752" ht="15.75" customHeight="1">
      <c r="A8752" s="2">
        <v>173045.0</v>
      </c>
      <c r="B8752" s="2" t="s">
        <v>10739</v>
      </c>
      <c r="C8752" s="2" t="s">
        <v>764</v>
      </c>
      <c r="D8752" s="2"/>
      <c r="E8752" s="2" t="s">
        <v>4407</v>
      </c>
      <c r="F8752" s="2">
        <v>4.0</v>
      </c>
      <c r="G8752" s="2">
        <v>500.0</v>
      </c>
      <c r="H8752" s="3" t="str">
        <f>HYPERLINK("http://www.linkedin.com/pub/art-mann/0/5B6/4B","http://www.linkedin.com/pub/art-mann/0/5B6/4B")</f>
        <v>http://www.linkedin.com/pub/art-mann/0/5B6/4B</v>
      </c>
      <c r="I8752" s="2" t="s">
        <v>15</v>
      </c>
      <c r="J8752" s="2" t="s">
        <v>102</v>
      </c>
      <c r="K8752" s="2" t="s">
        <v>14173</v>
      </c>
    </row>
    <row r="8753" ht="15.75" customHeight="1">
      <c r="A8753" s="2">
        <v>173058.0</v>
      </c>
      <c r="B8753" s="2" t="s">
        <v>1617</v>
      </c>
      <c r="C8753" s="2" t="s">
        <v>15840</v>
      </c>
      <c r="D8753" s="2" t="s">
        <v>15841</v>
      </c>
      <c r="E8753" s="2" t="s">
        <v>713</v>
      </c>
      <c r="F8753" s="2">
        <v>0.0</v>
      </c>
      <c r="G8753" s="2">
        <v>500.0</v>
      </c>
      <c r="H8753" s="3" t="str">
        <f>HYPERLINK("http://www.linkedin.com/pub/ryan-dowd/0/67B/978","http://www.linkedin.com/pub/ryan-dowd/0/67B/978")</f>
        <v>http://www.linkedin.com/pub/ryan-dowd/0/67B/978</v>
      </c>
      <c r="I8753" s="2" t="s">
        <v>15</v>
      </c>
      <c r="J8753" s="2" t="s">
        <v>102</v>
      </c>
      <c r="K8753" s="2" t="s">
        <v>14142</v>
      </c>
    </row>
    <row r="8754" ht="15.75" customHeight="1">
      <c r="A8754" s="2">
        <v>173082.0</v>
      </c>
      <c r="B8754" s="2" t="s">
        <v>1254</v>
      </c>
      <c r="C8754" s="2" t="s">
        <v>11854</v>
      </c>
      <c r="D8754" s="2" t="s">
        <v>15842</v>
      </c>
      <c r="E8754" s="2" t="s">
        <v>15466</v>
      </c>
      <c r="F8754" s="2">
        <v>5.0</v>
      </c>
      <c r="G8754" s="2">
        <v>500.0</v>
      </c>
      <c r="H8754" s="3" t="str">
        <f>HYPERLINK("http://www.linkedin.com/in/rickbrunner","http://www.linkedin.com/in/rickbrunner")</f>
        <v>http://www.linkedin.com/in/rickbrunner</v>
      </c>
      <c r="I8754" s="2" t="s">
        <v>15</v>
      </c>
      <c r="J8754" s="2" t="s">
        <v>102</v>
      </c>
      <c r="K8754" s="2" t="s">
        <v>14082</v>
      </c>
    </row>
    <row r="8755" ht="15.75" customHeight="1">
      <c r="A8755" s="2">
        <v>173495.0</v>
      </c>
      <c r="B8755" s="2" t="s">
        <v>4954</v>
      </c>
      <c r="C8755" s="2" t="s">
        <v>15843</v>
      </c>
      <c r="D8755" s="2" t="s">
        <v>950</v>
      </c>
      <c r="E8755" s="2" t="s">
        <v>301</v>
      </c>
      <c r="F8755" s="2">
        <v>3.0</v>
      </c>
      <c r="G8755" s="2">
        <v>168.0</v>
      </c>
      <c r="H8755" s="3" t="str">
        <f>HYPERLINK("http://www.linkedin.com/pub/carolyn-de-rose/5/784/A88","http://www.linkedin.com/pub/carolyn-de-rose/5/784/A88")</f>
        <v>http://www.linkedin.com/pub/carolyn-de-rose/5/784/A88</v>
      </c>
      <c r="I8755" s="2" t="s">
        <v>15</v>
      </c>
      <c r="J8755" s="2" t="s">
        <v>102</v>
      </c>
      <c r="K8755" s="2" t="s">
        <v>14140</v>
      </c>
    </row>
    <row r="8756" ht="15.75" customHeight="1">
      <c r="A8756" s="2">
        <v>173837.0</v>
      </c>
      <c r="B8756" s="2" t="s">
        <v>10450</v>
      </c>
      <c r="C8756" s="2" t="s">
        <v>1456</v>
      </c>
      <c r="D8756" s="2" t="s">
        <v>15844</v>
      </c>
      <c r="E8756" s="2" t="s">
        <v>914</v>
      </c>
      <c r="F8756" s="2" t="s">
        <v>13</v>
      </c>
      <c r="G8756" s="2">
        <v>142.0</v>
      </c>
      <c r="H8756" s="3" t="str">
        <f>HYPERLINK("http://www.linkedin.com/pub/bryan-anderson/18/548/685","http://www.linkedin.com/pub/bryan-anderson/18/548/685")</f>
        <v>http://www.linkedin.com/pub/bryan-anderson/18/548/685</v>
      </c>
      <c r="I8756" s="2" t="s">
        <v>48</v>
      </c>
      <c r="J8756" s="2" t="s">
        <v>102</v>
      </c>
      <c r="K8756" s="2" t="s">
        <v>14197</v>
      </c>
    </row>
    <row r="8757" ht="15.75" customHeight="1">
      <c r="A8757" s="2">
        <v>173878.0</v>
      </c>
      <c r="B8757" s="2" t="s">
        <v>845</v>
      </c>
      <c r="C8757" s="2" t="s">
        <v>2696</v>
      </c>
      <c r="D8757" s="2" t="s">
        <v>13</v>
      </c>
      <c r="E8757" s="2" t="s">
        <v>181</v>
      </c>
      <c r="F8757" s="2">
        <v>0.0</v>
      </c>
      <c r="G8757" s="2">
        <v>500.0</v>
      </c>
      <c r="H8757" s="3" t="str">
        <f>HYPERLINK("https://www.linkedin.com/pub/david-morris/1b/9a2/744","https://www.linkedin.com/pub/david-morris/1b/9a2/744")</f>
        <v>https://www.linkedin.com/pub/david-morris/1b/9a2/744</v>
      </c>
      <c r="I8757" s="2" t="s">
        <v>15</v>
      </c>
      <c r="J8757" s="2" t="s">
        <v>102</v>
      </c>
      <c r="K8757" s="2" t="s">
        <v>15845</v>
      </c>
    </row>
    <row r="8758" ht="15.75" customHeight="1">
      <c r="A8758" s="2">
        <v>174089.0</v>
      </c>
      <c r="B8758" s="2" t="s">
        <v>5469</v>
      </c>
      <c r="C8758" s="2" t="s">
        <v>15846</v>
      </c>
      <c r="D8758" s="2" t="s">
        <v>15847</v>
      </c>
      <c r="E8758" s="2" t="s">
        <v>4951</v>
      </c>
      <c r="F8758" s="2">
        <v>1.0</v>
      </c>
      <c r="G8758" s="2">
        <v>500.0</v>
      </c>
      <c r="H8758" s="3" t="str">
        <f>HYPERLINK("http://www.linkedin.com/in/gscymanski","http://www.linkedin.com/in/gscymanski")</f>
        <v>http://www.linkedin.com/in/gscymanski</v>
      </c>
      <c r="I8758" s="2" t="s">
        <v>77</v>
      </c>
      <c r="J8758" s="2" t="s">
        <v>102</v>
      </c>
      <c r="K8758" s="2" t="s">
        <v>14105</v>
      </c>
    </row>
    <row r="8759" ht="15.75" customHeight="1">
      <c r="A8759" s="2">
        <v>174114.0</v>
      </c>
      <c r="B8759" s="2" t="s">
        <v>631</v>
      </c>
      <c r="C8759" s="2" t="s">
        <v>15848</v>
      </c>
      <c r="D8759" s="2" t="s">
        <v>15849</v>
      </c>
      <c r="E8759" s="2" t="s">
        <v>15850</v>
      </c>
      <c r="F8759" s="2">
        <v>3.0</v>
      </c>
      <c r="G8759" s="2">
        <v>500.0</v>
      </c>
      <c r="H8759" s="3" t="str">
        <f>HYPERLINK("http://www.linkedin.com/pub/chris-degnan/0/470/524","http://www.linkedin.com/pub/chris-degnan/0/470/524")</f>
        <v>http://www.linkedin.com/pub/chris-degnan/0/470/524</v>
      </c>
      <c r="I8759" s="2" t="s">
        <v>48</v>
      </c>
      <c r="J8759" s="2" t="s">
        <v>102</v>
      </c>
      <c r="K8759" s="2" t="s">
        <v>14088</v>
      </c>
    </row>
    <row r="8760" ht="15.75" customHeight="1">
      <c r="A8760" s="2">
        <v>174171.0</v>
      </c>
      <c r="B8760" s="2" t="s">
        <v>15851</v>
      </c>
      <c r="C8760" s="2" t="s">
        <v>4697</v>
      </c>
      <c r="D8760" s="2"/>
      <c r="E8760" s="2" t="s">
        <v>628</v>
      </c>
      <c r="F8760" s="2">
        <v>13.0</v>
      </c>
      <c r="G8760" s="2">
        <v>500.0</v>
      </c>
      <c r="H8760" s="3" t="str">
        <f>HYPERLINK("http://www.linkedin.com/in/keeganriley","http://www.linkedin.com/in/keeganriley")</f>
        <v>http://www.linkedin.com/in/keeganriley</v>
      </c>
      <c r="I8760" s="2" t="s">
        <v>15</v>
      </c>
      <c r="J8760" s="2" t="s">
        <v>102</v>
      </c>
      <c r="K8760" s="2" t="s">
        <v>14095</v>
      </c>
    </row>
    <row r="8761" ht="15.75" customHeight="1">
      <c r="A8761" s="2">
        <v>174416.0</v>
      </c>
      <c r="B8761" s="2" t="s">
        <v>793</v>
      </c>
      <c r="C8761" s="2" t="s">
        <v>15852</v>
      </c>
      <c r="D8761" s="2" t="s">
        <v>304</v>
      </c>
      <c r="E8761" s="2" t="s">
        <v>713</v>
      </c>
      <c r="F8761" s="2">
        <v>0.0</v>
      </c>
      <c r="G8761" s="2">
        <v>440.0</v>
      </c>
      <c r="H8761" s="3" t="str">
        <f>HYPERLINK("http://www.linkedin.com/in/raychagnon","http://www.linkedin.com/in/raychagnon")</f>
        <v>http://www.linkedin.com/in/raychagnon</v>
      </c>
      <c r="I8761" s="2" t="s">
        <v>458</v>
      </c>
      <c r="J8761" s="2" t="s">
        <v>102</v>
      </c>
      <c r="K8761" s="2" t="s">
        <v>14105</v>
      </c>
    </row>
    <row r="8762" ht="15.75" customHeight="1">
      <c r="A8762" s="2">
        <v>174497.0</v>
      </c>
      <c r="B8762" s="2" t="s">
        <v>302</v>
      </c>
      <c r="C8762" s="2" t="s">
        <v>14813</v>
      </c>
      <c r="D8762" s="2"/>
      <c r="E8762" s="2" t="s">
        <v>2246</v>
      </c>
      <c r="F8762" s="2">
        <v>21.0</v>
      </c>
      <c r="G8762" s="2">
        <v>500.0</v>
      </c>
      <c r="H8762" s="3" t="str">
        <f>HYPERLINK("http://www.linkedin.com/in/billcampbell1","http://www.linkedin.com/in/billcampbell1")</f>
        <v>http://www.linkedin.com/in/billcampbell1</v>
      </c>
      <c r="I8762" s="2" t="s">
        <v>252</v>
      </c>
      <c r="J8762" s="2" t="s">
        <v>102</v>
      </c>
      <c r="K8762" s="2" t="s">
        <v>14197</v>
      </c>
    </row>
    <row r="8763" ht="15.75" customHeight="1">
      <c r="A8763" s="2">
        <v>174517.0</v>
      </c>
      <c r="B8763" s="2" t="s">
        <v>2457</v>
      </c>
      <c r="C8763" s="2" t="s">
        <v>15853</v>
      </c>
      <c r="D8763" s="2" t="s">
        <v>47</v>
      </c>
      <c r="E8763" s="2" t="s">
        <v>301</v>
      </c>
      <c r="F8763" s="2">
        <v>3.0</v>
      </c>
      <c r="G8763" s="2">
        <v>432.0</v>
      </c>
      <c r="H8763" s="3" t="str">
        <f>HYPERLINK("http://www.linkedin.com/in/stephenconnally","http://www.linkedin.com/in/stephenconnally")</f>
        <v>http://www.linkedin.com/in/stephenconnally</v>
      </c>
      <c r="I8763" s="2" t="s">
        <v>1698</v>
      </c>
      <c r="J8763" s="2" t="s">
        <v>102</v>
      </c>
      <c r="K8763" s="2" t="s">
        <v>14074</v>
      </c>
    </row>
    <row r="8764" ht="15.75" customHeight="1">
      <c r="A8764" s="2">
        <v>174580.0</v>
      </c>
      <c r="B8764" s="2" t="s">
        <v>839</v>
      </c>
      <c r="C8764" s="2" t="s">
        <v>14909</v>
      </c>
      <c r="D8764" s="2" t="s">
        <v>410</v>
      </c>
      <c r="E8764" s="2" t="s">
        <v>301</v>
      </c>
      <c r="F8764" s="2">
        <v>2.0</v>
      </c>
      <c r="G8764" s="2">
        <v>500.0</v>
      </c>
      <c r="H8764" s="3" t="str">
        <f>HYPERLINK("http://www.linkedin.com/in/davegraber","http://www.linkedin.com/in/davegraber")</f>
        <v>http://www.linkedin.com/in/davegraber</v>
      </c>
      <c r="I8764" s="2" t="s">
        <v>119</v>
      </c>
      <c r="J8764" s="2" t="s">
        <v>102</v>
      </c>
      <c r="K8764" s="2" t="s">
        <v>14211</v>
      </c>
    </row>
    <row r="8765" ht="15.75" customHeight="1">
      <c r="A8765" s="2">
        <v>174597.0</v>
      </c>
      <c r="B8765" s="2" t="s">
        <v>1260</v>
      </c>
      <c r="C8765" s="2" t="s">
        <v>15854</v>
      </c>
      <c r="D8765" s="2" t="s">
        <v>15855</v>
      </c>
      <c r="E8765" s="2" t="s">
        <v>808</v>
      </c>
      <c r="F8765" s="2">
        <v>0.0</v>
      </c>
      <c r="G8765" s="2">
        <v>464.0</v>
      </c>
      <c r="H8765" s="3" t="str">
        <f>HYPERLINK("http://www.linkedin.com/pub/darren-devito/3/997/677","http://www.linkedin.com/pub/darren-devito/3/997/677")</f>
        <v>http://www.linkedin.com/pub/darren-devito/3/997/677</v>
      </c>
      <c r="I8765" s="2" t="s">
        <v>15</v>
      </c>
      <c r="J8765" s="2" t="s">
        <v>102</v>
      </c>
      <c r="K8765" s="2" t="s">
        <v>14088</v>
      </c>
    </row>
    <row r="8766" ht="15.75" customHeight="1">
      <c r="A8766" s="2">
        <v>174630.0</v>
      </c>
      <c r="B8766" s="2" t="s">
        <v>15856</v>
      </c>
      <c r="C8766" s="2" t="s">
        <v>126</v>
      </c>
      <c r="D8766" s="2" t="s">
        <v>15857</v>
      </c>
      <c r="E8766" s="2" t="s">
        <v>136</v>
      </c>
      <c r="F8766" s="2">
        <v>10.0</v>
      </c>
      <c r="G8766" s="2">
        <v>500.0</v>
      </c>
      <c r="H8766" s="3" t="str">
        <f>HYPERLINK("http://www.linkedin.com/in/hilarititianewton13","http://www.linkedin.com/in/hilarititianewton13")</f>
        <v>http://www.linkedin.com/in/hilarititianewton13</v>
      </c>
      <c r="I8766" s="2" t="s">
        <v>96</v>
      </c>
      <c r="J8766" s="2" t="s">
        <v>102</v>
      </c>
      <c r="K8766" s="2" t="s">
        <v>14055</v>
      </c>
    </row>
    <row r="8767" ht="15.75" customHeight="1">
      <c r="A8767" s="2">
        <v>174868.0</v>
      </c>
      <c r="B8767" s="2" t="s">
        <v>1928</v>
      </c>
      <c r="C8767" s="2" t="s">
        <v>15858</v>
      </c>
      <c r="D8767" s="2" t="s">
        <v>1780</v>
      </c>
      <c r="E8767" s="2" t="s">
        <v>7844</v>
      </c>
      <c r="F8767" s="2">
        <v>5.0</v>
      </c>
      <c r="G8767" s="2">
        <v>423.0</v>
      </c>
      <c r="H8767" s="3" t="str">
        <f>HYPERLINK("http://www.linkedin.com/pub/mercy-schroeder/7/3A9/95A","http://www.linkedin.com/pub/mercy-schroeder/7/3A9/95A")</f>
        <v>http://www.linkedin.com/pub/mercy-schroeder/7/3A9/95A</v>
      </c>
      <c r="I8767" s="2" t="s">
        <v>15</v>
      </c>
      <c r="J8767" s="2" t="s">
        <v>102</v>
      </c>
      <c r="K8767" s="2" t="s">
        <v>14057</v>
      </c>
    </row>
    <row r="8768" ht="15.75" customHeight="1">
      <c r="A8768" s="2">
        <v>174921.0</v>
      </c>
      <c r="B8768" s="2" t="s">
        <v>1593</v>
      </c>
      <c r="C8768" s="2" t="s">
        <v>15859</v>
      </c>
      <c r="D8768" s="2" t="s">
        <v>10477</v>
      </c>
      <c r="E8768" s="2" t="s">
        <v>2429</v>
      </c>
      <c r="F8768" s="2">
        <v>3.0</v>
      </c>
      <c r="G8768" s="2">
        <v>500.0</v>
      </c>
      <c r="H8768" s="3" t="str">
        <f>HYPERLINK("http://www.linkedin.com/in/adamkstafford","http://www.linkedin.com/in/adamkstafford")</f>
        <v>http://www.linkedin.com/in/adamkstafford</v>
      </c>
      <c r="I8768" s="2" t="s">
        <v>48</v>
      </c>
      <c r="J8768" s="2" t="s">
        <v>102</v>
      </c>
      <c r="K8768" s="2" t="s">
        <v>14095</v>
      </c>
    </row>
    <row r="8769" ht="15.75" customHeight="1">
      <c r="A8769" s="2">
        <v>174989.0</v>
      </c>
      <c r="B8769" s="2" t="s">
        <v>1486</v>
      </c>
      <c r="C8769" s="2" t="s">
        <v>15860</v>
      </c>
      <c r="D8769" s="2" t="s">
        <v>15861</v>
      </c>
      <c r="E8769" s="2" t="s">
        <v>14180</v>
      </c>
      <c r="F8769" s="2">
        <v>8.0</v>
      </c>
      <c r="G8769" s="2">
        <v>500.0</v>
      </c>
      <c r="H8769" s="3" t="str">
        <f>HYPERLINK("http://www.linkedin.com/pub/amit-ghosal/8/154/A65","http://www.linkedin.com/pub/amit-ghosal/8/154/A65")</f>
        <v>http://www.linkedin.com/pub/amit-ghosal/8/154/A65</v>
      </c>
      <c r="I8769" s="2" t="s">
        <v>15</v>
      </c>
      <c r="J8769" s="2" t="s">
        <v>102</v>
      </c>
      <c r="K8769" s="2" t="s">
        <v>14057</v>
      </c>
    </row>
    <row r="8770" ht="15.75" customHeight="1">
      <c r="A8770" s="2">
        <v>175083.0</v>
      </c>
      <c r="B8770" s="2" t="s">
        <v>1087</v>
      </c>
      <c r="C8770" s="2" t="s">
        <v>15862</v>
      </c>
      <c r="D8770" s="2" t="s">
        <v>13</v>
      </c>
      <c r="E8770" s="2" t="s">
        <v>1407</v>
      </c>
      <c r="F8770" s="2">
        <v>0.0</v>
      </c>
      <c r="G8770" s="2">
        <v>500.0</v>
      </c>
      <c r="H8770" s="3" t="str">
        <f>HYPERLINK("http://www.linkedin.com/pub/james-garner/4/B78/343","http://www.linkedin.com/pub/james-garner/4/B78/343")</f>
        <v>http://www.linkedin.com/pub/james-garner/4/B78/343</v>
      </c>
      <c r="I8770" s="2" t="s">
        <v>48</v>
      </c>
      <c r="J8770" s="2" t="s">
        <v>102</v>
      </c>
      <c r="K8770" s="2" t="s">
        <v>14095</v>
      </c>
    </row>
    <row r="8771" ht="15.75" customHeight="1">
      <c r="A8771" s="2">
        <v>175086.0</v>
      </c>
      <c r="B8771" s="2" t="s">
        <v>14852</v>
      </c>
      <c r="C8771" s="2" t="s">
        <v>15863</v>
      </c>
      <c r="D8771" s="2" t="s">
        <v>114</v>
      </c>
      <c r="E8771" s="2" t="s">
        <v>101</v>
      </c>
      <c r="F8771" s="2">
        <v>4.0</v>
      </c>
      <c r="G8771" s="2">
        <v>500.0</v>
      </c>
      <c r="H8771" s="3" t="str">
        <f>HYPERLINK("http://www.linkedin.com/in/janebehrend","http://www.linkedin.com/in/janebehrend")</f>
        <v>http://www.linkedin.com/in/janebehrend</v>
      </c>
      <c r="I8771" s="2" t="s">
        <v>1421</v>
      </c>
      <c r="J8771" s="2" t="s">
        <v>102</v>
      </c>
      <c r="K8771" s="2" t="s">
        <v>14055</v>
      </c>
    </row>
    <row r="8772" ht="15.75" customHeight="1">
      <c r="A8772" s="2">
        <v>175090.0</v>
      </c>
      <c r="B8772" s="2" t="s">
        <v>15864</v>
      </c>
      <c r="C8772" s="2" t="s">
        <v>15865</v>
      </c>
      <c r="D8772" s="2" t="s">
        <v>15866</v>
      </c>
      <c r="E8772" s="2" t="s">
        <v>325</v>
      </c>
      <c r="F8772" s="2">
        <v>10.0</v>
      </c>
      <c r="G8772" s="2">
        <v>152.0</v>
      </c>
      <c r="H8772" s="3" t="str">
        <f>HYPERLINK("http://www.linkedin.com/pub/zuriel-agurto/9/299/722","http://www.linkedin.com/pub/zuriel-agurto/9/299/722")</f>
        <v>http://www.linkedin.com/pub/zuriel-agurto/9/299/722</v>
      </c>
      <c r="I8772" s="2" t="s">
        <v>279</v>
      </c>
      <c r="J8772" s="2" t="s">
        <v>102</v>
      </c>
      <c r="K8772" s="2" t="s">
        <v>14055</v>
      </c>
    </row>
    <row r="8773" ht="15.75" customHeight="1">
      <c r="A8773" s="2">
        <v>175121.0</v>
      </c>
      <c r="B8773" s="2" t="s">
        <v>3432</v>
      </c>
      <c r="C8773" s="2" t="s">
        <v>15867</v>
      </c>
      <c r="D8773" s="2" t="s">
        <v>15868</v>
      </c>
      <c r="E8773" s="2" t="s">
        <v>628</v>
      </c>
      <c r="F8773" s="2">
        <v>4.0</v>
      </c>
      <c r="G8773" s="2">
        <v>404.0</v>
      </c>
      <c r="H8773" s="3" t="str">
        <f>HYPERLINK("http://www.linkedin.com/pub/joseph-tuma/9/45A/193","http://www.linkedin.com/pub/joseph-tuma/9/45A/193")</f>
        <v>http://www.linkedin.com/pub/joseph-tuma/9/45A/193</v>
      </c>
      <c r="I8773" s="2" t="s">
        <v>48</v>
      </c>
      <c r="J8773" s="2" t="s">
        <v>102</v>
      </c>
      <c r="K8773" s="2" t="s">
        <v>14142</v>
      </c>
    </row>
    <row r="8774" ht="15.75" customHeight="1">
      <c r="A8774" s="2">
        <v>175131.0</v>
      </c>
      <c r="B8774" s="2" t="s">
        <v>1545</v>
      </c>
      <c r="C8774" s="2" t="s">
        <v>15869</v>
      </c>
      <c r="D8774" s="2" t="s">
        <v>15870</v>
      </c>
      <c r="E8774" s="2" t="s">
        <v>325</v>
      </c>
      <c r="F8774" s="2">
        <v>5.0</v>
      </c>
      <c r="G8774" s="2">
        <v>77.0</v>
      </c>
      <c r="H8774" s="3" t="str">
        <f>HYPERLINK("http://www.linkedin.com/pub/patrick-ewalt/9/4B5/A54","http://www.linkedin.com/pub/patrick-ewalt/9/4B5/A54")</f>
        <v>http://www.linkedin.com/pub/patrick-ewalt/9/4B5/A54</v>
      </c>
      <c r="I8774" s="2" t="s">
        <v>714</v>
      </c>
      <c r="J8774" s="2" t="s">
        <v>102</v>
      </c>
      <c r="K8774" s="2" t="s">
        <v>14055</v>
      </c>
    </row>
    <row r="8775" ht="15.75" customHeight="1">
      <c r="A8775" s="2">
        <v>175132.0</v>
      </c>
      <c r="B8775" s="2" t="s">
        <v>1932</v>
      </c>
      <c r="C8775" s="2" t="s">
        <v>15871</v>
      </c>
      <c r="D8775" s="2" t="s">
        <v>15872</v>
      </c>
      <c r="E8775" s="2" t="s">
        <v>744</v>
      </c>
      <c r="F8775" s="2">
        <v>2.0</v>
      </c>
      <c r="G8775" s="2">
        <v>500.0</v>
      </c>
      <c r="H8775" s="3" t="str">
        <f>HYPERLINK("http://www.linkedin.com/pub/michelle-salerno/8/190/785","http://www.linkedin.com/pub/michelle-salerno/8/190/785")</f>
        <v>http://www.linkedin.com/pub/michelle-salerno/8/190/785</v>
      </c>
      <c r="I8775" s="2" t="s">
        <v>48</v>
      </c>
      <c r="J8775" s="2" t="s">
        <v>102</v>
      </c>
      <c r="K8775" s="2" t="s">
        <v>14057</v>
      </c>
    </row>
    <row r="8776" ht="15.75" customHeight="1">
      <c r="A8776" s="2">
        <v>175352.0</v>
      </c>
      <c r="B8776" s="2" t="s">
        <v>302</v>
      </c>
      <c r="C8776" s="2" t="s">
        <v>15873</v>
      </c>
      <c r="D8776" s="2" t="s">
        <v>13</v>
      </c>
      <c r="E8776" s="2" t="s">
        <v>914</v>
      </c>
      <c r="F8776" s="2">
        <v>0.0</v>
      </c>
      <c r="G8776" s="2">
        <v>500.0</v>
      </c>
      <c r="H8776" s="3" t="str">
        <f>HYPERLINK("http://www.linkedin.com/pub/bill-cienian/12/6B3/6A8","http://www.linkedin.com/pub/bill-cienian/12/6B3/6A8")</f>
        <v>http://www.linkedin.com/pub/bill-cienian/12/6B3/6A8</v>
      </c>
      <c r="I8776" s="2" t="s">
        <v>77</v>
      </c>
      <c r="J8776" s="2" t="s">
        <v>102</v>
      </c>
      <c r="K8776" s="2" t="s">
        <v>14106</v>
      </c>
    </row>
    <row r="8777" ht="15.75" customHeight="1">
      <c r="A8777" s="2">
        <v>175903.0</v>
      </c>
      <c r="B8777" s="2" t="s">
        <v>99</v>
      </c>
      <c r="C8777" s="2" t="s">
        <v>7024</v>
      </c>
      <c r="D8777" s="2" t="s">
        <v>15874</v>
      </c>
      <c r="E8777" s="2" t="s">
        <v>1317</v>
      </c>
      <c r="F8777" s="2">
        <v>0.0</v>
      </c>
      <c r="G8777" s="2">
        <v>500.0</v>
      </c>
      <c r="H8777" s="3" t="str">
        <f>HYPERLINK("http://www.linkedin.com/in/colemanwashington","http://www.linkedin.com/in/colemanwashington")</f>
        <v>http://www.linkedin.com/in/colemanwashington</v>
      </c>
      <c r="I8777" s="2" t="s">
        <v>15</v>
      </c>
      <c r="J8777" s="2" t="s">
        <v>102</v>
      </c>
      <c r="K8777" s="2" t="s">
        <v>14092</v>
      </c>
    </row>
    <row r="8778" ht="15.75" customHeight="1">
      <c r="A8778" s="2">
        <v>175920.0</v>
      </c>
      <c r="B8778" s="2" t="s">
        <v>471</v>
      </c>
      <c r="C8778" s="2" t="s">
        <v>15875</v>
      </c>
      <c r="D8778" s="2" t="s">
        <v>15876</v>
      </c>
      <c r="E8778" s="2" t="s">
        <v>713</v>
      </c>
      <c r="F8778" s="2">
        <v>12.0</v>
      </c>
      <c r="G8778" s="2">
        <v>500.0</v>
      </c>
      <c r="H8778" s="3" t="str">
        <f>HYPERLINK("http://www.linkedin.com/in/dancolbert","http://www.linkedin.com/in/dancolbert")</f>
        <v>http://www.linkedin.com/in/dancolbert</v>
      </c>
      <c r="I8778" s="2" t="s">
        <v>15</v>
      </c>
      <c r="J8778" s="2" t="s">
        <v>102</v>
      </c>
      <c r="K8778" s="2" t="s">
        <v>14095</v>
      </c>
    </row>
    <row r="8779" ht="15.75" customHeight="1">
      <c r="A8779" s="2">
        <v>176095.0</v>
      </c>
      <c r="B8779" s="2" t="s">
        <v>11</v>
      </c>
      <c r="C8779" s="2" t="s">
        <v>15877</v>
      </c>
      <c r="D8779" s="2" t="s">
        <v>13</v>
      </c>
      <c r="E8779" s="2" t="s">
        <v>989</v>
      </c>
      <c r="F8779" s="2">
        <v>0.0</v>
      </c>
      <c r="G8779" s="2">
        <v>500.0</v>
      </c>
      <c r="H8779" s="3" t="str">
        <f>HYPERLINK("http://www.linkedin.com/pub/ed-burns-sr/4/44/429","http://www.linkedin.com/pub/ed-burns-sr/4/44/429")</f>
        <v>http://www.linkedin.com/pub/ed-burns-sr/4/44/429</v>
      </c>
      <c r="I8779" s="2" t="s">
        <v>69</v>
      </c>
      <c r="J8779" s="2" t="s">
        <v>102</v>
      </c>
      <c r="K8779" s="2" t="s">
        <v>14071</v>
      </c>
    </row>
    <row r="8780" ht="15.75" customHeight="1">
      <c r="A8780" s="2">
        <v>176109.0</v>
      </c>
      <c r="B8780" s="2" t="s">
        <v>15878</v>
      </c>
      <c r="C8780" s="2" t="s">
        <v>15879</v>
      </c>
      <c r="D8780" s="2" t="s">
        <v>15880</v>
      </c>
      <c r="E8780" s="2" t="s">
        <v>4084</v>
      </c>
      <c r="F8780" s="2">
        <v>3.0</v>
      </c>
      <c r="G8780" s="2">
        <v>500.0</v>
      </c>
      <c r="H8780" s="3" t="str">
        <f>HYPERLINK("http://www.linkedin.com/in/moemachine","http://www.linkedin.com/in/moemachine")</f>
        <v>http://www.linkedin.com/in/moemachine</v>
      </c>
      <c r="I8780" s="2" t="s">
        <v>475</v>
      </c>
      <c r="J8780" s="2" t="s">
        <v>102</v>
      </c>
      <c r="K8780" s="2" t="s">
        <v>14055</v>
      </c>
    </row>
    <row r="8781" ht="15.75" customHeight="1">
      <c r="A8781" s="2">
        <v>176772.0</v>
      </c>
      <c r="B8781" s="2" t="s">
        <v>1635</v>
      </c>
      <c r="C8781" s="2" t="s">
        <v>15881</v>
      </c>
      <c r="D8781" s="2" t="s">
        <v>42</v>
      </c>
      <c r="E8781" s="2" t="s">
        <v>2058</v>
      </c>
      <c r="F8781" s="2">
        <v>4.0</v>
      </c>
      <c r="G8781" s="2">
        <v>500.0</v>
      </c>
      <c r="H8781" s="3" t="str">
        <f>HYPERLINK("http://www.linkedin.com/pub/marie-imbault/B/B4/AB3","http://www.linkedin.com/pub/marie-imbault/B/B4/AB3")</f>
        <v>http://www.linkedin.com/pub/marie-imbault/B/B4/AB3</v>
      </c>
      <c r="I8781" s="2" t="s">
        <v>440</v>
      </c>
      <c r="J8781" s="2" t="s">
        <v>102</v>
      </c>
      <c r="K8781" s="2" t="s">
        <v>14173</v>
      </c>
    </row>
    <row r="8782" ht="15.75" customHeight="1">
      <c r="A8782" s="2">
        <v>176868.0</v>
      </c>
      <c r="B8782" s="2" t="s">
        <v>287</v>
      </c>
      <c r="C8782" s="2" t="s">
        <v>15882</v>
      </c>
      <c r="D8782" s="2" t="s">
        <v>13</v>
      </c>
      <c r="E8782" s="2" t="s">
        <v>713</v>
      </c>
      <c r="F8782" s="2">
        <v>0.0</v>
      </c>
      <c r="G8782" s="2">
        <v>500.0</v>
      </c>
      <c r="H8782" s="3" t="str">
        <f>HYPERLINK("http://www.linkedin.com/pub/paul-previte/26/B92/716","http://www.linkedin.com/pub/paul-previte/26/B92/716")</f>
        <v>http://www.linkedin.com/pub/paul-previte/26/B92/716</v>
      </c>
      <c r="I8782" s="2" t="s">
        <v>669</v>
      </c>
      <c r="J8782" s="2" t="s">
        <v>102</v>
      </c>
      <c r="K8782" s="2" t="s">
        <v>14074</v>
      </c>
    </row>
    <row r="8783" ht="15.75" customHeight="1">
      <c r="A8783" s="2">
        <v>176880.0</v>
      </c>
      <c r="B8783" s="2" t="s">
        <v>4560</v>
      </c>
      <c r="C8783" s="2" t="s">
        <v>15883</v>
      </c>
      <c r="D8783" s="2" t="s">
        <v>15884</v>
      </c>
      <c r="E8783" s="2" t="s">
        <v>7844</v>
      </c>
      <c r="F8783" s="2">
        <v>7.0</v>
      </c>
      <c r="G8783" s="2">
        <v>495.0</v>
      </c>
      <c r="H8783" s="3" t="str">
        <f>HYPERLINK("http://www.linkedin.com/in/ronweisman","http://www.linkedin.com/in/ronweisman")</f>
        <v>http://www.linkedin.com/in/ronweisman</v>
      </c>
      <c r="I8783" s="2" t="s">
        <v>15</v>
      </c>
      <c r="J8783" s="2" t="s">
        <v>102</v>
      </c>
      <c r="K8783" s="2" t="s">
        <v>14057</v>
      </c>
    </row>
    <row r="8784" ht="15.75" customHeight="1">
      <c r="A8784" s="2">
        <v>177083.0</v>
      </c>
      <c r="B8784" s="2" t="s">
        <v>15885</v>
      </c>
      <c r="C8784" s="2" t="s">
        <v>4729</v>
      </c>
      <c r="D8784" s="2" t="s">
        <v>42</v>
      </c>
      <c r="E8784" s="2" t="s">
        <v>1190</v>
      </c>
      <c r="F8784" s="2">
        <v>12.0</v>
      </c>
      <c r="G8784" s="2">
        <v>500.0</v>
      </c>
      <c r="H8784" s="3" t="str">
        <f>HYPERLINK("http://www.linkedin.com/in/ricardoantonioperez","http://www.linkedin.com/in/ricardoantonioperez")</f>
        <v>http://www.linkedin.com/in/ricardoantonioperez</v>
      </c>
      <c r="I8784" s="2" t="s">
        <v>156</v>
      </c>
      <c r="J8784" s="2" t="s">
        <v>102</v>
      </c>
      <c r="K8784" s="2" t="s">
        <v>14173</v>
      </c>
    </row>
    <row r="8785" ht="15.75" customHeight="1">
      <c r="A8785" s="2">
        <v>177259.0</v>
      </c>
      <c r="B8785" s="2" t="s">
        <v>11636</v>
      </c>
      <c r="C8785" s="2" t="s">
        <v>15886</v>
      </c>
      <c r="D8785" s="2" t="s">
        <v>125</v>
      </c>
      <c r="E8785" s="2" t="s">
        <v>2426</v>
      </c>
      <c r="F8785" s="2">
        <v>0.0</v>
      </c>
      <c r="G8785" s="2">
        <v>500.0</v>
      </c>
      <c r="H8785" s="3" t="str">
        <f>HYPERLINK("http://www.linkedin.com/in/evannicoud","http://www.linkedin.com/in/evannicoud")</f>
        <v>http://www.linkedin.com/in/evannicoud</v>
      </c>
      <c r="I8785" s="2" t="s">
        <v>48</v>
      </c>
      <c r="J8785" s="2" t="s">
        <v>102</v>
      </c>
      <c r="K8785" s="2" t="s">
        <v>14197</v>
      </c>
    </row>
    <row r="8786" ht="15.75" customHeight="1">
      <c r="A8786" s="2">
        <v>177281.0</v>
      </c>
      <c r="B8786" s="2" t="s">
        <v>2488</v>
      </c>
      <c r="C8786" s="2" t="s">
        <v>15887</v>
      </c>
      <c r="D8786" s="2" t="s">
        <v>13</v>
      </c>
      <c r="E8786" s="2" t="s">
        <v>931</v>
      </c>
      <c r="F8786" s="2">
        <v>0.0</v>
      </c>
      <c r="G8786" s="2">
        <v>500.0</v>
      </c>
      <c r="H8786" s="3" t="str">
        <f>HYPERLINK("http://www.linkedin.com/pub/manish-kainth-prince2%C2%AE/5/a0/679","http://www.linkedin.com/pub/manish-kainth-prince2%C2%AE/5/a0/679")</f>
        <v>http://www.linkedin.com/pub/manish-kainth-prince2%C2%AE/5/a0/679</v>
      </c>
      <c r="I8786" s="2" t="s">
        <v>15</v>
      </c>
      <c r="J8786" s="2" t="s">
        <v>53</v>
      </c>
      <c r="K8786" s="2" t="s">
        <v>14082</v>
      </c>
    </row>
    <row r="8787" ht="15.75" customHeight="1">
      <c r="A8787" s="2">
        <v>177319.0</v>
      </c>
      <c r="B8787" s="2" t="s">
        <v>15888</v>
      </c>
      <c r="C8787" s="2" t="s">
        <v>561</v>
      </c>
      <c r="D8787" s="2" t="s">
        <v>13</v>
      </c>
      <c r="E8787" s="2" t="s">
        <v>7844</v>
      </c>
      <c r="F8787" s="2">
        <v>0.0</v>
      </c>
      <c r="G8787" s="2">
        <v>500.0</v>
      </c>
      <c r="H8787" s="3" t="str">
        <f>HYPERLINK("http://www.linkedin.com/pub/john-jj-murray/5/867/938","http://www.linkedin.com/pub/john-jj-murray/5/867/938")</f>
        <v>http://www.linkedin.com/pub/john-jj-murray/5/867/938</v>
      </c>
      <c r="I8787" s="2" t="s">
        <v>195</v>
      </c>
      <c r="J8787" s="2" t="s">
        <v>102</v>
      </c>
      <c r="K8787" s="2" t="s">
        <v>14495</v>
      </c>
    </row>
    <row r="8788" ht="15.75" customHeight="1">
      <c r="A8788" s="2">
        <v>177496.0</v>
      </c>
      <c r="B8788" s="2" t="s">
        <v>10719</v>
      </c>
      <c r="C8788" s="2" t="s">
        <v>15889</v>
      </c>
      <c r="D8788" s="2" t="s">
        <v>15890</v>
      </c>
      <c r="E8788" s="2" t="s">
        <v>3829</v>
      </c>
      <c r="F8788" s="2">
        <v>4.0</v>
      </c>
      <c r="G8788" s="2">
        <v>422.0</v>
      </c>
      <c r="H8788" s="3" t="str">
        <f>HYPERLINK("http://www.linkedin.com/pub/stacy-anthony/9/4A1/408","http://www.linkedin.com/pub/stacy-anthony/9/4A1/408")</f>
        <v>http://www.linkedin.com/pub/stacy-anthony/9/4A1/408</v>
      </c>
      <c r="I8788" s="2" t="s">
        <v>15</v>
      </c>
      <c r="J8788" s="2" t="s">
        <v>102</v>
      </c>
      <c r="K8788" s="2" t="s">
        <v>14242</v>
      </c>
    </row>
    <row r="8789" ht="15.75" customHeight="1">
      <c r="A8789" s="2">
        <v>177691.0</v>
      </c>
      <c r="B8789" s="2" t="s">
        <v>15891</v>
      </c>
      <c r="C8789" s="2" t="s">
        <v>15892</v>
      </c>
      <c r="D8789" s="2" t="s">
        <v>15893</v>
      </c>
      <c r="E8789" s="2" t="s">
        <v>15894</v>
      </c>
      <c r="F8789" s="2">
        <v>6.0</v>
      </c>
      <c r="G8789" s="2">
        <v>500.0</v>
      </c>
      <c r="H8789" s="3" t="str">
        <f>HYPERLINK("http://www.linkedin.com/in/bradleyhodge","http://www.linkedin.com/in/bradleyhodge")</f>
        <v>http://www.linkedin.com/in/bradleyhodge</v>
      </c>
      <c r="I8789" s="2" t="s">
        <v>279</v>
      </c>
      <c r="J8789" s="2" t="s">
        <v>102</v>
      </c>
      <c r="K8789" s="2" t="s">
        <v>14078</v>
      </c>
    </row>
    <row r="8790" ht="15.75" customHeight="1">
      <c r="A8790" s="2">
        <v>177784.0</v>
      </c>
      <c r="B8790" s="2" t="s">
        <v>1593</v>
      </c>
      <c r="C8790" s="2" t="s">
        <v>15895</v>
      </c>
      <c r="D8790" s="2" t="s">
        <v>15896</v>
      </c>
      <c r="E8790" s="2" t="s">
        <v>251</v>
      </c>
      <c r="F8790" s="2">
        <v>5.0</v>
      </c>
      <c r="G8790" s="2">
        <v>323.0</v>
      </c>
      <c r="H8790" s="3" t="str">
        <f>HYPERLINK("http://www.linkedin.com/pub/adam-krutsinger/19/424/497","http://www.linkedin.com/pub/adam-krutsinger/19/424/497")</f>
        <v>http://www.linkedin.com/pub/adam-krutsinger/19/424/497</v>
      </c>
      <c r="I8790" s="2" t="s">
        <v>15</v>
      </c>
      <c r="J8790" s="2" t="s">
        <v>102</v>
      </c>
      <c r="K8790" s="2" t="s">
        <v>14080</v>
      </c>
    </row>
    <row r="8791" ht="15.75" customHeight="1">
      <c r="A8791" s="2">
        <v>177887.0</v>
      </c>
      <c r="B8791" s="2" t="s">
        <v>15897</v>
      </c>
      <c r="C8791" s="2" t="s">
        <v>15898</v>
      </c>
      <c r="D8791" s="2" t="s">
        <v>47</v>
      </c>
      <c r="E8791" s="2" t="s">
        <v>14167</v>
      </c>
      <c r="F8791" s="2">
        <v>3.0</v>
      </c>
      <c r="G8791" s="2">
        <v>500.0</v>
      </c>
      <c r="H8791" s="3" t="str">
        <f>HYPERLINK("http://www.linkedin.com/pub/natalie-minh/25/88B/B9","http://www.linkedin.com/pub/natalie-minh/25/88B/B9")</f>
        <v>http://www.linkedin.com/pub/natalie-minh/25/88B/B9</v>
      </c>
      <c r="I8791" s="2" t="s">
        <v>105</v>
      </c>
      <c r="J8791" s="2" t="s">
        <v>102</v>
      </c>
      <c r="K8791" s="2" t="s">
        <v>14092</v>
      </c>
    </row>
    <row r="8792" ht="15.75" customHeight="1">
      <c r="A8792" s="2">
        <v>178074.0</v>
      </c>
      <c r="B8792" s="2" t="s">
        <v>133</v>
      </c>
      <c r="C8792" s="2" t="s">
        <v>15899</v>
      </c>
      <c r="D8792" s="2" t="s">
        <v>15900</v>
      </c>
      <c r="E8792" s="2" t="s">
        <v>181</v>
      </c>
      <c r="F8792" s="2">
        <v>29.0</v>
      </c>
      <c r="G8792" s="2">
        <v>500.0</v>
      </c>
      <c r="H8792" s="3" t="str">
        <f>HYPERLINK("http://www.linkedin.com/in/michaelcentrella","http://www.linkedin.com/in/michaelcentrella")</f>
        <v>http://www.linkedin.com/in/michaelcentrella</v>
      </c>
      <c r="I8792" s="2" t="s">
        <v>15</v>
      </c>
      <c r="J8792" s="2" t="s">
        <v>102</v>
      </c>
      <c r="K8792" s="2" t="s">
        <v>14092</v>
      </c>
    </row>
    <row r="8793" ht="15.75" customHeight="1">
      <c r="A8793" s="2">
        <v>178080.0</v>
      </c>
      <c r="B8793" s="2" t="s">
        <v>2006</v>
      </c>
      <c r="C8793" s="2" t="s">
        <v>15901</v>
      </c>
      <c r="D8793" s="2" t="s">
        <v>15902</v>
      </c>
      <c r="E8793" s="2" t="s">
        <v>301</v>
      </c>
      <c r="F8793" s="2">
        <v>4.0</v>
      </c>
      <c r="G8793" s="2">
        <v>500.0</v>
      </c>
      <c r="H8793" s="3" t="str">
        <f>HYPERLINK("http://www.linkedin.com/pub/gilbert-maddock/4/854/AB0","http://www.linkedin.com/pub/gilbert-maddock/4/854/AB0")</f>
        <v>http://www.linkedin.com/pub/gilbert-maddock/4/854/AB0</v>
      </c>
      <c r="I8793" s="2" t="s">
        <v>279</v>
      </c>
      <c r="J8793" s="2" t="s">
        <v>102</v>
      </c>
      <c r="K8793" s="2" t="s">
        <v>14055</v>
      </c>
    </row>
    <row r="8794" ht="15.75" customHeight="1">
      <c r="A8794" s="2">
        <v>178190.0</v>
      </c>
      <c r="B8794" s="2" t="s">
        <v>1019</v>
      </c>
      <c r="C8794" s="2" t="s">
        <v>15903</v>
      </c>
      <c r="D8794" s="2"/>
      <c r="E8794" s="2" t="s">
        <v>992</v>
      </c>
      <c r="F8794" s="2">
        <v>1.0</v>
      </c>
      <c r="G8794" s="2">
        <v>500.0</v>
      </c>
      <c r="H8794" s="3" t="str">
        <f>HYPERLINK("http://www.linkedin.com/in/matthansen","http://www.linkedin.com/in/matthansen")</f>
        <v>http://www.linkedin.com/in/matthansen</v>
      </c>
      <c r="I8794" s="2" t="s">
        <v>15</v>
      </c>
      <c r="J8794" s="2" t="s">
        <v>102</v>
      </c>
      <c r="K8794" s="2" t="s">
        <v>14095</v>
      </c>
    </row>
    <row r="8795" ht="15.75" customHeight="1">
      <c r="A8795" s="2">
        <v>178540.0</v>
      </c>
      <c r="B8795" s="2" t="s">
        <v>2567</v>
      </c>
      <c r="C8795" s="2" t="s">
        <v>1325</v>
      </c>
      <c r="D8795" s="2"/>
      <c r="E8795" s="2" t="s">
        <v>15904</v>
      </c>
      <c r="F8795" s="2">
        <v>1.0</v>
      </c>
      <c r="G8795" s="2">
        <v>500.0</v>
      </c>
      <c r="H8795" s="3" t="str">
        <f>HYPERLINK("http://www.linkedin.com/pub/christopher-miller/24/648/555","http://www.linkedin.com/pub/christopher-miller/24/648/555")</f>
        <v>http://www.linkedin.com/pub/christopher-miller/24/648/555</v>
      </c>
      <c r="I8795" s="2" t="s">
        <v>15</v>
      </c>
      <c r="J8795" s="2" t="s">
        <v>102</v>
      </c>
      <c r="K8795" s="2" t="s">
        <v>14617</v>
      </c>
    </row>
    <row r="8796" ht="15.75" customHeight="1">
      <c r="A8796" s="2">
        <v>178595.0</v>
      </c>
      <c r="B8796" s="2" t="s">
        <v>5551</v>
      </c>
      <c r="C8796" s="2" t="s">
        <v>1193</v>
      </c>
      <c r="D8796" s="2" t="s">
        <v>517</v>
      </c>
      <c r="E8796" s="2" t="s">
        <v>713</v>
      </c>
      <c r="F8796" s="2">
        <v>26.0</v>
      </c>
      <c r="G8796" s="2">
        <v>500.0</v>
      </c>
      <c r="H8796" s="3" t="str">
        <f>HYPERLINK("http://www.linkedin.com/in/rameshkumarbudhani","http://www.linkedin.com/in/rameshkumarbudhani")</f>
        <v>http://www.linkedin.com/in/rameshkumarbudhani</v>
      </c>
      <c r="I8796" s="2" t="s">
        <v>1496</v>
      </c>
      <c r="J8796" s="2" t="s">
        <v>102</v>
      </c>
      <c r="K8796" s="2" t="s">
        <v>14055</v>
      </c>
    </row>
    <row r="8797" ht="15.75" customHeight="1">
      <c r="A8797" s="2">
        <v>178606.0</v>
      </c>
      <c r="B8797" s="2" t="s">
        <v>1748</v>
      </c>
      <c r="C8797" s="2" t="s">
        <v>15905</v>
      </c>
      <c r="D8797" s="2" t="s">
        <v>1145</v>
      </c>
      <c r="E8797" s="2" t="s">
        <v>989</v>
      </c>
      <c r="F8797" s="2">
        <v>1.0</v>
      </c>
      <c r="G8797" s="2">
        <v>301.0</v>
      </c>
      <c r="H8797" s="3" t="str">
        <f>HYPERLINK("http://www.linkedin.com/in/sandyping","http://www.linkedin.com/in/sandyping")</f>
        <v>http://www.linkedin.com/in/sandyping</v>
      </c>
      <c r="I8797" s="2" t="s">
        <v>1390</v>
      </c>
      <c r="J8797" s="2" t="s">
        <v>102</v>
      </c>
      <c r="K8797" s="2" t="s">
        <v>14055</v>
      </c>
    </row>
    <row r="8798" ht="15.75" customHeight="1">
      <c r="A8798" s="2">
        <v>178630.0</v>
      </c>
      <c r="B8798" s="2" t="s">
        <v>460</v>
      </c>
      <c r="C8798" s="2" t="s">
        <v>15906</v>
      </c>
      <c r="D8798" s="2" t="s">
        <v>15907</v>
      </c>
      <c r="E8798" s="2" t="s">
        <v>542</v>
      </c>
      <c r="F8798" s="2">
        <v>16.0</v>
      </c>
      <c r="G8798" s="2">
        <v>500.0</v>
      </c>
      <c r="H8798" s="3" t="str">
        <f>HYPERLINK("http://www.linkedin.com/in/johnglennon","http://www.linkedin.com/in/johnglennon")</f>
        <v>http://www.linkedin.com/in/johnglennon</v>
      </c>
      <c r="I8798" s="2" t="s">
        <v>105</v>
      </c>
      <c r="J8798" s="2" t="s">
        <v>102</v>
      </c>
      <c r="K8798" s="2" t="s">
        <v>14074</v>
      </c>
    </row>
    <row r="8799" ht="15.75" customHeight="1">
      <c r="A8799" s="2">
        <v>178644.0</v>
      </c>
      <c r="B8799" s="2" t="s">
        <v>2099</v>
      </c>
      <c r="C8799" s="2" t="s">
        <v>1346</v>
      </c>
      <c r="D8799" s="2" t="s">
        <v>517</v>
      </c>
      <c r="E8799" s="2" t="s">
        <v>1179</v>
      </c>
      <c r="F8799" s="2">
        <v>1.0</v>
      </c>
      <c r="G8799" s="2">
        <v>500.0</v>
      </c>
      <c r="H8799" s="3" t="str">
        <f>HYPERLINK("http://www.linkedin.com/in/charlesjo","http://www.linkedin.com/in/charlesjo")</f>
        <v>http://www.linkedin.com/in/charlesjo</v>
      </c>
      <c r="I8799" s="2" t="s">
        <v>69</v>
      </c>
      <c r="J8799" s="2" t="s">
        <v>102</v>
      </c>
      <c r="K8799" s="2" t="s">
        <v>14142</v>
      </c>
    </row>
    <row r="8800" ht="15.75" customHeight="1">
      <c r="A8800" s="2">
        <v>178655.0</v>
      </c>
      <c r="B8800" s="2" t="s">
        <v>784</v>
      </c>
      <c r="C8800" s="2" t="s">
        <v>1586</v>
      </c>
      <c r="D8800" s="2" t="s">
        <v>517</v>
      </c>
      <c r="E8800" s="2" t="s">
        <v>166</v>
      </c>
      <c r="F8800" s="2">
        <v>5.0</v>
      </c>
      <c r="G8800" s="2">
        <v>500.0</v>
      </c>
      <c r="H8800" s="3" t="str">
        <f>HYPERLINK("http://www.linkedin.com/in/jeffreyfhughes","http://www.linkedin.com/in/jeffreyfhughes")</f>
        <v>http://www.linkedin.com/in/jeffreyfhughes</v>
      </c>
      <c r="I8800" s="2" t="s">
        <v>48</v>
      </c>
      <c r="J8800" s="2" t="s">
        <v>102</v>
      </c>
      <c r="K8800" s="2" t="s">
        <v>14078</v>
      </c>
    </row>
    <row r="8801" ht="15.75" customHeight="1">
      <c r="A8801" s="2">
        <v>178666.0</v>
      </c>
      <c r="B8801" s="2" t="s">
        <v>7724</v>
      </c>
      <c r="C8801" s="2" t="s">
        <v>15908</v>
      </c>
      <c r="D8801" s="2" t="s">
        <v>114</v>
      </c>
      <c r="E8801" s="2" t="s">
        <v>136</v>
      </c>
      <c r="F8801" s="2">
        <v>9.0</v>
      </c>
      <c r="G8801" s="2">
        <v>500.0</v>
      </c>
      <c r="H8801" s="3" t="str">
        <f>HYPERLINK("http://www.linkedin.com/in/laraabrams","http://www.linkedin.com/in/laraabrams")</f>
        <v>http://www.linkedin.com/in/laraabrams</v>
      </c>
      <c r="I8801" s="2" t="s">
        <v>57</v>
      </c>
      <c r="J8801" s="2" t="s">
        <v>102</v>
      </c>
      <c r="K8801" s="2" t="s">
        <v>14055</v>
      </c>
    </row>
    <row r="8802" ht="15.75" customHeight="1">
      <c r="A8802" s="2">
        <v>178693.0</v>
      </c>
      <c r="B8802" s="2" t="s">
        <v>15909</v>
      </c>
      <c r="C8802" s="2" t="s">
        <v>1962</v>
      </c>
      <c r="D8802" s="2" t="s">
        <v>15910</v>
      </c>
      <c r="E8802" s="2" t="s">
        <v>1321</v>
      </c>
      <c r="F8802" s="2">
        <v>6.0</v>
      </c>
      <c r="G8802" s="2">
        <v>500.0</v>
      </c>
      <c r="H8802" s="3" t="str">
        <f>HYPERLINK("http://www.linkedin.com/in/jarrettgoetz","http://www.linkedin.com/in/jarrettgoetz")</f>
        <v>http://www.linkedin.com/in/jarrettgoetz</v>
      </c>
      <c r="I8802" s="2" t="s">
        <v>15</v>
      </c>
      <c r="J8802" s="2" t="s">
        <v>102</v>
      </c>
      <c r="K8802" s="2" t="s">
        <v>14088</v>
      </c>
    </row>
    <row r="8803" ht="15.75" customHeight="1">
      <c r="A8803" s="2">
        <v>178703.0</v>
      </c>
      <c r="B8803" s="2" t="s">
        <v>993</v>
      </c>
      <c r="C8803" s="2" t="s">
        <v>15464</v>
      </c>
      <c r="D8803" s="2" t="s">
        <v>13</v>
      </c>
      <c r="E8803" s="2" t="s">
        <v>713</v>
      </c>
      <c r="F8803" s="2">
        <v>0.0</v>
      </c>
      <c r="G8803" s="2">
        <v>500.0</v>
      </c>
      <c r="H8803" s="3" t="str">
        <f>HYPERLINK("http://www.linkedin.com/in/biddingforgood","http://www.linkedin.com/in/biddingforgood")</f>
        <v>http://www.linkedin.com/in/biddingforgood</v>
      </c>
      <c r="I8803" s="2" t="s">
        <v>69</v>
      </c>
      <c r="J8803" s="2" t="s">
        <v>102</v>
      </c>
      <c r="K8803" s="2" t="s">
        <v>14073</v>
      </c>
    </row>
    <row r="8804" ht="15.75" customHeight="1">
      <c r="A8804" s="2">
        <v>178717.0</v>
      </c>
      <c r="B8804" s="2" t="s">
        <v>15911</v>
      </c>
      <c r="C8804" s="2" t="s">
        <v>15912</v>
      </c>
      <c r="D8804" s="2" t="s">
        <v>1145</v>
      </c>
      <c r="E8804" s="2" t="s">
        <v>2058</v>
      </c>
      <c r="F8804" s="2">
        <v>16.0</v>
      </c>
      <c r="G8804" s="2">
        <v>500.0</v>
      </c>
      <c r="H8804" s="3" t="str">
        <f>HYPERLINK("http://www.linkedin.com/in/riggs","http://www.linkedin.com/in/riggs")</f>
        <v>http://www.linkedin.com/in/riggs</v>
      </c>
      <c r="I8804" s="2" t="s">
        <v>663</v>
      </c>
      <c r="J8804" s="2" t="s">
        <v>102</v>
      </c>
      <c r="K8804" s="2" t="s">
        <v>14105</v>
      </c>
    </row>
    <row r="8805" ht="15.75" customHeight="1">
      <c r="A8805" s="2">
        <v>178719.0</v>
      </c>
      <c r="B8805" s="2" t="s">
        <v>302</v>
      </c>
      <c r="C8805" s="2" t="s">
        <v>601</v>
      </c>
      <c r="D8805" s="2" t="s">
        <v>309</v>
      </c>
      <c r="E8805" s="2" t="s">
        <v>136</v>
      </c>
      <c r="F8805" s="2">
        <v>4.0</v>
      </c>
      <c r="G8805" s="2">
        <v>494.0</v>
      </c>
      <c r="H8805" s="3" t="str">
        <f>HYPERLINK("http://www.linkedin.com/in/billleslie","http://www.linkedin.com/in/billleslie")</f>
        <v>http://www.linkedin.com/in/billleslie</v>
      </c>
      <c r="I8805" s="2" t="s">
        <v>77</v>
      </c>
      <c r="J8805" s="2" t="s">
        <v>102</v>
      </c>
      <c r="K8805" s="2" t="s">
        <v>14422</v>
      </c>
    </row>
    <row r="8806" ht="15.75" customHeight="1">
      <c r="A8806" s="2">
        <v>178727.0</v>
      </c>
      <c r="B8806" s="2" t="s">
        <v>4832</v>
      </c>
      <c r="C8806" s="2" t="s">
        <v>15913</v>
      </c>
      <c r="D8806" s="2" t="s">
        <v>15914</v>
      </c>
      <c r="E8806" s="2" t="s">
        <v>397</v>
      </c>
      <c r="F8806" s="2">
        <v>2.0</v>
      </c>
      <c r="G8806" s="2">
        <v>500.0</v>
      </c>
      <c r="H8806" s="3" t="str">
        <f>HYPERLINK("http://www.linkedin.com/in/geertdb","http://www.linkedin.com/in/geertdb")</f>
        <v>http://www.linkedin.com/in/geertdb</v>
      </c>
      <c r="I8806" s="2" t="s">
        <v>69</v>
      </c>
      <c r="J8806" s="2" t="s">
        <v>102</v>
      </c>
      <c r="K8806" s="2" t="s">
        <v>14073</v>
      </c>
    </row>
    <row r="8807" ht="15.75" customHeight="1">
      <c r="A8807" s="2">
        <v>178747.0</v>
      </c>
      <c r="B8807" s="2" t="s">
        <v>3832</v>
      </c>
      <c r="C8807" s="2" t="s">
        <v>15915</v>
      </c>
      <c r="D8807" s="2" t="s">
        <v>15916</v>
      </c>
      <c r="E8807" s="2" t="s">
        <v>2058</v>
      </c>
      <c r="F8807" s="2">
        <v>11.0</v>
      </c>
      <c r="G8807" s="2">
        <v>500.0</v>
      </c>
      <c r="H8807" s="3" t="str">
        <f>HYPERLINK("http://www.linkedin.com/in/alainjourdier","http://www.linkedin.com/in/alainjourdier")</f>
        <v>http://www.linkedin.com/in/alainjourdier</v>
      </c>
      <c r="I8807" s="2" t="s">
        <v>105</v>
      </c>
      <c r="J8807" s="2" t="s">
        <v>102</v>
      </c>
      <c r="K8807" s="2" t="s">
        <v>14092</v>
      </c>
    </row>
    <row r="8808" ht="15.75" customHeight="1">
      <c r="A8808" s="2">
        <v>178775.0</v>
      </c>
      <c r="B8808" s="2" t="s">
        <v>13674</v>
      </c>
      <c r="C8808" s="2" t="s">
        <v>15917</v>
      </c>
      <c r="D8808" s="2" t="s">
        <v>47</v>
      </c>
      <c r="E8808" s="2" t="s">
        <v>2263</v>
      </c>
      <c r="F8808" s="2">
        <v>5.0</v>
      </c>
      <c r="G8808" s="2">
        <v>500.0</v>
      </c>
      <c r="H8808" s="3" t="str">
        <f>HYPERLINK("http://www.linkedin.com/in/aviramjenik","http://www.linkedin.com/in/aviramjenik")</f>
        <v>http://www.linkedin.com/in/aviramjenik</v>
      </c>
      <c r="I8808" s="2" t="s">
        <v>160</v>
      </c>
      <c r="J8808" s="2" t="s">
        <v>102</v>
      </c>
      <c r="K8808" s="2" t="s">
        <v>14422</v>
      </c>
    </row>
    <row r="8809" ht="15.75" customHeight="1">
      <c r="A8809" s="2">
        <v>178820.0</v>
      </c>
      <c r="B8809" s="2" t="s">
        <v>1104</v>
      </c>
      <c r="C8809" s="2" t="s">
        <v>820</v>
      </c>
      <c r="D8809" s="2" t="s">
        <v>15918</v>
      </c>
      <c r="E8809" s="2" t="s">
        <v>15919</v>
      </c>
      <c r="F8809" s="2">
        <v>37.0</v>
      </c>
      <c r="G8809" s="2">
        <v>500.0</v>
      </c>
      <c r="H8809" s="3" t="str">
        <f>HYPERLINK("http://www.linkedin.com/in/jdmoore","http://www.linkedin.com/in/jdmoore")</f>
        <v>http://www.linkedin.com/in/jdmoore</v>
      </c>
      <c r="I8809" s="2" t="s">
        <v>143</v>
      </c>
      <c r="J8809" s="2" t="s">
        <v>102</v>
      </c>
      <c r="K8809" s="2" t="s">
        <v>14142</v>
      </c>
    </row>
    <row r="8810" ht="15.75" customHeight="1">
      <c r="A8810" s="2">
        <v>179284.0</v>
      </c>
      <c r="B8810" s="2" t="s">
        <v>1019</v>
      </c>
      <c r="C8810" s="2" t="s">
        <v>15920</v>
      </c>
      <c r="D8810" s="2" t="s">
        <v>114</v>
      </c>
      <c r="E8810" s="2" t="s">
        <v>136</v>
      </c>
      <c r="F8810" s="2">
        <v>4.0</v>
      </c>
      <c r="G8810" s="2">
        <v>287.0</v>
      </c>
      <c r="H8810" s="3" t="str">
        <f>HYPERLINK("http://www.linkedin.com/in/thesmartkioskguy","http://www.linkedin.com/in/thesmartkioskguy")</f>
        <v>http://www.linkedin.com/in/thesmartkioskguy</v>
      </c>
      <c r="I8810" s="2" t="s">
        <v>132</v>
      </c>
      <c r="J8810" s="2" t="s">
        <v>102</v>
      </c>
      <c r="K8810" s="2" t="s">
        <v>14055</v>
      </c>
    </row>
    <row r="8811" ht="15.75" customHeight="1">
      <c r="A8811" s="2">
        <v>179393.0</v>
      </c>
      <c r="B8811" s="2" t="s">
        <v>11421</v>
      </c>
      <c r="C8811" s="2" t="s">
        <v>2239</v>
      </c>
      <c r="D8811" s="2" t="s">
        <v>400</v>
      </c>
      <c r="E8811" s="2" t="s">
        <v>1407</v>
      </c>
      <c r="F8811" s="2">
        <v>0.0</v>
      </c>
      <c r="G8811" s="2">
        <v>332.0</v>
      </c>
      <c r="H8811" s="3" t="str">
        <f>HYPERLINK("http://www.linkedin.com/in/randallrussell","http://www.linkedin.com/in/randallrussell")</f>
        <v>http://www.linkedin.com/in/randallrussell</v>
      </c>
      <c r="I8811" s="2" t="s">
        <v>15</v>
      </c>
      <c r="J8811" s="2" t="s">
        <v>102</v>
      </c>
      <c r="K8811" s="2" t="s">
        <v>14092</v>
      </c>
    </row>
    <row r="8812" ht="15.75" customHeight="1">
      <c r="A8812" s="2">
        <v>179440.0</v>
      </c>
      <c r="B8812" s="2" t="s">
        <v>625</v>
      </c>
      <c r="C8812" s="2" t="s">
        <v>15921</v>
      </c>
      <c r="D8812" s="2" t="s">
        <v>114</v>
      </c>
      <c r="E8812" s="2" t="s">
        <v>1766</v>
      </c>
      <c r="F8812" s="2">
        <v>9.0</v>
      </c>
      <c r="G8812" s="2">
        <v>500.0</v>
      </c>
      <c r="H8812" s="3" t="str">
        <f>HYPERLINK("http://www.linkedin.com/in/timothylafferty","http://www.linkedin.com/in/timothylafferty")</f>
        <v>http://www.linkedin.com/in/timothylafferty</v>
      </c>
      <c r="I8812" s="2" t="s">
        <v>15</v>
      </c>
      <c r="J8812" s="2" t="s">
        <v>102</v>
      </c>
      <c r="K8812" s="2" t="s">
        <v>14197</v>
      </c>
    </row>
    <row r="8813" ht="15.75" customHeight="1">
      <c r="A8813" s="2">
        <v>179636.0</v>
      </c>
      <c r="B8813" s="2" t="s">
        <v>982</v>
      </c>
      <c r="C8813" s="2" t="s">
        <v>15922</v>
      </c>
      <c r="D8813" s="2" t="s">
        <v>15923</v>
      </c>
      <c r="E8813" s="2" t="s">
        <v>1918</v>
      </c>
      <c r="F8813" s="2">
        <v>1.0</v>
      </c>
      <c r="G8813" s="2">
        <v>500.0</v>
      </c>
      <c r="H8813" s="3" t="str">
        <f>HYPERLINK("http://www.linkedin.com/in/terryscholl","http://www.linkedin.com/in/terryscholl")</f>
        <v>http://www.linkedin.com/in/terryscholl</v>
      </c>
      <c r="I8813" s="2" t="s">
        <v>15</v>
      </c>
      <c r="J8813" s="2" t="s">
        <v>102</v>
      </c>
      <c r="K8813" s="2" t="s">
        <v>14092</v>
      </c>
    </row>
    <row r="8814" ht="15.75" customHeight="1">
      <c r="A8814" s="2">
        <v>179669.0</v>
      </c>
      <c r="B8814" s="2" t="s">
        <v>15924</v>
      </c>
      <c r="C8814" s="2" t="s">
        <v>12916</v>
      </c>
      <c r="D8814" s="2" t="s">
        <v>15925</v>
      </c>
      <c r="E8814" s="2" t="s">
        <v>10198</v>
      </c>
      <c r="F8814" s="2">
        <v>2.0</v>
      </c>
      <c r="G8814" s="2">
        <v>331.0</v>
      </c>
      <c r="H8814" s="3" t="str">
        <f>HYPERLINK("http://www.linkedin.com/in/ritchiepark","http://www.linkedin.com/in/ritchiepark")</f>
        <v>http://www.linkedin.com/in/ritchiepark</v>
      </c>
      <c r="I8814" s="2" t="s">
        <v>15</v>
      </c>
      <c r="J8814" s="2" t="s">
        <v>102</v>
      </c>
      <c r="K8814" s="2" t="s">
        <v>14057</v>
      </c>
    </row>
    <row r="8815" ht="15.75" customHeight="1">
      <c r="A8815" s="2">
        <v>179927.0</v>
      </c>
      <c r="B8815" s="2" t="s">
        <v>2543</v>
      </c>
      <c r="C8815" s="2" t="s">
        <v>15926</v>
      </c>
      <c r="D8815" s="2" t="s">
        <v>15927</v>
      </c>
      <c r="E8815" s="2" t="s">
        <v>1547</v>
      </c>
      <c r="F8815" s="2">
        <v>3.0</v>
      </c>
      <c r="G8815" s="2">
        <v>500.0</v>
      </c>
      <c r="H8815" s="3" t="str">
        <f>HYPERLINK("http://www.linkedin.com/pub/don-piluso/0/527/2B","http://www.linkedin.com/pub/don-piluso/0/527/2B")</f>
        <v>http://www.linkedin.com/pub/don-piluso/0/527/2B</v>
      </c>
      <c r="I8815" s="2" t="s">
        <v>15</v>
      </c>
      <c r="J8815" s="2" t="s">
        <v>102</v>
      </c>
      <c r="K8815" s="2" t="s">
        <v>14197</v>
      </c>
    </row>
    <row r="8816" ht="15.75" customHeight="1">
      <c r="A8816" s="2">
        <v>180016.0</v>
      </c>
      <c r="B8816" s="2" t="s">
        <v>15928</v>
      </c>
      <c r="C8816" s="2" t="s">
        <v>15929</v>
      </c>
      <c r="D8816" s="2"/>
      <c r="E8816" s="2" t="s">
        <v>181</v>
      </c>
      <c r="F8816" s="2">
        <v>2.0</v>
      </c>
      <c r="G8816" s="2">
        <v>500.0</v>
      </c>
      <c r="H8816" s="3" t="str">
        <f>HYPERLINK("http://www.linkedin.com/pub/fletcher-previn/0/B56/A81","http://www.linkedin.com/pub/fletcher-previn/0/B56/A81")</f>
        <v>http://www.linkedin.com/pub/fletcher-previn/0/B56/A81</v>
      </c>
      <c r="I8816" s="2" t="s">
        <v>69</v>
      </c>
      <c r="J8816" s="2" t="s">
        <v>102</v>
      </c>
      <c r="K8816" s="2" t="s">
        <v>14111</v>
      </c>
    </row>
    <row r="8817" ht="15.75" customHeight="1">
      <c r="A8817" s="2">
        <v>180040.0</v>
      </c>
      <c r="B8817" s="2" t="s">
        <v>3847</v>
      </c>
      <c r="C8817" s="2" t="s">
        <v>361</v>
      </c>
      <c r="D8817" s="2" t="s">
        <v>13</v>
      </c>
      <c r="E8817" s="2" t="s">
        <v>713</v>
      </c>
      <c r="F8817" s="2">
        <v>0.0</v>
      </c>
      <c r="G8817" s="2">
        <v>440.0</v>
      </c>
      <c r="H8817" s="3" t="str">
        <f>HYPERLINK("http://www.linkedin.com/in/vmachado","http://www.linkedin.com/in/vmachado")</f>
        <v>http://www.linkedin.com/in/vmachado</v>
      </c>
      <c r="I8817" s="2" t="s">
        <v>160</v>
      </c>
      <c r="J8817" s="2" t="s">
        <v>102</v>
      </c>
      <c r="K8817" s="2" t="s">
        <v>14085</v>
      </c>
    </row>
    <row r="8818" ht="15.75" customHeight="1">
      <c r="A8818" s="2">
        <v>180050.0</v>
      </c>
      <c r="B8818" s="2" t="s">
        <v>3244</v>
      </c>
      <c r="C8818" s="2" t="s">
        <v>15930</v>
      </c>
      <c r="D8818" s="2"/>
      <c r="E8818" s="2" t="s">
        <v>992</v>
      </c>
      <c r="F8818" s="2">
        <v>1.0</v>
      </c>
      <c r="G8818" s="2">
        <v>500.0</v>
      </c>
      <c r="H8818" s="3" t="str">
        <f>HYPERLINK("http://www.linkedin.com/pub/wendy-delmolino/1/188/244","http://www.linkedin.com/pub/wendy-delmolino/1/188/244")</f>
        <v>http://www.linkedin.com/pub/wendy-delmolino/1/188/244</v>
      </c>
      <c r="I8818" s="2" t="s">
        <v>48</v>
      </c>
      <c r="J8818" s="2" t="s">
        <v>102</v>
      </c>
      <c r="K8818" s="2" t="s">
        <v>14057</v>
      </c>
    </row>
    <row r="8819" ht="15.75" customHeight="1">
      <c r="A8819" s="2">
        <v>180114.0</v>
      </c>
      <c r="B8819" s="2" t="s">
        <v>625</v>
      </c>
      <c r="C8819" s="2" t="s">
        <v>5593</v>
      </c>
      <c r="D8819" s="2" t="s">
        <v>15931</v>
      </c>
      <c r="E8819" s="2" t="s">
        <v>4407</v>
      </c>
      <c r="F8819" s="2">
        <v>1.0</v>
      </c>
      <c r="G8819" s="2">
        <v>216.0</v>
      </c>
      <c r="H8819" s="3" t="str">
        <f>HYPERLINK("http://www.linkedin.com/in/tphelps","http://www.linkedin.com/in/tphelps")</f>
        <v>http://www.linkedin.com/in/tphelps</v>
      </c>
      <c r="I8819" s="2" t="s">
        <v>15</v>
      </c>
      <c r="J8819" s="2" t="s">
        <v>102</v>
      </c>
      <c r="K8819" s="2" t="s">
        <v>14074</v>
      </c>
    </row>
    <row r="8820" ht="15.75" customHeight="1">
      <c r="A8820" s="2">
        <v>180136.0</v>
      </c>
      <c r="B8820" s="2" t="s">
        <v>1058</v>
      </c>
      <c r="C8820" s="2" t="s">
        <v>15932</v>
      </c>
      <c r="D8820" s="2" t="s">
        <v>13</v>
      </c>
      <c r="E8820" s="2" t="s">
        <v>628</v>
      </c>
      <c r="F8820" s="2">
        <v>0.0</v>
      </c>
      <c r="G8820" s="2">
        <v>500.0</v>
      </c>
      <c r="H8820" s="3" t="str">
        <f>HYPERLINK("http://www.linkedin.com/pub/anand-kumar-ak/1/982/104","http://www.linkedin.com/pub/anand-kumar-ak/1/982/104")</f>
        <v>http://www.linkedin.com/pub/anand-kumar-ak/1/982/104</v>
      </c>
      <c r="I8820" s="2" t="s">
        <v>15</v>
      </c>
      <c r="J8820" s="2" t="s">
        <v>102</v>
      </c>
      <c r="K8820" s="2" t="s">
        <v>14095</v>
      </c>
    </row>
    <row r="8821" ht="15.75" customHeight="1">
      <c r="A8821" s="2">
        <v>180303.0</v>
      </c>
      <c r="B8821" s="2" t="s">
        <v>295</v>
      </c>
      <c r="C8821" s="2" t="s">
        <v>15933</v>
      </c>
      <c r="D8821" s="2" t="s">
        <v>11367</v>
      </c>
      <c r="E8821" s="2" t="s">
        <v>136</v>
      </c>
      <c r="F8821" s="2" t="s">
        <v>13</v>
      </c>
      <c r="G8821" s="2">
        <v>500.0</v>
      </c>
      <c r="H8821" s="3" t="str">
        <f>HYPERLINK("http://www.linkedin.com/in/seanfotoohi","http://www.linkedin.com/in/seanfotoohi")</f>
        <v>http://www.linkedin.com/in/seanfotoohi</v>
      </c>
      <c r="I8821" s="2" t="s">
        <v>48</v>
      </c>
      <c r="J8821" s="2" t="s">
        <v>102</v>
      </c>
      <c r="K8821" s="2" t="s">
        <v>14057</v>
      </c>
    </row>
    <row r="8822" ht="15.75" customHeight="1">
      <c r="A8822" s="2">
        <v>180310.0</v>
      </c>
      <c r="B8822" s="2" t="s">
        <v>752</v>
      </c>
      <c r="C8822" s="2" t="s">
        <v>1153</v>
      </c>
      <c r="D8822" s="2" t="s">
        <v>12278</v>
      </c>
      <c r="E8822" s="2" t="s">
        <v>301</v>
      </c>
      <c r="F8822" s="2">
        <v>12.0</v>
      </c>
      <c r="G8822" s="2">
        <v>500.0</v>
      </c>
      <c r="H8822" s="3" t="str">
        <f>HYPERLINK("http://www.linkedin.com/pub/jim-brown/4/4B7/A79","http://www.linkedin.com/pub/jim-brown/4/4B7/A79")</f>
        <v>http://www.linkedin.com/pub/jim-brown/4/4B7/A79</v>
      </c>
      <c r="I8822" s="2" t="s">
        <v>1679</v>
      </c>
      <c r="J8822" s="2" t="s">
        <v>102</v>
      </c>
      <c r="K8822" s="2" t="s">
        <v>14055</v>
      </c>
    </row>
    <row r="8823" ht="15.75" customHeight="1">
      <c r="A8823" s="2">
        <v>180371.0</v>
      </c>
      <c r="B8823" s="2" t="s">
        <v>15934</v>
      </c>
      <c r="C8823" s="2" t="s">
        <v>4233</v>
      </c>
      <c r="D8823" s="2" t="s">
        <v>7962</v>
      </c>
      <c r="E8823" s="2" t="s">
        <v>4407</v>
      </c>
      <c r="F8823" s="2">
        <v>22.0</v>
      </c>
      <c r="G8823" s="2">
        <v>500.0</v>
      </c>
      <c r="H8823" s="3" t="str">
        <f>HYPERLINK("https://www.linkedin.com/in/ceferinoggonzalez","https://www.linkedin.com/in/ceferinoggonzalez")</f>
        <v>https://www.linkedin.com/in/ceferinoggonzalez</v>
      </c>
      <c r="I8823" s="2" t="s">
        <v>248</v>
      </c>
      <c r="J8823" s="2" t="s">
        <v>102</v>
      </c>
      <c r="K8823" s="2" t="s">
        <v>14074</v>
      </c>
    </row>
    <row r="8824" ht="15.75" customHeight="1">
      <c r="A8824" s="2">
        <v>180411.0</v>
      </c>
      <c r="B8824" s="2" t="s">
        <v>879</v>
      </c>
      <c r="C8824" s="2" t="s">
        <v>15935</v>
      </c>
      <c r="D8824" s="2" t="s">
        <v>15936</v>
      </c>
      <c r="E8824" s="2" t="s">
        <v>728</v>
      </c>
      <c r="F8824" s="2">
        <v>10.0</v>
      </c>
      <c r="G8824" s="2">
        <v>500.0</v>
      </c>
      <c r="H8824" s="3" t="str">
        <f>HYPERLINK("http://www.linkedin.com/in/richardcoy","http://www.linkedin.com/in/richardcoy")</f>
        <v>http://www.linkedin.com/in/richardcoy</v>
      </c>
      <c r="I8824" s="2" t="s">
        <v>15</v>
      </c>
      <c r="J8824" s="2" t="s">
        <v>102</v>
      </c>
      <c r="K8824" s="2" t="s">
        <v>14092</v>
      </c>
    </row>
    <row r="8825" ht="15.75" customHeight="1">
      <c r="A8825" s="2">
        <v>180545.0</v>
      </c>
      <c r="B8825" s="2" t="s">
        <v>15937</v>
      </c>
      <c r="C8825" s="2" t="s">
        <v>15938</v>
      </c>
      <c r="D8825" s="2" t="s">
        <v>13</v>
      </c>
      <c r="E8825" s="2" t="s">
        <v>181</v>
      </c>
      <c r="F8825" s="2">
        <v>0.0</v>
      </c>
      <c r="G8825" s="2">
        <v>500.0</v>
      </c>
      <c r="H8825" s="3" t="str">
        <f>HYPERLINK("http://www.linkedin.com/pub/louis-m-morrone-r-t/8/7b9/731","http://www.linkedin.com/pub/louis-m-morrone-r-t/8/7b9/731")</f>
        <v>http://www.linkedin.com/pub/louis-m-morrone-r-t/8/7b9/731</v>
      </c>
      <c r="I8825" s="2" t="s">
        <v>172</v>
      </c>
      <c r="J8825" s="2" t="s">
        <v>102</v>
      </c>
      <c r="K8825" s="2" t="s">
        <v>14055</v>
      </c>
    </row>
    <row r="8826" ht="15.75" customHeight="1">
      <c r="A8826" s="2">
        <v>180718.0</v>
      </c>
      <c r="B8826" s="2" t="s">
        <v>287</v>
      </c>
      <c r="C8826" s="2" t="s">
        <v>15939</v>
      </c>
      <c r="D8826" s="2" t="s">
        <v>13</v>
      </c>
      <c r="E8826" s="2" t="s">
        <v>457</v>
      </c>
      <c r="F8826" s="2">
        <v>0.0</v>
      </c>
      <c r="G8826" s="2">
        <v>500.0</v>
      </c>
      <c r="H8826" s="3" t="str">
        <f>HYPERLINK("http://www.linkedin.com/in/paulfrase","http://www.linkedin.com/in/paulfrase")</f>
        <v>http://www.linkedin.com/in/paulfrase</v>
      </c>
      <c r="I8826" s="2" t="s">
        <v>248</v>
      </c>
      <c r="J8826" s="2" t="s">
        <v>102</v>
      </c>
      <c r="K8826" s="2" t="s">
        <v>14055</v>
      </c>
    </row>
    <row r="8827" ht="15.75" customHeight="1">
      <c r="A8827" s="2">
        <v>181085.0</v>
      </c>
      <c r="B8827" s="2" t="s">
        <v>460</v>
      </c>
      <c r="C8827" s="2" t="s">
        <v>15940</v>
      </c>
      <c r="D8827" s="2" t="s">
        <v>15941</v>
      </c>
      <c r="E8827" s="2" t="s">
        <v>3148</v>
      </c>
      <c r="F8827" s="2">
        <v>9.0</v>
      </c>
      <c r="G8827" s="2">
        <v>74.0</v>
      </c>
      <c r="H8827" s="3" t="str">
        <f>HYPERLINK("http://www.linkedin.com/pub/john-atkinson/0/B27/136","http://www.linkedin.com/pub/john-atkinson/0/B27/136")</f>
        <v>http://www.linkedin.com/pub/john-atkinson/0/B27/136</v>
      </c>
      <c r="I8827" s="2" t="s">
        <v>15</v>
      </c>
      <c r="J8827" s="2" t="s">
        <v>102</v>
      </c>
      <c r="K8827" s="2" t="s">
        <v>14142</v>
      </c>
    </row>
    <row r="8828" ht="15.75" customHeight="1">
      <c r="A8828" s="2">
        <v>181097.0</v>
      </c>
      <c r="B8828" s="2" t="s">
        <v>845</v>
      </c>
      <c r="C8828" s="2" t="s">
        <v>15942</v>
      </c>
      <c r="D8828" s="2" t="s">
        <v>15943</v>
      </c>
      <c r="E8828" s="2" t="s">
        <v>15944</v>
      </c>
      <c r="F8828" s="2">
        <v>1.0</v>
      </c>
      <c r="G8828" s="2">
        <v>427.0</v>
      </c>
      <c r="H8828" s="3" t="str">
        <f>HYPERLINK("http://www.linkedin.com/pub/david-huryn/1/121/373","http://www.linkedin.com/pub/david-huryn/1/121/373")</f>
        <v>http://www.linkedin.com/pub/david-huryn/1/121/373</v>
      </c>
      <c r="I8828" s="2" t="s">
        <v>48</v>
      </c>
      <c r="J8828" s="2" t="s">
        <v>102</v>
      </c>
      <c r="K8828" s="2" t="s">
        <v>14057</v>
      </c>
    </row>
    <row r="8829" ht="15.75" customHeight="1">
      <c r="A8829" s="2">
        <v>181164.0</v>
      </c>
      <c r="B8829" s="2" t="s">
        <v>15945</v>
      </c>
      <c r="C8829" s="2" t="s">
        <v>797</v>
      </c>
      <c r="D8829" s="2" t="s">
        <v>15946</v>
      </c>
      <c r="E8829" s="2" t="s">
        <v>1999</v>
      </c>
      <c r="F8829" s="2">
        <v>11.0</v>
      </c>
      <c r="G8829" s="2">
        <v>500.0</v>
      </c>
      <c r="H8829" s="3" t="str">
        <f>HYPERLINK("http://www.linkedin.com/in/dtaylorlinkedin","http://www.linkedin.com/in/dtaylorlinkedin")</f>
        <v>http://www.linkedin.com/in/dtaylorlinkedin</v>
      </c>
      <c r="I8829" s="2" t="s">
        <v>48</v>
      </c>
      <c r="J8829" s="2" t="s">
        <v>102</v>
      </c>
      <c r="K8829" s="2" t="s">
        <v>14078</v>
      </c>
    </row>
    <row r="8830" ht="15.75" customHeight="1">
      <c r="A8830" s="2">
        <v>181205.0</v>
      </c>
      <c r="B8830" s="2" t="s">
        <v>631</v>
      </c>
      <c r="C8830" s="2" t="s">
        <v>15947</v>
      </c>
      <c r="D8830" s="2" t="s">
        <v>536</v>
      </c>
      <c r="E8830" s="2" t="s">
        <v>11025</v>
      </c>
      <c r="F8830" s="2">
        <v>10.0</v>
      </c>
      <c r="G8830" s="2">
        <v>500.0</v>
      </c>
      <c r="H8830" s="3" t="str">
        <f>HYPERLINK("http://www.linkedin.com/in/christopherkesler","http://www.linkedin.com/in/christopherkesler")</f>
        <v>http://www.linkedin.com/in/christopherkesler</v>
      </c>
      <c r="I8830" s="2" t="s">
        <v>48</v>
      </c>
      <c r="J8830" s="2" t="s">
        <v>102</v>
      </c>
      <c r="K8830" s="2" t="s">
        <v>14197</v>
      </c>
    </row>
    <row r="8831" ht="15.75" customHeight="1">
      <c r="A8831" s="2">
        <v>181304.0</v>
      </c>
      <c r="B8831" s="2" t="s">
        <v>414</v>
      </c>
      <c r="C8831" s="2" t="s">
        <v>15948</v>
      </c>
      <c r="D8831" s="2" t="s">
        <v>15949</v>
      </c>
      <c r="E8831" s="2" t="s">
        <v>15950</v>
      </c>
      <c r="F8831" s="2">
        <v>15.0</v>
      </c>
      <c r="G8831" s="2">
        <v>500.0</v>
      </c>
      <c r="H8831" s="3" t="str">
        <f>HYPERLINK("http://www.linkedin.com/in/tomhortel","http://www.linkedin.com/in/tomhortel")</f>
        <v>http://www.linkedin.com/in/tomhortel</v>
      </c>
      <c r="I8831" s="2" t="s">
        <v>612</v>
      </c>
      <c r="J8831" s="2" t="s">
        <v>102</v>
      </c>
      <c r="K8831" s="2" t="s">
        <v>14055</v>
      </c>
    </row>
    <row r="8832" ht="15.75" customHeight="1">
      <c r="A8832" s="2">
        <v>181318.0</v>
      </c>
      <c r="B8832" s="2" t="s">
        <v>302</v>
      </c>
      <c r="C8832" s="2" t="s">
        <v>15951</v>
      </c>
      <c r="D8832" s="2" t="s">
        <v>15952</v>
      </c>
      <c r="E8832" s="2" t="s">
        <v>2343</v>
      </c>
      <c r="F8832" s="2">
        <v>0.0</v>
      </c>
      <c r="G8832" s="2">
        <v>302.0</v>
      </c>
      <c r="H8832" s="3" t="str">
        <f>HYPERLINK("http://www.linkedin.com/pub/bill-driest/0/A7/346","http://www.linkedin.com/pub/bill-driest/0/A7/346")</f>
        <v>http://www.linkedin.com/pub/bill-driest/0/A7/346</v>
      </c>
      <c r="I8832" s="2" t="s">
        <v>48</v>
      </c>
      <c r="J8832" s="2" t="s">
        <v>102</v>
      </c>
      <c r="K8832" s="2" t="s">
        <v>15953</v>
      </c>
    </row>
    <row r="8833" ht="15.75" customHeight="1">
      <c r="A8833" s="2">
        <v>181330.0</v>
      </c>
      <c r="B8833" s="2" t="s">
        <v>3302</v>
      </c>
      <c r="C8833" s="2" t="s">
        <v>15954</v>
      </c>
      <c r="D8833" s="2" t="s">
        <v>114</v>
      </c>
      <c r="E8833" s="2" t="s">
        <v>989</v>
      </c>
      <c r="F8833" s="2" t="s">
        <v>13</v>
      </c>
      <c r="G8833" s="2">
        <v>500.0</v>
      </c>
      <c r="H8833" s="3" t="str">
        <f>HYPERLINK("http://www.linkedin.com/pub/cindy-andrew-cordell/0/BA/511","http://www.linkedin.com/pub/cindy-andrew-cordell/0/BA/511")</f>
        <v>http://www.linkedin.com/pub/cindy-andrew-cordell/0/BA/511</v>
      </c>
      <c r="I8833" s="2" t="s">
        <v>248</v>
      </c>
      <c r="J8833" s="2" t="s">
        <v>102</v>
      </c>
      <c r="K8833" s="2" t="s">
        <v>14074</v>
      </c>
    </row>
    <row r="8834" ht="15.75" customHeight="1">
      <c r="A8834" s="2">
        <v>181462.0</v>
      </c>
      <c r="B8834" s="2" t="s">
        <v>1405</v>
      </c>
      <c r="C8834" s="2" t="s">
        <v>15955</v>
      </c>
      <c r="D8834" s="2" t="s">
        <v>114</v>
      </c>
      <c r="E8834" s="2" t="s">
        <v>251</v>
      </c>
      <c r="F8834" s="2">
        <v>3.0</v>
      </c>
      <c r="G8834" s="2">
        <v>500.0</v>
      </c>
      <c r="H8834" s="3" t="str">
        <f>HYPERLINK("http://www.linkedin.com/pub/ron-resnick/0/189/532","http://www.linkedin.com/pub/ron-resnick/0/189/532")</f>
        <v>http://www.linkedin.com/pub/ron-resnick/0/189/532</v>
      </c>
      <c r="I8834" s="2" t="s">
        <v>57</v>
      </c>
      <c r="J8834" s="2" t="s">
        <v>102</v>
      </c>
      <c r="K8834" s="2" t="s">
        <v>14105</v>
      </c>
    </row>
    <row r="8835" ht="15.75" customHeight="1">
      <c r="A8835" s="2">
        <v>181476.0</v>
      </c>
      <c r="B8835" s="2" t="s">
        <v>275</v>
      </c>
      <c r="C8835" s="2" t="s">
        <v>9082</v>
      </c>
      <c r="D8835" s="2" t="s">
        <v>114</v>
      </c>
      <c r="E8835" s="2" t="s">
        <v>166</v>
      </c>
      <c r="F8835" s="2">
        <v>9.0</v>
      </c>
      <c r="G8835" s="2">
        <v>500.0</v>
      </c>
      <c r="H8835" s="3" t="str">
        <f>HYPERLINK("http://www.linkedin.com/in/markgoldstein","http://www.linkedin.com/in/markgoldstein")</f>
        <v>http://www.linkedin.com/in/markgoldstein</v>
      </c>
      <c r="I8835" s="2" t="s">
        <v>2046</v>
      </c>
      <c r="J8835" s="2" t="s">
        <v>102</v>
      </c>
      <c r="K8835" s="2" t="s">
        <v>14055</v>
      </c>
    </row>
    <row r="8836" ht="15.75" customHeight="1">
      <c r="A8836" s="2">
        <v>181493.0</v>
      </c>
      <c r="B8836" s="2" t="s">
        <v>754</v>
      </c>
      <c r="C8836" s="2" t="s">
        <v>15507</v>
      </c>
      <c r="D8836" s="2" t="s">
        <v>15956</v>
      </c>
      <c r="E8836" s="2" t="s">
        <v>325</v>
      </c>
      <c r="F8836" s="2">
        <v>33.0</v>
      </c>
      <c r="G8836" s="2">
        <v>500.0</v>
      </c>
      <c r="H8836" s="3" t="str">
        <f>HYPERLINK("http://www.linkedin.com/in/gregvnielsen","http://www.linkedin.com/in/gregvnielsen")</f>
        <v>http://www.linkedin.com/in/gregvnielsen</v>
      </c>
      <c r="I8836" s="2" t="s">
        <v>77</v>
      </c>
      <c r="J8836" s="2" t="s">
        <v>102</v>
      </c>
      <c r="K8836" s="2" t="s">
        <v>14242</v>
      </c>
    </row>
    <row r="8837" ht="15.75" customHeight="1">
      <c r="A8837" s="2">
        <v>181514.0</v>
      </c>
      <c r="B8837" s="2" t="s">
        <v>15957</v>
      </c>
      <c r="C8837" s="2" t="s">
        <v>4997</v>
      </c>
      <c r="D8837" s="2" t="s">
        <v>15958</v>
      </c>
      <c r="E8837" s="2" t="s">
        <v>15959</v>
      </c>
      <c r="F8837" s="2">
        <v>8.0</v>
      </c>
      <c r="G8837" s="2">
        <v>500.0</v>
      </c>
      <c r="H8837" s="3" t="str">
        <f>HYPERLINK("http://www.linkedin.com/in/wendellwblack","http://www.linkedin.com/in/wendellwblack")</f>
        <v>http://www.linkedin.com/in/wendellwblack</v>
      </c>
      <c r="I8837" s="2" t="s">
        <v>77</v>
      </c>
      <c r="J8837" s="2" t="s">
        <v>102</v>
      </c>
      <c r="K8837" s="2" t="s">
        <v>14080</v>
      </c>
    </row>
    <row r="8838" ht="15.75" customHeight="1">
      <c r="A8838" s="2">
        <v>181528.0</v>
      </c>
      <c r="B8838" s="2" t="s">
        <v>287</v>
      </c>
      <c r="C8838" s="2" t="s">
        <v>15960</v>
      </c>
      <c r="D8838" s="2" t="s">
        <v>15961</v>
      </c>
      <c r="E8838" s="2" t="s">
        <v>15962</v>
      </c>
      <c r="F8838" s="2" t="s">
        <v>13</v>
      </c>
      <c r="G8838" s="2">
        <v>500.0</v>
      </c>
      <c r="H8838" s="3" t="str">
        <f>HYPERLINK("http://ca.linkedin.com/pub/paul-bush/0/55/489","http://ca.linkedin.com/pub/paul-bush/0/55/489")</f>
        <v>http://ca.linkedin.com/pub/paul-bush/0/55/489</v>
      </c>
      <c r="I8838" s="2" t="s">
        <v>15</v>
      </c>
      <c r="J8838" s="2" t="s">
        <v>44</v>
      </c>
      <c r="K8838" s="2" t="s">
        <v>14092</v>
      </c>
    </row>
    <row r="8839" ht="15.75" customHeight="1">
      <c r="A8839" s="2">
        <v>181548.0</v>
      </c>
      <c r="B8839" s="2" t="s">
        <v>15963</v>
      </c>
      <c r="C8839" s="2" t="s">
        <v>15964</v>
      </c>
      <c r="D8839" s="2" t="s">
        <v>15965</v>
      </c>
      <c r="E8839" s="2" t="s">
        <v>301</v>
      </c>
      <c r="F8839" s="2">
        <v>3.0</v>
      </c>
      <c r="G8839" s="2">
        <v>500.0</v>
      </c>
      <c r="H8839" s="3" t="str">
        <f>HYPERLINK("http://www.linkedin.com/pub/jan-paul-roodbol/0/64/570","http://www.linkedin.com/pub/jan-paul-roodbol/0/64/570")</f>
        <v>http://www.linkedin.com/pub/jan-paul-roodbol/0/64/570</v>
      </c>
      <c r="I8839" s="2" t="s">
        <v>681</v>
      </c>
      <c r="J8839" s="2" t="s">
        <v>102</v>
      </c>
      <c r="K8839" s="2" t="s">
        <v>14055</v>
      </c>
    </row>
    <row r="8840" ht="15.75" customHeight="1">
      <c r="A8840" s="2">
        <v>181556.0</v>
      </c>
      <c r="B8840" s="2" t="s">
        <v>291</v>
      </c>
      <c r="C8840" s="2" t="s">
        <v>15966</v>
      </c>
      <c r="D8840" s="2" t="s">
        <v>15967</v>
      </c>
      <c r="E8840" s="2" t="s">
        <v>1041</v>
      </c>
      <c r="F8840" s="2">
        <v>11.0</v>
      </c>
      <c r="G8840" s="2">
        <v>500.0</v>
      </c>
      <c r="H8840" s="3" t="str">
        <f>HYPERLINK("http://www.linkedin.com/in/garyhoke","http://www.linkedin.com/in/garyhoke")</f>
        <v>http://www.linkedin.com/in/garyhoke</v>
      </c>
      <c r="I8840" s="2" t="s">
        <v>374</v>
      </c>
      <c r="J8840" s="2" t="s">
        <v>102</v>
      </c>
      <c r="K8840" s="2" t="s">
        <v>14055</v>
      </c>
    </row>
    <row r="8841" ht="15.75" customHeight="1">
      <c r="A8841" s="2">
        <v>181584.0</v>
      </c>
      <c r="B8841" s="2" t="s">
        <v>2153</v>
      </c>
      <c r="C8841" s="2" t="s">
        <v>15968</v>
      </c>
      <c r="D8841" s="2"/>
      <c r="E8841" s="2" t="s">
        <v>136</v>
      </c>
      <c r="F8841" s="2">
        <v>38.0</v>
      </c>
      <c r="G8841" s="2">
        <v>500.0</v>
      </c>
      <c r="H8841" s="3" t="str">
        <f>HYPERLINK("http://www.linkedin.com/pub/nick-groleau/0/14/462","http://www.linkedin.com/pub/nick-groleau/0/14/462")</f>
        <v>http://www.linkedin.com/pub/nick-groleau/0/14/462</v>
      </c>
      <c r="I8841" s="2" t="s">
        <v>69</v>
      </c>
      <c r="J8841" s="2" t="s">
        <v>102</v>
      </c>
      <c r="K8841" s="2" t="s">
        <v>14088</v>
      </c>
    </row>
    <row r="8842" ht="15.75" customHeight="1">
      <c r="A8842" s="2">
        <v>181600.0</v>
      </c>
      <c r="B8842" s="2" t="s">
        <v>15969</v>
      </c>
      <c r="C8842" s="2" t="s">
        <v>15970</v>
      </c>
      <c r="D8842" s="2" t="s">
        <v>400</v>
      </c>
      <c r="E8842" s="2" t="s">
        <v>15971</v>
      </c>
      <c r="F8842" s="2">
        <v>14.0</v>
      </c>
      <c r="G8842" s="2">
        <v>500.0</v>
      </c>
      <c r="H8842" s="3" t="str">
        <f>HYPERLINK("http://www.linkedin.com/in/pravirmalik","http://www.linkedin.com/in/pravirmalik")</f>
        <v>http://www.linkedin.com/in/pravirmalik</v>
      </c>
      <c r="I8842" s="2" t="s">
        <v>15</v>
      </c>
      <c r="J8842" s="2" t="s">
        <v>102</v>
      </c>
      <c r="K8842" s="2" t="s">
        <v>14092</v>
      </c>
    </row>
    <row r="8843" ht="15.75" customHeight="1">
      <c r="A8843" s="2">
        <v>181617.0</v>
      </c>
      <c r="B8843" s="2" t="s">
        <v>2399</v>
      </c>
      <c r="C8843" s="2" t="s">
        <v>15972</v>
      </c>
      <c r="D8843" s="2" t="s">
        <v>15973</v>
      </c>
      <c r="E8843" s="2" t="s">
        <v>2090</v>
      </c>
      <c r="F8843" s="2">
        <v>6.0</v>
      </c>
      <c r="G8843" s="2">
        <v>500.0</v>
      </c>
      <c r="H8843" s="3" t="str">
        <f>HYPERLINK("http://ca.linkedin.com/in/vrallon","http://ca.linkedin.com/in/vrallon")</f>
        <v>http://ca.linkedin.com/in/vrallon</v>
      </c>
      <c r="I8843" s="2" t="s">
        <v>279</v>
      </c>
      <c r="J8843" s="2" t="s">
        <v>44</v>
      </c>
      <c r="K8843" s="2" t="s">
        <v>14808</v>
      </c>
    </row>
    <row r="8844" ht="15.75" customHeight="1">
      <c r="A8844" s="2">
        <v>181635.0</v>
      </c>
      <c r="B8844" s="2" t="s">
        <v>15974</v>
      </c>
      <c r="C8844" s="2" t="s">
        <v>15975</v>
      </c>
      <c r="D8844" s="2" t="s">
        <v>47</v>
      </c>
      <c r="E8844" s="2" t="s">
        <v>136</v>
      </c>
      <c r="F8844" s="2">
        <v>7.0</v>
      </c>
      <c r="G8844" s="2">
        <v>500.0</v>
      </c>
      <c r="H8844" s="3" t="str">
        <f>HYPERLINK("http://www.linkedin.com/in/drhagit","http://www.linkedin.com/in/drhagit")</f>
        <v>http://www.linkedin.com/in/drhagit</v>
      </c>
      <c r="I8844" s="2" t="s">
        <v>714</v>
      </c>
      <c r="J8844" s="2" t="s">
        <v>102</v>
      </c>
      <c r="K8844" s="2" t="s">
        <v>14074</v>
      </c>
    </row>
    <row r="8845" ht="15.75" customHeight="1">
      <c r="A8845" s="2">
        <v>181669.0</v>
      </c>
      <c r="B8845" s="2" t="s">
        <v>752</v>
      </c>
      <c r="C8845" s="2" t="s">
        <v>5713</v>
      </c>
      <c r="D8845" s="2" t="s">
        <v>15976</v>
      </c>
      <c r="E8845" s="2" t="s">
        <v>15977</v>
      </c>
      <c r="F8845" s="2">
        <v>0.0</v>
      </c>
      <c r="G8845" s="2">
        <v>500.0</v>
      </c>
      <c r="H8845" s="3" t="str">
        <f>HYPERLINK("http://www.linkedin.com/in/jimcorbett","http://www.linkedin.com/in/jimcorbett")</f>
        <v>http://www.linkedin.com/in/jimcorbett</v>
      </c>
      <c r="I8845" s="2" t="s">
        <v>15</v>
      </c>
      <c r="J8845" s="2" t="s">
        <v>102</v>
      </c>
      <c r="K8845" s="2" t="s">
        <v>14750</v>
      </c>
    </row>
    <row r="8846" ht="15.75" customHeight="1">
      <c r="A8846" s="2">
        <v>181701.0</v>
      </c>
      <c r="B8846" s="2" t="s">
        <v>15978</v>
      </c>
      <c r="C8846" s="2" t="s">
        <v>15979</v>
      </c>
      <c r="D8846" s="2" t="s">
        <v>2224</v>
      </c>
      <c r="E8846" s="2" t="s">
        <v>1918</v>
      </c>
      <c r="F8846" s="2">
        <v>44.0</v>
      </c>
      <c r="G8846" s="2">
        <v>500.0</v>
      </c>
      <c r="H8846" s="3" t="str">
        <f>HYPERLINK("http://www.linkedin.com/in/osolind","http://www.linkedin.com/in/osolind")</f>
        <v>http://www.linkedin.com/in/osolind</v>
      </c>
      <c r="I8846" s="2" t="s">
        <v>105</v>
      </c>
      <c r="J8846" s="2" t="s">
        <v>102</v>
      </c>
      <c r="K8846" s="2" t="s">
        <v>14074</v>
      </c>
    </row>
    <row r="8847" ht="15.75" customHeight="1">
      <c r="A8847" s="2">
        <v>181772.0</v>
      </c>
      <c r="B8847" s="2" t="s">
        <v>940</v>
      </c>
      <c r="C8847" s="2" t="s">
        <v>15980</v>
      </c>
      <c r="D8847" s="2" t="s">
        <v>1145</v>
      </c>
      <c r="E8847" s="2" t="s">
        <v>5396</v>
      </c>
      <c r="F8847" s="2">
        <v>25.0</v>
      </c>
      <c r="G8847" s="2">
        <v>500.0</v>
      </c>
      <c r="H8847" s="3" t="str">
        <f>HYPERLINK("http://www.linkedin.com/in/bobmoesta","http://www.linkedin.com/in/bobmoesta")</f>
        <v>http://www.linkedin.com/in/bobmoesta</v>
      </c>
      <c r="I8847" s="2" t="s">
        <v>2268</v>
      </c>
      <c r="J8847" s="2" t="s">
        <v>102</v>
      </c>
      <c r="K8847" s="2" t="s">
        <v>14105</v>
      </c>
    </row>
    <row r="8848" ht="15.75" customHeight="1">
      <c r="A8848" s="2">
        <v>181779.0</v>
      </c>
      <c r="B8848" s="2" t="s">
        <v>11636</v>
      </c>
      <c r="C8848" s="2" t="s">
        <v>15981</v>
      </c>
      <c r="D8848" s="2" t="s">
        <v>400</v>
      </c>
      <c r="E8848" s="2" t="s">
        <v>2090</v>
      </c>
      <c r="F8848" s="2">
        <v>22.0</v>
      </c>
      <c r="G8848" s="2">
        <v>500.0</v>
      </c>
      <c r="H8848" s="3" t="str">
        <f>HYPERLINK("http://www.linkedin.com/in/evancarmichael","http://www.linkedin.com/in/evancarmichael")</f>
        <v>http://www.linkedin.com/in/evancarmichael</v>
      </c>
      <c r="I8848" s="2" t="s">
        <v>69</v>
      </c>
      <c r="J8848" s="2" t="s">
        <v>44</v>
      </c>
      <c r="K8848" s="2" t="s">
        <v>14242</v>
      </c>
    </row>
    <row r="8849" ht="15.75" customHeight="1">
      <c r="A8849" s="2">
        <v>181821.0</v>
      </c>
      <c r="B8849" s="2" t="s">
        <v>14945</v>
      </c>
      <c r="C8849" s="2" t="s">
        <v>15982</v>
      </c>
      <c r="D8849" s="2" t="s">
        <v>13</v>
      </c>
      <c r="E8849" s="2" t="s">
        <v>136</v>
      </c>
      <c r="F8849" s="2">
        <v>2.0</v>
      </c>
      <c r="G8849" s="2">
        <v>500.0</v>
      </c>
      <c r="H8849" s="3" t="str">
        <f>HYPERLINK("http://www.linkedin.com/in/jaspermalcolmson","http://www.linkedin.com/in/jaspermalcolmson")</f>
        <v>http://www.linkedin.com/in/jaspermalcolmson</v>
      </c>
      <c r="I8849" s="2" t="s">
        <v>69</v>
      </c>
      <c r="J8849" s="2" t="s">
        <v>102</v>
      </c>
      <c r="K8849" s="2" t="s">
        <v>14073</v>
      </c>
    </row>
    <row r="8850" ht="15.75" customHeight="1">
      <c r="A8850" s="2">
        <v>181874.0</v>
      </c>
      <c r="B8850" s="2" t="s">
        <v>15983</v>
      </c>
      <c r="C8850" s="2" t="s">
        <v>15984</v>
      </c>
      <c r="D8850" s="2" t="s">
        <v>517</v>
      </c>
      <c r="E8850" s="2" t="s">
        <v>136</v>
      </c>
      <c r="F8850" s="2">
        <v>14.0</v>
      </c>
      <c r="G8850" s="2">
        <v>500.0</v>
      </c>
      <c r="H8850" s="3" t="str">
        <f>HYPERLINK("http://www.linkedin.com/in/lilyyeoh","http://www.linkedin.com/in/lilyyeoh")</f>
        <v>http://www.linkedin.com/in/lilyyeoh</v>
      </c>
      <c r="I8850" s="2" t="s">
        <v>160</v>
      </c>
      <c r="J8850" s="2" t="s">
        <v>102</v>
      </c>
      <c r="K8850" s="2" t="s">
        <v>14074</v>
      </c>
    </row>
    <row r="8851" ht="15.75" customHeight="1">
      <c r="A8851" s="2">
        <v>181911.0</v>
      </c>
      <c r="B8851" s="2" t="s">
        <v>625</v>
      </c>
      <c r="C8851" s="2" t="s">
        <v>15985</v>
      </c>
      <c r="D8851" s="2" t="s">
        <v>7962</v>
      </c>
      <c r="E8851" s="2" t="s">
        <v>13004</v>
      </c>
      <c r="F8851" s="2">
        <v>3.0</v>
      </c>
      <c r="G8851" s="2">
        <v>500.0</v>
      </c>
      <c r="H8851" s="3" t="str">
        <f>HYPERLINK("http://www.linkedin.com/in/timsaumier","http://www.linkedin.com/in/timsaumier")</f>
        <v>http://www.linkedin.com/in/timsaumier</v>
      </c>
      <c r="I8851" s="2" t="s">
        <v>248</v>
      </c>
      <c r="J8851" s="2" t="s">
        <v>102</v>
      </c>
      <c r="K8851" s="2" t="s">
        <v>14481</v>
      </c>
    </row>
    <row r="8852" ht="15.75" customHeight="1">
      <c r="A8852" s="2">
        <v>181968.0</v>
      </c>
      <c r="B8852" s="2" t="s">
        <v>15986</v>
      </c>
      <c r="C8852" s="2" t="s">
        <v>15987</v>
      </c>
      <c r="D8852" s="2" t="s">
        <v>15988</v>
      </c>
      <c r="E8852" s="2" t="s">
        <v>1547</v>
      </c>
      <c r="F8852" s="2">
        <v>8.0</v>
      </c>
      <c r="G8852" s="2">
        <v>500.0</v>
      </c>
      <c r="H8852" s="3" t="str">
        <f>HYPERLINK("http://www.linkedin.com/in/vaksambath","http://www.linkedin.com/in/vaksambath")</f>
        <v>http://www.linkedin.com/in/vaksambath</v>
      </c>
      <c r="I8852" s="2" t="s">
        <v>48</v>
      </c>
      <c r="J8852" s="2" t="s">
        <v>102</v>
      </c>
      <c r="K8852" s="2" t="s">
        <v>14092</v>
      </c>
    </row>
    <row r="8853" ht="15.75" customHeight="1">
      <c r="A8853" s="2">
        <v>182026.0</v>
      </c>
      <c r="B8853" s="2" t="s">
        <v>1068</v>
      </c>
      <c r="C8853" s="2" t="s">
        <v>15451</v>
      </c>
      <c r="D8853" s="2" t="s">
        <v>47</v>
      </c>
      <c r="E8853" s="2" t="s">
        <v>762</v>
      </c>
      <c r="F8853" s="2">
        <v>6.0</v>
      </c>
      <c r="G8853" s="2">
        <v>500.0</v>
      </c>
      <c r="H8853" s="3" t="str">
        <f>HYPERLINK("http://www.linkedin.com/in/jerrybowerman","http://www.linkedin.com/in/jerrybowerman")</f>
        <v>http://www.linkedin.com/in/jerrybowerman</v>
      </c>
      <c r="I8853" s="2" t="s">
        <v>48</v>
      </c>
      <c r="J8853" s="2" t="s">
        <v>102</v>
      </c>
      <c r="K8853" s="2" t="s">
        <v>14073</v>
      </c>
    </row>
    <row r="8854" ht="15.75" customHeight="1">
      <c r="A8854" s="2">
        <v>182043.0</v>
      </c>
      <c r="B8854" s="2" t="s">
        <v>1354</v>
      </c>
      <c r="C8854" s="2" t="s">
        <v>15989</v>
      </c>
      <c r="D8854" s="2" t="s">
        <v>2698</v>
      </c>
      <c r="E8854" s="2" t="s">
        <v>628</v>
      </c>
      <c r="F8854" s="2">
        <v>5.0</v>
      </c>
      <c r="G8854" s="2">
        <v>500.0</v>
      </c>
      <c r="H8854" s="3" t="str">
        <f>HYPERLINK("http://www.linkedin.com/in/rudychev","http://www.linkedin.com/in/rudychev")</f>
        <v>http://www.linkedin.com/in/rudychev</v>
      </c>
      <c r="I8854" s="2" t="s">
        <v>374</v>
      </c>
      <c r="J8854" s="2" t="s">
        <v>102</v>
      </c>
      <c r="K8854" s="2" t="s">
        <v>14092</v>
      </c>
    </row>
    <row r="8855" ht="15.75" customHeight="1">
      <c r="A8855" s="2">
        <v>182045.0</v>
      </c>
      <c r="B8855" s="2" t="s">
        <v>15990</v>
      </c>
      <c r="C8855" s="2" t="s">
        <v>15991</v>
      </c>
      <c r="D8855" s="2"/>
      <c r="E8855" s="2" t="s">
        <v>728</v>
      </c>
      <c r="F8855" s="2">
        <v>25.0</v>
      </c>
      <c r="G8855" s="2">
        <v>500.0</v>
      </c>
      <c r="H8855" s="3" t="str">
        <f>HYPERLINK("http://www.linkedin.com/pub/aleksandra-darrah/0/534/A22","http://www.linkedin.com/pub/aleksandra-darrah/0/534/A22")</f>
        <v>http://www.linkedin.com/pub/aleksandra-darrah/0/534/A22</v>
      </c>
      <c r="I8855" s="2" t="s">
        <v>15</v>
      </c>
      <c r="J8855" s="2" t="s">
        <v>102</v>
      </c>
      <c r="K8855" s="2" t="s">
        <v>14057</v>
      </c>
    </row>
    <row r="8856" ht="15.75" customHeight="1">
      <c r="A8856" s="2">
        <v>182047.0</v>
      </c>
      <c r="B8856" s="2" t="s">
        <v>1004</v>
      </c>
      <c r="C8856" s="2" t="s">
        <v>15992</v>
      </c>
      <c r="D8856" s="2" t="s">
        <v>47</v>
      </c>
      <c r="E8856" s="2" t="s">
        <v>136</v>
      </c>
      <c r="F8856" s="2">
        <v>1.0</v>
      </c>
      <c r="G8856" s="2">
        <v>385.0</v>
      </c>
      <c r="H8856" s="3" t="str">
        <f>HYPERLINK("http://www.linkedin.com/in/scottschreiman","http://www.linkedin.com/in/scottschreiman")</f>
        <v>http://www.linkedin.com/in/scottschreiman</v>
      </c>
      <c r="I8856" s="2" t="s">
        <v>48</v>
      </c>
      <c r="J8856" s="2" t="s">
        <v>102</v>
      </c>
      <c r="K8856" s="2" t="s">
        <v>14080</v>
      </c>
    </row>
    <row r="8857" ht="15.75" customHeight="1">
      <c r="A8857" s="2">
        <v>182054.0</v>
      </c>
      <c r="B8857" s="2" t="s">
        <v>11626</v>
      </c>
      <c r="C8857" s="2" t="s">
        <v>15993</v>
      </c>
      <c r="D8857" s="2"/>
      <c r="E8857" s="2" t="s">
        <v>2429</v>
      </c>
      <c r="F8857" s="2">
        <v>1.0</v>
      </c>
      <c r="G8857" s="2">
        <v>500.0</v>
      </c>
      <c r="H8857" s="3" t="str">
        <f>HYPERLINK("http://www.linkedin.com/pub/nigel-upton/0/18B/666","http://www.linkedin.com/pub/nigel-upton/0/18B/666")</f>
        <v>http://www.linkedin.com/pub/nigel-upton/0/18B/666</v>
      </c>
      <c r="I8857" s="2" t="s">
        <v>15</v>
      </c>
      <c r="J8857" s="2" t="s">
        <v>102</v>
      </c>
      <c r="K8857" s="2" t="s">
        <v>14057</v>
      </c>
    </row>
    <row r="8858" ht="15.75" customHeight="1">
      <c r="A8858" s="2">
        <v>182055.0</v>
      </c>
      <c r="B8858" s="2" t="s">
        <v>754</v>
      </c>
      <c r="C8858" s="2" t="s">
        <v>15994</v>
      </c>
      <c r="D8858" s="2" t="s">
        <v>47</v>
      </c>
      <c r="E8858" s="2" t="s">
        <v>882</v>
      </c>
      <c r="F8858" s="2">
        <v>5.0</v>
      </c>
      <c r="G8858" s="2">
        <v>500.0</v>
      </c>
      <c r="H8858" s="3" t="str">
        <f>HYPERLINK("http://www.linkedin.com/in/gregdewald","http://www.linkedin.com/in/gregdewald")</f>
        <v>http://www.linkedin.com/in/gregdewald</v>
      </c>
      <c r="I8858" s="2" t="s">
        <v>279</v>
      </c>
      <c r="J8858" s="2" t="s">
        <v>102</v>
      </c>
      <c r="K8858" s="2" t="s">
        <v>14074</v>
      </c>
    </row>
    <row r="8859" ht="15.75" customHeight="1">
      <c r="A8859" s="2">
        <v>182085.0</v>
      </c>
      <c r="B8859" s="2" t="s">
        <v>1821</v>
      </c>
      <c r="C8859" s="2" t="s">
        <v>15995</v>
      </c>
      <c r="D8859" s="2" t="s">
        <v>15306</v>
      </c>
      <c r="E8859" s="2" t="s">
        <v>301</v>
      </c>
      <c r="F8859" s="2">
        <v>22.0</v>
      </c>
      <c r="G8859" s="2">
        <v>500.0</v>
      </c>
      <c r="H8859" s="3" t="str">
        <f>HYPERLINK("http://www.linkedin.com/in/itesa","http://www.linkedin.com/in/itesa")</f>
        <v>http://www.linkedin.com/in/itesa</v>
      </c>
      <c r="I8859" s="2" t="s">
        <v>57</v>
      </c>
      <c r="J8859" s="2" t="s">
        <v>102</v>
      </c>
      <c r="K8859" s="2" t="s">
        <v>14074</v>
      </c>
    </row>
    <row r="8860" ht="15.75" customHeight="1">
      <c r="A8860" s="2">
        <v>182184.0</v>
      </c>
      <c r="B8860" s="2" t="s">
        <v>879</v>
      </c>
      <c r="C8860" s="2" t="s">
        <v>5010</v>
      </c>
      <c r="D8860" s="2" t="s">
        <v>15996</v>
      </c>
      <c r="E8860" s="2" t="s">
        <v>136</v>
      </c>
      <c r="F8860" s="2">
        <v>18.0</v>
      </c>
      <c r="G8860" s="2">
        <v>500.0</v>
      </c>
      <c r="H8860" s="3" t="str">
        <f>HYPERLINK("http://www.linkedin.com/in/richarddonaldson","http://www.linkedin.com/in/richarddonaldson")</f>
        <v>http://www.linkedin.com/in/richarddonaldson</v>
      </c>
      <c r="I8860" s="2" t="s">
        <v>15</v>
      </c>
      <c r="J8860" s="2" t="s">
        <v>102</v>
      </c>
      <c r="K8860" s="2" t="s">
        <v>14080</v>
      </c>
    </row>
    <row r="8861" ht="15.75" customHeight="1">
      <c r="A8861" s="2">
        <v>182250.0</v>
      </c>
      <c r="B8861" s="2" t="s">
        <v>1173</v>
      </c>
      <c r="C8861" s="2" t="s">
        <v>15997</v>
      </c>
      <c r="D8861" s="2"/>
      <c r="E8861" s="2" t="s">
        <v>15998</v>
      </c>
      <c r="F8861" s="2">
        <v>16.0</v>
      </c>
      <c r="G8861" s="2">
        <v>500.0</v>
      </c>
      <c r="H8861" s="3" t="str">
        <f>HYPERLINK("http://www.linkedin.com/pub/steve-braz/0/624/695","http://www.linkedin.com/pub/steve-braz/0/624/695")</f>
        <v>http://www.linkedin.com/pub/steve-braz/0/624/695</v>
      </c>
      <c r="I8861" s="2" t="s">
        <v>15</v>
      </c>
      <c r="J8861" s="2" t="s">
        <v>102</v>
      </c>
      <c r="K8861" s="2" t="s">
        <v>14617</v>
      </c>
    </row>
    <row r="8862" ht="15.75" customHeight="1">
      <c r="A8862" s="2">
        <v>182269.0</v>
      </c>
      <c r="B8862" s="2" t="s">
        <v>2752</v>
      </c>
      <c r="C8862" s="2" t="s">
        <v>15999</v>
      </c>
      <c r="D8862" s="2" t="s">
        <v>16000</v>
      </c>
      <c r="E8862" s="2" t="s">
        <v>1918</v>
      </c>
      <c r="F8862" s="2">
        <v>0.0</v>
      </c>
      <c r="G8862" s="2">
        <v>336.0</v>
      </c>
      <c r="H8862" s="3" t="str">
        <f>HYPERLINK("http://www.linkedin.com/in/craigwhitney","http://www.linkedin.com/in/craigwhitney")</f>
        <v>http://www.linkedin.com/in/craigwhitney</v>
      </c>
      <c r="I8862" s="2" t="s">
        <v>15</v>
      </c>
      <c r="J8862" s="2" t="s">
        <v>102</v>
      </c>
      <c r="K8862" s="2" t="s">
        <v>14117</v>
      </c>
    </row>
    <row r="8863" ht="15.75" customHeight="1">
      <c r="A8863" s="2">
        <v>182272.0</v>
      </c>
      <c r="B8863" s="2" t="s">
        <v>3654</v>
      </c>
      <c r="C8863" s="2" t="s">
        <v>16001</v>
      </c>
      <c r="D8863" s="2" t="s">
        <v>832</v>
      </c>
      <c r="E8863" s="2" t="s">
        <v>301</v>
      </c>
      <c r="F8863" s="2">
        <v>17.0</v>
      </c>
      <c r="G8863" s="2">
        <v>500.0</v>
      </c>
      <c r="H8863" s="3" t="str">
        <f>HYPERLINK("http://www.linkedin.com/in/peggydau","http://www.linkedin.com/in/peggydau")</f>
        <v>http://www.linkedin.com/in/peggydau</v>
      </c>
      <c r="I8863" s="2" t="s">
        <v>15</v>
      </c>
      <c r="J8863" s="2" t="s">
        <v>102</v>
      </c>
      <c r="K8863" s="2" t="s">
        <v>14242</v>
      </c>
    </row>
    <row r="8864" ht="15.75" customHeight="1">
      <c r="A8864" s="2">
        <v>182291.0</v>
      </c>
      <c r="B8864" s="2" t="s">
        <v>957</v>
      </c>
      <c r="C8864" s="2" t="s">
        <v>11628</v>
      </c>
      <c r="D8864" s="2" t="s">
        <v>16002</v>
      </c>
      <c r="E8864" s="2" t="s">
        <v>992</v>
      </c>
      <c r="F8864" s="2">
        <v>0.0</v>
      </c>
      <c r="G8864" s="2">
        <v>500.0</v>
      </c>
      <c r="H8864" s="3" t="str">
        <f>HYPERLINK("http://www.linkedin.com/in/mmendelsohn","http://www.linkedin.com/in/mmendelsohn")</f>
        <v>http://www.linkedin.com/in/mmendelsohn</v>
      </c>
      <c r="I8864" s="2" t="s">
        <v>15</v>
      </c>
      <c r="J8864" s="2" t="s">
        <v>102</v>
      </c>
      <c r="K8864" s="2" t="s">
        <v>14095</v>
      </c>
    </row>
    <row r="8865" ht="15.75" customHeight="1">
      <c r="A8865" s="2">
        <v>182356.0</v>
      </c>
      <c r="B8865" s="2" t="s">
        <v>287</v>
      </c>
      <c r="C8865" s="2" t="s">
        <v>16003</v>
      </c>
      <c r="D8865" s="2" t="s">
        <v>16004</v>
      </c>
      <c r="E8865" s="2" t="s">
        <v>4951</v>
      </c>
      <c r="F8865" s="2">
        <v>13.0</v>
      </c>
      <c r="G8865" s="2">
        <v>500.0</v>
      </c>
      <c r="H8865" s="3" t="str">
        <f>HYPERLINK("http://www.linkedin.com/in/irvinepaul","http://www.linkedin.com/in/irvinepaul")</f>
        <v>http://www.linkedin.com/in/irvinepaul</v>
      </c>
      <c r="I8865" s="2" t="s">
        <v>48</v>
      </c>
      <c r="J8865" s="2" t="s">
        <v>102</v>
      </c>
      <c r="K8865" s="2" t="s">
        <v>16005</v>
      </c>
    </row>
    <row r="8866" ht="15.75" customHeight="1">
      <c r="A8866" s="2">
        <v>182402.0</v>
      </c>
      <c r="B8866" s="2" t="s">
        <v>16006</v>
      </c>
      <c r="C8866" s="2" t="s">
        <v>13</v>
      </c>
      <c r="D8866" s="2" t="s">
        <v>13</v>
      </c>
      <c r="E8866" s="2" t="s">
        <v>2090</v>
      </c>
      <c r="F8866" s="2">
        <v>0.0</v>
      </c>
      <c r="G8866" s="2">
        <v>500.0</v>
      </c>
      <c r="H8866" s="3" t="str">
        <f>HYPERLINK("https://www.linkedin.com/in/frankabrams","https://www.linkedin.com/in/frankabrams")</f>
        <v>https://www.linkedin.com/in/frankabrams</v>
      </c>
      <c r="I8866" s="2" t="s">
        <v>15</v>
      </c>
      <c r="J8866" s="2" t="s">
        <v>44</v>
      </c>
      <c r="K8866" s="2" t="s">
        <v>14092</v>
      </c>
    </row>
    <row r="8867" ht="15.75" customHeight="1">
      <c r="A8867" s="2">
        <v>182456.0</v>
      </c>
      <c r="B8867" s="2" t="s">
        <v>1201</v>
      </c>
      <c r="C8867" s="2" t="s">
        <v>16007</v>
      </c>
      <c r="D8867" s="2" t="s">
        <v>16008</v>
      </c>
      <c r="E8867" s="2" t="s">
        <v>914</v>
      </c>
      <c r="F8867" s="2" t="s">
        <v>13</v>
      </c>
      <c r="G8867" s="2">
        <v>500.0</v>
      </c>
      <c r="H8867" s="3" t="str">
        <f>HYPERLINK("http://www.linkedin.com/in/marcolimena","http://www.linkedin.com/in/marcolimena")</f>
        <v>http://www.linkedin.com/in/marcolimena</v>
      </c>
      <c r="I8867" s="2" t="s">
        <v>15</v>
      </c>
      <c r="J8867" s="2" t="s">
        <v>102</v>
      </c>
      <c r="K8867" s="2" t="s">
        <v>14095</v>
      </c>
    </row>
    <row r="8868" ht="15.75" customHeight="1">
      <c r="A8868" s="2">
        <v>182471.0</v>
      </c>
      <c r="B8868" s="2" t="s">
        <v>11736</v>
      </c>
      <c r="C8868" s="2" t="s">
        <v>16009</v>
      </c>
      <c r="D8868" s="2" t="s">
        <v>16010</v>
      </c>
      <c r="E8868" s="2" t="s">
        <v>713</v>
      </c>
      <c r="F8868" s="2">
        <v>3.0</v>
      </c>
      <c r="G8868" s="2">
        <v>368.0</v>
      </c>
      <c r="H8868" s="3" t="str">
        <f>HYPERLINK("http://www.linkedin.com/pub/pat-loring/0/2B/8B2","http://www.linkedin.com/pub/pat-loring/0/2B/8B2")</f>
        <v>http://www.linkedin.com/pub/pat-loring/0/2B/8B2</v>
      </c>
      <c r="I8868" s="2" t="s">
        <v>48</v>
      </c>
      <c r="J8868" s="2" t="s">
        <v>102</v>
      </c>
      <c r="K8868" s="2" t="s">
        <v>14095</v>
      </c>
    </row>
    <row r="8869" ht="15.75" customHeight="1">
      <c r="A8869" s="2">
        <v>182480.0</v>
      </c>
      <c r="B8869" s="2" t="s">
        <v>16011</v>
      </c>
      <c r="C8869" s="2" t="s">
        <v>16012</v>
      </c>
      <c r="D8869" s="2" t="s">
        <v>16013</v>
      </c>
      <c r="E8869" s="2" t="s">
        <v>136</v>
      </c>
      <c r="F8869" s="2">
        <v>6.0</v>
      </c>
      <c r="G8869" s="2">
        <v>500.0</v>
      </c>
      <c r="H8869" s="3" t="str">
        <f>HYPERLINK("http://www.linkedin.com/in/ainmckendrick","http://www.linkedin.com/in/ainmckendrick")</f>
        <v>http://www.linkedin.com/in/ainmckendrick</v>
      </c>
      <c r="I8869" s="2" t="s">
        <v>1452</v>
      </c>
      <c r="J8869" s="2" t="s">
        <v>102</v>
      </c>
      <c r="K8869" s="2" t="s">
        <v>14140</v>
      </c>
    </row>
    <row r="8870" ht="15.75" customHeight="1">
      <c r="A8870" s="2">
        <v>182524.0</v>
      </c>
      <c r="B8870" s="2" t="s">
        <v>754</v>
      </c>
      <c r="C8870" s="2" t="s">
        <v>16014</v>
      </c>
      <c r="D8870" s="2" t="s">
        <v>13</v>
      </c>
      <c r="E8870" s="2" t="s">
        <v>1190</v>
      </c>
      <c r="F8870" s="2">
        <v>10.0</v>
      </c>
      <c r="G8870" s="2">
        <v>500.0</v>
      </c>
      <c r="H8870" s="3" t="str">
        <f>HYPERLINK("http://www.linkedin.com/in/gregtaffet","http://www.linkedin.com/in/gregtaffet")</f>
        <v>http://www.linkedin.com/in/gregtaffet</v>
      </c>
      <c r="I8870" s="2" t="s">
        <v>15</v>
      </c>
      <c r="J8870" s="2" t="s">
        <v>102</v>
      </c>
      <c r="K8870" s="2" t="s">
        <v>14565</v>
      </c>
    </row>
    <row r="8871" ht="15.75" customHeight="1">
      <c r="A8871" s="2">
        <v>182527.0</v>
      </c>
      <c r="B8871" s="2" t="s">
        <v>16015</v>
      </c>
      <c r="C8871" s="2" t="s">
        <v>16016</v>
      </c>
      <c r="D8871" s="2" t="s">
        <v>114</v>
      </c>
      <c r="E8871" s="2" t="s">
        <v>713</v>
      </c>
      <c r="F8871" s="2">
        <v>30.0</v>
      </c>
      <c r="G8871" s="2">
        <v>500.0</v>
      </c>
      <c r="H8871" s="3" t="str">
        <f>HYPERLINK("https://www.linkedin.com/in/fertig","https://www.linkedin.com/in/fertig")</f>
        <v>https://www.linkedin.com/in/fertig</v>
      </c>
      <c r="I8871" s="2" t="s">
        <v>1390</v>
      </c>
      <c r="J8871" s="2" t="s">
        <v>102</v>
      </c>
      <c r="K8871" s="2" t="s">
        <v>14055</v>
      </c>
    </row>
    <row r="8872" ht="15.75" customHeight="1">
      <c r="A8872" s="2">
        <v>182646.0</v>
      </c>
      <c r="B8872" s="2" t="s">
        <v>412</v>
      </c>
      <c r="C8872" s="2" t="s">
        <v>16017</v>
      </c>
      <c r="D8872" s="2" t="s">
        <v>1145</v>
      </c>
      <c r="E8872" s="2" t="s">
        <v>101</v>
      </c>
      <c r="F8872" s="2">
        <v>3.0</v>
      </c>
      <c r="G8872" s="2">
        <v>365.0</v>
      </c>
      <c r="H8872" s="3" t="str">
        <f>HYPERLINK("http://www.linkedin.com/in/rmwinenger","http://www.linkedin.com/in/rmwinenger")</f>
        <v>http://www.linkedin.com/in/rmwinenger</v>
      </c>
      <c r="I8872" s="2" t="s">
        <v>69</v>
      </c>
      <c r="J8872" s="2" t="s">
        <v>102</v>
      </c>
      <c r="K8872" s="2" t="s">
        <v>14071</v>
      </c>
    </row>
    <row r="8873" ht="15.75" customHeight="1">
      <c r="A8873" s="2">
        <v>182733.0</v>
      </c>
      <c r="B8873" s="2" t="s">
        <v>991</v>
      </c>
      <c r="C8873" s="2" t="s">
        <v>16018</v>
      </c>
      <c r="D8873" s="2" t="s">
        <v>400</v>
      </c>
      <c r="E8873" s="2" t="s">
        <v>301</v>
      </c>
      <c r="F8873" s="2">
        <v>3.0</v>
      </c>
      <c r="G8873" s="2">
        <v>500.0</v>
      </c>
      <c r="H8873" s="3" t="str">
        <f>HYPERLINK("http://www.linkedin.com/in/grahamlawlor","http://www.linkedin.com/in/grahamlawlor")</f>
        <v>http://www.linkedin.com/in/grahamlawlor</v>
      </c>
      <c r="I8873" s="2" t="s">
        <v>69</v>
      </c>
      <c r="J8873" s="2" t="s">
        <v>102</v>
      </c>
      <c r="K8873" s="2" t="s">
        <v>14080</v>
      </c>
    </row>
    <row r="8874" ht="15.75" customHeight="1">
      <c r="A8874" s="2">
        <v>182791.0</v>
      </c>
      <c r="B8874" s="2" t="s">
        <v>16019</v>
      </c>
      <c r="C8874" s="2" t="s">
        <v>16020</v>
      </c>
      <c r="D8874" s="2"/>
      <c r="E8874" s="2" t="s">
        <v>2246</v>
      </c>
      <c r="F8874" s="2">
        <v>8.0</v>
      </c>
      <c r="G8874" s="2">
        <v>500.0</v>
      </c>
      <c r="H8874" s="3" t="str">
        <f>HYPERLINK("http://www.linkedin.com/pub/mary-kay-hyde/0/198/3A8","http://www.linkedin.com/pub/mary-kay-hyde/0/198/3A8")</f>
        <v>http://www.linkedin.com/pub/mary-kay-hyde/0/198/3A8</v>
      </c>
      <c r="I8874" s="2" t="s">
        <v>48</v>
      </c>
      <c r="J8874" s="2" t="s">
        <v>102</v>
      </c>
      <c r="K8874" s="2" t="s">
        <v>14117</v>
      </c>
    </row>
    <row r="8875" ht="15.75" customHeight="1">
      <c r="A8875" s="2">
        <v>182841.0</v>
      </c>
      <c r="B8875" s="2" t="s">
        <v>2109</v>
      </c>
      <c r="C8875" s="2" t="s">
        <v>16021</v>
      </c>
      <c r="D8875" s="2" t="s">
        <v>16022</v>
      </c>
      <c r="E8875" s="2" t="s">
        <v>5503</v>
      </c>
      <c r="F8875" s="2">
        <v>2.0</v>
      </c>
      <c r="G8875" s="2">
        <v>500.0</v>
      </c>
      <c r="H8875" s="3" t="str">
        <f>HYPERLINK("http://www.linkedin.com/in/peglarr","http://www.linkedin.com/in/peglarr")</f>
        <v>http://www.linkedin.com/in/peglarr</v>
      </c>
      <c r="I8875" s="2" t="s">
        <v>15</v>
      </c>
      <c r="J8875" s="2" t="s">
        <v>102</v>
      </c>
      <c r="K8875" s="2" t="s">
        <v>14339</v>
      </c>
    </row>
    <row r="8876" ht="15.75" customHeight="1">
      <c r="A8876" s="2">
        <v>182842.0</v>
      </c>
      <c r="B8876" s="2" t="s">
        <v>291</v>
      </c>
      <c r="C8876" s="2" t="s">
        <v>16023</v>
      </c>
      <c r="D8876" s="2" t="s">
        <v>410</v>
      </c>
      <c r="E8876" s="2" t="s">
        <v>1190</v>
      </c>
      <c r="F8876" s="2">
        <v>20.0</v>
      </c>
      <c r="G8876" s="2">
        <v>500.0</v>
      </c>
      <c r="H8876" s="3" t="str">
        <f>HYPERLINK("http://www.linkedin.com/in/biopharmhead","http://www.linkedin.com/in/biopharmhead")</f>
        <v>http://www.linkedin.com/in/biopharmhead</v>
      </c>
      <c r="I8876" s="2" t="s">
        <v>374</v>
      </c>
      <c r="J8876" s="2" t="s">
        <v>102</v>
      </c>
      <c r="K8876" s="2" t="s">
        <v>14092</v>
      </c>
    </row>
    <row r="8877" ht="15.75" customHeight="1">
      <c r="A8877" s="2">
        <v>182914.0</v>
      </c>
      <c r="B8877" s="2" t="s">
        <v>16024</v>
      </c>
      <c r="C8877" s="2" t="s">
        <v>16025</v>
      </c>
      <c r="D8877" s="2" t="s">
        <v>16026</v>
      </c>
      <c r="E8877" s="2" t="s">
        <v>301</v>
      </c>
      <c r="F8877" s="2">
        <v>12.0</v>
      </c>
      <c r="G8877" s="2">
        <v>500.0</v>
      </c>
      <c r="H8877" s="3" t="str">
        <f>HYPERLINK("http://www.linkedin.com/in/regevadi","http://www.linkedin.com/in/regevadi")</f>
        <v>http://www.linkedin.com/in/regevadi</v>
      </c>
      <c r="I8877" s="2" t="s">
        <v>77</v>
      </c>
      <c r="J8877" s="2" t="s">
        <v>102</v>
      </c>
      <c r="K8877" s="2" t="s">
        <v>14211</v>
      </c>
    </row>
    <row r="8878" ht="15.75" customHeight="1">
      <c r="A8878" s="2">
        <v>182963.0</v>
      </c>
      <c r="B8878" s="2" t="s">
        <v>1004</v>
      </c>
      <c r="C8878" s="2" t="s">
        <v>16027</v>
      </c>
      <c r="D8878" s="2" t="s">
        <v>410</v>
      </c>
      <c r="E8878" s="2" t="s">
        <v>101</v>
      </c>
      <c r="F8878" s="2">
        <v>4.0</v>
      </c>
      <c r="G8878" s="2">
        <v>500.0</v>
      </c>
      <c r="H8878" s="3" t="str">
        <f>HYPERLINK("http://www.linkedin.com/pub/scott-mcninch/0/471/7BA","http://www.linkedin.com/pub/scott-mcninch/0/471/7BA")</f>
        <v>http://www.linkedin.com/pub/scott-mcninch/0/471/7BA</v>
      </c>
      <c r="I8878" s="2" t="s">
        <v>48</v>
      </c>
      <c r="J8878" s="2" t="s">
        <v>102</v>
      </c>
      <c r="K8878" s="2" t="s">
        <v>14095</v>
      </c>
    </row>
    <row r="8879" ht="15.75" customHeight="1">
      <c r="A8879" s="2">
        <v>182971.0</v>
      </c>
      <c r="B8879" s="2" t="s">
        <v>16028</v>
      </c>
      <c r="C8879" s="2" t="s">
        <v>16029</v>
      </c>
      <c r="D8879" s="2" t="s">
        <v>15213</v>
      </c>
      <c r="E8879" s="2" t="s">
        <v>914</v>
      </c>
      <c r="F8879" s="2">
        <v>20.0</v>
      </c>
      <c r="G8879" s="2">
        <v>500.0</v>
      </c>
      <c r="H8879" s="3" t="str">
        <f>HYPERLINK("http://www.linkedin.com/in/zigserafin","http://www.linkedin.com/in/zigserafin")</f>
        <v>http://www.linkedin.com/in/zigserafin</v>
      </c>
      <c r="I8879" s="2" t="s">
        <v>48</v>
      </c>
      <c r="J8879" s="2" t="s">
        <v>102</v>
      </c>
      <c r="K8879" s="2" t="s">
        <v>14095</v>
      </c>
    </row>
    <row r="8880" ht="15.75" customHeight="1">
      <c r="A8880" s="2">
        <v>183011.0</v>
      </c>
      <c r="B8880" s="2" t="s">
        <v>592</v>
      </c>
      <c r="C8880" s="2" t="s">
        <v>16030</v>
      </c>
      <c r="D8880" s="2" t="s">
        <v>16031</v>
      </c>
      <c r="E8880" s="2" t="s">
        <v>628</v>
      </c>
      <c r="F8880" s="2">
        <v>46.0</v>
      </c>
      <c r="G8880" s="2">
        <v>500.0</v>
      </c>
      <c r="H8880" s="3" t="str">
        <f>HYPERLINK("http://www.linkedin.com/in/barrysaltzman","http://www.linkedin.com/in/barrysaltzman")</f>
        <v>http://www.linkedin.com/in/barrysaltzman</v>
      </c>
      <c r="I8880" s="2" t="s">
        <v>15</v>
      </c>
      <c r="J8880" s="2" t="s">
        <v>102</v>
      </c>
      <c r="K8880" s="2" t="s">
        <v>14197</v>
      </c>
    </row>
    <row r="8881" ht="15.75" customHeight="1">
      <c r="A8881" s="2">
        <v>183177.0</v>
      </c>
      <c r="B8881" s="2" t="s">
        <v>752</v>
      </c>
      <c r="C8881" s="2" t="s">
        <v>16032</v>
      </c>
      <c r="D8881" s="2" t="s">
        <v>47</v>
      </c>
      <c r="E8881" s="2" t="s">
        <v>914</v>
      </c>
      <c r="F8881" s="2">
        <v>76.0</v>
      </c>
      <c r="G8881" s="2">
        <v>500.0</v>
      </c>
      <c r="H8881" s="3" t="str">
        <f>HYPERLINK("http://www.linkedin.com/in/jimange","http://www.linkedin.com/in/jimange")</f>
        <v>http://www.linkedin.com/in/jimange</v>
      </c>
      <c r="I8881" s="2" t="s">
        <v>15</v>
      </c>
      <c r="J8881" s="2" t="s">
        <v>102</v>
      </c>
      <c r="K8881" s="2" t="s">
        <v>14197</v>
      </c>
    </row>
    <row r="8882" ht="15.75" customHeight="1">
      <c r="A8882" s="2">
        <v>183193.0</v>
      </c>
      <c r="B8882" s="2" t="s">
        <v>2479</v>
      </c>
      <c r="C8882" s="2" t="s">
        <v>16033</v>
      </c>
      <c r="D8882" s="2" t="s">
        <v>13</v>
      </c>
      <c r="E8882" s="2" t="s">
        <v>181</v>
      </c>
      <c r="F8882" s="2">
        <v>0.0</v>
      </c>
      <c r="G8882" s="2">
        <v>500.0</v>
      </c>
      <c r="H8882" s="3" t="str">
        <f>HYPERLINK("https://www.linkedin.com/in/eranbarak","https://www.linkedin.com/in/eranbarak")</f>
        <v>https://www.linkedin.com/in/eranbarak</v>
      </c>
      <c r="I8882" s="2" t="s">
        <v>15</v>
      </c>
      <c r="J8882" s="2" t="s">
        <v>102</v>
      </c>
      <c r="K8882" s="2" t="s">
        <v>14085</v>
      </c>
    </row>
    <row r="8883" ht="15.75" customHeight="1">
      <c r="A8883" s="2">
        <v>183208.0</v>
      </c>
      <c r="B8883" s="2" t="s">
        <v>511</v>
      </c>
      <c r="C8883" s="2" t="s">
        <v>6368</v>
      </c>
      <c r="D8883" s="2" t="s">
        <v>5217</v>
      </c>
      <c r="E8883" s="2" t="s">
        <v>1190</v>
      </c>
      <c r="F8883" s="2">
        <v>4.0</v>
      </c>
      <c r="G8883" s="2">
        <v>500.0</v>
      </c>
      <c r="H8883" s="3" t="str">
        <f>HYPERLINK("http://www.linkedin.com/pub/mike-russo/0/407/7A7","http://www.linkedin.com/pub/mike-russo/0/407/7A7")</f>
        <v>http://www.linkedin.com/pub/mike-russo/0/407/7A7</v>
      </c>
      <c r="I8883" s="2" t="s">
        <v>48</v>
      </c>
      <c r="J8883" s="2" t="s">
        <v>102</v>
      </c>
      <c r="K8883" s="2" t="s">
        <v>14092</v>
      </c>
    </row>
    <row r="8884" ht="15.75" customHeight="1">
      <c r="A8884" s="2">
        <v>183209.0</v>
      </c>
      <c r="B8884" s="2" t="s">
        <v>7807</v>
      </c>
      <c r="C8884" s="2" t="s">
        <v>16034</v>
      </c>
      <c r="D8884" s="2" t="s">
        <v>16035</v>
      </c>
      <c r="E8884" s="2" t="s">
        <v>301</v>
      </c>
      <c r="F8884" s="2">
        <v>18.0</v>
      </c>
      <c r="G8884" s="2">
        <v>500.0</v>
      </c>
      <c r="H8884" s="3" t="str">
        <f>HYPERLINK("http://www.linkedin.com/in/capuzzo","http://www.linkedin.com/in/capuzzo")</f>
        <v>http://www.linkedin.com/in/capuzzo</v>
      </c>
      <c r="I8884" s="2" t="s">
        <v>77</v>
      </c>
      <c r="J8884" s="2" t="s">
        <v>102</v>
      </c>
      <c r="K8884" s="2" t="s">
        <v>14211</v>
      </c>
    </row>
    <row r="8885" ht="15.75" customHeight="1">
      <c r="A8885" s="2">
        <v>183567.0</v>
      </c>
      <c r="B8885" s="2" t="s">
        <v>845</v>
      </c>
      <c r="C8885" s="2" t="s">
        <v>16036</v>
      </c>
      <c r="D8885" s="2"/>
      <c r="E8885" s="2" t="s">
        <v>713</v>
      </c>
      <c r="F8885" s="2">
        <v>0.0</v>
      </c>
      <c r="G8885" s="2">
        <v>500.0</v>
      </c>
      <c r="H8885" s="3" t="str">
        <f>HYPERLINK("http://uk.linkedin.com/pub/david-blume/0/70/9B3","http://uk.linkedin.com/pub/david-blume/0/70/9B3")</f>
        <v>http://uk.linkedin.com/pub/david-blume/0/70/9B3</v>
      </c>
      <c r="I8885" s="2" t="s">
        <v>15</v>
      </c>
      <c r="J8885" s="2" t="s">
        <v>102</v>
      </c>
      <c r="K8885" s="2" t="s">
        <v>14092</v>
      </c>
    </row>
    <row r="8886" ht="15.75" customHeight="1">
      <c r="A8886" s="2">
        <v>183600.0</v>
      </c>
      <c r="B8886" s="2" t="s">
        <v>275</v>
      </c>
      <c r="C8886" s="2" t="s">
        <v>16037</v>
      </c>
      <c r="D8886" s="2" t="s">
        <v>47</v>
      </c>
      <c r="E8886" s="2" t="s">
        <v>101</v>
      </c>
      <c r="F8886" s="2">
        <v>20.0</v>
      </c>
      <c r="G8886" s="2">
        <v>500.0</v>
      </c>
      <c r="H8886" s="3" t="str">
        <f>HYPERLINK("http://www.linkedin.com/in/markyaphe","http://www.linkedin.com/in/markyaphe")</f>
        <v>http://www.linkedin.com/in/markyaphe</v>
      </c>
      <c r="I8886" s="2" t="s">
        <v>27</v>
      </c>
      <c r="J8886" s="2" t="s">
        <v>102</v>
      </c>
      <c r="K8886" s="2" t="s">
        <v>14074</v>
      </c>
    </row>
    <row r="8887" ht="15.75" customHeight="1">
      <c r="A8887" s="2">
        <v>183601.0</v>
      </c>
      <c r="B8887" s="2" t="s">
        <v>640</v>
      </c>
      <c r="C8887" s="2" t="s">
        <v>16038</v>
      </c>
      <c r="D8887" s="2" t="s">
        <v>13</v>
      </c>
      <c r="E8887" s="2" t="s">
        <v>136</v>
      </c>
      <c r="F8887" s="2">
        <v>0.0</v>
      </c>
      <c r="G8887" s="2">
        <v>500.0</v>
      </c>
      <c r="H8887" s="3" t="str">
        <f>HYPERLINK("https://www.linkedin.com/in/jbarrow","https://www.linkedin.com/in/jbarrow")</f>
        <v>https://www.linkedin.com/in/jbarrow</v>
      </c>
      <c r="I8887" s="2" t="s">
        <v>15</v>
      </c>
      <c r="J8887" s="2" t="s">
        <v>102</v>
      </c>
      <c r="K8887" s="2" t="s">
        <v>14055</v>
      </c>
    </row>
    <row r="8888" ht="15.75" customHeight="1">
      <c r="A8888" s="2">
        <v>183736.0</v>
      </c>
      <c r="B8888" s="2" t="s">
        <v>16039</v>
      </c>
      <c r="C8888" s="2" t="s">
        <v>16040</v>
      </c>
      <c r="D8888" s="2" t="s">
        <v>16041</v>
      </c>
      <c r="E8888" s="2" t="s">
        <v>2090</v>
      </c>
      <c r="F8888" s="2" t="s">
        <v>13</v>
      </c>
      <c r="G8888" s="2">
        <v>500.0</v>
      </c>
      <c r="H8888" s="3" t="str">
        <f>HYPERLINK("http://ca.linkedin.com/in/kamrawal","http://ca.linkedin.com/in/kamrawal")</f>
        <v>http://ca.linkedin.com/in/kamrawal</v>
      </c>
      <c r="I8888" s="2" t="s">
        <v>77</v>
      </c>
      <c r="J8888" s="2" t="s">
        <v>44</v>
      </c>
      <c r="K8888" s="2" t="s">
        <v>14460</v>
      </c>
    </row>
    <row r="8889" ht="15.75" customHeight="1">
      <c r="A8889" s="2">
        <v>183923.0</v>
      </c>
      <c r="B8889" s="2" t="s">
        <v>16042</v>
      </c>
      <c r="C8889" s="2" t="s">
        <v>6736</v>
      </c>
      <c r="D8889" s="2" t="s">
        <v>16043</v>
      </c>
      <c r="E8889" s="2" t="s">
        <v>2058</v>
      </c>
      <c r="F8889" s="2">
        <v>5.0</v>
      </c>
      <c r="G8889" s="2">
        <v>500.0</v>
      </c>
      <c r="H8889" s="3" t="str">
        <f>HYPERLINK("http://www.linkedin.com/in/cyserrano","http://www.linkedin.com/in/cyserrano")</f>
        <v>http://www.linkedin.com/in/cyserrano</v>
      </c>
      <c r="I8889" s="2" t="s">
        <v>69</v>
      </c>
      <c r="J8889" s="2" t="s">
        <v>102</v>
      </c>
      <c r="K8889" s="2" t="s">
        <v>14105</v>
      </c>
    </row>
    <row r="8890" ht="15.75" customHeight="1">
      <c r="A8890" s="2">
        <v>184203.0</v>
      </c>
      <c r="B8890" s="2" t="s">
        <v>3441</v>
      </c>
      <c r="C8890" s="2" t="s">
        <v>16044</v>
      </c>
      <c r="D8890" s="2" t="s">
        <v>16045</v>
      </c>
      <c r="E8890" s="2" t="s">
        <v>542</v>
      </c>
      <c r="F8890" s="2">
        <v>0.0</v>
      </c>
      <c r="G8890" s="2">
        <v>500.0</v>
      </c>
      <c r="H8890" s="3" t="str">
        <f>HYPERLINK("http://www.linkedin.com/pub/elizabeth-pinkham/0/A/366","http://www.linkedin.com/pub/elizabeth-pinkham/0/A/366")</f>
        <v>http://www.linkedin.com/pub/elizabeth-pinkham/0/A/366</v>
      </c>
      <c r="I8890" s="2" t="s">
        <v>48</v>
      </c>
      <c r="J8890" s="2" t="s">
        <v>102</v>
      </c>
      <c r="K8890" s="2" t="s">
        <v>14142</v>
      </c>
    </row>
    <row r="8891" ht="15.75" customHeight="1">
      <c r="A8891" s="2">
        <v>184217.0</v>
      </c>
      <c r="B8891" s="2" t="s">
        <v>5200</v>
      </c>
      <c r="C8891" s="2" t="s">
        <v>16046</v>
      </c>
      <c r="D8891" s="2" t="s">
        <v>16047</v>
      </c>
      <c r="E8891" s="2" t="s">
        <v>136</v>
      </c>
      <c r="F8891" s="2">
        <v>31.0</v>
      </c>
      <c r="G8891" s="2">
        <v>500.0</v>
      </c>
      <c r="H8891" s="3" t="str">
        <f>HYPERLINK("http://www.linkedin.com/in/holladay","http://www.linkedin.com/in/holladay")</f>
        <v>http://www.linkedin.com/in/holladay</v>
      </c>
      <c r="I8891" s="2" t="s">
        <v>57</v>
      </c>
      <c r="J8891" s="2" t="s">
        <v>102</v>
      </c>
      <c r="K8891" s="2" t="s">
        <v>14074</v>
      </c>
    </row>
    <row r="8892" ht="15.75" customHeight="1">
      <c r="A8892" s="2">
        <v>184229.0</v>
      </c>
      <c r="B8892" s="2" t="s">
        <v>784</v>
      </c>
      <c r="C8892" s="2" t="s">
        <v>16048</v>
      </c>
      <c r="D8892" s="2" t="s">
        <v>13</v>
      </c>
      <c r="E8892" s="2" t="s">
        <v>11025</v>
      </c>
      <c r="F8892" s="2">
        <v>0.0</v>
      </c>
      <c r="G8892" s="2">
        <v>426.0</v>
      </c>
      <c r="H8892" s="3" t="str">
        <f>HYPERLINK("http://www.linkedin.com/pub/jeff-preece/0/150/942","http://www.linkedin.com/pub/jeff-preece/0/150/942")</f>
        <v>http://www.linkedin.com/pub/jeff-preece/0/150/942</v>
      </c>
      <c r="I8892" s="2" t="s">
        <v>252</v>
      </c>
      <c r="J8892" s="2" t="s">
        <v>102</v>
      </c>
      <c r="K8892" s="2" t="s">
        <v>14082</v>
      </c>
    </row>
    <row r="8893" ht="15.75" customHeight="1">
      <c r="A8893" s="2">
        <v>184243.0</v>
      </c>
      <c r="B8893" s="2" t="s">
        <v>16049</v>
      </c>
      <c r="C8893" s="2" t="s">
        <v>16050</v>
      </c>
      <c r="D8893" s="2" t="s">
        <v>16051</v>
      </c>
      <c r="E8893" s="2" t="s">
        <v>1407</v>
      </c>
      <c r="F8893" s="2">
        <v>2.0</v>
      </c>
      <c r="G8893" s="2">
        <v>500.0</v>
      </c>
      <c r="H8893" s="3" t="str">
        <f>HYPERLINK("http://www.linkedin.com/in/employeetalent","http://www.linkedin.com/in/employeetalent")</f>
        <v>http://www.linkedin.com/in/employeetalent</v>
      </c>
      <c r="I8893" s="2" t="s">
        <v>248</v>
      </c>
      <c r="J8893" s="2" t="s">
        <v>102</v>
      </c>
      <c r="K8893" s="2" t="s">
        <v>14105</v>
      </c>
    </row>
    <row r="8894" ht="15.75" customHeight="1">
      <c r="A8894" s="2">
        <v>184286.0</v>
      </c>
      <c r="B8894" s="2" t="s">
        <v>16052</v>
      </c>
      <c r="C8894" s="2" t="s">
        <v>16053</v>
      </c>
      <c r="D8894" s="2" t="s">
        <v>309</v>
      </c>
      <c r="E8894" s="2" t="s">
        <v>713</v>
      </c>
      <c r="F8894" s="2">
        <v>23.0</v>
      </c>
      <c r="G8894" s="2">
        <v>500.0</v>
      </c>
      <c r="H8894" s="3" t="str">
        <f>HYPERLINK("http://www.linkedin.com/in/elfort","http://www.linkedin.com/in/elfort")</f>
        <v>http://www.linkedin.com/in/elfort</v>
      </c>
      <c r="I8894" s="2" t="s">
        <v>48</v>
      </c>
      <c r="J8894" s="2" t="s">
        <v>102</v>
      </c>
      <c r="K8894" s="2" t="s">
        <v>14080</v>
      </c>
    </row>
    <row r="8895" ht="15.75" customHeight="1">
      <c r="A8895" s="2">
        <v>184320.0</v>
      </c>
      <c r="B8895" s="2" t="s">
        <v>275</v>
      </c>
      <c r="C8895" s="2" t="s">
        <v>4081</v>
      </c>
      <c r="D8895" s="2" t="s">
        <v>114</v>
      </c>
      <c r="E8895" s="2" t="s">
        <v>101</v>
      </c>
      <c r="F8895" s="2">
        <v>114.0</v>
      </c>
      <c r="G8895" s="2">
        <v>500.0</v>
      </c>
      <c r="H8895" s="3" t="str">
        <f>HYPERLINK("http://www.linkedin.com/in/markbbutler","http://www.linkedin.com/in/markbbutler")</f>
        <v>http://www.linkedin.com/in/markbbutler</v>
      </c>
      <c r="I8895" s="2" t="s">
        <v>248</v>
      </c>
      <c r="J8895" s="2" t="s">
        <v>102</v>
      </c>
      <c r="K8895" s="2" t="s">
        <v>14115</v>
      </c>
    </row>
    <row r="8896" ht="15.75" customHeight="1">
      <c r="A8896" s="2">
        <v>184359.0</v>
      </c>
      <c r="B8896" s="2" t="s">
        <v>471</v>
      </c>
      <c r="C8896" s="2" t="s">
        <v>16054</v>
      </c>
      <c r="D8896" s="2" t="s">
        <v>13</v>
      </c>
      <c r="E8896" s="2" t="s">
        <v>914</v>
      </c>
      <c r="F8896" s="2">
        <v>0.0</v>
      </c>
      <c r="G8896" s="2">
        <v>500.0</v>
      </c>
      <c r="H8896" s="3" t="str">
        <f>HYPERLINK("http://www.linkedin.com/in/finesolutions","http://www.linkedin.com/in/finesolutions")</f>
        <v>http://www.linkedin.com/in/finesolutions</v>
      </c>
      <c r="I8896" s="2" t="s">
        <v>15</v>
      </c>
      <c r="J8896" s="2" t="s">
        <v>102</v>
      </c>
      <c r="K8896" s="2" t="s">
        <v>14074</v>
      </c>
    </row>
    <row r="8897" ht="15.75" customHeight="1">
      <c r="A8897" s="2">
        <v>184370.0</v>
      </c>
      <c r="B8897" s="2" t="s">
        <v>2752</v>
      </c>
      <c r="C8897" s="2" t="s">
        <v>1949</v>
      </c>
      <c r="D8897" s="2" t="s">
        <v>16055</v>
      </c>
      <c r="E8897" s="2" t="s">
        <v>136</v>
      </c>
      <c r="F8897" s="2">
        <v>92.0</v>
      </c>
      <c r="G8897" s="2">
        <v>500.0</v>
      </c>
      <c r="H8897" s="3" t="str">
        <f>HYPERLINK("http://www.linkedin.com/in/craigsilverman","http://www.linkedin.com/in/craigsilverman")</f>
        <v>http://www.linkedin.com/in/craigsilverman</v>
      </c>
      <c r="I8897" s="2" t="s">
        <v>48</v>
      </c>
      <c r="J8897" s="2" t="s">
        <v>102</v>
      </c>
      <c r="K8897" s="2" t="s">
        <v>14088</v>
      </c>
    </row>
    <row r="8898" ht="15.75" customHeight="1">
      <c r="A8898" s="2">
        <v>184380.0</v>
      </c>
      <c r="B8898" s="2" t="s">
        <v>16056</v>
      </c>
      <c r="C8898" s="2" t="s">
        <v>292</v>
      </c>
      <c r="D8898" s="2" t="s">
        <v>16057</v>
      </c>
      <c r="E8898" s="2" t="s">
        <v>301</v>
      </c>
      <c r="F8898" s="2">
        <v>46.0</v>
      </c>
      <c r="G8898" s="2">
        <v>500.0</v>
      </c>
      <c r="H8898" s="3" t="str">
        <f>HYPERLINK("http://www.linkedin.com/in/stephenwsmith","http://www.linkedin.com/in/stephenwsmith")</f>
        <v>http://www.linkedin.com/in/stephenwsmith</v>
      </c>
      <c r="I8898" s="2" t="s">
        <v>15</v>
      </c>
      <c r="J8898" s="2" t="s">
        <v>102</v>
      </c>
      <c r="K8898" s="2" t="s">
        <v>14080</v>
      </c>
    </row>
    <row r="8899" ht="15.75" customHeight="1">
      <c r="A8899" s="2">
        <v>184394.0</v>
      </c>
      <c r="B8899" s="2" t="s">
        <v>687</v>
      </c>
      <c r="C8899" s="2" t="s">
        <v>16058</v>
      </c>
      <c r="D8899" s="2" t="s">
        <v>16059</v>
      </c>
      <c r="E8899" s="2" t="s">
        <v>136</v>
      </c>
      <c r="F8899" s="2">
        <v>7.0</v>
      </c>
      <c r="G8899" s="2">
        <v>500.0</v>
      </c>
      <c r="H8899" s="3" t="str">
        <f>HYPERLINK("http://www.linkedin.com/pub/amir-assar/0/17/388","http://www.linkedin.com/pub/amir-assar/0/17/388")</f>
        <v>http://www.linkedin.com/pub/amir-assar/0/17/388</v>
      </c>
      <c r="I8899" s="2" t="s">
        <v>48</v>
      </c>
      <c r="J8899" s="2" t="s">
        <v>102</v>
      </c>
      <c r="K8899" s="2" t="s">
        <v>14095</v>
      </c>
    </row>
    <row r="8900" ht="15.75" customHeight="1">
      <c r="A8900" s="2">
        <v>184446.0</v>
      </c>
      <c r="B8900" s="2" t="s">
        <v>16060</v>
      </c>
      <c r="C8900" s="2" t="s">
        <v>1088</v>
      </c>
      <c r="D8900" s="2" t="s">
        <v>13</v>
      </c>
      <c r="E8900" s="2" t="s">
        <v>1407</v>
      </c>
      <c r="F8900" s="2">
        <v>8.0</v>
      </c>
      <c r="G8900" s="2">
        <v>500.0</v>
      </c>
      <c r="H8900" s="3" t="str">
        <f>HYPERLINK("http://www.linkedin.com/in/daviddaleroberts","http://www.linkedin.com/in/daviddaleroberts")</f>
        <v>http://www.linkedin.com/in/daviddaleroberts</v>
      </c>
      <c r="I8900" s="2" t="s">
        <v>15</v>
      </c>
      <c r="J8900" s="2" t="s">
        <v>102</v>
      </c>
      <c r="K8900" s="2" t="s">
        <v>14095</v>
      </c>
    </row>
    <row r="8901" ht="15.75" customHeight="1">
      <c r="A8901" s="2">
        <v>184452.0</v>
      </c>
      <c r="B8901" s="2" t="s">
        <v>287</v>
      </c>
      <c r="C8901" s="2" t="s">
        <v>2019</v>
      </c>
      <c r="D8901" s="2" t="s">
        <v>13</v>
      </c>
      <c r="E8901" s="2" t="s">
        <v>101</v>
      </c>
      <c r="F8901" s="2">
        <v>0.0</v>
      </c>
      <c r="G8901" s="2">
        <v>500.0</v>
      </c>
      <c r="H8901" s="3" t="str">
        <f>HYPERLINK("http://www.linkedin.com/in/paulmturner3","http://www.linkedin.com/in/paulmturner3")</f>
        <v>http://www.linkedin.com/in/paulmturner3</v>
      </c>
      <c r="I8901" s="2" t="s">
        <v>15</v>
      </c>
      <c r="J8901" s="2" t="s">
        <v>102</v>
      </c>
      <c r="K8901" s="2" t="s">
        <v>14073</v>
      </c>
    </row>
    <row r="8902" ht="15.75" customHeight="1">
      <c r="A8902" s="2">
        <v>184456.0</v>
      </c>
      <c r="B8902" s="2" t="s">
        <v>295</v>
      </c>
      <c r="C8902" s="2" t="s">
        <v>16061</v>
      </c>
      <c r="D8902" s="2" t="s">
        <v>2751</v>
      </c>
      <c r="E8902" s="2" t="s">
        <v>16062</v>
      </c>
      <c r="F8902" s="2">
        <v>25.0</v>
      </c>
      <c r="G8902" s="2">
        <v>500.0</v>
      </c>
      <c r="H8902" s="3" t="str">
        <f>HYPERLINK("http://www.linkedin.com/in/seanpkearney","http://www.linkedin.com/in/seanpkearney")</f>
        <v>http://www.linkedin.com/in/seanpkearney</v>
      </c>
      <c r="I8902" s="2" t="s">
        <v>1237</v>
      </c>
      <c r="J8902" s="2" t="s">
        <v>102</v>
      </c>
      <c r="K8902" s="2" t="s">
        <v>14078</v>
      </c>
    </row>
    <row r="8903" ht="15.75" customHeight="1">
      <c r="A8903" s="2">
        <v>184471.0</v>
      </c>
      <c r="B8903" s="2" t="s">
        <v>341</v>
      </c>
      <c r="C8903" s="2" t="s">
        <v>16063</v>
      </c>
      <c r="D8903" s="2" t="s">
        <v>517</v>
      </c>
      <c r="E8903" s="2" t="s">
        <v>15090</v>
      </c>
      <c r="F8903" s="2">
        <v>57.0</v>
      </c>
      <c r="G8903" s="2">
        <v>500.0</v>
      </c>
      <c r="H8903" s="3" t="str">
        <f>HYPERLINK("http://www.linkedin.com/in/skarritt","http://www.linkedin.com/in/skarritt")</f>
        <v>http://www.linkedin.com/in/skarritt</v>
      </c>
      <c r="I8903" s="2" t="s">
        <v>105</v>
      </c>
      <c r="J8903" s="2" t="s">
        <v>102</v>
      </c>
      <c r="K8903" s="2" t="s">
        <v>14074</v>
      </c>
    </row>
    <row r="8904" ht="15.75" customHeight="1">
      <c r="A8904" s="2">
        <v>184518.0</v>
      </c>
      <c r="B8904" s="2" t="s">
        <v>511</v>
      </c>
      <c r="C8904" s="2" t="s">
        <v>4163</v>
      </c>
      <c r="D8904" s="2" t="s">
        <v>100</v>
      </c>
      <c r="E8904" s="2" t="s">
        <v>136</v>
      </c>
      <c r="F8904" s="2">
        <v>7.0</v>
      </c>
      <c r="G8904" s="2">
        <v>500.0</v>
      </c>
      <c r="H8904" s="3" t="str">
        <f>HYPERLINK("http://www.linkedin.com/pub/mike-rogers/0/2A/95A","http://www.linkedin.com/pub/mike-rogers/0/2A/95A")</f>
        <v>http://www.linkedin.com/pub/mike-rogers/0/2A/95A</v>
      </c>
      <c r="I8904" s="2" t="s">
        <v>15</v>
      </c>
      <c r="J8904" s="2" t="s">
        <v>102</v>
      </c>
      <c r="K8904" s="2" t="s">
        <v>14242</v>
      </c>
    </row>
    <row r="8905" ht="15.75" customHeight="1">
      <c r="A8905" s="2">
        <v>184521.0</v>
      </c>
      <c r="B8905" s="2" t="s">
        <v>1405</v>
      </c>
      <c r="C8905" s="2" t="s">
        <v>16064</v>
      </c>
      <c r="D8905" s="2" t="s">
        <v>16065</v>
      </c>
      <c r="E8905" s="2" t="s">
        <v>628</v>
      </c>
      <c r="F8905" s="2">
        <v>16.0</v>
      </c>
      <c r="G8905" s="2">
        <v>500.0</v>
      </c>
      <c r="H8905" s="3" t="str">
        <f>HYPERLINK("http://www.linkedin.com/in/ronshulkin","http://www.linkedin.com/in/ronshulkin")</f>
        <v>http://www.linkedin.com/in/ronshulkin</v>
      </c>
      <c r="I8905" s="2" t="s">
        <v>57</v>
      </c>
      <c r="J8905" s="2" t="s">
        <v>102</v>
      </c>
      <c r="K8905" s="2" t="s">
        <v>14071</v>
      </c>
    </row>
    <row r="8906" ht="15.75" customHeight="1">
      <c r="A8906" s="2">
        <v>184527.0</v>
      </c>
      <c r="B8906" s="2" t="s">
        <v>16066</v>
      </c>
      <c r="C8906" s="2" t="s">
        <v>16067</v>
      </c>
      <c r="D8906" s="2" t="s">
        <v>16068</v>
      </c>
      <c r="E8906" s="2" t="s">
        <v>16069</v>
      </c>
      <c r="F8906" s="2">
        <v>2.0</v>
      </c>
      <c r="G8906" s="2">
        <v>500.0</v>
      </c>
      <c r="H8906" s="3" t="str">
        <f>HYPERLINK("http://www.linkedin.com/in/ronjonnag","http://www.linkedin.com/in/ronjonnag")</f>
        <v>http://www.linkedin.com/in/ronjonnag</v>
      </c>
      <c r="I8906" s="2" t="s">
        <v>77</v>
      </c>
      <c r="J8906" s="2" t="s">
        <v>102</v>
      </c>
      <c r="K8906" s="2" t="s">
        <v>14211</v>
      </c>
    </row>
    <row r="8907" ht="15.75" customHeight="1">
      <c r="A8907" s="2">
        <v>184536.0</v>
      </c>
      <c r="B8907" s="2" t="s">
        <v>16070</v>
      </c>
      <c r="C8907" s="2" t="s">
        <v>16071</v>
      </c>
      <c r="D8907" s="2" t="s">
        <v>16072</v>
      </c>
      <c r="E8907" s="2" t="s">
        <v>136</v>
      </c>
      <c r="F8907" s="2">
        <v>1.0</v>
      </c>
      <c r="G8907" s="2">
        <v>500.0</v>
      </c>
      <c r="H8907" s="3" t="str">
        <f>HYPERLINK("http://www.linkedin.com/in/burtsalop","http://www.linkedin.com/in/burtsalop")</f>
        <v>http://www.linkedin.com/in/burtsalop</v>
      </c>
      <c r="I8907" s="2" t="s">
        <v>252</v>
      </c>
      <c r="J8907" s="2" t="s">
        <v>102</v>
      </c>
      <c r="K8907" s="2" t="s">
        <v>14197</v>
      </c>
    </row>
    <row r="8908" ht="15.75" customHeight="1">
      <c r="A8908" s="2">
        <v>184542.0</v>
      </c>
      <c r="B8908" s="2" t="s">
        <v>874</v>
      </c>
      <c r="C8908" s="2" t="s">
        <v>16073</v>
      </c>
      <c r="D8908" s="2" t="s">
        <v>16074</v>
      </c>
      <c r="E8908" s="2" t="s">
        <v>301</v>
      </c>
      <c r="F8908" s="2">
        <v>44.0</v>
      </c>
      <c r="G8908" s="2">
        <v>500.0</v>
      </c>
      <c r="H8908" s="3" t="str">
        <f>HYPERLINK("http://www.linkedin.com/in/tcorcoran","http://www.linkedin.com/in/tcorcoran")</f>
        <v>http://www.linkedin.com/in/tcorcoran</v>
      </c>
      <c r="I8908" s="2" t="s">
        <v>621</v>
      </c>
      <c r="J8908" s="2" t="s">
        <v>102</v>
      </c>
      <c r="K8908" s="2" t="s">
        <v>14055</v>
      </c>
    </row>
    <row r="8909" ht="15.75" customHeight="1">
      <c r="A8909" s="2">
        <v>184543.0</v>
      </c>
      <c r="B8909" s="2" t="s">
        <v>1362</v>
      </c>
      <c r="C8909" s="2" t="s">
        <v>16075</v>
      </c>
      <c r="D8909" s="2" t="s">
        <v>16076</v>
      </c>
      <c r="E8909" s="2" t="s">
        <v>1041</v>
      </c>
      <c r="F8909" s="2">
        <v>11.0</v>
      </c>
      <c r="G8909" s="2">
        <v>500.0</v>
      </c>
      <c r="H8909" s="3" t="str">
        <f>HYPERLINK("http://www.linkedin.com/in/westerhuizen","http://www.linkedin.com/in/westerhuizen")</f>
        <v>http://www.linkedin.com/in/westerhuizen</v>
      </c>
      <c r="I8909" s="2" t="s">
        <v>15</v>
      </c>
      <c r="J8909" s="2" t="s">
        <v>102</v>
      </c>
      <c r="K8909" s="2" t="s">
        <v>14080</v>
      </c>
    </row>
    <row r="8910" ht="15.75" customHeight="1">
      <c r="A8910" s="2">
        <v>184547.0</v>
      </c>
      <c r="B8910" s="2" t="s">
        <v>1354</v>
      </c>
      <c r="C8910" s="2" t="s">
        <v>16077</v>
      </c>
      <c r="D8910" s="2" t="s">
        <v>15731</v>
      </c>
      <c r="E8910" s="2" t="s">
        <v>136</v>
      </c>
      <c r="F8910" s="2">
        <v>14.0</v>
      </c>
      <c r="G8910" s="2">
        <v>500.0</v>
      </c>
      <c r="H8910" s="3" t="str">
        <f>HYPERLINK("http://www.linkedin.com/in/igorplotnikov","http://www.linkedin.com/in/igorplotnikov")</f>
        <v>http://www.linkedin.com/in/igorplotnikov</v>
      </c>
      <c r="I8910" s="2" t="s">
        <v>15</v>
      </c>
      <c r="J8910" s="2" t="s">
        <v>102</v>
      </c>
      <c r="K8910" s="2" t="s">
        <v>14088</v>
      </c>
    </row>
    <row r="8911" ht="15.75" customHeight="1">
      <c r="A8911" s="2">
        <v>184561.0</v>
      </c>
      <c r="B8911" s="2" t="s">
        <v>5723</v>
      </c>
      <c r="C8911" s="2" t="s">
        <v>16078</v>
      </c>
      <c r="D8911" s="2" t="s">
        <v>16079</v>
      </c>
      <c r="E8911" s="2" t="s">
        <v>136</v>
      </c>
      <c r="F8911" s="2">
        <v>12.0</v>
      </c>
      <c r="G8911" s="2">
        <v>500.0</v>
      </c>
      <c r="H8911" s="3" t="str">
        <f>HYPERLINK("http://www.linkedin.com/in/pablogrodnitzky","http://www.linkedin.com/in/pablogrodnitzky")</f>
        <v>http://www.linkedin.com/in/pablogrodnitzky</v>
      </c>
      <c r="I8911" s="2" t="s">
        <v>15</v>
      </c>
      <c r="J8911" s="2" t="s">
        <v>102</v>
      </c>
      <c r="K8911" s="2" t="s">
        <v>14080</v>
      </c>
    </row>
    <row r="8912" ht="15.75" customHeight="1">
      <c r="A8912" s="2">
        <v>184570.0</v>
      </c>
      <c r="B8912" s="2" t="s">
        <v>16080</v>
      </c>
      <c r="C8912" s="2" t="s">
        <v>4097</v>
      </c>
      <c r="D8912" s="2" t="s">
        <v>16081</v>
      </c>
      <c r="E8912" s="2" t="s">
        <v>1041</v>
      </c>
      <c r="F8912" s="2">
        <v>12.0</v>
      </c>
      <c r="G8912" s="2">
        <v>500.0</v>
      </c>
      <c r="H8912" s="3" t="str">
        <f>HYPERLINK("http://www.linkedin.com/in/lbrock","http://www.linkedin.com/in/lbrock")</f>
        <v>http://www.linkedin.com/in/lbrock</v>
      </c>
      <c r="I8912" s="2" t="s">
        <v>48</v>
      </c>
      <c r="J8912" s="2" t="s">
        <v>102</v>
      </c>
      <c r="K8912" s="2" t="s">
        <v>14080</v>
      </c>
    </row>
    <row r="8913" ht="15.75" customHeight="1">
      <c r="A8913" s="2">
        <v>184609.0</v>
      </c>
      <c r="B8913" s="2" t="s">
        <v>4067</v>
      </c>
      <c r="C8913" s="2" t="s">
        <v>16082</v>
      </c>
      <c r="D8913" s="2" t="s">
        <v>2048</v>
      </c>
      <c r="E8913" s="2" t="s">
        <v>301</v>
      </c>
      <c r="F8913" s="2">
        <v>24.0</v>
      </c>
      <c r="G8913" s="2">
        <v>500.0</v>
      </c>
      <c r="H8913" s="3" t="str">
        <f>HYPERLINK("http://www.linkedin.com/in/geelan","http://www.linkedin.com/in/geelan")</f>
        <v>http://www.linkedin.com/in/geelan</v>
      </c>
      <c r="I8913" s="2" t="s">
        <v>69</v>
      </c>
      <c r="J8913" s="2" t="s">
        <v>102</v>
      </c>
      <c r="K8913" s="2" t="s">
        <v>14080</v>
      </c>
    </row>
    <row r="8914" ht="15.75" customHeight="1">
      <c r="A8914" s="2">
        <v>184611.0</v>
      </c>
      <c r="B8914" s="2" t="s">
        <v>302</v>
      </c>
      <c r="C8914" s="2" t="s">
        <v>2445</v>
      </c>
      <c r="D8914" s="2" t="s">
        <v>293</v>
      </c>
      <c r="E8914" s="2" t="s">
        <v>3334</v>
      </c>
      <c r="F8914" s="2">
        <v>34.0</v>
      </c>
      <c r="G8914" s="2">
        <v>500.0</v>
      </c>
      <c r="H8914" s="3" t="str">
        <f>HYPERLINK("http://www.linkedin.com/in/billsequeira","http://www.linkedin.com/in/billsequeira")</f>
        <v>http://www.linkedin.com/in/billsequeira</v>
      </c>
      <c r="I8914" s="2" t="s">
        <v>326</v>
      </c>
      <c r="J8914" s="2" t="s">
        <v>102</v>
      </c>
      <c r="K8914" s="2" t="s">
        <v>14080</v>
      </c>
    </row>
    <row r="8915" ht="15.75" customHeight="1">
      <c r="A8915" s="2">
        <v>184668.0</v>
      </c>
      <c r="B8915" s="2" t="s">
        <v>16083</v>
      </c>
      <c r="C8915" s="2" t="s">
        <v>246</v>
      </c>
      <c r="D8915" s="2" t="s">
        <v>13</v>
      </c>
      <c r="E8915" s="2" t="s">
        <v>2343</v>
      </c>
      <c r="F8915" s="2">
        <v>12.0</v>
      </c>
      <c r="G8915" s="2">
        <v>500.0</v>
      </c>
      <c r="H8915" s="3" t="str">
        <f>HYPERLINK("http://www.linkedin.com/pub/austin-cooke/0/143/890?trk=pub-pbmap","http://www.linkedin.com/pub/austin-cooke/0/143/890?trk=pub-pbmap")</f>
        <v>http://www.linkedin.com/pub/austin-cooke/0/143/890?trk=pub-pbmap</v>
      </c>
      <c r="I8915" s="2" t="s">
        <v>69</v>
      </c>
      <c r="J8915" s="2" t="s">
        <v>102</v>
      </c>
      <c r="K8915" s="2" t="s">
        <v>14080</v>
      </c>
    </row>
    <row r="8916" ht="15.75" customHeight="1">
      <c r="A8916" s="2">
        <v>184679.0</v>
      </c>
      <c r="B8916" s="2" t="s">
        <v>1527</v>
      </c>
      <c r="C8916" s="2" t="s">
        <v>16084</v>
      </c>
      <c r="D8916" s="2" t="s">
        <v>114</v>
      </c>
      <c r="E8916" s="2" t="s">
        <v>136</v>
      </c>
      <c r="F8916" s="2">
        <v>4.0</v>
      </c>
      <c r="G8916" s="2">
        <v>500.0</v>
      </c>
      <c r="H8916" s="3" t="str">
        <f>HYPERLINK("http://www.linkedin.com/in/clarkdong","http://www.linkedin.com/in/clarkdong")</f>
        <v>http://www.linkedin.com/in/clarkdong</v>
      </c>
      <c r="I8916" s="2" t="s">
        <v>69</v>
      </c>
      <c r="J8916" s="2" t="s">
        <v>102</v>
      </c>
      <c r="K8916" s="2" t="s">
        <v>14080</v>
      </c>
    </row>
    <row r="8917" ht="15.75" customHeight="1">
      <c r="A8917" s="2">
        <v>184741.0</v>
      </c>
      <c r="B8917" s="2" t="s">
        <v>460</v>
      </c>
      <c r="C8917" s="2" t="s">
        <v>16085</v>
      </c>
      <c r="D8917" s="2" t="s">
        <v>13</v>
      </c>
      <c r="E8917" s="2" t="s">
        <v>101</v>
      </c>
      <c r="F8917" s="2">
        <v>0.0</v>
      </c>
      <c r="G8917" s="2">
        <v>500.0</v>
      </c>
      <c r="H8917" s="3" t="str">
        <f>HYPERLINK("http://www.linkedin.com/pub/john-bourne/0/42/6A0","http://www.linkedin.com/pub/john-bourne/0/42/6A0")</f>
        <v>http://www.linkedin.com/pub/john-bourne/0/42/6A0</v>
      </c>
      <c r="I8917" s="2" t="s">
        <v>48</v>
      </c>
      <c r="J8917" s="2" t="s">
        <v>102</v>
      </c>
      <c r="K8917" s="2" t="s">
        <v>14088</v>
      </c>
    </row>
    <row r="8918" ht="15.75" customHeight="1">
      <c r="A8918" s="2">
        <v>184773.0</v>
      </c>
      <c r="B8918" s="2" t="s">
        <v>3851</v>
      </c>
      <c r="C8918" s="2" t="s">
        <v>16086</v>
      </c>
      <c r="D8918" s="2" t="s">
        <v>5237</v>
      </c>
      <c r="E8918" s="2" t="s">
        <v>1407</v>
      </c>
      <c r="F8918" s="2">
        <v>2.0</v>
      </c>
      <c r="G8918" s="2">
        <v>429.0</v>
      </c>
      <c r="H8918" s="3" t="str">
        <f>HYPERLINK("http://www.linkedin.com/in/wstargardt","http://www.linkedin.com/in/wstargardt")</f>
        <v>http://www.linkedin.com/in/wstargardt</v>
      </c>
      <c r="I8918" s="2" t="s">
        <v>1496</v>
      </c>
      <c r="J8918" s="2" t="s">
        <v>102</v>
      </c>
      <c r="K8918" s="2" t="s">
        <v>14460</v>
      </c>
    </row>
    <row r="8919" ht="15.75" customHeight="1">
      <c r="A8919" s="2">
        <v>184824.0</v>
      </c>
      <c r="B8919" s="2" t="s">
        <v>10125</v>
      </c>
      <c r="C8919" s="2" t="s">
        <v>16087</v>
      </c>
      <c r="D8919" s="2" t="s">
        <v>47</v>
      </c>
      <c r="E8919" s="2" t="s">
        <v>713</v>
      </c>
      <c r="F8919" s="2">
        <v>3.0</v>
      </c>
      <c r="G8919" s="2">
        <v>500.0</v>
      </c>
      <c r="H8919" s="3" t="str">
        <f>HYPERLINK("http://www.linkedin.com/in/doravell","http://www.linkedin.com/in/doravell")</f>
        <v>http://www.linkedin.com/in/doravell</v>
      </c>
      <c r="I8919" s="2" t="s">
        <v>248</v>
      </c>
      <c r="J8919" s="2" t="s">
        <v>102</v>
      </c>
      <c r="K8919" s="2" t="s">
        <v>14105</v>
      </c>
    </row>
    <row r="8920" ht="15.75" customHeight="1">
      <c r="A8920" s="2">
        <v>184854.0</v>
      </c>
      <c r="B8920" s="2" t="s">
        <v>1405</v>
      </c>
      <c r="C8920" s="2" t="s">
        <v>4981</v>
      </c>
      <c r="D8920" s="2" t="s">
        <v>5009</v>
      </c>
      <c r="E8920" s="2" t="s">
        <v>136</v>
      </c>
      <c r="F8920" s="2">
        <v>9.0</v>
      </c>
      <c r="G8920" s="2">
        <v>500.0</v>
      </c>
      <c r="H8920" s="3" t="str">
        <f>HYPERLINK("http://www.linkedin.com/in/ronharrison09","http://www.linkedin.com/in/ronharrison09")</f>
        <v>http://www.linkedin.com/in/ronharrison09</v>
      </c>
      <c r="I8920" s="2" t="s">
        <v>248</v>
      </c>
      <c r="J8920" s="2" t="s">
        <v>102</v>
      </c>
      <c r="K8920" s="2" t="s">
        <v>14481</v>
      </c>
    </row>
    <row r="8921" ht="15.75" customHeight="1">
      <c r="A8921" s="2">
        <v>184879.0</v>
      </c>
      <c r="B8921" s="2" t="s">
        <v>752</v>
      </c>
      <c r="C8921" s="2" t="s">
        <v>16088</v>
      </c>
      <c r="D8921" s="2" t="s">
        <v>16089</v>
      </c>
      <c r="E8921" s="2" t="s">
        <v>16090</v>
      </c>
      <c r="F8921" s="2">
        <v>7.0</v>
      </c>
      <c r="G8921" s="2">
        <v>500.0</v>
      </c>
      <c r="H8921" s="3" t="str">
        <f>HYPERLINK("http://www.linkedin.com/in/jimhaviland","http://www.linkedin.com/in/jimhaviland")</f>
        <v>http://www.linkedin.com/in/jimhaviland</v>
      </c>
      <c r="I8921" s="2" t="s">
        <v>15</v>
      </c>
      <c r="J8921" s="2" t="s">
        <v>102</v>
      </c>
      <c r="K8921" s="2" t="s">
        <v>14242</v>
      </c>
    </row>
    <row r="8922" ht="15.75" customHeight="1">
      <c r="A8922" s="2">
        <v>185099.0</v>
      </c>
      <c r="B8922" s="2" t="s">
        <v>16091</v>
      </c>
      <c r="C8922" s="2" t="s">
        <v>16092</v>
      </c>
      <c r="D8922" s="2" t="s">
        <v>16093</v>
      </c>
      <c r="E8922" s="2" t="s">
        <v>1407</v>
      </c>
      <c r="F8922" s="2">
        <v>2.0</v>
      </c>
      <c r="G8922" s="2">
        <v>500.0</v>
      </c>
      <c r="H8922" s="3" t="str">
        <f>HYPERLINK("http://www.linkedin.com/in/raffaelemautone","http://www.linkedin.com/in/raffaelemautone")</f>
        <v>http://www.linkedin.com/in/raffaelemautone</v>
      </c>
      <c r="I8922" s="2" t="s">
        <v>160</v>
      </c>
      <c r="J8922" s="2" t="s">
        <v>102</v>
      </c>
      <c r="K8922" s="2" t="s">
        <v>14102</v>
      </c>
    </row>
    <row r="8923" ht="15.75" customHeight="1">
      <c r="A8923" s="2">
        <v>185197.0</v>
      </c>
      <c r="B8923" s="2" t="s">
        <v>2877</v>
      </c>
      <c r="C8923" s="2" t="s">
        <v>1632</v>
      </c>
      <c r="D8923" s="2" t="s">
        <v>517</v>
      </c>
      <c r="E8923" s="2" t="s">
        <v>7499</v>
      </c>
      <c r="F8923" s="2">
        <v>17.0</v>
      </c>
      <c r="G8923" s="2">
        <v>500.0</v>
      </c>
      <c r="H8923" s="3" t="str">
        <f>HYPERLINK("http://www.linkedin.com/in/chuckreynolds","http://www.linkedin.com/in/chuckreynolds")</f>
        <v>http://www.linkedin.com/in/chuckreynolds</v>
      </c>
      <c r="I8923" s="2" t="s">
        <v>69</v>
      </c>
      <c r="J8923" s="2" t="s">
        <v>102</v>
      </c>
      <c r="K8923" s="2" t="s">
        <v>14088</v>
      </c>
    </row>
    <row r="8924" ht="15.75" customHeight="1">
      <c r="A8924" s="2">
        <v>185205.0</v>
      </c>
      <c r="B8924" s="2" t="s">
        <v>511</v>
      </c>
      <c r="C8924" s="2" t="s">
        <v>11680</v>
      </c>
      <c r="D8924" s="2" t="s">
        <v>2751</v>
      </c>
      <c r="E8924" s="2" t="s">
        <v>235</v>
      </c>
      <c r="F8924" s="2">
        <v>8.0</v>
      </c>
      <c r="G8924" s="2">
        <v>324.0</v>
      </c>
      <c r="H8924" s="3" t="str">
        <f>HYPERLINK("http://www.linkedin.com/in/mikejimenez","http://www.linkedin.com/in/mikejimenez")</f>
        <v>http://www.linkedin.com/in/mikejimenez</v>
      </c>
      <c r="I8924" s="2" t="s">
        <v>15</v>
      </c>
      <c r="J8924" s="2" t="s">
        <v>102</v>
      </c>
      <c r="K8924" s="2" t="s">
        <v>14071</v>
      </c>
    </row>
    <row r="8925" ht="15.75" customHeight="1">
      <c r="A8925" s="2">
        <v>185265.0</v>
      </c>
      <c r="B8925" s="2" t="s">
        <v>2856</v>
      </c>
      <c r="C8925" s="2" t="s">
        <v>16094</v>
      </c>
      <c r="D8925" s="2" t="s">
        <v>13</v>
      </c>
      <c r="E8925" s="2" t="s">
        <v>136</v>
      </c>
      <c r="F8925" s="2">
        <v>0.0</v>
      </c>
      <c r="G8925" s="2">
        <v>500.0</v>
      </c>
      <c r="H8925" s="3" t="str">
        <f>HYPERLINK("http://www.linkedin.com/pub/derek-tumulak/0/277/798","http://www.linkedin.com/pub/derek-tumulak/0/277/798")</f>
        <v>http://www.linkedin.com/pub/derek-tumulak/0/277/798</v>
      </c>
      <c r="I8925" s="2" t="s">
        <v>48</v>
      </c>
      <c r="J8925" s="2" t="s">
        <v>102</v>
      </c>
      <c r="K8925" s="2" t="s">
        <v>14125</v>
      </c>
    </row>
    <row r="8926" ht="15.75" customHeight="1">
      <c r="A8926" s="2">
        <v>185277.0</v>
      </c>
      <c r="B8926" s="2" t="s">
        <v>1836</v>
      </c>
      <c r="C8926" s="2" t="s">
        <v>16095</v>
      </c>
      <c r="D8926" s="2" t="s">
        <v>13</v>
      </c>
      <c r="E8926" s="2" t="s">
        <v>542</v>
      </c>
      <c r="F8926" s="2">
        <v>0.0</v>
      </c>
      <c r="G8926" s="2">
        <v>500.0</v>
      </c>
      <c r="H8926" s="3" t="str">
        <f>HYPERLINK("https://www.linkedin.com/in/fkerrest","https://www.linkedin.com/in/fkerrest")</f>
        <v>https://www.linkedin.com/in/fkerrest</v>
      </c>
      <c r="I8926" s="2" t="s">
        <v>48</v>
      </c>
      <c r="J8926" s="2" t="s">
        <v>102</v>
      </c>
      <c r="K8926" s="2" t="s">
        <v>14088</v>
      </c>
    </row>
    <row r="8927" ht="15.75" customHeight="1">
      <c r="A8927" s="2">
        <v>185303.0</v>
      </c>
      <c r="B8927" s="2" t="s">
        <v>752</v>
      </c>
      <c r="C8927" s="2" t="s">
        <v>16096</v>
      </c>
      <c r="D8927" s="2" t="s">
        <v>16097</v>
      </c>
      <c r="E8927" s="2" t="s">
        <v>1918</v>
      </c>
      <c r="F8927" s="2">
        <v>56.0</v>
      </c>
      <c r="G8927" s="2">
        <v>500.0</v>
      </c>
      <c r="H8927" s="3" t="str">
        <f>HYPERLINK("http://www.linkedin.com/in/jhaskin","http://www.linkedin.com/in/jhaskin")</f>
        <v>http://www.linkedin.com/in/jhaskin</v>
      </c>
      <c r="I8927" s="2" t="s">
        <v>15</v>
      </c>
      <c r="J8927" s="2" t="s">
        <v>102</v>
      </c>
      <c r="K8927" s="2" t="s">
        <v>14142</v>
      </c>
    </row>
    <row r="8928" ht="15.75" customHeight="1">
      <c r="A8928" s="2">
        <v>185328.0</v>
      </c>
      <c r="B8928" s="2" t="s">
        <v>16098</v>
      </c>
      <c r="C8928" s="2" t="s">
        <v>16099</v>
      </c>
      <c r="D8928" s="2" t="s">
        <v>304</v>
      </c>
      <c r="E8928" s="2" t="s">
        <v>728</v>
      </c>
      <c r="F8928" s="2">
        <v>2.0</v>
      </c>
      <c r="G8928" s="2">
        <v>500.0</v>
      </c>
      <c r="H8928" s="3" t="str">
        <f>HYPERLINK("http://www.linkedin.com/pub/r-woody-daroca/0/2B6/25","http://www.linkedin.com/pub/r-woody-daroca/0/2B6/25")</f>
        <v>http://www.linkedin.com/pub/r-woody-daroca/0/2B6/25</v>
      </c>
      <c r="I8928" s="2" t="s">
        <v>248</v>
      </c>
      <c r="J8928" s="2" t="s">
        <v>102</v>
      </c>
      <c r="K8928" s="2" t="s">
        <v>14105</v>
      </c>
    </row>
    <row r="8929" ht="15.75" customHeight="1">
      <c r="A8929" s="2">
        <v>185447.0</v>
      </c>
      <c r="B8929" s="2" t="s">
        <v>1617</v>
      </c>
      <c r="C8929" s="2" t="s">
        <v>16100</v>
      </c>
      <c r="D8929" s="2" t="s">
        <v>751</v>
      </c>
      <c r="E8929" s="2" t="s">
        <v>136</v>
      </c>
      <c r="F8929" s="2">
        <v>2.0</v>
      </c>
      <c r="G8929" s="2">
        <v>500.0</v>
      </c>
      <c r="H8929" s="3" t="str">
        <f>HYPERLINK("http://www.linkedin.com/in/ryannichols","http://www.linkedin.com/in/ryannichols")</f>
        <v>http://www.linkedin.com/in/ryannichols</v>
      </c>
      <c r="I8929" s="2" t="s">
        <v>48</v>
      </c>
      <c r="J8929" s="2" t="s">
        <v>102</v>
      </c>
      <c r="K8929" s="2" t="s">
        <v>14073</v>
      </c>
    </row>
    <row r="8930" ht="15.75" customHeight="1">
      <c r="A8930" s="2">
        <v>185449.0</v>
      </c>
      <c r="B8930" s="2" t="s">
        <v>460</v>
      </c>
      <c r="C8930" s="2" t="s">
        <v>16101</v>
      </c>
      <c r="D8930" s="2" t="s">
        <v>984</v>
      </c>
      <c r="E8930" s="2" t="s">
        <v>713</v>
      </c>
      <c r="F8930" s="2">
        <v>3.0</v>
      </c>
      <c r="G8930" s="2">
        <v>500.0</v>
      </c>
      <c r="H8930" s="3" t="str">
        <f>HYPERLINK("http://www.linkedin.com/in/fanning","http://www.linkedin.com/in/fanning")</f>
        <v>http://www.linkedin.com/in/fanning</v>
      </c>
      <c r="I8930" s="2" t="s">
        <v>48</v>
      </c>
      <c r="J8930" s="2" t="s">
        <v>102</v>
      </c>
      <c r="K8930" s="2" t="s">
        <v>14197</v>
      </c>
    </row>
    <row r="8931" ht="15.75" customHeight="1">
      <c r="A8931" s="2">
        <v>185458.0</v>
      </c>
      <c r="B8931" s="2" t="s">
        <v>1027</v>
      </c>
      <c r="C8931" s="2" t="s">
        <v>16102</v>
      </c>
      <c r="D8931" s="2" t="s">
        <v>16103</v>
      </c>
      <c r="E8931" s="2" t="s">
        <v>4951</v>
      </c>
      <c r="F8931" s="2">
        <v>11.0</v>
      </c>
      <c r="G8931" s="2">
        <v>500.0</v>
      </c>
      <c r="H8931" s="3" t="str">
        <f>HYPERLINK("http://www.linkedin.com/in/georgedolbier","http://www.linkedin.com/in/georgedolbier")</f>
        <v>http://www.linkedin.com/in/georgedolbier</v>
      </c>
      <c r="I8931" s="2" t="s">
        <v>15</v>
      </c>
      <c r="J8931" s="2" t="s">
        <v>102</v>
      </c>
      <c r="K8931" s="2" t="s">
        <v>16104</v>
      </c>
    </row>
    <row r="8932" ht="15.75" customHeight="1">
      <c r="A8932" s="2">
        <v>185466.0</v>
      </c>
      <c r="B8932" s="2" t="s">
        <v>1173</v>
      </c>
      <c r="C8932" s="2" t="s">
        <v>16105</v>
      </c>
      <c r="D8932" s="2" t="s">
        <v>47</v>
      </c>
      <c r="E8932" s="2" t="s">
        <v>407</v>
      </c>
      <c r="F8932" s="2">
        <v>1.0</v>
      </c>
      <c r="G8932" s="2">
        <v>500.0</v>
      </c>
      <c r="H8932" s="3" t="str">
        <f>HYPERLINK("http://www.linkedin.com/pub/steve-mersand/0/353/274","http://www.linkedin.com/pub/steve-mersand/0/353/274")</f>
        <v>http://www.linkedin.com/pub/steve-mersand/0/353/274</v>
      </c>
      <c r="I8932" s="2" t="s">
        <v>248</v>
      </c>
      <c r="J8932" s="2" t="s">
        <v>102</v>
      </c>
      <c r="K8932" s="2" t="s">
        <v>14115</v>
      </c>
    </row>
    <row r="8933" ht="15.75" customHeight="1">
      <c r="A8933" s="2">
        <v>185481.0</v>
      </c>
      <c r="B8933" s="2" t="s">
        <v>534</v>
      </c>
      <c r="C8933" s="2" t="s">
        <v>16106</v>
      </c>
      <c r="D8933" s="2" t="s">
        <v>13</v>
      </c>
      <c r="E8933" s="2" t="s">
        <v>3516</v>
      </c>
      <c r="F8933" s="2">
        <v>0.0</v>
      </c>
      <c r="G8933" s="2">
        <v>500.0</v>
      </c>
      <c r="H8933" s="3" t="str">
        <f>HYPERLINK("http://www.linkedin.com/pub/matthew-selheimer/0/88/1B3","http://www.linkedin.com/pub/matthew-selheimer/0/88/1B3")</f>
        <v>http://www.linkedin.com/pub/matthew-selheimer/0/88/1B3</v>
      </c>
      <c r="I8933" s="2" t="s">
        <v>48</v>
      </c>
      <c r="J8933" s="2" t="s">
        <v>102</v>
      </c>
      <c r="K8933" s="2" t="s">
        <v>14080</v>
      </c>
    </row>
    <row r="8934" ht="15.75" customHeight="1">
      <c r="A8934" s="2">
        <v>185492.0</v>
      </c>
      <c r="B8934" s="2" t="s">
        <v>947</v>
      </c>
      <c r="C8934" s="2" t="s">
        <v>3727</v>
      </c>
      <c r="D8934" s="2" t="s">
        <v>13</v>
      </c>
      <c r="E8934" s="2" t="s">
        <v>101</v>
      </c>
      <c r="F8934" s="2">
        <v>0.0</v>
      </c>
      <c r="G8934" s="2">
        <v>500.0</v>
      </c>
      <c r="H8934" s="3" t="str">
        <f>HYPERLINK("http://www.linkedin.com/in/glennesposito","http://www.linkedin.com/in/glennesposito")</f>
        <v>http://www.linkedin.com/in/glennesposito</v>
      </c>
      <c r="I8934" s="2" t="s">
        <v>160</v>
      </c>
      <c r="J8934" s="2" t="s">
        <v>102</v>
      </c>
      <c r="K8934" s="2" t="s">
        <v>14085</v>
      </c>
    </row>
    <row r="8935" ht="15.75" customHeight="1">
      <c r="A8935" s="2">
        <v>185528.0</v>
      </c>
      <c r="B8935" s="2" t="s">
        <v>16107</v>
      </c>
      <c r="C8935" s="2" t="s">
        <v>16108</v>
      </c>
      <c r="D8935" s="2" t="s">
        <v>416</v>
      </c>
      <c r="E8935" s="2" t="s">
        <v>235</v>
      </c>
      <c r="F8935" s="2">
        <v>10.0</v>
      </c>
      <c r="G8935" s="2">
        <v>500.0</v>
      </c>
      <c r="H8935" s="3" t="str">
        <f>HYPERLINK("http://www.linkedin.com/in/guylevyyurista","http://www.linkedin.com/in/guylevyyurista")</f>
        <v>http://www.linkedin.com/in/guylevyyurista</v>
      </c>
      <c r="I8935" s="2" t="s">
        <v>1496</v>
      </c>
      <c r="J8935" s="2" t="s">
        <v>102</v>
      </c>
      <c r="K8935" s="2" t="s">
        <v>14102</v>
      </c>
    </row>
    <row r="8936" ht="15.75" customHeight="1">
      <c r="A8936" s="2">
        <v>185547.0</v>
      </c>
      <c r="B8936" s="2" t="s">
        <v>2286</v>
      </c>
      <c r="C8936" s="2" t="s">
        <v>16109</v>
      </c>
      <c r="D8936" s="2"/>
      <c r="E8936" s="2" t="s">
        <v>7844</v>
      </c>
      <c r="F8936" s="2">
        <v>0.0</v>
      </c>
      <c r="G8936" s="2">
        <v>500.0</v>
      </c>
      <c r="H8936" s="3" t="str">
        <f>HYPERLINK("http://www.linkedin.com/pub/amy-gustafson/0/B4/275","http://www.linkedin.com/pub/amy-gustafson/0/B4/275")</f>
        <v>http://www.linkedin.com/pub/amy-gustafson/0/B4/275</v>
      </c>
      <c r="I8936" s="2" t="s">
        <v>48</v>
      </c>
      <c r="J8936" s="2" t="s">
        <v>102</v>
      </c>
      <c r="K8936" s="2" t="s">
        <v>14057</v>
      </c>
    </row>
    <row r="8937" ht="15.75" customHeight="1">
      <c r="A8937" s="2">
        <v>185559.0</v>
      </c>
      <c r="B8937" s="2" t="s">
        <v>16110</v>
      </c>
      <c r="C8937" s="2" t="s">
        <v>14262</v>
      </c>
      <c r="D8937" s="2" t="s">
        <v>16111</v>
      </c>
      <c r="E8937" s="2" t="s">
        <v>713</v>
      </c>
      <c r="F8937" s="2">
        <v>15.0</v>
      </c>
      <c r="G8937" s="2">
        <v>500.0</v>
      </c>
      <c r="H8937" s="3" t="str">
        <f>HYPERLINK("http://www.linkedin.com/in/elikalil","http://www.linkedin.com/in/elikalil")</f>
        <v>http://www.linkedin.com/in/elikalil</v>
      </c>
      <c r="I8937" s="2" t="s">
        <v>160</v>
      </c>
      <c r="J8937" s="2" t="s">
        <v>102</v>
      </c>
      <c r="K8937" s="2" t="s">
        <v>14102</v>
      </c>
    </row>
    <row r="8938" ht="15.75" customHeight="1">
      <c r="A8938" s="2">
        <v>185574.0</v>
      </c>
      <c r="B8938" s="2" t="s">
        <v>16112</v>
      </c>
      <c r="C8938" s="2" t="s">
        <v>3322</v>
      </c>
      <c r="D8938" s="2" t="s">
        <v>16113</v>
      </c>
      <c r="E8938" s="2" t="s">
        <v>136</v>
      </c>
      <c r="F8938" s="2">
        <v>3.0</v>
      </c>
      <c r="G8938" s="2">
        <v>500.0</v>
      </c>
      <c r="H8938" s="3" t="str">
        <f>HYPERLINK("http://www.linkedin.com/in/mingfwu","http://www.linkedin.com/in/mingfwu")</f>
        <v>http://www.linkedin.com/in/mingfwu</v>
      </c>
      <c r="I8938" s="2" t="s">
        <v>48</v>
      </c>
      <c r="J8938" s="2" t="s">
        <v>102</v>
      </c>
      <c r="K8938" s="2" t="s">
        <v>14088</v>
      </c>
    </row>
    <row r="8939" ht="15.75" customHeight="1">
      <c r="A8939" s="2">
        <v>185647.0</v>
      </c>
      <c r="B8939" s="2" t="s">
        <v>16114</v>
      </c>
      <c r="C8939" s="2" t="s">
        <v>4609</v>
      </c>
      <c r="D8939" s="2" t="s">
        <v>16115</v>
      </c>
      <c r="E8939" s="2" t="s">
        <v>16116</v>
      </c>
      <c r="F8939" s="2">
        <v>50.0</v>
      </c>
      <c r="G8939" s="2">
        <v>500.0</v>
      </c>
      <c r="H8939" s="3" t="str">
        <f>HYPERLINK("http://www.linkedin.com/in/mxb06","http://www.linkedin.com/in/mxb06")</f>
        <v>http://www.linkedin.com/in/mxb06</v>
      </c>
      <c r="I8939" s="2" t="s">
        <v>48</v>
      </c>
      <c r="J8939" s="2" t="s">
        <v>102</v>
      </c>
      <c r="K8939" s="2" t="s">
        <v>14080</v>
      </c>
    </row>
    <row r="8940" ht="15.75" customHeight="1">
      <c r="A8940" s="2">
        <v>185685.0</v>
      </c>
      <c r="B8940" s="2" t="s">
        <v>631</v>
      </c>
      <c r="C8940" s="2" t="s">
        <v>2458</v>
      </c>
      <c r="D8940" s="2" t="s">
        <v>4048</v>
      </c>
      <c r="E8940" s="2" t="s">
        <v>808</v>
      </c>
      <c r="F8940" s="2">
        <v>36.0</v>
      </c>
      <c r="G8940" s="2">
        <v>500.0</v>
      </c>
      <c r="H8940" s="3" t="str">
        <f>HYPERLINK("http://www.linkedin.com/in/chrisbutcher","http://www.linkedin.com/in/chrisbutcher")</f>
        <v>http://www.linkedin.com/in/chrisbutcher</v>
      </c>
      <c r="I8940" s="2" t="s">
        <v>279</v>
      </c>
      <c r="J8940" s="2" t="s">
        <v>102</v>
      </c>
      <c r="K8940" s="2" t="s">
        <v>14055</v>
      </c>
    </row>
    <row r="8941" ht="15.75" customHeight="1">
      <c r="A8941" s="2">
        <v>185720.0</v>
      </c>
      <c r="B8941" s="2" t="s">
        <v>16117</v>
      </c>
      <c r="C8941" s="2" t="s">
        <v>1879</v>
      </c>
      <c r="D8941" s="2" t="s">
        <v>16118</v>
      </c>
      <c r="E8941" s="2" t="s">
        <v>136</v>
      </c>
      <c r="F8941" s="2">
        <v>2.0</v>
      </c>
      <c r="G8941" s="2">
        <v>500.0</v>
      </c>
      <c r="H8941" s="3" t="str">
        <f>HYPERLINK("http://www.linkedin.com/in/javedhasan","http://www.linkedin.com/in/javedhasan")</f>
        <v>http://www.linkedin.com/in/javedhasan</v>
      </c>
      <c r="I8941" s="2" t="s">
        <v>160</v>
      </c>
      <c r="J8941" s="2" t="s">
        <v>102</v>
      </c>
      <c r="K8941" s="2" t="s">
        <v>14211</v>
      </c>
    </row>
    <row r="8942" ht="15.75" customHeight="1">
      <c r="A8942" s="2">
        <v>185766.0</v>
      </c>
      <c r="B8942" s="2" t="s">
        <v>845</v>
      </c>
      <c r="C8942" s="2" t="s">
        <v>16119</v>
      </c>
      <c r="D8942" s="2" t="s">
        <v>3298</v>
      </c>
      <c r="E8942" s="2" t="s">
        <v>101</v>
      </c>
      <c r="F8942" s="2" t="s">
        <v>13</v>
      </c>
      <c r="G8942" s="2">
        <v>500.0</v>
      </c>
      <c r="H8942" s="3" t="str">
        <f>HYPERLINK("http://www.linkedin.com/pub/david-tennant/0/75/570","http://www.linkedin.com/pub/david-tennant/0/75/570")</f>
        <v>http://www.linkedin.com/pub/david-tennant/0/75/570</v>
      </c>
      <c r="I8942" s="2" t="s">
        <v>57</v>
      </c>
      <c r="J8942" s="2" t="s">
        <v>102</v>
      </c>
      <c r="K8942" s="2" t="s">
        <v>14074</v>
      </c>
    </row>
    <row r="8943" ht="15.75" customHeight="1">
      <c r="A8943" s="2">
        <v>185771.0</v>
      </c>
      <c r="B8943" s="2" t="s">
        <v>45</v>
      </c>
      <c r="C8943" s="2" t="s">
        <v>16120</v>
      </c>
      <c r="D8943" s="2" t="s">
        <v>16121</v>
      </c>
      <c r="E8943" s="2" t="s">
        <v>136</v>
      </c>
      <c r="F8943" s="2">
        <v>6.0</v>
      </c>
      <c r="G8943" s="2">
        <v>500.0</v>
      </c>
      <c r="H8943" s="3" t="str">
        <f>HYPERLINK("http://www.linkedin.com/pub/carlos-delatorre/0/172/38","http://www.linkedin.com/pub/carlos-delatorre/0/172/38")</f>
        <v>http://www.linkedin.com/pub/carlos-delatorre/0/172/38</v>
      </c>
      <c r="I8943" s="2" t="s">
        <v>48</v>
      </c>
      <c r="J8943" s="2" t="s">
        <v>102</v>
      </c>
      <c r="K8943" s="2" t="s">
        <v>14088</v>
      </c>
    </row>
    <row r="8944" ht="15.75" customHeight="1">
      <c r="A8944" s="2">
        <v>185815.0</v>
      </c>
      <c r="B8944" s="2" t="s">
        <v>592</v>
      </c>
      <c r="C8944" s="2" t="s">
        <v>16122</v>
      </c>
      <c r="D8944" s="2" t="s">
        <v>16123</v>
      </c>
      <c r="E8944" s="2" t="s">
        <v>136</v>
      </c>
      <c r="F8944" s="2">
        <v>1.0</v>
      </c>
      <c r="G8944" s="2">
        <v>302.0</v>
      </c>
      <c r="H8944" s="3" t="str">
        <f>HYPERLINK("http://www.linkedin.com/in/barrynperkins","http://www.linkedin.com/in/barrynperkins")</f>
        <v>http://www.linkedin.com/in/barrynperkins</v>
      </c>
      <c r="I8944" s="2" t="s">
        <v>15</v>
      </c>
      <c r="J8944" s="2" t="s">
        <v>102</v>
      </c>
      <c r="K8944" s="2" t="s">
        <v>14088</v>
      </c>
    </row>
    <row r="8945" ht="15.75" customHeight="1">
      <c r="A8945" s="2">
        <v>185859.0</v>
      </c>
      <c r="B8945" s="2" t="s">
        <v>460</v>
      </c>
      <c r="C8945" s="2" t="s">
        <v>16018</v>
      </c>
      <c r="D8945" s="2" t="s">
        <v>47</v>
      </c>
      <c r="E8945" s="2" t="s">
        <v>1147</v>
      </c>
      <c r="F8945" s="2">
        <v>3.0</v>
      </c>
      <c r="G8945" s="2">
        <v>500.0</v>
      </c>
      <c r="H8945" s="3" t="str">
        <f>HYPERLINK("http://www.linkedin.com/in/jlawlor","http://www.linkedin.com/in/jlawlor")</f>
        <v>http://www.linkedin.com/in/jlawlor</v>
      </c>
      <c r="I8945" s="2" t="s">
        <v>57</v>
      </c>
      <c r="J8945" s="2" t="s">
        <v>102</v>
      </c>
      <c r="K8945" s="2" t="s">
        <v>14092</v>
      </c>
    </row>
    <row r="8946" ht="15.75" customHeight="1">
      <c r="A8946" s="2">
        <v>185925.0</v>
      </c>
      <c r="B8946" s="2" t="s">
        <v>1275</v>
      </c>
      <c r="C8946" s="2" t="s">
        <v>797</v>
      </c>
      <c r="D8946" s="2" t="s">
        <v>47</v>
      </c>
      <c r="E8946" s="2" t="s">
        <v>808</v>
      </c>
      <c r="F8946" s="2">
        <v>3.0</v>
      </c>
      <c r="G8946" s="2">
        <v>500.0</v>
      </c>
      <c r="H8946" s="3" t="str">
        <f>HYPERLINK("http://www.linkedin.com/pub/brad-taylor/0/358/772","http://www.linkedin.com/pub/brad-taylor/0/358/772")</f>
        <v>http://www.linkedin.com/pub/brad-taylor/0/358/772</v>
      </c>
      <c r="I8946" s="2" t="s">
        <v>15</v>
      </c>
      <c r="J8946" s="2" t="s">
        <v>102</v>
      </c>
      <c r="K8946" s="2" t="s">
        <v>14073</v>
      </c>
    </row>
    <row r="8947" ht="15.75" customHeight="1">
      <c r="A8947" s="2">
        <v>185955.0</v>
      </c>
      <c r="B8947" s="2" t="s">
        <v>511</v>
      </c>
      <c r="C8947" s="2" t="s">
        <v>16124</v>
      </c>
      <c r="D8947" s="2" t="s">
        <v>16125</v>
      </c>
      <c r="E8947" s="2" t="s">
        <v>16126</v>
      </c>
      <c r="F8947" s="2">
        <v>3.0</v>
      </c>
      <c r="G8947" s="2">
        <v>500.0</v>
      </c>
      <c r="H8947" s="3" t="str">
        <f>HYPERLINK("http://www.linkedin.com/pub/mike-sheffey/0/157/289","http://www.linkedin.com/pub/mike-sheffey/0/157/289")</f>
        <v>http://www.linkedin.com/pub/mike-sheffey/0/157/289</v>
      </c>
      <c r="I8947" s="2" t="s">
        <v>48</v>
      </c>
      <c r="J8947" s="2" t="s">
        <v>102</v>
      </c>
      <c r="K8947" s="2" t="s">
        <v>14339</v>
      </c>
    </row>
    <row r="8948" ht="15.75" customHeight="1">
      <c r="A8948" s="2">
        <v>185978.0</v>
      </c>
      <c r="B8948" s="2" t="s">
        <v>1380</v>
      </c>
      <c r="C8948" s="2" t="s">
        <v>16127</v>
      </c>
      <c r="D8948" s="2" t="s">
        <v>3136</v>
      </c>
      <c r="E8948" s="2" t="s">
        <v>10916</v>
      </c>
      <c r="F8948" s="2">
        <v>0.0</v>
      </c>
      <c r="G8948" s="2">
        <v>500.0</v>
      </c>
      <c r="H8948" s="3" t="str">
        <f>HYPERLINK("http://www.linkedin.com/pub/randy-bogue/0/118/409","http://www.linkedin.com/pub/randy-bogue/0/118/409")</f>
        <v>http://www.linkedin.com/pub/randy-bogue/0/118/409</v>
      </c>
      <c r="I8948" s="2" t="s">
        <v>248</v>
      </c>
      <c r="J8948" s="2" t="s">
        <v>102</v>
      </c>
      <c r="K8948" s="2" t="s">
        <v>14140</v>
      </c>
    </row>
    <row r="8949" ht="15.75" customHeight="1">
      <c r="A8949" s="2">
        <v>186074.0</v>
      </c>
      <c r="B8949" s="2" t="s">
        <v>412</v>
      </c>
      <c r="C8949" s="2" t="s">
        <v>16128</v>
      </c>
      <c r="D8949" s="2" t="s">
        <v>42</v>
      </c>
      <c r="E8949" s="2" t="s">
        <v>1918</v>
      </c>
      <c r="F8949" s="2">
        <v>15.0</v>
      </c>
      <c r="G8949" s="2">
        <v>500.0</v>
      </c>
      <c r="H8949" s="3" t="str">
        <f>HYPERLINK("http://www.linkedin.com/in/robertjblack","http://www.linkedin.com/in/robertjblack")</f>
        <v>http://www.linkedin.com/in/robertjblack</v>
      </c>
      <c r="I8949" s="2" t="s">
        <v>119</v>
      </c>
      <c r="J8949" s="2" t="s">
        <v>102</v>
      </c>
      <c r="K8949" s="2" t="s">
        <v>14211</v>
      </c>
    </row>
    <row r="8950" ht="15.75" customHeight="1">
      <c r="A8950" s="2">
        <v>186081.0</v>
      </c>
      <c r="B8950" s="2" t="s">
        <v>511</v>
      </c>
      <c r="C8950" s="2" t="s">
        <v>16129</v>
      </c>
      <c r="D8950" s="2" t="s">
        <v>13</v>
      </c>
      <c r="E8950" s="2" t="s">
        <v>713</v>
      </c>
      <c r="F8950" s="2">
        <v>0.0</v>
      </c>
      <c r="G8950" s="2">
        <v>500.0</v>
      </c>
      <c r="H8950" s="3" t="str">
        <f>HYPERLINK("https://www.linkedin.com/in/michaelmaziarz","https://www.linkedin.com/in/michaelmaziarz")</f>
        <v>https://www.linkedin.com/in/michaelmaziarz</v>
      </c>
      <c r="I8950" s="2" t="s">
        <v>15</v>
      </c>
      <c r="J8950" s="2" t="s">
        <v>102</v>
      </c>
      <c r="K8950" s="2" t="s">
        <v>14142</v>
      </c>
    </row>
    <row r="8951" ht="15.75" customHeight="1">
      <c r="A8951" s="2">
        <v>186132.0</v>
      </c>
      <c r="B8951" s="2" t="s">
        <v>784</v>
      </c>
      <c r="C8951" s="2" t="s">
        <v>16130</v>
      </c>
      <c r="D8951" s="2" t="s">
        <v>13</v>
      </c>
      <c r="E8951" s="2" t="s">
        <v>728</v>
      </c>
      <c r="F8951" s="2">
        <v>8.0</v>
      </c>
      <c r="G8951" s="2">
        <v>500.0</v>
      </c>
      <c r="H8951" s="3" t="str">
        <f>HYPERLINK("http://www.linkedin.com/in/jhporte","http://www.linkedin.com/in/jhporte")</f>
        <v>http://www.linkedin.com/in/jhporte</v>
      </c>
      <c r="I8951" s="2" t="s">
        <v>1237</v>
      </c>
      <c r="J8951" s="2" t="s">
        <v>102</v>
      </c>
      <c r="K8951" s="2" t="s">
        <v>14211</v>
      </c>
    </row>
    <row r="8952" ht="15.75" customHeight="1">
      <c r="A8952" s="2">
        <v>186153.0</v>
      </c>
      <c r="B8952" s="2" t="s">
        <v>511</v>
      </c>
      <c r="C8952" s="2" t="s">
        <v>16131</v>
      </c>
      <c r="D8952" s="2"/>
      <c r="E8952" s="2" t="s">
        <v>542</v>
      </c>
      <c r="F8952" s="2">
        <v>9.0</v>
      </c>
      <c r="G8952" s="2">
        <v>500.0</v>
      </c>
      <c r="H8952" s="3" t="str">
        <f>HYPERLINK("http://www.linkedin.com/in/mbergelson","http://www.linkedin.com/in/mbergelson")</f>
        <v>http://www.linkedin.com/in/mbergelson</v>
      </c>
      <c r="I8952" s="2" t="s">
        <v>69</v>
      </c>
      <c r="J8952" s="2" t="s">
        <v>102</v>
      </c>
      <c r="K8952" s="2" t="s">
        <v>14071</v>
      </c>
    </row>
    <row r="8953" ht="15.75" customHeight="1">
      <c r="A8953" s="2">
        <v>186190.0</v>
      </c>
      <c r="B8953" s="2" t="s">
        <v>2014</v>
      </c>
      <c r="C8953" s="2" t="s">
        <v>2617</v>
      </c>
      <c r="D8953" s="2" t="s">
        <v>16132</v>
      </c>
      <c r="E8953" s="2" t="s">
        <v>808</v>
      </c>
      <c r="F8953" s="2">
        <v>0.0</v>
      </c>
      <c r="G8953" s="2">
        <v>500.0</v>
      </c>
      <c r="H8953" s="3" t="str">
        <f>HYPERLINK("http://www.linkedin.com/in/kenwelch00","http://www.linkedin.com/in/kenwelch00")</f>
        <v>http://www.linkedin.com/in/kenwelch00</v>
      </c>
      <c r="I8953" s="2" t="s">
        <v>48</v>
      </c>
      <c r="J8953" s="2" t="s">
        <v>102</v>
      </c>
      <c r="K8953" s="2" t="s">
        <v>14088</v>
      </c>
    </row>
    <row r="8954" ht="15.75" customHeight="1">
      <c r="A8954" s="2">
        <v>186288.0</v>
      </c>
      <c r="B8954" s="2" t="s">
        <v>1821</v>
      </c>
      <c r="C8954" s="2" t="s">
        <v>16133</v>
      </c>
      <c r="D8954" s="2" t="s">
        <v>100</v>
      </c>
      <c r="E8954" s="2" t="s">
        <v>136</v>
      </c>
      <c r="F8954" s="2">
        <v>51.0</v>
      </c>
      <c r="G8954" s="2">
        <v>500.0</v>
      </c>
      <c r="H8954" s="3" t="str">
        <f>HYPERLINK("http://www.linkedin.com/in/datastorage","http://www.linkedin.com/in/datastorage")</f>
        <v>http://www.linkedin.com/in/datastorage</v>
      </c>
      <c r="I8954" s="2" t="s">
        <v>15</v>
      </c>
      <c r="J8954" s="2" t="s">
        <v>102</v>
      </c>
      <c r="K8954" s="2" t="s">
        <v>14242</v>
      </c>
    </row>
    <row r="8955" ht="15.75" customHeight="1">
      <c r="A8955" s="2">
        <v>186332.0</v>
      </c>
      <c r="B8955" s="2" t="s">
        <v>3851</v>
      </c>
      <c r="C8955" s="2" t="s">
        <v>16134</v>
      </c>
      <c r="D8955" s="2" t="s">
        <v>3100</v>
      </c>
      <c r="E8955" s="2" t="s">
        <v>713</v>
      </c>
      <c r="F8955" s="2">
        <v>23.0</v>
      </c>
      <c r="G8955" s="2">
        <v>500.0</v>
      </c>
      <c r="H8955" s="3" t="str">
        <f>HYPERLINK("http://www.linkedin.com/in/waynearvidson","http://www.linkedin.com/in/waynearvidson")</f>
        <v>http://www.linkedin.com/in/waynearvidson</v>
      </c>
      <c r="I8955" s="2" t="s">
        <v>119</v>
      </c>
      <c r="J8955" s="2" t="s">
        <v>102</v>
      </c>
      <c r="K8955" s="2" t="s">
        <v>14071</v>
      </c>
    </row>
    <row r="8956" ht="15.75" customHeight="1">
      <c r="A8956" s="2">
        <v>186371.0</v>
      </c>
      <c r="B8956" s="2" t="s">
        <v>784</v>
      </c>
      <c r="C8956" s="2" t="s">
        <v>16135</v>
      </c>
      <c r="D8956" s="2" t="s">
        <v>2224</v>
      </c>
      <c r="E8956" s="2" t="s">
        <v>713</v>
      </c>
      <c r="F8956" s="2">
        <v>3.0</v>
      </c>
      <c r="G8956" s="2">
        <v>500.0</v>
      </c>
      <c r="H8956" s="3" t="str">
        <f>HYPERLINK("http://www.linkedin.com/in/pharmagenie","http://www.linkedin.com/in/pharmagenie")</f>
        <v>http://www.linkedin.com/in/pharmagenie</v>
      </c>
      <c r="I8956" s="2" t="s">
        <v>15</v>
      </c>
      <c r="J8956" s="2" t="s">
        <v>102</v>
      </c>
      <c r="K8956" s="2" t="s">
        <v>14142</v>
      </c>
    </row>
    <row r="8957" ht="15.75" customHeight="1">
      <c r="A8957" s="2">
        <v>186449.0</v>
      </c>
      <c r="B8957" s="2" t="s">
        <v>1019</v>
      </c>
      <c r="C8957" s="2" t="s">
        <v>16136</v>
      </c>
      <c r="D8957" s="2" t="s">
        <v>47</v>
      </c>
      <c r="E8957" s="2" t="s">
        <v>808</v>
      </c>
      <c r="F8957" s="2">
        <v>0.0</v>
      </c>
      <c r="G8957" s="2">
        <v>500.0</v>
      </c>
      <c r="H8957" s="3" t="str">
        <f>HYPERLINK("http://www.linkedin.com/in/mattlehman","http://www.linkedin.com/in/mattlehman")</f>
        <v>http://www.linkedin.com/in/mattlehman</v>
      </c>
      <c r="I8957" s="2" t="s">
        <v>865</v>
      </c>
      <c r="J8957" s="2" t="s">
        <v>102</v>
      </c>
      <c r="K8957" s="2" t="s">
        <v>14055</v>
      </c>
    </row>
    <row r="8958" ht="15.75" customHeight="1">
      <c r="A8958" s="2">
        <v>186526.0</v>
      </c>
      <c r="B8958" s="2" t="s">
        <v>6351</v>
      </c>
      <c r="C8958" s="2" t="s">
        <v>16137</v>
      </c>
      <c r="D8958" s="2" t="s">
        <v>1320</v>
      </c>
      <c r="E8958" s="2" t="s">
        <v>1041</v>
      </c>
      <c r="F8958" s="2">
        <v>7.0</v>
      </c>
      <c r="G8958" s="2">
        <v>500.0</v>
      </c>
      <c r="H8958" s="3" t="str">
        <f>HYPERLINK("http://www.linkedin.com/pub/nanci-appleman-vassil-ma-ncc/0/911/935","http://www.linkedin.com/pub/nanci-appleman-vassil-ma-ncc/0/911/935")</f>
        <v>http://www.linkedin.com/pub/nanci-appleman-vassil-ma-ncc/0/911/935</v>
      </c>
      <c r="I8958" s="2" t="s">
        <v>458</v>
      </c>
      <c r="J8958" s="2" t="s">
        <v>102</v>
      </c>
      <c r="K8958" s="2" t="s">
        <v>14074</v>
      </c>
    </row>
    <row r="8959" ht="15.75" customHeight="1">
      <c r="A8959" s="2">
        <v>186532.0</v>
      </c>
      <c r="B8959" s="2" t="s">
        <v>2543</v>
      </c>
      <c r="C8959" s="2" t="s">
        <v>15049</v>
      </c>
      <c r="D8959" s="2"/>
      <c r="E8959" s="2" t="s">
        <v>713</v>
      </c>
      <c r="F8959" s="2">
        <v>0.0</v>
      </c>
      <c r="G8959" s="2">
        <v>352.0</v>
      </c>
      <c r="H8959" s="3" t="str">
        <f>HYPERLINK("http://www.linkedin.com/in/donforte","http://www.linkedin.com/in/donforte")</f>
        <v>http://www.linkedin.com/in/donforte</v>
      </c>
      <c r="I8959" s="2" t="s">
        <v>69</v>
      </c>
      <c r="J8959" s="2" t="s">
        <v>102</v>
      </c>
      <c r="K8959" s="2" t="s">
        <v>14052</v>
      </c>
    </row>
    <row r="8960" ht="15.75" customHeight="1">
      <c r="A8960" s="2">
        <v>186556.0</v>
      </c>
      <c r="B8960" s="2" t="s">
        <v>2646</v>
      </c>
      <c r="C8960" s="2" t="s">
        <v>16138</v>
      </c>
      <c r="D8960" s="2" t="s">
        <v>1062</v>
      </c>
      <c r="E8960" s="2" t="s">
        <v>728</v>
      </c>
      <c r="F8960" s="2">
        <v>0.0</v>
      </c>
      <c r="G8960" s="2">
        <v>500.0</v>
      </c>
      <c r="H8960" s="3" t="str">
        <f>HYPERLINK("http://www.linkedin.com/pub/justin-sanger/0/915/A76","http://www.linkedin.com/pub/justin-sanger/0/915/A76")</f>
        <v>http://www.linkedin.com/pub/justin-sanger/0/915/A76</v>
      </c>
      <c r="I8960" s="2" t="s">
        <v>105</v>
      </c>
      <c r="J8960" s="2" t="s">
        <v>102</v>
      </c>
      <c r="K8960" s="2" t="s">
        <v>14142</v>
      </c>
    </row>
    <row r="8961" ht="15.75" customHeight="1">
      <c r="A8961" s="2">
        <v>187199.0</v>
      </c>
      <c r="B8961" s="2" t="s">
        <v>2457</v>
      </c>
      <c r="C8961" s="2" t="s">
        <v>16139</v>
      </c>
      <c r="D8961" s="2" t="s">
        <v>13</v>
      </c>
      <c r="E8961" s="2" t="s">
        <v>989</v>
      </c>
      <c r="F8961" s="2">
        <v>0.0</v>
      </c>
      <c r="G8961" s="2">
        <v>500.0</v>
      </c>
      <c r="H8961" s="3" t="str">
        <f>HYPERLINK("http://www.linkedin.com/pub/stephen-balint/6/95A/B06","http://www.linkedin.com/pub/stephen-balint/6/95A/B06")</f>
        <v>http://www.linkedin.com/pub/stephen-balint/6/95A/B06</v>
      </c>
      <c r="I8961" s="2" t="s">
        <v>231</v>
      </c>
      <c r="J8961" s="2" t="s">
        <v>102</v>
      </c>
      <c r="K8961" s="2" t="s">
        <v>14085</v>
      </c>
    </row>
    <row r="8962" ht="15.75" customHeight="1">
      <c r="A8962" s="2">
        <v>187326.0</v>
      </c>
      <c r="B8962" s="2" t="s">
        <v>275</v>
      </c>
      <c r="C8962" s="2" t="s">
        <v>16140</v>
      </c>
      <c r="D8962" s="2" t="s">
        <v>16141</v>
      </c>
      <c r="E8962" s="2" t="s">
        <v>7844</v>
      </c>
      <c r="F8962" s="2">
        <v>6.0</v>
      </c>
      <c r="G8962" s="2">
        <v>500.0</v>
      </c>
      <c r="H8962" s="3" t="str">
        <f>HYPERLINK("http://www.linkedin.com/pub/mark-lynch/18/194/880","http://www.linkedin.com/pub/mark-lynch/18/194/880")</f>
        <v>http://www.linkedin.com/pub/mark-lynch/18/194/880</v>
      </c>
      <c r="I8962" s="2" t="s">
        <v>48</v>
      </c>
      <c r="J8962" s="2" t="s">
        <v>102</v>
      </c>
      <c r="K8962" s="2" t="s">
        <v>14142</v>
      </c>
    </row>
    <row r="8963" ht="15.75" customHeight="1">
      <c r="A8963" s="2">
        <v>187342.0</v>
      </c>
      <c r="B8963" s="2" t="s">
        <v>1919</v>
      </c>
      <c r="C8963" s="2" t="s">
        <v>12790</v>
      </c>
      <c r="D8963" s="2" t="s">
        <v>16142</v>
      </c>
      <c r="E8963" s="2" t="s">
        <v>3902</v>
      </c>
      <c r="F8963" s="2">
        <v>14.0</v>
      </c>
      <c r="G8963" s="2">
        <v>500.0</v>
      </c>
      <c r="H8963" s="3" t="str">
        <f>HYPERLINK("http://www.linkedin.com/in/larryschroeder","http://www.linkedin.com/in/larryschroeder")</f>
        <v>http://www.linkedin.com/in/larryschroeder</v>
      </c>
      <c r="I8963" s="2" t="s">
        <v>865</v>
      </c>
      <c r="J8963" s="2" t="s">
        <v>102</v>
      </c>
      <c r="K8963" s="2" t="s">
        <v>14055</v>
      </c>
    </row>
    <row r="8964" ht="15.75" customHeight="1">
      <c r="A8964" s="2">
        <v>187366.0</v>
      </c>
      <c r="B8964" s="2" t="s">
        <v>710</v>
      </c>
      <c r="C8964" s="2" t="s">
        <v>16143</v>
      </c>
      <c r="D8964" s="2" t="s">
        <v>410</v>
      </c>
      <c r="E8964" s="2" t="s">
        <v>713</v>
      </c>
      <c r="F8964" s="2">
        <v>7.0</v>
      </c>
      <c r="G8964" s="2">
        <v>500.0</v>
      </c>
      <c r="H8964" s="3" t="str">
        <f>HYPERLINK("http://www.linkedin.com/in/jbhobie","http://www.linkedin.com/in/jbhobie")</f>
        <v>http://www.linkedin.com/in/jbhobie</v>
      </c>
      <c r="I8964" s="2" t="s">
        <v>2561</v>
      </c>
      <c r="J8964" s="2" t="s">
        <v>102</v>
      </c>
      <c r="K8964" s="2" t="s">
        <v>14078</v>
      </c>
    </row>
    <row r="8965" ht="15.75" customHeight="1">
      <c r="A8965" s="2">
        <v>187380.0</v>
      </c>
      <c r="B8965" s="2" t="s">
        <v>16144</v>
      </c>
      <c r="C8965" s="2" t="s">
        <v>16145</v>
      </c>
      <c r="D8965" s="2" t="s">
        <v>16146</v>
      </c>
      <c r="E8965" s="2" t="s">
        <v>301</v>
      </c>
      <c r="F8965" s="2">
        <v>2.0</v>
      </c>
      <c r="G8965" s="2">
        <v>407.0</v>
      </c>
      <c r="H8965" s="3" t="str">
        <f>HYPERLINK("http://www.linkedin.com/pub/diane-m-mcaveeney/4/212/744","http://www.linkedin.com/pub/diane-m-mcaveeney/4/212/744")</f>
        <v>http://www.linkedin.com/pub/diane-m-mcaveeney/4/212/744</v>
      </c>
      <c r="I8965" s="2" t="s">
        <v>48</v>
      </c>
      <c r="J8965" s="2" t="s">
        <v>102</v>
      </c>
      <c r="K8965" s="2" t="s">
        <v>14055</v>
      </c>
    </row>
    <row r="8966" ht="15.75" customHeight="1">
      <c r="A8966" s="2">
        <v>187388.0</v>
      </c>
      <c r="B8966" s="2" t="s">
        <v>16147</v>
      </c>
      <c r="C8966" s="2" t="s">
        <v>16148</v>
      </c>
      <c r="D8966" s="2" t="s">
        <v>13</v>
      </c>
      <c r="E8966" s="2" t="s">
        <v>1190</v>
      </c>
      <c r="F8966" s="2">
        <v>0.0</v>
      </c>
      <c r="G8966" s="2">
        <v>500.0</v>
      </c>
      <c r="H8966" s="3" t="str">
        <f>HYPERLINK("http://www.linkedin.com/pub/semmie-taylor-mba/5/46/316","http://www.linkedin.com/pub/semmie-taylor-mba/5/46/316")</f>
        <v>http://www.linkedin.com/pub/semmie-taylor-mba/5/46/316</v>
      </c>
      <c r="I8966" s="2" t="s">
        <v>105</v>
      </c>
      <c r="J8966" s="2" t="s">
        <v>102</v>
      </c>
      <c r="K8966" s="2" t="s">
        <v>14074</v>
      </c>
    </row>
    <row r="8967" ht="15.75" customHeight="1">
      <c r="A8967" s="2">
        <v>187880.0</v>
      </c>
      <c r="B8967" s="2" t="s">
        <v>412</v>
      </c>
      <c r="C8967" s="2" t="s">
        <v>16149</v>
      </c>
      <c r="D8967" s="2" t="s">
        <v>1145</v>
      </c>
      <c r="E8967" s="2" t="s">
        <v>101</v>
      </c>
      <c r="F8967" s="2">
        <v>1.0</v>
      </c>
      <c r="G8967" s="2">
        <v>500.0</v>
      </c>
      <c r="H8967" s="3" t="str">
        <f>HYPERLINK("http://www.linkedin.com/pub/robert-holler/0/8/711","http://www.linkedin.com/pub/robert-holler/0/8/711")</f>
        <v>http://www.linkedin.com/pub/robert-holler/0/8/711</v>
      </c>
      <c r="I8967" s="2" t="s">
        <v>48</v>
      </c>
      <c r="J8967" s="2" t="s">
        <v>102</v>
      </c>
      <c r="K8967" s="2" t="s">
        <v>14080</v>
      </c>
    </row>
    <row r="8968" ht="15.75" customHeight="1">
      <c r="A8968" s="2">
        <v>187897.0</v>
      </c>
      <c r="B8968" s="2" t="s">
        <v>295</v>
      </c>
      <c r="C8968" s="2" t="s">
        <v>16150</v>
      </c>
      <c r="D8968" s="2" t="s">
        <v>13</v>
      </c>
      <c r="E8968" s="2" t="s">
        <v>2038</v>
      </c>
      <c r="F8968" s="2">
        <v>5.0</v>
      </c>
      <c r="G8968" s="2">
        <v>500.0</v>
      </c>
      <c r="H8968" s="3" t="str">
        <f>HYPERLINK("http://www.linkedin.com/pub/sean-kalkwarf/0/59/a41","http://www.linkedin.com/pub/sean-kalkwarf/0/59/a41")</f>
        <v>http://www.linkedin.com/pub/sean-kalkwarf/0/59/a41</v>
      </c>
      <c r="I8968" s="2" t="s">
        <v>15</v>
      </c>
      <c r="J8968" s="2" t="s">
        <v>53</v>
      </c>
      <c r="K8968" s="2" t="s">
        <v>14082</v>
      </c>
    </row>
    <row r="8969" ht="15.75" customHeight="1">
      <c r="A8969" s="2">
        <v>187943.0</v>
      </c>
      <c r="B8969" s="2" t="s">
        <v>1019</v>
      </c>
      <c r="C8969" s="2" t="s">
        <v>16151</v>
      </c>
      <c r="D8969" s="2" t="s">
        <v>517</v>
      </c>
      <c r="E8969" s="2" t="s">
        <v>136</v>
      </c>
      <c r="F8969" s="2">
        <v>1.0</v>
      </c>
      <c r="G8969" s="2">
        <v>500.0</v>
      </c>
      <c r="H8969" s="3" t="str">
        <f>HYPERLINK("http://www.linkedin.com/in/mattweeks1","http://www.linkedin.com/in/mattweeks1")</f>
        <v>http://www.linkedin.com/in/mattweeks1</v>
      </c>
      <c r="I8969" s="2" t="s">
        <v>48</v>
      </c>
      <c r="J8969" s="2" t="s">
        <v>102</v>
      </c>
      <c r="K8969" s="2" t="s">
        <v>14088</v>
      </c>
    </row>
    <row r="8970" ht="15.75" customHeight="1">
      <c r="A8970" s="2">
        <v>187953.0</v>
      </c>
      <c r="B8970" s="2" t="s">
        <v>1977</v>
      </c>
      <c r="C8970" s="2" t="s">
        <v>3037</v>
      </c>
      <c r="D8970" s="2" t="s">
        <v>16152</v>
      </c>
      <c r="E8970" s="2" t="s">
        <v>16153</v>
      </c>
      <c r="F8970" s="2">
        <v>8.0</v>
      </c>
      <c r="G8970" s="2">
        <v>500.0</v>
      </c>
      <c r="H8970" s="3" t="str">
        <f>HYPERLINK("http://www.linkedin.com/in/joeldouglaspub","http://www.linkedin.com/in/joeldouglaspub")</f>
        <v>http://www.linkedin.com/in/joeldouglaspub</v>
      </c>
      <c r="I8970" s="2" t="s">
        <v>579</v>
      </c>
      <c r="J8970" s="2" t="s">
        <v>102</v>
      </c>
      <c r="K8970" s="2" t="s">
        <v>14055</v>
      </c>
    </row>
    <row r="8971" ht="15.75" customHeight="1">
      <c r="A8971" s="2">
        <v>187955.0</v>
      </c>
      <c r="B8971" s="2" t="s">
        <v>1523</v>
      </c>
      <c r="C8971" s="2" t="s">
        <v>16154</v>
      </c>
      <c r="D8971" s="2" t="s">
        <v>16155</v>
      </c>
      <c r="E8971" s="2" t="s">
        <v>235</v>
      </c>
      <c r="F8971" s="2">
        <v>0.0</v>
      </c>
      <c r="G8971" s="2">
        <v>500.0</v>
      </c>
      <c r="H8971" s="3" t="str">
        <f>HYPERLINK("http://www.linkedin.com/in/phillodico","http://www.linkedin.com/in/phillodico")</f>
        <v>http://www.linkedin.com/in/phillodico</v>
      </c>
      <c r="I8971" s="2" t="s">
        <v>69</v>
      </c>
      <c r="J8971" s="2" t="s">
        <v>102</v>
      </c>
      <c r="K8971" s="2" t="s">
        <v>14142</v>
      </c>
    </row>
    <row r="8972" ht="15.75" customHeight="1">
      <c r="A8972" s="2">
        <v>187998.0</v>
      </c>
      <c r="B8972" s="2" t="s">
        <v>1284</v>
      </c>
      <c r="C8972" s="2" t="s">
        <v>16156</v>
      </c>
      <c r="D8972" s="2" t="s">
        <v>16157</v>
      </c>
      <c r="E8972" s="2" t="s">
        <v>1209</v>
      </c>
      <c r="F8972" s="2">
        <v>0.0</v>
      </c>
      <c r="G8972" s="2">
        <v>500.0</v>
      </c>
      <c r="H8972" s="3" t="str">
        <f>HYPERLINK("http://www.linkedin.com/in/anthonysoohoo","http://www.linkedin.com/in/anthonysoohoo")</f>
        <v>http://www.linkedin.com/in/anthonysoohoo</v>
      </c>
      <c r="I8972" s="2" t="s">
        <v>69</v>
      </c>
      <c r="J8972" s="2" t="s">
        <v>102</v>
      </c>
      <c r="K8972" s="2" t="s">
        <v>14197</v>
      </c>
    </row>
    <row r="8973" ht="15.75" customHeight="1">
      <c r="A8973" s="2">
        <v>188001.0</v>
      </c>
      <c r="B8973" s="2" t="s">
        <v>2492</v>
      </c>
      <c r="C8973" s="2" t="s">
        <v>16158</v>
      </c>
      <c r="D8973" s="2" t="s">
        <v>16159</v>
      </c>
      <c r="E8973" s="2" t="s">
        <v>628</v>
      </c>
      <c r="F8973" s="2">
        <v>2.0</v>
      </c>
      <c r="G8973" s="2">
        <v>205.0</v>
      </c>
      <c r="H8973" s="3" t="str">
        <f>HYPERLINK("http://www.linkedin.com/in/bretnewman","http://www.linkedin.com/in/bretnewman")</f>
        <v>http://www.linkedin.com/in/bretnewman</v>
      </c>
      <c r="I8973" s="2" t="s">
        <v>15</v>
      </c>
      <c r="J8973" s="2" t="s">
        <v>102</v>
      </c>
      <c r="K8973" s="2" t="s">
        <v>14142</v>
      </c>
    </row>
    <row r="8974" ht="15.75" customHeight="1">
      <c r="A8974" s="2">
        <v>188018.0</v>
      </c>
      <c r="B8974" s="2" t="s">
        <v>11060</v>
      </c>
      <c r="C8974" s="2" t="s">
        <v>14159</v>
      </c>
      <c r="D8974" s="2" t="s">
        <v>100</v>
      </c>
      <c r="E8974" s="2" t="s">
        <v>136</v>
      </c>
      <c r="F8974" s="2">
        <v>8.0</v>
      </c>
      <c r="G8974" s="2">
        <v>500.0</v>
      </c>
      <c r="H8974" s="3" t="str">
        <f>HYPERLINK("http://www.linkedin.com/in/ajayramachandran","http://www.linkedin.com/in/ajayramachandran")</f>
        <v>http://www.linkedin.com/in/ajayramachandran</v>
      </c>
      <c r="I8974" s="2" t="s">
        <v>15</v>
      </c>
      <c r="J8974" s="2" t="s">
        <v>102</v>
      </c>
      <c r="K8974" s="2" t="s">
        <v>14242</v>
      </c>
    </row>
    <row r="8975" ht="15.75" customHeight="1">
      <c r="A8975" s="2">
        <v>188031.0</v>
      </c>
      <c r="B8975" s="2" t="s">
        <v>16160</v>
      </c>
      <c r="C8975" s="2" t="s">
        <v>11087</v>
      </c>
      <c r="D8975" s="2" t="s">
        <v>1017</v>
      </c>
      <c r="E8975" s="2" t="s">
        <v>1407</v>
      </c>
      <c r="F8975" s="2">
        <v>23.0</v>
      </c>
      <c r="G8975" s="2">
        <v>500.0</v>
      </c>
      <c r="H8975" s="3" t="str">
        <f>HYPERLINK("http://www.linkedin.com/in/taglass","http://www.linkedin.com/in/taglass")</f>
        <v>http://www.linkedin.com/in/taglass</v>
      </c>
      <c r="I8975" s="2" t="s">
        <v>48</v>
      </c>
      <c r="J8975" s="2" t="s">
        <v>102</v>
      </c>
      <c r="K8975" s="2" t="s">
        <v>14095</v>
      </c>
    </row>
    <row r="8976" ht="15.75" customHeight="1">
      <c r="A8976" s="2">
        <v>188036.0</v>
      </c>
      <c r="B8976" s="2" t="s">
        <v>16161</v>
      </c>
      <c r="C8976" s="2" t="s">
        <v>16162</v>
      </c>
      <c r="D8976" s="2" t="s">
        <v>309</v>
      </c>
      <c r="E8976" s="2" t="s">
        <v>4951</v>
      </c>
      <c r="F8976" s="2">
        <v>16.0</v>
      </c>
      <c r="G8976" s="2">
        <v>500.0</v>
      </c>
      <c r="H8976" s="3" t="str">
        <f>HYPERLINK("http://www.linkedin.com/in/robertjmoreau","http://www.linkedin.com/in/robertjmoreau")</f>
        <v>http://www.linkedin.com/in/robertjmoreau</v>
      </c>
      <c r="I8976" s="2" t="s">
        <v>105</v>
      </c>
      <c r="J8976" s="2" t="s">
        <v>102</v>
      </c>
      <c r="K8976" s="2" t="s">
        <v>14092</v>
      </c>
    </row>
    <row r="8977" ht="15.75" customHeight="1">
      <c r="A8977" s="2">
        <v>188054.0</v>
      </c>
      <c r="B8977" s="2" t="s">
        <v>9695</v>
      </c>
      <c r="C8977" s="2" t="s">
        <v>16163</v>
      </c>
      <c r="D8977" s="2" t="s">
        <v>16164</v>
      </c>
      <c r="E8977" s="2" t="s">
        <v>101</v>
      </c>
      <c r="F8977" s="2">
        <v>3.0</v>
      </c>
      <c r="G8977" s="2">
        <v>500.0</v>
      </c>
      <c r="H8977" s="3" t="str">
        <f>HYPERLINK("http://www.linkedin.com/pub/laurens-eckelboom/0/180/63","http://www.linkedin.com/pub/laurens-eckelboom/0/180/63")</f>
        <v>http://www.linkedin.com/pub/laurens-eckelboom/0/180/63</v>
      </c>
      <c r="I8977" s="2" t="s">
        <v>48</v>
      </c>
      <c r="J8977" s="2" t="s">
        <v>102</v>
      </c>
      <c r="K8977" s="2" t="s">
        <v>14080</v>
      </c>
    </row>
    <row r="8978" ht="15.75" customHeight="1">
      <c r="A8978" s="2">
        <v>188060.0</v>
      </c>
      <c r="B8978" s="2" t="s">
        <v>16165</v>
      </c>
      <c r="C8978" s="2" t="s">
        <v>16166</v>
      </c>
      <c r="D8978" s="2" t="s">
        <v>13</v>
      </c>
      <c r="E8978" s="2" t="s">
        <v>891</v>
      </c>
      <c r="F8978" s="2">
        <v>6.0</v>
      </c>
      <c r="G8978" s="2">
        <v>500.0</v>
      </c>
      <c r="H8978" s="3" t="str">
        <f>HYPERLINK("http://www.linkedin.com/in/ristohaukioja","http://www.linkedin.com/in/ristohaukioja")</f>
        <v>http://www.linkedin.com/in/ristohaukioja</v>
      </c>
      <c r="I8978" s="2" t="s">
        <v>105</v>
      </c>
      <c r="J8978" s="2" t="s">
        <v>102</v>
      </c>
      <c r="K8978" s="2" t="s">
        <v>14074</v>
      </c>
    </row>
    <row r="8979" ht="15.75" customHeight="1">
      <c r="A8979" s="2">
        <v>188070.0</v>
      </c>
      <c r="B8979" s="2" t="s">
        <v>133</v>
      </c>
      <c r="C8979" s="2" t="s">
        <v>16167</v>
      </c>
      <c r="D8979" s="2" t="s">
        <v>304</v>
      </c>
      <c r="E8979" s="2" t="s">
        <v>713</v>
      </c>
      <c r="F8979" s="2">
        <v>5.0</v>
      </c>
      <c r="G8979" s="2">
        <v>466.0</v>
      </c>
      <c r="H8979" s="3" t="str">
        <f>HYPERLINK("http://www.linkedin.com/in/michaelheffner","http://www.linkedin.com/in/michaelheffner")</f>
        <v>http://www.linkedin.com/in/michaelheffner</v>
      </c>
      <c r="I8979" s="2" t="s">
        <v>279</v>
      </c>
      <c r="J8979" s="2" t="s">
        <v>102</v>
      </c>
      <c r="K8979" s="2" t="s">
        <v>14105</v>
      </c>
    </row>
    <row r="8980" ht="15.75" customHeight="1">
      <c r="A8980" s="2">
        <v>188080.0</v>
      </c>
      <c r="B8980" s="2" t="s">
        <v>784</v>
      </c>
      <c r="C8980" s="2" t="s">
        <v>16168</v>
      </c>
      <c r="D8980" s="2" t="s">
        <v>13</v>
      </c>
      <c r="E8980" s="2" t="s">
        <v>181</v>
      </c>
      <c r="F8980" s="2">
        <v>0.0</v>
      </c>
      <c r="G8980" s="2">
        <v>500.0</v>
      </c>
      <c r="H8980" s="3" t="str">
        <f>HYPERLINK("http://www.linkedin.com/in/jbedser","http://www.linkedin.com/in/jbedser")</f>
        <v>http://www.linkedin.com/in/jbedser</v>
      </c>
      <c r="I8980" s="2" t="s">
        <v>69</v>
      </c>
      <c r="J8980" s="2" t="s">
        <v>102</v>
      </c>
      <c r="K8980" s="2" t="s">
        <v>14197</v>
      </c>
    </row>
    <row r="8981" ht="15.75" customHeight="1">
      <c r="A8981" s="2">
        <v>188100.0</v>
      </c>
      <c r="B8981" s="2" t="s">
        <v>1366</v>
      </c>
      <c r="C8981" s="2" t="s">
        <v>16169</v>
      </c>
      <c r="D8981" s="2" t="s">
        <v>114</v>
      </c>
      <c r="E8981" s="2" t="s">
        <v>713</v>
      </c>
      <c r="F8981" s="2">
        <v>6.0</v>
      </c>
      <c r="G8981" s="2">
        <v>500.0</v>
      </c>
      <c r="H8981" s="3" t="str">
        <f>HYPERLINK("http://www.linkedin.com/in/petedarnell","http://www.linkedin.com/in/petedarnell")</f>
        <v>http://www.linkedin.com/in/petedarnell</v>
      </c>
      <c r="I8981" s="2" t="s">
        <v>15</v>
      </c>
      <c r="J8981" s="2" t="s">
        <v>102</v>
      </c>
      <c r="K8981" s="2" t="s">
        <v>14142</v>
      </c>
    </row>
    <row r="8982" ht="15.75" customHeight="1">
      <c r="A8982" s="2">
        <v>188146.0</v>
      </c>
      <c r="B8982" s="2" t="s">
        <v>7935</v>
      </c>
      <c r="C8982" s="2" t="s">
        <v>4012</v>
      </c>
      <c r="D8982" s="2" t="s">
        <v>410</v>
      </c>
      <c r="E8982" s="2" t="s">
        <v>101</v>
      </c>
      <c r="F8982" s="2">
        <v>2.0</v>
      </c>
      <c r="G8982" s="2">
        <v>488.0</v>
      </c>
      <c r="H8982" s="3" t="str">
        <f>HYPERLINK("http://www.linkedin.com/pub/charlie-evans/0/312/204","http://www.linkedin.com/pub/charlie-evans/0/312/204")</f>
        <v>http://www.linkedin.com/pub/charlie-evans/0/312/204</v>
      </c>
      <c r="I8982" s="2" t="s">
        <v>681</v>
      </c>
      <c r="J8982" s="2" t="s">
        <v>102</v>
      </c>
      <c r="K8982" s="2" t="s">
        <v>14055</v>
      </c>
    </row>
    <row r="8983" ht="15.75" customHeight="1">
      <c r="A8983" s="2">
        <v>188191.0</v>
      </c>
      <c r="B8983" s="2" t="s">
        <v>710</v>
      </c>
      <c r="C8983" s="2" t="s">
        <v>16170</v>
      </c>
      <c r="D8983" s="2" t="s">
        <v>16171</v>
      </c>
      <c r="E8983" s="2" t="s">
        <v>3148</v>
      </c>
      <c r="F8983" s="2" t="s">
        <v>13</v>
      </c>
      <c r="G8983" s="2">
        <v>500.0</v>
      </c>
      <c r="H8983" s="3" t="str">
        <f>HYPERLINK("http://www.linkedin.com/in/jasonbaim","http://www.linkedin.com/in/jasonbaim")</f>
        <v>http://www.linkedin.com/in/jasonbaim</v>
      </c>
      <c r="I8983" s="2" t="s">
        <v>48</v>
      </c>
      <c r="J8983" s="2" t="s">
        <v>102</v>
      </c>
      <c r="K8983" s="2" t="s">
        <v>14117</v>
      </c>
    </row>
    <row r="8984" ht="15.75" customHeight="1">
      <c r="A8984" s="2">
        <v>188222.0</v>
      </c>
      <c r="B8984" s="2" t="s">
        <v>11</v>
      </c>
      <c r="C8984" s="2" t="s">
        <v>592</v>
      </c>
      <c r="D8984" s="2" t="s">
        <v>16172</v>
      </c>
      <c r="E8984" s="2" t="s">
        <v>4407</v>
      </c>
      <c r="F8984" s="2">
        <v>16.0</v>
      </c>
      <c r="G8984" s="2">
        <v>500.0</v>
      </c>
      <c r="H8984" s="3" t="str">
        <f>HYPERLINK("http://www.linkedin.com/pub/ed-barry/0/323/606","http://www.linkedin.com/pub/ed-barry/0/323/606")</f>
        <v>http://www.linkedin.com/pub/ed-barry/0/323/606</v>
      </c>
      <c r="I8984" s="2" t="s">
        <v>160</v>
      </c>
      <c r="J8984" s="2" t="s">
        <v>102</v>
      </c>
      <c r="K8984" s="2" t="s">
        <v>14125</v>
      </c>
    </row>
    <row r="8985" ht="15.75" customHeight="1">
      <c r="A8985" s="2">
        <v>188228.0</v>
      </c>
      <c r="B8985" s="2" t="s">
        <v>677</v>
      </c>
      <c r="C8985" s="2" t="s">
        <v>16173</v>
      </c>
      <c r="D8985" s="2" t="s">
        <v>517</v>
      </c>
      <c r="E8985" s="2" t="s">
        <v>882</v>
      </c>
      <c r="F8985" s="2">
        <v>6.0</v>
      </c>
      <c r="G8985" s="2">
        <v>500.0</v>
      </c>
      <c r="H8985" s="3" t="str">
        <f>HYPERLINK("http://www.linkedin.com/in/danielhallac","http://www.linkedin.com/in/danielhallac")</f>
        <v>http://www.linkedin.com/in/danielhallac</v>
      </c>
      <c r="I8985" s="2" t="s">
        <v>69</v>
      </c>
      <c r="J8985" s="2" t="s">
        <v>102</v>
      </c>
      <c r="K8985" s="2" t="s">
        <v>14078</v>
      </c>
    </row>
    <row r="8986" ht="15.75" customHeight="1">
      <c r="A8986" s="2">
        <v>188264.0</v>
      </c>
      <c r="B8986" s="2" t="s">
        <v>625</v>
      </c>
      <c r="C8986" s="2" t="s">
        <v>16174</v>
      </c>
      <c r="D8986" s="2" t="s">
        <v>16175</v>
      </c>
      <c r="E8986" s="2" t="s">
        <v>136</v>
      </c>
      <c r="F8986" s="2">
        <v>7.0</v>
      </c>
      <c r="G8986" s="2">
        <v>500.0</v>
      </c>
      <c r="H8986" s="3" t="str">
        <f>HYPERLINK("http://www.linkedin.com/pub/tim-dowling/0/44/5B5","http://www.linkedin.com/pub/tim-dowling/0/44/5B5")</f>
        <v>http://www.linkedin.com/pub/tim-dowling/0/44/5B5</v>
      </c>
      <c r="I8986" s="2" t="s">
        <v>69</v>
      </c>
      <c r="J8986" s="2" t="s">
        <v>102</v>
      </c>
      <c r="K8986" s="2" t="s">
        <v>16176</v>
      </c>
    </row>
    <row r="8987" ht="15.75" customHeight="1">
      <c r="A8987" s="2">
        <v>188284.0</v>
      </c>
      <c r="B8987" s="2" t="s">
        <v>1593</v>
      </c>
      <c r="C8987" s="2" t="s">
        <v>16177</v>
      </c>
      <c r="D8987" s="2" t="s">
        <v>13</v>
      </c>
      <c r="E8987" s="2" t="s">
        <v>1818</v>
      </c>
      <c r="F8987" s="2">
        <v>4.0</v>
      </c>
      <c r="G8987" s="2">
        <v>500.0</v>
      </c>
      <c r="H8987" s="3" t="str">
        <f>HYPERLINK("http://www.linkedin.com/in/securerecruiting","http://www.linkedin.com/in/securerecruiting")</f>
        <v>http://www.linkedin.com/in/securerecruiting</v>
      </c>
      <c r="I8987" s="2" t="s">
        <v>160</v>
      </c>
      <c r="J8987" s="2" t="s">
        <v>102</v>
      </c>
      <c r="K8987" s="2" t="s">
        <v>14105</v>
      </c>
    </row>
    <row r="8988" ht="15.75" customHeight="1">
      <c r="A8988" s="2">
        <v>188346.0</v>
      </c>
      <c r="B8988" s="2" t="s">
        <v>1104</v>
      </c>
      <c r="C8988" s="2" t="s">
        <v>16178</v>
      </c>
      <c r="D8988" s="2" t="s">
        <v>16179</v>
      </c>
      <c r="E8988" s="2" t="s">
        <v>10658</v>
      </c>
      <c r="F8988" s="2">
        <v>25.0</v>
      </c>
      <c r="G8988" s="2">
        <v>500.0</v>
      </c>
      <c r="H8988" s="3" t="str">
        <f>HYPERLINK("http://www.linkedin.com/pub/jay-link/0/359/A13","http://www.linkedin.com/pub/jay-link/0/359/A13")</f>
        <v>http://www.linkedin.com/pub/jay-link/0/359/A13</v>
      </c>
      <c r="I8988" s="2" t="s">
        <v>48</v>
      </c>
      <c r="J8988" s="2" t="s">
        <v>102</v>
      </c>
      <c r="K8988" s="2" t="s">
        <v>14080</v>
      </c>
    </row>
    <row r="8989" ht="15.75" customHeight="1">
      <c r="A8989" s="2">
        <v>188386.0</v>
      </c>
      <c r="B8989" s="2" t="s">
        <v>16180</v>
      </c>
      <c r="C8989" s="2" t="s">
        <v>16181</v>
      </c>
      <c r="D8989" s="2" t="s">
        <v>16182</v>
      </c>
      <c r="E8989" s="2" t="s">
        <v>5213</v>
      </c>
      <c r="F8989" s="2">
        <v>3.0</v>
      </c>
      <c r="G8989" s="2">
        <v>500.0</v>
      </c>
      <c r="H8989" s="3" t="str">
        <f>HYPERLINK("http://www.linkedin.com/in/nedsahin","http://www.linkedin.com/in/nedsahin")</f>
        <v>http://www.linkedin.com/in/nedsahin</v>
      </c>
      <c r="I8989" s="2" t="s">
        <v>27</v>
      </c>
      <c r="J8989" s="2" t="s">
        <v>102</v>
      </c>
      <c r="K8989" s="2" t="s">
        <v>14055</v>
      </c>
    </row>
    <row r="8990" ht="15.75" customHeight="1">
      <c r="A8990" s="2">
        <v>188397.0</v>
      </c>
      <c r="B8990" s="2" t="s">
        <v>752</v>
      </c>
      <c r="C8990" s="2" t="s">
        <v>16183</v>
      </c>
      <c r="D8990" s="2" t="s">
        <v>47</v>
      </c>
      <c r="E8990" s="2" t="s">
        <v>505</v>
      </c>
      <c r="F8990" s="2">
        <v>27.0</v>
      </c>
      <c r="G8990" s="2">
        <v>500.0</v>
      </c>
      <c r="H8990" s="3" t="str">
        <f>HYPERLINK("http://www.linkedin.com/in/jimkukral","http://www.linkedin.com/in/jimkukral")</f>
        <v>http://www.linkedin.com/in/jimkukral</v>
      </c>
      <c r="I8990" s="2" t="s">
        <v>105</v>
      </c>
      <c r="J8990" s="2" t="s">
        <v>102</v>
      </c>
      <c r="K8990" s="2" t="s">
        <v>14074</v>
      </c>
    </row>
    <row r="8991" ht="15.75" customHeight="1">
      <c r="A8991" s="2">
        <v>188445.0</v>
      </c>
      <c r="B8991" s="2" t="s">
        <v>625</v>
      </c>
      <c r="C8991" s="2" t="s">
        <v>16184</v>
      </c>
      <c r="D8991" s="2" t="s">
        <v>108</v>
      </c>
      <c r="E8991" s="2" t="s">
        <v>14710</v>
      </c>
      <c r="F8991" s="2">
        <v>8.0</v>
      </c>
      <c r="G8991" s="2">
        <v>500.0</v>
      </c>
      <c r="H8991" s="3" t="str">
        <f>HYPERLINK("http://www.linkedin.com/in/timmaliyil","http://www.linkedin.com/in/timmaliyil")</f>
        <v>http://www.linkedin.com/in/timmaliyil</v>
      </c>
      <c r="I8991" s="2" t="s">
        <v>15</v>
      </c>
      <c r="J8991" s="2" t="s">
        <v>102</v>
      </c>
      <c r="K8991" s="2" t="s">
        <v>14339</v>
      </c>
    </row>
    <row r="8992" ht="15.75" customHeight="1">
      <c r="A8992" s="2">
        <v>188495.0</v>
      </c>
      <c r="B8992" s="2" t="s">
        <v>2856</v>
      </c>
      <c r="C8992" s="2" t="s">
        <v>16185</v>
      </c>
      <c r="D8992" s="2" t="s">
        <v>16186</v>
      </c>
      <c r="E8992" s="2" t="s">
        <v>136</v>
      </c>
      <c r="F8992" s="2">
        <v>1.0</v>
      </c>
      <c r="G8992" s="2">
        <v>500.0</v>
      </c>
      <c r="H8992" s="3" t="str">
        <f>HYPERLINK("http://www.linkedin.com/in/derekdukes","http://www.linkedin.com/in/derekdukes")</f>
        <v>http://www.linkedin.com/in/derekdukes</v>
      </c>
      <c r="I8992" s="2" t="s">
        <v>69</v>
      </c>
      <c r="J8992" s="2" t="s">
        <v>102</v>
      </c>
      <c r="K8992" s="2" t="s">
        <v>14092</v>
      </c>
    </row>
    <row r="8993" ht="15.75" customHeight="1">
      <c r="A8993" s="2">
        <v>188568.0</v>
      </c>
      <c r="B8993" s="2" t="s">
        <v>1300</v>
      </c>
      <c r="C8993" s="2" t="s">
        <v>13353</v>
      </c>
      <c r="D8993" s="2" t="s">
        <v>47</v>
      </c>
      <c r="E8993" s="2" t="s">
        <v>301</v>
      </c>
      <c r="F8993" s="2">
        <v>8.0</v>
      </c>
      <c r="G8993" s="2">
        <v>500.0</v>
      </c>
      <c r="H8993" s="3" t="str">
        <f>HYPERLINK("http://www.linkedin.com/in/680partners","http://www.linkedin.com/in/680partners")</f>
        <v>http://www.linkedin.com/in/680partners</v>
      </c>
      <c r="I8993" s="2" t="s">
        <v>248</v>
      </c>
      <c r="J8993" s="2" t="s">
        <v>102</v>
      </c>
      <c r="K8993" s="2" t="s">
        <v>14105</v>
      </c>
    </row>
    <row r="8994" ht="15.75" customHeight="1">
      <c r="A8994" s="2">
        <v>188615.0</v>
      </c>
      <c r="B8994" s="2" t="s">
        <v>16187</v>
      </c>
      <c r="C8994" s="2" t="s">
        <v>16188</v>
      </c>
      <c r="D8994" s="2" t="s">
        <v>16189</v>
      </c>
      <c r="E8994" s="2" t="s">
        <v>181</v>
      </c>
      <c r="F8994" s="2">
        <v>2.0</v>
      </c>
      <c r="G8994" s="2">
        <v>500.0</v>
      </c>
      <c r="H8994" s="3" t="str">
        <f>HYPERLINK("http://www.linkedin.com/pub/mahendra-durai/0/498/B87","http://www.linkedin.com/pub/mahendra-durai/0/498/B87")</f>
        <v>http://www.linkedin.com/pub/mahendra-durai/0/498/B87</v>
      </c>
      <c r="I8994" s="2" t="s">
        <v>48</v>
      </c>
      <c r="J8994" s="2" t="s">
        <v>102</v>
      </c>
      <c r="K8994" s="2" t="s">
        <v>14117</v>
      </c>
    </row>
    <row r="8995" ht="15.75" customHeight="1">
      <c r="A8995" s="2">
        <v>188636.0</v>
      </c>
      <c r="B8995" s="2" t="s">
        <v>2109</v>
      </c>
      <c r="C8995" s="2" t="s">
        <v>5685</v>
      </c>
      <c r="D8995" s="2" t="s">
        <v>47</v>
      </c>
      <c r="E8995" s="2" t="s">
        <v>3508</v>
      </c>
      <c r="F8995" s="2">
        <v>6.0</v>
      </c>
      <c r="G8995" s="2">
        <v>500.0</v>
      </c>
      <c r="H8995" s="3" t="str">
        <f>HYPERLINK("http://www.linkedin.com/in/robclyde","http://www.linkedin.com/in/robclyde")</f>
        <v>http://www.linkedin.com/in/robclyde</v>
      </c>
      <c r="I8995" s="2" t="s">
        <v>48</v>
      </c>
      <c r="J8995" s="2" t="s">
        <v>102</v>
      </c>
      <c r="K8995" s="2" t="s">
        <v>14073</v>
      </c>
    </row>
    <row r="8996" ht="15.75" customHeight="1">
      <c r="A8996" s="2">
        <v>188747.0</v>
      </c>
      <c r="B8996" s="2" t="s">
        <v>5004</v>
      </c>
      <c r="C8996" s="2" t="s">
        <v>16190</v>
      </c>
      <c r="D8996" s="2" t="s">
        <v>47</v>
      </c>
      <c r="E8996" s="2" t="s">
        <v>713</v>
      </c>
      <c r="F8996" s="2">
        <v>2.0</v>
      </c>
      <c r="G8996" s="2">
        <v>398.0</v>
      </c>
      <c r="H8996" s="3" t="str">
        <f>HYPERLINK("http://www.linkedin.com/in/clearfweb","http://www.linkedin.com/in/clearfweb")</f>
        <v>http://www.linkedin.com/in/clearfweb</v>
      </c>
      <c r="I8996" s="2" t="s">
        <v>48</v>
      </c>
      <c r="J8996" s="2" t="s">
        <v>102</v>
      </c>
      <c r="K8996" s="2" t="s">
        <v>14197</v>
      </c>
    </row>
    <row r="8997" ht="15.75" customHeight="1">
      <c r="A8997" s="2">
        <v>188840.0</v>
      </c>
      <c r="B8997" s="2" t="s">
        <v>1523</v>
      </c>
      <c r="C8997" s="2" t="s">
        <v>3375</v>
      </c>
      <c r="D8997" s="2" t="s">
        <v>1966</v>
      </c>
      <c r="E8997" s="2" t="s">
        <v>101</v>
      </c>
      <c r="F8997" s="2">
        <v>1.0</v>
      </c>
      <c r="G8997" s="2">
        <v>500.0</v>
      </c>
      <c r="H8997" s="3" t="str">
        <f>HYPERLINK("http://www.linkedin.com/in/phillipsrubin","http://www.linkedin.com/in/phillipsrubin")</f>
        <v>http://www.linkedin.com/in/phillipsrubin</v>
      </c>
      <c r="I8997" s="2" t="s">
        <v>105</v>
      </c>
      <c r="J8997" s="2" t="s">
        <v>102</v>
      </c>
      <c r="K8997" s="2" t="s">
        <v>14055</v>
      </c>
    </row>
    <row r="8998" ht="15.75" customHeight="1">
      <c r="A8998" s="2">
        <v>188885.0</v>
      </c>
      <c r="B8998" s="2" t="s">
        <v>460</v>
      </c>
      <c r="C8998" s="2" t="s">
        <v>3271</v>
      </c>
      <c r="D8998" s="2" t="s">
        <v>1145</v>
      </c>
      <c r="E8998" s="2" t="s">
        <v>2454</v>
      </c>
      <c r="F8998" s="2">
        <v>41.0</v>
      </c>
      <c r="G8998" s="2">
        <v>500.0</v>
      </c>
      <c r="H8998" s="3" t="str">
        <f>HYPERLINK("http://www.linkedin.com/in/ananke","http://www.linkedin.com/in/ananke")</f>
        <v>http://www.linkedin.com/in/ananke</v>
      </c>
      <c r="I8998" s="2" t="s">
        <v>15</v>
      </c>
      <c r="J8998" s="2" t="s">
        <v>102</v>
      </c>
      <c r="K8998" s="2" t="s">
        <v>14073</v>
      </c>
    </row>
    <row r="8999" ht="15.75" customHeight="1">
      <c r="A8999" s="2">
        <v>188983.0</v>
      </c>
      <c r="B8999" s="2" t="s">
        <v>412</v>
      </c>
      <c r="C8999" s="2" t="s">
        <v>16191</v>
      </c>
      <c r="D8999" s="2" t="s">
        <v>16192</v>
      </c>
      <c r="E8999" s="2" t="s">
        <v>301</v>
      </c>
      <c r="F8999" s="2">
        <v>6.0</v>
      </c>
      <c r="G8999" s="2">
        <v>500.0</v>
      </c>
      <c r="H8999" s="3" t="str">
        <f>HYPERLINK("http://www.linkedin.com/in/robertgeils","http://www.linkedin.com/in/robertgeils")</f>
        <v>http://www.linkedin.com/in/robertgeils</v>
      </c>
      <c r="I8999" s="2" t="s">
        <v>475</v>
      </c>
      <c r="J8999" s="2" t="s">
        <v>102</v>
      </c>
      <c r="K8999" s="2" t="s">
        <v>14055</v>
      </c>
    </row>
    <row r="9000" ht="15.75" customHeight="1">
      <c r="A9000" s="2">
        <v>188985.0</v>
      </c>
      <c r="B9000" s="2" t="s">
        <v>11</v>
      </c>
      <c r="C9000" s="2" t="s">
        <v>16193</v>
      </c>
      <c r="D9000" s="2" t="s">
        <v>47</v>
      </c>
      <c r="E9000" s="2" t="s">
        <v>914</v>
      </c>
      <c r="F9000" s="2">
        <v>7.0</v>
      </c>
      <c r="G9000" s="2">
        <v>500.0</v>
      </c>
      <c r="H9000" s="3" t="str">
        <f>HYPERLINK("http://www.linkedin.com/in/edfries","http://www.linkedin.com/in/edfries")</f>
        <v>http://www.linkedin.com/in/edfries</v>
      </c>
      <c r="I9000" s="2" t="s">
        <v>143</v>
      </c>
      <c r="J9000" s="2" t="s">
        <v>102</v>
      </c>
      <c r="K9000" s="2" t="s">
        <v>14197</v>
      </c>
    </row>
    <row r="9001" ht="15.75" customHeight="1">
      <c r="A9001" s="2">
        <v>189057.0</v>
      </c>
      <c r="B9001" s="2" t="s">
        <v>16194</v>
      </c>
      <c r="C9001" s="2" t="s">
        <v>16195</v>
      </c>
      <c r="D9001" s="2" t="s">
        <v>16196</v>
      </c>
      <c r="E9001" s="2" t="s">
        <v>136</v>
      </c>
      <c r="F9001" s="2">
        <v>2.0</v>
      </c>
      <c r="G9001" s="2">
        <v>500.0</v>
      </c>
      <c r="H9001" s="3" t="str">
        <f>HYPERLINK("http://www.linkedin.com/pub/nicklas-lundblad/0/A1/29A","http://www.linkedin.com/pub/nicklas-lundblad/0/A1/29A")</f>
        <v>http://www.linkedin.com/pub/nicklas-lundblad/0/A1/29A</v>
      </c>
      <c r="I9001" s="2" t="s">
        <v>69</v>
      </c>
      <c r="J9001" s="2" t="s">
        <v>102</v>
      </c>
      <c r="K9001" s="2" t="s">
        <v>16197</v>
      </c>
    </row>
    <row r="9002" ht="15.75" customHeight="1">
      <c r="A9002" s="2">
        <v>189068.0</v>
      </c>
      <c r="B9002" s="2" t="s">
        <v>11753</v>
      </c>
      <c r="C9002" s="2" t="s">
        <v>16198</v>
      </c>
      <c r="D9002" s="2" t="s">
        <v>14128</v>
      </c>
      <c r="E9002" s="2" t="s">
        <v>136</v>
      </c>
      <c r="F9002" s="2">
        <v>3.0</v>
      </c>
      <c r="G9002" s="2">
        <v>500.0</v>
      </c>
      <c r="H9002" s="3" t="str">
        <f>HYPERLINK("http://www.linkedin.com/in/mch423","http://www.linkedin.com/in/mch423")</f>
        <v>http://www.linkedin.com/in/mch423</v>
      </c>
      <c r="I9002" s="2" t="s">
        <v>48</v>
      </c>
      <c r="J9002" s="2" t="s">
        <v>102</v>
      </c>
      <c r="K9002" s="2" t="s">
        <v>14078</v>
      </c>
    </row>
    <row r="9003" ht="15.75" customHeight="1">
      <c r="A9003" s="2">
        <v>189074.0</v>
      </c>
      <c r="B9003" s="2" t="s">
        <v>940</v>
      </c>
      <c r="C9003" s="2" t="s">
        <v>16199</v>
      </c>
      <c r="D9003" s="2" t="s">
        <v>16200</v>
      </c>
      <c r="E9003" s="2" t="s">
        <v>1234</v>
      </c>
      <c r="F9003" s="2">
        <v>26.0</v>
      </c>
      <c r="G9003" s="2">
        <v>500.0</v>
      </c>
      <c r="H9003" s="3" t="str">
        <f>HYPERLINK("http://www.linkedin.com/in/carilli","http://www.linkedin.com/in/carilli")</f>
        <v>http://www.linkedin.com/in/carilli</v>
      </c>
      <c r="I9003" s="2" t="s">
        <v>326</v>
      </c>
      <c r="J9003" s="2" t="s">
        <v>102</v>
      </c>
      <c r="K9003" s="2" t="s">
        <v>14074</v>
      </c>
    </row>
    <row r="9004" ht="15.75" customHeight="1">
      <c r="A9004" s="2">
        <v>189104.0</v>
      </c>
      <c r="B9004" s="2" t="s">
        <v>379</v>
      </c>
      <c r="C9004" s="2" t="s">
        <v>16201</v>
      </c>
      <c r="D9004" s="2" t="s">
        <v>47</v>
      </c>
      <c r="E9004" s="2" t="s">
        <v>301</v>
      </c>
      <c r="F9004" s="2">
        <v>1.0</v>
      </c>
      <c r="G9004" s="2">
        <v>500.0</v>
      </c>
      <c r="H9004" s="3" t="str">
        <f>HYPERLINK("http://www.linkedin.com/in/developall","http://www.linkedin.com/in/developall")</f>
        <v>http://www.linkedin.com/in/developall</v>
      </c>
      <c r="I9004" s="2" t="s">
        <v>865</v>
      </c>
      <c r="J9004" s="2" t="s">
        <v>102</v>
      </c>
      <c r="K9004" s="2" t="s">
        <v>14055</v>
      </c>
    </row>
    <row r="9005" ht="15.75" customHeight="1">
      <c r="A9005" s="2">
        <v>189167.0</v>
      </c>
      <c r="B9005" s="2" t="s">
        <v>752</v>
      </c>
      <c r="C9005" s="2" t="s">
        <v>12688</v>
      </c>
      <c r="D9005" s="2" t="s">
        <v>3054</v>
      </c>
      <c r="E9005" s="2" t="s">
        <v>891</v>
      </c>
      <c r="F9005" s="2">
        <v>4.0</v>
      </c>
      <c r="G9005" s="2">
        <v>349.0</v>
      </c>
      <c r="H9005" s="3" t="str">
        <f>HYPERLINK("http://www.linkedin.com/in/jimdyer","http://www.linkedin.com/in/jimdyer")</f>
        <v>http://www.linkedin.com/in/jimdyer</v>
      </c>
      <c r="I9005" s="2" t="s">
        <v>69</v>
      </c>
      <c r="J9005" s="2" t="s">
        <v>102</v>
      </c>
      <c r="K9005" s="2" t="s">
        <v>14078</v>
      </c>
    </row>
    <row r="9006" ht="15.75" customHeight="1">
      <c r="A9006" s="2">
        <v>189181.0</v>
      </c>
      <c r="B9006" s="2" t="s">
        <v>2543</v>
      </c>
      <c r="C9006" s="2" t="s">
        <v>1233</v>
      </c>
      <c r="D9006" s="2" t="s">
        <v>42</v>
      </c>
      <c r="E9006" s="2" t="s">
        <v>101</v>
      </c>
      <c r="F9006" s="2">
        <v>3.0</v>
      </c>
      <c r="G9006" s="2">
        <v>500.0</v>
      </c>
      <c r="H9006" s="3" t="str">
        <f>HYPERLINK("http://www.linkedin.com/in/doncollinsjr","http://www.linkedin.com/in/doncollinsjr")</f>
        <v>http://www.linkedin.com/in/doncollinsjr</v>
      </c>
      <c r="I9006" s="2" t="s">
        <v>119</v>
      </c>
      <c r="J9006" s="2" t="s">
        <v>102</v>
      </c>
      <c r="K9006" s="2" t="s">
        <v>14105</v>
      </c>
    </row>
    <row r="9007" ht="15.75" customHeight="1">
      <c r="A9007" s="2">
        <v>189205.0</v>
      </c>
      <c r="B9007" s="2" t="s">
        <v>275</v>
      </c>
      <c r="C9007" s="2" t="s">
        <v>16202</v>
      </c>
      <c r="D9007" s="2" t="s">
        <v>1297</v>
      </c>
      <c r="E9007" s="2" t="s">
        <v>136</v>
      </c>
      <c r="F9007" s="2">
        <v>22.0</v>
      </c>
      <c r="G9007" s="2">
        <v>500.0</v>
      </c>
      <c r="H9007" s="3" t="str">
        <f>HYPERLINK("http://www.linkedin.com/in/markgambirasi","http://www.linkedin.com/in/markgambirasi")</f>
        <v>http://www.linkedin.com/in/markgambirasi</v>
      </c>
      <c r="I9007" s="2" t="s">
        <v>248</v>
      </c>
      <c r="J9007" s="2" t="s">
        <v>102</v>
      </c>
      <c r="K9007" s="2" t="s">
        <v>14481</v>
      </c>
    </row>
    <row r="9008" ht="15.75" customHeight="1">
      <c r="A9008" s="2">
        <v>189210.0</v>
      </c>
      <c r="B9008" s="2" t="s">
        <v>1417</v>
      </c>
      <c r="C9008" s="2" t="s">
        <v>16203</v>
      </c>
      <c r="D9008" s="2" t="s">
        <v>16204</v>
      </c>
      <c r="E9008" s="2" t="s">
        <v>136</v>
      </c>
      <c r="F9008" s="2">
        <v>10.0</v>
      </c>
      <c r="G9008" s="2">
        <v>500.0</v>
      </c>
      <c r="H9008" s="3" t="str">
        <f>HYPERLINK("http://www.linkedin.com/in/demandgeneration","http://www.linkedin.com/in/demandgeneration")</f>
        <v>http://www.linkedin.com/in/demandgeneration</v>
      </c>
      <c r="I9008" s="2" t="s">
        <v>105</v>
      </c>
      <c r="J9008" s="2" t="s">
        <v>102</v>
      </c>
      <c r="K9008" s="2" t="s">
        <v>14088</v>
      </c>
    </row>
    <row r="9009" ht="15.75" customHeight="1">
      <c r="A9009" s="2">
        <v>189242.0</v>
      </c>
      <c r="B9009" s="2" t="s">
        <v>10719</v>
      </c>
      <c r="C9009" s="2" t="s">
        <v>16205</v>
      </c>
      <c r="D9009" s="2" t="s">
        <v>1966</v>
      </c>
      <c r="E9009" s="2" t="s">
        <v>713</v>
      </c>
      <c r="F9009" s="2">
        <v>4.0</v>
      </c>
      <c r="G9009" s="2">
        <v>500.0</v>
      </c>
      <c r="H9009" s="3" t="str">
        <f>HYPERLINK("http://www.linkedin.com/in/momcentral","http://www.linkedin.com/in/momcentral")</f>
        <v>http://www.linkedin.com/in/momcentral</v>
      </c>
      <c r="I9009" s="2" t="s">
        <v>105</v>
      </c>
      <c r="J9009" s="2" t="s">
        <v>102</v>
      </c>
      <c r="K9009" s="2" t="s">
        <v>14092</v>
      </c>
    </row>
    <row r="9010" ht="15.75" customHeight="1">
      <c r="A9010" s="2">
        <v>189251.0</v>
      </c>
      <c r="B9010" s="2" t="s">
        <v>1977</v>
      </c>
      <c r="C9010" s="2" t="s">
        <v>16206</v>
      </c>
      <c r="D9010" s="2" t="s">
        <v>16142</v>
      </c>
      <c r="E9010" s="2" t="s">
        <v>808</v>
      </c>
      <c r="F9010" s="2">
        <v>4.0</v>
      </c>
      <c r="G9010" s="2">
        <v>500.0</v>
      </c>
      <c r="H9010" s="3" t="str">
        <f>HYPERLINK("http://www.linkedin.com/in/joelfricker","http://www.linkedin.com/in/joelfricker")</f>
        <v>http://www.linkedin.com/in/joelfricker</v>
      </c>
      <c r="I9010" s="2" t="s">
        <v>873</v>
      </c>
      <c r="J9010" s="2" t="s">
        <v>102</v>
      </c>
      <c r="K9010" s="2" t="s">
        <v>14055</v>
      </c>
    </row>
    <row r="9011" ht="15.75" customHeight="1">
      <c r="A9011" s="2">
        <v>189256.0</v>
      </c>
      <c r="B9011" s="2" t="s">
        <v>12386</v>
      </c>
      <c r="C9011" s="2" t="s">
        <v>643</v>
      </c>
      <c r="D9011" s="2" t="s">
        <v>16207</v>
      </c>
      <c r="E9011" s="2" t="s">
        <v>1918</v>
      </c>
      <c r="F9011" s="2">
        <v>4.0</v>
      </c>
      <c r="G9011" s="2">
        <v>386.0</v>
      </c>
      <c r="H9011" s="3" t="str">
        <f>HYPERLINK("http://www.linkedin.com/in/micheleshannonsandiego","http://www.linkedin.com/in/micheleshannonsandiego")</f>
        <v>http://www.linkedin.com/in/micheleshannonsandiego</v>
      </c>
      <c r="I9011" s="2" t="s">
        <v>48</v>
      </c>
      <c r="J9011" s="2" t="s">
        <v>102</v>
      </c>
      <c r="K9011" s="2" t="s">
        <v>14163</v>
      </c>
    </row>
    <row r="9012" ht="15.75" customHeight="1">
      <c r="A9012" s="2">
        <v>189309.0</v>
      </c>
      <c r="B9012" s="2" t="s">
        <v>460</v>
      </c>
      <c r="C9012" s="2" t="s">
        <v>16208</v>
      </c>
      <c r="D9012" s="2" t="s">
        <v>1145</v>
      </c>
      <c r="E9012" s="2" t="s">
        <v>235</v>
      </c>
      <c r="F9012" s="2">
        <v>13.0</v>
      </c>
      <c r="G9012" s="2">
        <v>500.0</v>
      </c>
      <c r="H9012" s="3" t="str">
        <f>HYPERLINK("http://www.linkedin.com/in/johnfineran","http://www.linkedin.com/in/johnfineran")</f>
        <v>http://www.linkedin.com/in/johnfineran</v>
      </c>
      <c r="I9012" s="2" t="s">
        <v>77</v>
      </c>
      <c r="J9012" s="2" t="s">
        <v>102</v>
      </c>
      <c r="K9012" s="2" t="s">
        <v>14422</v>
      </c>
    </row>
    <row r="9013" ht="15.75" customHeight="1">
      <c r="A9013" s="2">
        <v>189315.0</v>
      </c>
      <c r="B9013" s="2" t="s">
        <v>8172</v>
      </c>
      <c r="C9013" s="2" t="s">
        <v>3303</v>
      </c>
      <c r="D9013" s="2" t="s">
        <v>3799</v>
      </c>
      <c r="E9013" s="2" t="s">
        <v>4407</v>
      </c>
      <c r="F9013" s="2">
        <v>21.0</v>
      </c>
      <c r="G9013" s="2">
        <v>500.0</v>
      </c>
      <c r="H9013" s="3" t="str">
        <f>HYPERLINK("http://www.linkedin.com/pub/gerald-monroe/0/84/96","http://www.linkedin.com/pub/gerald-monroe/0/84/96")</f>
        <v>http://www.linkedin.com/pub/gerald-monroe/0/84/96</v>
      </c>
      <c r="I9013" s="2" t="s">
        <v>77</v>
      </c>
      <c r="J9013" s="2" t="s">
        <v>102</v>
      </c>
      <c r="K9013" s="2" t="s">
        <v>14460</v>
      </c>
    </row>
    <row r="9014" ht="15.75" customHeight="1">
      <c r="A9014" s="2">
        <v>189322.0</v>
      </c>
      <c r="B9014" s="2" t="s">
        <v>8603</v>
      </c>
      <c r="C9014" s="2" t="s">
        <v>2021</v>
      </c>
      <c r="D9014" s="2" t="s">
        <v>1145</v>
      </c>
      <c r="E9014" s="2" t="s">
        <v>804</v>
      </c>
      <c r="F9014" s="2">
        <v>1.0</v>
      </c>
      <c r="G9014" s="2">
        <v>500.0</v>
      </c>
      <c r="H9014" s="3" t="str">
        <f>HYPERLINK("http://www.linkedin.com/in/ktbailey","http://www.linkedin.com/in/ktbailey")</f>
        <v>http://www.linkedin.com/in/ktbailey</v>
      </c>
      <c r="I9014" s="2" t="s">
        <v>15</v>
      </c>
      <c r="J9014" s="2" t="s">
        <v>102</v>
      </c>
      <c r="K9014" s="2" t="s">
        <v>14080</v>
      </c>
    </row>
    <row r="9015" ht="15.75" customHeight="1">
      <c r="A9015" s="2">
        <v>189338.0</v>
      </c>
      <c r="B9015" s="2" t="s">
        <v>5337</v>
      </c>
      <c r="C9015" s="2" t="s">
        <v>13644</v>
      </c>
      <c r="D9015" s="2" t="s">
        <v>16209</v>
      </c>
      <c r="E9015" s="2" t="s">
        <v>1041</v>
      </c>
      <c r="F9015" s="2">
        <v>17.0</v>
      </c>
      <c r="G9015" s="2">
        <v>500.0</v>
      </c>
      <c r="H9015" s="3" t="str">
        <f>HYPERLINK("http://www.linkedin.com/in/bwall","http://www.linkedin.com/in/bwall")</f>
        <v>http://www.linkedin.com/in/bwall</v>
      </c>
      <c r="I9015" s="2" t="s">
        <v>15</v>
      </c>
      <c r="J9015" s="2" t="s">
        <v>102</v>
      </c>
      <c r="K9015" s="2" t="s">
        <v>14080</v>
      </c>
    </row>
    <row r="9016" ht="15.75" customHeight="1">
      <c r="A9016" s="2">
        <v>189455.0</v>
      </c>
      <c r="B9016" s="2" t="s">
        <v>710</v>
      </c>
      <c r="C9016" s="2" t="s">
        <v>16210</v>
      </c>
      <c r="D9016" s="2"/>
      <c r="E9016" s="2" t="s">
        <v>5396</v>
      </c>
      <c r="F9016" s="2">
        <v>2.0</v>
      </c>
      <c r="G9016" s="2">
        <v>500.0</v>
      </c>
      <c r="H9016" s="3" t="str">
        <f>HYPERLINK("http://www.linkedin.com/pub/jason-wayman/2/BAA/403","http://www.linkedin.com/pub/jason-wayman/2/BAA/403")</f>
        <v>http://www.linkedin.com/pub/jason-wayman/2/BAA/403</v>
      </c>
      <c r="I9016" s="2" t="s">
        <v>48</v>
      </c>
      <c r="J9016" s="2" t="s">
        <v>102</v>
      </c>
      <c r="K9016" s="2" t="s">
        <v>14057</v>
      </c>
    </row>
    <row r="9017" ht="15.75" customHeight="1">
      <c r="A9017" s="2">
        <v>189544.0</v>
      </c>
      <c r="B9017" s="2" t="s">
        <v>16211</v>
      </c>
      <c r="C9017" s="2" t="s">
        <v>16212</v>
      </c>
      <c r="D9017" s="2" t="s">
        <v>1145</v>
      </c>
      <c r="E9017" s="2" t="s">
        <v>713</v>
      </c>
      <c r="F9017" s="2">
        <v>36.0</v>
      </c>
      <c r="G9017" s="2">
        <v>500.0</v>
      </c>
      <c r="H9017" s="3" t="str">
        <f>HYPERLINK("http://www.linkedin.com/in/vickvirenvaishnavi","http://www.linkedin.com/in/vickvirenvaishnavi")</f>
        <v>http://www.linkedin.com/in/vickvirenvaishnavi</v>
      </c>
      <c r="I9017" s="2" t="s">
        <v>48</v>
      </c>
      <c r="J9017" s="2" t="s">
        <v>102</v>
      </c>
      <c r="K9017" s="2" t="s">
        <v>14197</v>
      </c>
    </row>
    <row r="9018" ht="15.75" customHeight="1">
      <c r="A9018" s="2">
        <v>189551.0</v>
      </c>
      <c r="B9018" s="2" t="s">
        <v>2567</v>
      </c>
      <c r="C9018" s="2" t="s">
        <v>16213</v>
      </c>
      <c r="D9018" s="2" t="s">
        <v>16214</v>
      </c>
      <c r="E9018" s="2" t="s">
        <v>16215</v>
      </c>
      <c r="F9018" s="2">
        <v>5.0</v>
      </c>
      <c r="G9018" s="2">
        <v>500.0</v>
      </c>
      <c r="H9018" s="3" t="str">
        <f>HYPERLINK("http://www.linkedin.com/in/chrisnekvinda","http://www.linkedin.com/in/chrisnekvinda")</f>
        <v>http://www.linkedin.com/in/chrisnekvinda</v>
      </c>
      <c r="I9018" s="2" t="s">
        <v>279</v>
      </c>
      <c r="J9018" s="2" t="s">
        <v>102</v>
      </c>
      <c r="K9018" s="2" t="s">
        <v>14055</v>
      </c>
    </row>
    <row r="9019" ht="15.75" customHeight="1">
      <c r="A9019" s="2">
        <v>189556.0</v>
      </c>
      <c r="B9019" s="2" t="s">
        <v>4316</v>
      </c>
      <c r="C9019" s="2" t="s">
        <v>16216</v>
      </c>
      <c r="D9019" s="2" t="s">
        <v>5202</v>
      </c>
      <c r="E9019" s="2" t="s">
        <v>214</v>
      </c>
      <c r="F9019" s="2">
        <v>5.0</v>
      </c>
      <c r="G9019" s="2">
        <v>216.0</v>
      </c>
      <c r="H9019" s="3" t="str">
        <f>HYPERLINK("http://www.linkedin.com/in/stanquayle","http://www.linkedin.com/in/stanquayle")</f>
        <v>http://www.linkedin.com/in/stanquayle</v>
      </c>
      <c r="I9019" s="2" t="s">
        <v>48</v>
      </c>
      <c r="J9019" s="2" t="s">
        <v>102</v>
      </c>
      <c r="K9019" s="2" t="s">
        <v>14080</v>
      </c>
    </row>
    <row r="9020" ht="15.75" customHeight="1">
      <c r="A9020" s="2">
        <v>189570.0</v>
      </c>
      <c r="B9020" s="2" t="s">
        <v>16217</v>
      </c>
      <c r="C9020" s="2" t="s">
        <v>16218</v>
      </c>
      <c r="D9020" s="2" t="s">
        <v>13</v>
      </c>
      <c r="E9020" s="2" t="s">
        <v>4407</v>
      </c>
      <c r="F9020" s="2">
        <v>0.0</v>
      </c>
      <c r="G9020" s="2">
        <v>477.0</v>
      </c>
      <c r="H9020" s="3" t="str">
        <f>HYPERLINK("http://www.linkedin.com/pub/ido-ben-moshe/0/630/230","http://www.linkedin.com/pub/ido-ben-moshe/0/630/230")</f>
        <v>http://www.linkedin.com/pub/ido-ben-moshe/0/630/230</v>
      </c>
      <c r="I9020" s="2" t="s">
        <v>48</v>
      </c>
      <c r="J9020" s="2" t="s">
        <v>102</v>
      </c>
      <c r="K9020" s="2" t="s">
        <v>14142</v>
      </c>
    </row>
    <row r="9021" ht="15.75" customHeight="1">
      <c r="A9021" s="2">
        <v>189610.0</v>
      </c>
      <c r="B9021" s="2" t="s">
        <v>625</v>
      </c>
      <c r="C9021" s="2" t="s">
        <v>8171</v>
      </c>
      <c r="D9021" s="2" t="s">
        <v>11648</v>
      </c>
      <c r="E9021" s="2" t="s">
        <v>136</v>
      </c>
      <c r="F9021" s="2">
        <v>13.0</v>
      </c>
      <c r="G9021" s="2">
        <v>500.0</v>
      </c>
      <c r="H9021" s="3" t="str">
        <f>HYPERLINK("http://www.linkedin.com/in/timvill","http://www.linkedin.com/in/timvill")</f>
        <v>http://www.linkedin.com/in/timvill</v>
      </c>
      <c r="I9021" s="2" t="s">
        <v>69</v>
      </c>
      <c r="J9021" s="2" t="s">
        <v>102</v>
      </c>
      <c r="K9021" s="2" t="s">
        <v>14065</v>
      </c>
    </row>
    <row r="9022" ht="15.75" customHeight="1">
      <c r="A9022" s="2">
        <v>189666.0</v>
      </c>
      <c r="B9022" s="2" t="s">
        <v>460</v>
      </c>
      <c r="C9022" s="2" t="s">
        <v>348</v>
      </c>
      <c r="D9022" s="2" t="s">
        <v>16219</v>
      </c>
      <c r="E9022" s="2" t="s">
        <v>914</v>
      </c>
      <c r="F9022" s="2">
        <v>2.0</v>
      </c>
      <c r="G9022" s="2">
        <v>500.0</v>
      </c>
      <c r="H9022" s="3" t="str">
        <f>HYPERLINK("http://www.linkedin.com/in/johnckim","http://www.linkedin.com/in/johnckim")</f>
        <v>http://www.linkedin.com/in/johnckim</v>
      </c>
      <c r="I9022" s="2" t="s">
        <v>143</v>
      </c>
      <c r="J9022" s="2" t="s">
        <v>102</v>
      </c>
      <c r="K9022" s="2" t="s">
        <v>14095</v>
      </c>
    </row>
    <row r="9023" ht="15.75" customHeight="1">
      <c r="A9023" s="2">
        <v>189751.0</v>
      </c>
      <c r="B9023" s="2" t="s">
        <v>245</v>
      </c>
      <c r="C9023" s="2" t="s">
        <v>16220</v>
      </c>
      <c r="D9023" s="2" t="s">
        <v>16221</v>
      </c>
      <c r="E9023" s="2" t="s">
        <v>4258</v>
      </c>
      <c r="F9023" s="2">
        <v>4.0</v>
      </c>
      <c r="G9023" s="2">
        <v>500.0</v>
      </c>
      <c r="H9023" s="3" t="str">
        <f>HYPERLINK("http://www.linkedin.com/in/stevenaramos","http://www.linkedin.com/in/stevenaramos")</f>
        <v>http://www.linkedin.com/in/stevenaramos</v>
      </c>
      <c r="I9023" s="2" t="s">
        <v>57</v>
      </c>
      <c r="J9023" s="2" t="s">
        <v>102</v>
      </c>
      <c r="K9023" s="2" t="s">
        <v>14092</v>
      </c>
    </row>
    <row r="9024" ht="15.75" customHeight="1">
      <c r="A9024" s="2">
        <v>189771.0</v>
      </c>
      <c r="B9024" s="2" t="s">
        <v>16222</v>
      </c>
      <c r="C9024" s="2" t="s">
        <v>16223</v>
      </c>
      <c r="D9024" s="2" t="s">
        <v>16224</v>
      </c>
      <c r="E9024" s="2" t="s">
        <v>1041</v>
      </c>
      <c r="F9024" s="2">
        <v>3.0</v>
      </c>
      <c r="G9024" s="2">
        <v>500.0</v>
      </c>
      <c r="H9024" s="3" t="str">
        <f>HYPERLINK("http://www.linkedin.com/pub/aj-ragosta/2/247/42A","http://www.linkedin.com/pub/aj-ragosta/2/247/42A")</f>
        <v>http://www.linkedin.com/pub/aj-ragosta/2/247/42A</v>
      </c>
      <c r="I9024" s="2" t="s">
        <v>15</v>
      </c>
      <c r="J9024" s="2" t="s">
        <v>102</v>
      </c>
      <c r="K9024" s="2" t="s">
        <v>14088</v>
      </c>
    </row>
    <row r="9025" ht="15.75" customHeight="1">
      <c r="A9025" s="2">
        <v>189778.0</v>
      </c>
      <c r="B9025" s="2" t="s">
        <v>16225</v>
      </c>
      <c r="C9025" s="2" t="s">
        <v>16226</v>
      </c>
      <c r="D9025" s="2" t="s">
        <v>14128</v>
      </c>
      <c r="E9025" s="2" t="s">
        <v>136</v>
      </c>
      <c r="F9025" s="2">
        <v>16.0</v>
      </c>
      <c r="G9025" s="2">
        <v>500.0</v>
      </c>
      <c r="H9025" s="3" t="str">
        <f>HYPERLINK("http://www.linkedin.com/in/pravat","http://www.linkedin.com/in/pravat")</f>
        <v>http://www.linkedin.com/in/pravat</v>
      </c>
      <c r="I9025" s="2" t="s">
        <v>160</v>
      </c>
      <c r="J9025" s="2" t="s">
        <v>102</v>
      </c>
      <c r="K9025" s="2" t="s">
        <v>14085</v>
      </c>
    </row>
    <row r="9026" ht="15.75" customHeight="1">
      <c r="A9026" s="2">
        <v>189783.0</v>
      </c>
      <c r="B9026" s="2" t="s">
        <v>784</v>
      </c>
      <c r="C9026" s="2" t="s">
        <v>16227</v>
      </c>
      <c r="D9026" s="2" t="s">
        <v>7962</v>
      </c>
      <c r="E9026" s="2" t="s">
        <v>628</v>
      </c>
      <c r="F9026" s="2">
        <v>6.0</v>
      </c>
      <c r="G9026" s="2">
        <v>500.0</v>
      </c>
      <c r="H9026" s="3" t="str">
        <f>HYPERLINK("http://www.linkedin.com/in/jeffcumbee","http://www.linkedin.com/in/jeffcumbee")</f>
        <v>http://www.linkedin.com/in/jeffcumbee</v>
      </c>
      <c r="I9026" s="2" t="s">
        <v>15</v>
      </c>
      <c r="J9026" s="2" t="s">
        <v>102</v>
      </c>
      <c r="K9026" s="2" t="s">
        <v>16228</v>
      </c>
    </row>
    <row r="9027" ht="15.75" customHeight="1">
      <c r="A9027" s="2">
        <v>189795.0</v>
      </c>
      <c r="B9027" s="2" t="s">
        <v>16229</v>
      </c>
      <c r="C9027" s="2" t="s">
        <v>16230</v>
      </c>
      <c r="D9027" s="2" t="s">
        <v>16231</v>
      </c>
      <c r="E9027" s="2" t="s">
        <v>1041</v>
      </c>
      <c r="F9027" s="2">
        <v>1.0</v>
      </c>
      <c r="G9027" s="2">
        <v>500.0</v>
      </c>
      <c r="H9027" s="3" t="str">
        <f>HYPERLINK("http://www.linkedin.com/pub/erikka-buico/2/278/A5","http://www.linkedin.com/pub/erikka-buico/2/278/A5")</f>
        <v>http://www.linkedin.com/pub/erikka-buico/2/278/A5</v>
      </c>
      <c r="I9027" s="2" t="s">
        <v>15</v>
      </c>
      <c r="J9027" s="2" t="s">
        <v>102</v>
      </c>
      <c r="K9027" s="2" t="s">
        <v>14142</v>
      </c>
    </row>
    <row r="9028" ht="15.75" customHeight="1">
      <c r="A9028" s="2">
        <v>189826.0</v>
      </c>
      <c r="B9028" s="2" t="s">
        <v>2109</v>
      </c>
      <c r="C9028" s="2" t="s">
        <v>16232</v>
      </c>
      <c r="D9028" s="2" t="s">
        <v>2698</v>
      </c>
      <c r="E9028" s="2" t="s">
        <v>2613</v>
      </c>
      <c r="F9028" s="2">
        <v>2.0</v>
      </c>
      <c r="G9028" s="2">
        <v>500.0</v>
      </c>
      <c r="H9028" s="3" t="str">
        <f>HYPERLINK("http://www.linkedin.com/in/robgettemy","http://www.linkedin.com/in/robgettemy")</f>
        <v>http://www.linkedin.com/in/robgettemy</v>
      </c>
      <c r="I9028" s="2" t="s">
        <v>57</v>
      </c>
      <c r="J9028" s="2" t="s">
        <v>102</v>
      </c>
      <c r="K9028" s="2" t="s">
        <v>14080</v>
      </c>
    </row>
    <row r="9029" ht="15.75" customHeight="1">
      <c r="A9029" s="2">
        <v>189850.0</v>
      </c>
      <c r="B9029" s="2" t="s">
        <v>16233</v>
      </c>
      <c r="C9029" s="2" t="s">
        <v>16234</v>
      </c>
      <c r="D9029" s="2" t="s">
        <v>16235</v>
      </c>
      <c r="E9029" s="2" t="s">
        <v>914</v>
      </c>
      <c r="F9029" s="2">
        <v>1.0</v>
      </c>
      <c r="G9029" s="2">
        <v>500.0</v>
      </c>
      <c r="H9029" s="3" t="str">
        <f>HYPERLINK("http://www.linkedin.com/in/arievanderstroom","http://www.linkedin.com/in/arievanderstroom")</f>
        <v>http://www.linkedin.com/in/arievanderstroom</v>
      </c>
      <c r="I9029" s="2" t="s">
        <v>77</v>
      </c>
      <c r="J9029" s="2" t="s">
        <v>102</v>
      </c>
      <c r="K9029" s="2" t="s">
        <v>15140</v>
      </c>
    </row>
    <row r="9030" ht="15.75" customHeight="1">
      <c r="A9030" s="2">
        <v>189902.0</v>
      </c>
      <c r="B9030" s="2" t="s">
        <v>16236</v>
      </c>
      <c r="C9030" s="2" t="s">
        <v>16237</v>
      </c>
      <c r="D9030" s="2" t="s">
        <v>47</v>
      </c>
      <c r="E9030" s="2" t="s">
        <v>1209</v>
      </c>
      <c r="F9030" s="2">
        <v>6.0</v>
      </c>
      <c r="G9030" s="2">
        <v>500.0</v>
      </c>
      <c r="H9030" s="3" t="str">
        <f>HYPERLINK("http://www.linkedin.com/in/abhas","http://www.linkedin.com/in/abhas")</f>
        <v>http://www.linkedin.com/in/abhas</v>
      </c>
      <c r="I9030" s="2" t="s">
        <v>2443</v>
      </c>
      <c r="J9030" s="2" t="s">
        <v>102</v>
      </c>
      <c r="K9030" s="2" t="s">
        <v>14074</v>
      </c>
    </row>
    <row r="9031" ht="15.75" customHeight="1">
      <c r="A9031" s="2">
        <v>190039.0</v>
      </c>
      <c r="B9031" s="2" t="s">
        <v>1821</v>
      </c>
      <c r="C9031" s="2" t="s">
        <v>16238</v>
      </c>
      <c r="D9031" s="2"/>
      <c r="E9031" s="2" t="s">
        <v>136</v>
      </c>
      <c r="F9031" s="2">
        <v>2.0</v>
      </c>
      <c r="G9031" s="2">
        <v>500.0</v>
      </c>
      <c r="H9031" s="3" t="str">
        <f>HYPERLINK("http://www.linkedin.com/in/keithmccurdy","http://www.linkedin.com/in/keithmccurdy")</f>
        <v>http://www.linkedin.com/in/keithmccurdy</v>
      </c>
      <c r="I9031" s="2" t="s">
        <v>69</v>
      </c>
      <c r="J9031" s="2" t="s">
        <v>102</v>
      </c>
      <c r="K9031" s="2" t="s">
        <v>14073</v>
      </c>
    </row>
    <row r="9032" ht="15.75" customHeight="1">
      <c r="A9032" s="2">
        <v>190047.0</v>
      </c>
      <c r="B9032" s="2" t="s">
        <v>1096</v>
      </c>
      <c r="C9032" s="2" t="s">
        <v>16239</v>
      </c>
      <c r="D9032" s="2" t="s">
        <v>4026</v>
      </c>
      <c r="E9032" s="2" t="s">
        <v>1407</v>
      </c>
      <c r="F9032" s="2">
        <v>46.0</v>
      </c>
      <c r="G9032" s="2">
        <v>500.0</v>
      </c>
      <c r="H9032" s="3" t="str">
        <f>HYPERLINK("http://www.linkedin.com/in/anthonyandrew","http://www.linkedin.com/in/anthonyandrew")</f>
        <v>http://www.linkedin.com/in/anthonyandrew</v>
      </c>
      <c r="I9032" s="2" t="s">
        <v>248</v>
      </c>
      <c r="J9032" s="2" t="s">
        <v>102</v>
      </c>
      <c r="K9032" s="2" t="s">
        <v>14055</v>
      </c>
    </row>
    <row r="9033" ht="15.75" customHeight="1">
      <c r="A9033" s="2">
        <v>190099.0</v>
      </c>
      <c r="B9033" s="2" t="s">
        <v>4157</v>
      </c>
      <c r="C9033" s="2" t="s">
        <v>16240</v>
      </c>
      <c r="D9033" s="2" t="s">
        <v>16241</v>
      </c>
      <c r="E9033" s="2" t="s">
        <v>136</v>
      </c>
      <c r="F9033" s="2">
        <v>5.0</v>
      </c>
      <c r="G9033" s="2">
        <v>500.0</v>
      </c>
      <c r="H9033" s="3" t="str">
        <f>HYPERLINK("http://www.linkedin.com/pub/mary-beam/0/93/904","http://www.linkedin.com/pub/mary-beam/0/93/904")</f>
        <v>http://www.linkedin.com/pub/mary-beam/0/93/904</v>
      </c>
      <c r="I9033" s="2" t="s">
        <v>48</v>
      </c>
      <c r="J9033" s="2" t="s">
        <v>102</v>
      </c>
      <c r="K9033" s="2" t="s">
        <v>14055</v>
      </c>
    </row>
    <row r="9034" ht="15.75" customHeight="1">
      <c r="A9034" s="2">
        <v>190234.0</v>
      </c>
      <c r="B9034" s="2" t="s">
        <v>540</v>
      </c>
      <c r="C9034" s="2" t="s">
        <v>16242</v>
      </c>
      <c r="D9034" s="2" t="s">
        <v>517</v>
      </c>
      <c r="E9034" s="2" t="s">
        <v>251</v>
      </c>
      <c r="F9034" s="2">
        <v>26.0</v>
      </c>
      <c r="G9034" s="2">
        <v>500.0</v>
      </c>
      <c r="H9034" s="3" t="str">
        <f>HYPERLINK("http://www.linkedin.com/in/christianbarnard","http://www.linkedin.com/in/christianbarnard")</f>
        <v>http://www.linkedin.com/in/christianbarnard</v>
      </c>
      <c r="I9034" s="2" t="s">
        <v>2268</v>
      </c>
      <c r="J9034" s="2" t="s">
        <v>102</v>
      </c>
      <c r="K9034" s="2" t="s">
        <v>14055</v>
      </c>
    </row>
    <row r="9035" ht="15.75" customHeight="1">
      <c r="A9035" s="2">
        <v>190255.0</v>
      </c>
      <c r="B9035" s="2" t="s">
        <v>1104</v>
      </c>
      <c r="C9035" s="2" t="s">
        <v>14309</v>
      </c>
      <c r="D9035" s="2" t="s">
        <v>114</v>
      </c>
      <c r="E9035" s="2" t="s">
        <v>971</v>
      </c>
      <c r="F9035" s="2">
        <v>3.0</v>
      </c>
      <c r="G9035" s="2">
        <v>417.0</v>
      </c>
      <c r="H9035" s="3" t="str">
        <f>HYPERLINK("http://www.linkedin.com/in/jayraman","http://www.linkedin.com/in/jayraman")</f>
        <v>http://www.linkedin.com/in/jayraman</v>
      </c>
      <c r="I9035" s="2" t="s">
        <v>475</v>
      </c>
      <c r="J9035" s="2" t="s">
        <v>102</v>
      </c>
      <c r="K9035" s="2" t="s">
        <v>14074</v>
      </c>
    </row>
    <row r="9036" ht="15.75" customHeight="1">
      <c r="A9036" s="2">
        <v>190341.0</v>
      </c>
      <c r="B9036" s="2" t="s">
        <v>16243</v>
      </c>
      <c r="C9036" s="2" t="s">
        <v>16244</v>
      </c>
      <c r="D9036" s="2" t="s">
        <v>13</v>
      </c>
      <c r="E9036" s="2" t="s">
        <v>16245</v>
      </c>
      <c r="F9036" s="2">
        <v>0.0</v>
      </c>
      <c r="G9036" s="2">
        <v>500.0</v>
      </c>
      <c r="H9036" s="3" t="str">
        <f>HYPERLINK("https://www.linkedin.com/in/jerrychuskins","https://www.linkedin.com/in/jerrychuskins")</f>
        <v>https://www.linkedin.com/in/jerrychuskins</v>
      </c>
      <c r="I9036" s="2" t="s">
        <v>48</v>
      </c>
      <c r="J9036" s="2" t="s">
        <v>102</v>
      </c>
      <c r="K9036" s="2" t="s">
        <v>14073</v>
      </c>
    </row>
    <row r="9037" ht="15.75" customHeight="1">
      <c r="A9037" s="2">
        <v>190342.0</v>
      </c>
      <c r="B9037" s="2" t="s">
        <v>4353</v>
      </c>
      <c r="C9037" s="2" t="s">
        <v>4012</v>
      </c>
      <c r="D9037" s="2" t="s">
        <v>47</v>
      </c>
      <c r="E9037" s="2" t="s">
        <v>235</v>
      </c>
      <c r="F9037" s="2">
        <v>17.0</v>
      </c>
      <c r="G9037" s="2">
        <v>500.0</v>
      </c>
      <c r="H9037" s="3" t="str">
        <f>HYPERLINK("http://www.linkedin.com/in/eugeneevans","http://www.linkedin.com/in/eugeneevans")</f>
        <v>http://www.linkedin.com/in/eugeneevans</v>
      </c>
      <c r="I9037" s="2" t="s">
        <v>69</v>
      </c>
      <c r="J9037" s="2" t="s">
        <v>102</v>
      </c>
      <c r="K9037" s="2" t="s">
        <v>14197</v>
      </c>
    </row>
    <row r="9038" ht="15.75" customHeight="1">
      <c r="A9038" s="2">
        <v>190391.0</v>
      </c>
      <c r="B9038" s="2" t="s">
        <v>16246</v>
      </c>
      <c r="C9038" s="2" t="s">
        <v>16247</v>
      </c>
      <c r="D9038" s="2" t="s">
        <v>16248</v>
      </c>
      <c r="E9038" s="2" t="s">
        <v>136</v>
      </c>
      <c r="F9038" s="2">
        <v>26.0</v>
      </c>
      <c r="G9038" s="2">
        <v>500.0</v>
      </c>
      <c r="H9038" s="3" t="str">
        <f>HYPERLINK("http://www.linkedin.com/pub/gadi-bashvitz/0/12A/18A","http://www.linkedin.com/pub/gadi-bashvitz/0/12A/18A")</f>
        <v>http://www.linkedin.com/pub/gadi-bashvitz/0/12A/18A</v>
      </c>
      <c r="I9038" s="2" t="s">
        <v>1421</v>
      </c>
      <c r="J9038" s="2" t="s">
        <v>102</v>
      </c>
      <c r="K9038" s="2" t="s">
        <v>14055</v>
      </c>
    </row>
    <row r="9039" ht="15.75" customHeight="1">
      <c r="A9039" s="2">
        <v>190398.0</v>
      </c>
      <c r="B9039" s="2" t="s">
        <v>2646</v>
      </c>
      <c r="C9039" s="2" t="s">
        <v>16249</v>
      </c>
      <c r="D9039" s="2" t="s">
        <v>16250</v>
      </c>
      <c r="E9039" s="2" t="s">
        <v>2058</v>
      </c>
      <c r="F9039" s="2">
        <v>14.0</v>
      </c>
      <c r="G9039" s="2">
        <v>500.0</v>
      </c>
      <c r="H9039" s="3" t="str">
        <f>HYPERLINK("http://www.linkedin.com/in/jberenbaum","http://www.linkedin.com/in/jberenbaum")</f>
        <v>http://www.linkedin.com/in/jberenbaum</v>
      </c>
      <c r="I9039" s="2" t="s">
        <v>910</v>
      </c>
      <c r="J9039" s="2" t="s">
        <v>102</v>
      </c>
      <c r="K9039" s="2" t="s">
        <v>14197</v>
      </c>
    </row>
    <row r="9040" ht="15.75" customHeight="1">
      <c r="A9040" s="2">
        <v>190447.0</v>
      </c>
      <c r="B9040" s="2" t="s">
        <v>16251</v>
      </c>
      <c r="C9040" s="2" t="s">
        <v>16252</v>
      </c>
      <c r="D9040" s="2" t="s">
        <v>16253</v>
      </c>
      <c r="E9040" s="2" t="s">
        <v>136</v>
      </c>
      <c r="F9040" s="2">
        <v>27.0</v>
      </c>
      <c r="G9040" s="2">
        <v>500.0</v>
      </c>
      <c r="H9040" s="3" t="str">
        <f>HYPERLINK("http://www.linkedin.com/pub/aruna-ravichandran/0/A78/784","http://www.linkedin.com/pub/aruna-ravichandran/0/A78/784")</f>
        <v>http://www.linkedin.com/pub/aruna-ravichandran/0/A78/784</v>
      </c>
      <c r="I9040" s="2" t="s">
        <v>48</v>
      </c>
      <c r="J9040" s="2" t="s">
        <v>102</v>
      </c>
      <c r="K9040" s="2" t="s">
        <v>14111</v>
      </c>
    </row>
    <row r="9041" ht="15.75" customHeight="1">
      <c r="A9041" s="2">
        <v>190470.0</v>
      </c>
      <c r="B9041" s="2" t="s">
        <v>157</v>
      </c>
      <c r="C9041" s="2" t="s">
        <v>965</v>
      </c>
      <c r="D9041" s="2" t="s">
        <v>13</v>
      </c>
      <c r="E9041" s="2" t="s">
        <v>136</v>
      </c>
      <c r="F9041" s="2">
        <v>0.0</v>
      </c>
      <c r="G9041" s="2">
        <v>500.0</v>
      </c>
      <c r="H9041" s="3" t="str">
        <f>HYPERLINK("http://www.linkedin.com/in/jjordan","http://www.linkedin.com/in/jjordan")</f>
        <v>http://www.linkedin.com/in/jjordan</v>
      </c>
      <c r="I9041" s="2" t="s">
        <v>1390</v>
      </c>
      <c r="J9041" s="2" t="s">
        <v>102</v>
      </c>
      <c r="K9041" s="2" t="s">
        <v>14055</v>
      </c>
    </row>
    <row r="9042" ht="15.75" customHeight="1">
      <c r="A9042" s="2">
        <v>190476.0</v>
      </c>
      <c r="B9042" s="2" t="s">
        <v>774</v>
      </c>
      <c r="C9042" s="2" t="s">
        <v>16254</v>
      </c>
      <c r="D9042" s="2" t="s">
        <v>16255</v>
      </c>
      <c r="E9042" s="2" t="s">
        <v>1407</v>
      </c>
      <c r="F9042" s="2">
        <v>23.0</v>
      </c>
      <c r="G9042" s="2">
        <v>500.0</v>
      </c>
      <c r="H9042" s="3" t="str">
        <f>HYPERLINK("http://www.linkedin.com/in/brucecondit","http://www.linkedin.com/in/brucecondit")</f>
        <v>http://www.linkedin.com/in/brucecondit</v>
      </c>
      <c r="I9042" s="2" t="s">
        <v>844</v>
      </c>
      <c r="J9042" s="2" t="s">
        <v>102</v>
      </c>
      <c r="K9042" s="2" t="s">
        <v>14078</v>
      </c>
    </row>
    <row r="9043" ht="15.75" customHeight="1">
      <c r="A9043" s="2">
        <v>190528.0</v>
      </c>
      <c r="B9043" s="2" t="s">
        <v>1405</v>
      </c>
      <c r="C9043" s="2" t="s">
        <v>16256</v>
      </c>
      <c r="D9043" s="2"/>
      <c r="E9043" s="2" t="s">
        <v>10198</v>
      </c>
      <c r="F9043" s="2">
        <v>7.0</v>
      </c>
      <c r="G9043" s="2">
        <v>500.0</v>
      </c>
      <c r="H9043" s="3" t="str">
        <f>HYPERLINK("http://www.linkedin.com/in/rschmelzer","http://www.linkedin.com/in/rschmelzer")</f>
        <v>http://www.linkedin.com/in/rschmelzer</v>
      </c>
      <c r="I9043" s="2" t="s">
        <v>15</v>
      </c>
      <c r="J9043" s="2" t="s">
        <v>102</v>
      </c>
      <c r="K9043" s="2" t="s">
        <v>14080</v>
      </c>
    </row>
    <row r="9044" ht="15.75" customHeight="1">
      <c r="A9044" s="2">
        <v>190534.0</v>
      </c>
      <c r="B9044" s="2" t="s">
        <v>16257</v>
      </c>
      <c r="C9044" s="2" t="s">
        <v>15231</v>
      </c>
      <c r="D9044" s="2" t="s">
        <v>1320</v>
      </c>
      <c r="E9044" s="2" t="s">
        <v>122</v>
      </c>
      <c r="F9044" s="2">
        <v>14.0</v>
      </c>
      <c r="G9044" s="2">
        <v>500.0</v>
      </c>
      <c r="H9044" s="3" t="str">
        <f>HYPERLINK("http://www.linkedin.com/in/shahbaz","http://www.linkedin.com/in/shahbaz")</f>
        <v>http://www.linkedin.com/in/shahbaz</v>
      </c>
      <c r="I9044" s="2" t="s">
        <v>48</v>
      </c>
      <c r="J9044" s="2" t="s">
        <v>53</v>
      </c>
      <c r="K9044" s="2" t="s">
        <v>14242</v>
      </c>
    </row>
    <row r="9045" ht="15.75" customHeight="1">
      <c r="A9045" s="2">
        <v>190622.0</v>
      </c>
      <c r="B9045" s="2" t="s">
        <v>1545</v>
      </c>
      <c r="C9045" s="2" t="s">
        <v>10560</v>
      </c>
      <c r="D9045" s="2" t="s">
        <v>1145</v>
      </c>
      <c r="E9045" s="2" t="s">
        <v>301</v>
      </c>
      <c r="F9045" s="2">
        <v>1.0</v>
      </c>
      <c r="G9045" s="2">
        <v>500.0</v>
      </c>
      <c r="H9045" s="3" t="str">
        <f>HYPERLINK("http://www.linkedin.com/in/patrickboylan","http://www.linkedin.com/in/patrickboylan")</f>
        <v>http://www.linkedin.com/in/patrickboylan</v>
      </c>
      <c r="I9045" s="2" t="s">
        <v>167</v>
      </c>
      <c r="J9045" s="2" t="s">
        <v>102</v>
      </c>
      <c r="K9045" s="2" t="s">
        <v>14055</v>
      </c>
    </row>
    <row r="9046" ht="15.75" customHeight="1">
      <c r="A9046" s="2">
        <v>190634.0</v>
      </c>
      <c r="B9046" s="2" t="s">
        <v>784</v>
      </c>
      <c r="C9046" s="2" t="s">
        <v>16258</v>
      </c>
      <c r="D9046" s="2" t="s">
        <v>16259</v>
      </c>
      <c r="E9046" s="2" t="s">
        <v>4664</v>
      </c>
      <c r="F9046" s="2">
        <v>8.0</v>
      </c>
      <c r="G9046" s="2">
        <v>500.0</v>
      </c>
      <c r="H9046" s="3" t="str">
        <f>HYPERLINK("http://www.linkedin.com/in/jeffhoyer","http://www.linkedin.com/in/jeffhoyer")</f>
        <v>http://www.linkedin.com/in/jeffhoyer</v>
      </c>
      <c r="I9046" s="2" t="s">
        <v>69</v>
      </c>
      <c r="J9046" s="2" t="s">
        <v>102</v>
      </c>
      <c r="K9046" s="2" t="s">
        <v>14052</v>
      </c>
    </row>
    <row r="9047" ht="15.75" customHeight="1">
      <c r="A9047" s="2">
        <v>190709.0</v>
      </c>
      <c r="B9047" s="2" t="s">
        <v>1380</v>
      </c>
      <c r="C9047" s="2" t="s">
        <v>16260</v>
      </c>
      <c r="D9047" s="2" t="s">
        <v>13</v>
      </c>
      <c r="E9047" s="2" t="s">
        <v>136</v>
      </c>
      <c r="F9047" s="2">
        <v>0.0</v>
      </c>
      <c r="G9047" s="2">
        <v>500.0</v>
      </c>
      <c r="H9047" s="3" t="str">
        <f>HYPERLINK("http://www.linkedin.com/in/randybias","http://www.linkedin.com/in/randybias")</f>
        <v>http://www.linkedin.com/in/randybias</v>
      </c>
      <c r="I9047" s="2" t="s">
        <v>15</v>
      </c>
      <c r="J9047" s="2" t="s">
        <v>102</v>
      </c>
      <c r="K9047" s="2" t="s">
        <v>14073</v>
      </c>
    </row>
    <row r="9048" ht="15.75" customHeight="1">
      <c r="A9048" s="2">
        <v>190717.0</v>
      </c>
      <c r="B9048" s="2" t="s">
        <v>784</v>
      </c>
      <c r="C9048" s="2" t="s">
        <v>16261</v>
      </c>
      <c r="D9048" s="2" t="s">
        <v>114</v>
      </c>
      <c r="E9048" s="2" t="s">
        <v>136</v>
      </c>
      <c r="F9048" s="2">
        <v>43.0</v>
      </c>
      <c r="G9048" s="2">
        <v>500.0</v>
      </c>
      <c r="H9048" s="3" t="str">
        <f>HYPERLINK("http://www.linkedin.com/in/jeffdrust","http://www.linkedin.com/in/jeffdrust")</f>
        <v>http://www.linkedin.com/in/jeffdrust</v>
      </c>
      <c r="I9048" s="2" t="s">
        <v>57</v>
      </c>
      <c r="J9048" s="2" t="s">
        <v>102</v>
      </c>
      <c r="K9048" s="2" t="s">
        <v>14055</v>
      </c>
    </row>
    <row r="9049" ht="15.75" customHeight="1">
      <c r="A9049" s="2">
        <v>190736.0</v>
      </c>
      <c r="B9049" s="2" t="s">
        <v>845</v>
      </c>
      <c r="C9049" s="2" t="s">
        <v>16262</v>
      </c>
      <c r="D9049" s="2" t="s">
        <v>16263</v>
      </c>
      <c r="E9049" s="2" t="s">
        <v>16264</v>
      </c>
      <c r="F9049" s="2">
        <v>52.0</v>
      </c>
      <c r="G9049" s="2">
        <v>500.0</v>
      </c>
      <c r="H9049" s="3" t="str">
        <f>HYPERLINK("http://www.linkedin.com/in/leveille","http://www.linkedin.com/in/leveille")</f>
        <v>http://www.linkedin.com/in/leveille</v>
      </c>
      <c r="I9049" s="2" t="s">
        <v>15</v>
      </c>
      <c r="J9049" s="2" t="s">
        <v>102</v>
      </c>
      <c r="K9049" s="2" t="s">
        <v>14074</v>
      </c>
    </row>
    <row r="9050" ht="15.75" customHeight="1">
      <c r="A9050" s="2">
        <v>190738.0</v>
      </c>
      <c r="B9050" s="2" t="s">
        <v>2609</v>
      </c>
      <c r="C9050" s="2" t="s">
        <v>16265</v>
      </c>
      <c r="D9050" s="2" t="s">
        <v>2661</v>
      </c>
      <c r="E9050" s="2" t="s">
        <v>2058</v>
      </c>
      <c r="F9050" s="2">
        <v>54.0</v>
      </c>
      <c r="G9050" s="2">
        <v>500.0</v>
      </c>
      <c r="H9050" s="3" t="str">
        <f>HYPERLINK("http://www.linkedin.com/in/carlbressler","http://www.linkedin.com/in/carlbressler")</f>
        <v>http://www.linkedin.com/in/carlbressler</v>
      </c>
      <c r="I9050" s="2" t="s">
        <v>188</v>
      </c>
      <c r="J9050" s="2" t="s">
        <v>102</v>
      </c>
      <c r="K9050" s="2" t="s">
        <v>14055</v>
      </c>
    </row>
    <row r="9051" ht="15.75" customHeight="1">
      <c r="A9051" s="2">
        <v>190742.0</v>
      </c>
      <c r="B9051" s="2" t="s">
        <v>16266</v>
      </c>
      <c r="C9051" s="2" t="s">
        <v>4561</v>
      </c>
      <c r="D9051" s="2" t="s">
        <v>16267</v>
      </c>
      <c r="E9051" s="2" t="s">
        <v>166</v>
      </c>
      <c r="F9051" s="2">
        <v>2.0</v>
      </c>
      <c r="G9051" s="2">
        <v>359.0</v>
      </c>
      <c r="H9051" s="3" t="str">
        <f>HYPERLINK("http://www.linkedin.com/in/damanrwood","http://www.linkedin.com/in/damanrwood")</f>
        <v>http://www.linkedin.com/in/damanrwood</v>
      </c>
      <c r="I9051" s="2" t="s">
        <v>77</v>
      </c>
      <c r="J9051" s="2" t="s">
        <v>102</v>
      </c>
      <c r="K9051" s="2" t="s">
        <v>14085</v>
      </c>
    </row>
    <row r="9052" ht="15.75" customHeight="1">
      <c r="A9052" s="2">
        <v>190782.0</v>
      </c>
      <c r="B9052" s="2" t="s">
        <v>1096</v>
      </c>
      <c r="C9052" s="2" t="s">
        <v>11165</v>
      </c>
      <c r="D9052" s="2" t="s">
        <v>16268</v>
      </c>
      <c r="E9052" s="2" t="s">
        <v>4479</v>
      </c>
      <c r="F9052" s="2">
        <v>42.0</v>
      </c>
      <c r="G9052" s="2">
        <v>500.0</v>
      </c>
      <c r="H9052" s="3" t="str">
        <f>HYPERLINK("http://www.linkedin.com/in/tonygreenberg","http://www.linkedin.com/in/tonygreenberg")</f>
        <v>http://www.linkedin.com/in/tonygreenberg</v>
      </c>
      <c r="I9052" s="2" t="s">
        <v>15</v>
      </c>
      <c r="J9052" s="2" t="s">
        <v>102</v>
      </c>
      <c r="K9052" s="2" t="s">
        <v>14073</v>
      </c>
    </row>
    <row r="9053" ht="15.75" customHeight="1">
      <c r="A9053" s="2">
        <v>190784.0</v>
      </c>
      <c r="B9053" s="2" t="s">
        <v>4790</v>
      </c>
      <c r="C9053" s="2" t="s">
        <v>16269</v>
      </c>
      <c r="D9053" s="2" t="s">
        <v>100</v>
      </c>
      <c r="E9053" s="2" t="s">
        <v>628</v>
      </c>
      <c r="F9053" s="2">
        <v>10.0</v>
      </c>
      <c r="G9053" s="2">
        <v>500.0</v>
      </c>
      <c r="H9053" s="3" t="str">
        <f>HYPERLINK("http://www.linkedin.com/in/gabegarms","http://www.linkedin.com/in/gabegarms")</f>
        <v>http://www.linkedin.com/in/gabegarms</v>
      </c>
      <c r="I9053" s="2" t="s">
        <v>48</v>
      </c>
      <c r="J9053" s="2" t="s">
        <v>102</v>
      </c>
      <c r="K9053" s="2" t="s">
        <v>14204</v>
      </c>
    </row>
    <row r="9054" ht="15.75" customHeight="1">
      <c r="A9054" s="2">
        <v>190818.0</v>
      </c>
      <c r="B9054" s="2" t="s">
        <v>16270</v>
      </c>
      <c r="C9054" s="2" t="s">
        <v>16271</v>
      </c>
      <c r="D9054" s="2" t="s">
        <v>517</v>
      </c>
      <c r="E9054" s="2" t="s">
        <v>713</v>
      </c>
      <c r="F9054" s="2" t="s">
        <v>13</v>
      </c>
      <c r="G9054" s="2">
        <v>334.0</v>
      </c>
      <c r="H9054" s="3" t="str">
        <f>HYPERLINK("http://www.linkedin.com/in/agurjal","http://www.linkedin.com/in/agurjal")</f>
        <v>http://www.linkedin.com/in/agurjal</v>
      </c>
      <c r="I9054" s="2" t="s">
        <v>69</v>
      </c>
      <c r="J9054" s="2" t="s">
        <v>102</v>
      </c>
      <c r="K9054" s="2" t="s">
        <v>14088</v>
      </c>
    </row>
    <row r="9055" ht="15.75" customHeight="1">
      <c r="A9055" s="2">
        <v>190879.0</v>
      </c>
      <c r="B9055" s="2" t="s">
        <v>4541</v>
      </c>
      <c r="C9055" s="2" t="s">
        <v>323</v>
      </c>
      <c r="D9055" s="2" t="s">
        <v>16272</v>
      </c>
      <c r="E9055" s="2" t="s">
        <v>1407</v>
      </c>
      <c r="F9055" s="2">
        <v>33.0</v>
      </c>
      <c r="G9055" s="2">
        <v>500.0</v>
      </c>
      <c r="H9055" s="3" t="str">
        <f>HYPERLINK("http://www.linkedin.com/in/robynrose","http://www.linkedin.com/in/robynrose")</f>
        <v>http://www.linkedin.com/in/robynrose</v>
      </c>
      <c r="I9055" s="2" t="s">
        <v>105</v>
      </c>
      <c r="J9055" s="2" t="s">
        <v>102</v>
      </c>
      <c r="K9055" s="2" t="s">
        <v>14071</v>
      </c>
    </row>
    <row r="9056" ht="15.75" customHeight="1">
      <c r="A9056" s="2">
        <v>190925.0</v>
      </c>
      <c r="B9056" s="2" t="s">
        <v>534</v>
      </c>
      <c r="C9056" s="2" t="s">
        <v>16273</v>
      </c>
      <c r="D9056" s="2" t="s">
        <v>416</v>
      </c>
      <c r="E9056" s="2" t="s">
        <v>1172</v>
      </c>
      <c r="F9056" s="2">
        <v>1.0</v>
      </c>
      <c r="G9056" s="2">
        <v>95.0</v>
      </c>
      <c r="H9056" s="3" t="str">
        <f>HYPERLINK("http://uk.linkedin.com/pub/matthew-western/0/A9/A55","http://uk.linkedin.com/pub/matthew-western/0/A9/A55")</f>
        <v>http://uk.linkedin.com/pub/matthew-western/0/A9/A55</v>
      </c>
      <c r="I9056" s="2" t="s">
        <v>326</v>
      </c>
      <c r="J9056" s="2" t="s">
        <v>53</v>
      </c>
      <c r="K9056" s="2" t="s">
        <v>14088</v>
      </c>
    </row>
    <row r="9057" ht="15.75" customHeight="1">
      <c r="A9057" s="2">
        <v>190938.0</v>
      </c>
      <c r="B9057" s="2" t="s">
        <v>16274</v>
      </c>
      <c r="C9057" s="2" t="s">
        <v>16275</v>
      </c>
      <c r="D9057" s="2" t="s">
        <v>13</v>
      </c>
      <c r="E9057" s="2" t="s">
        <v>122</v>
      </c>
      <c r="F9057" s="2">
        <v>6.0</v>
      </c>
      <c r="G9057" s="2">
        <v>500.0</v>
      </c>
      <c r="H9057" s="3" t="str">
        <f>HYPERLINK("http://www.linkedin.com/pub/rowan-scranage/0/aa/671","http://www.linkedin.com/pub/rowan-scranage/0/aa/671")</f>
        <v>http://www.linkedin.com/pub/rowan-scranage/0/aa/671</v>
      </c>
      <c r="I9057" s="2" t="s">
        <v>15</v>
      </c>
      <c r="J9057" s="2" t="s">
        <v>53</v>
      </c>
      <c r="K9057" s="2" t="s">
        <v>14242</v>
      </c>
    </row>
    <row r="9058" ht="15.75" customHeight="1">
      <c r="A9058" s="2">
        <v>190973.0</v>
      </c>
      <c r="B9058" s="2" t="s">
        <v>12386</v>
      </c>
      <c r="C9058" s="2" t="s">
        <v>16276</v>
      </c>
      <c r="D9058" s="2" t="s">
        <v>16277</v>
      </c>
      <c r="E9058" s="2" t="s">
        <v>10916</v>
      </c>
      <c r="F9058" s="2">
        <v>27.0</v>
      </c>
      <c r="G9058" s="2">
        <v>500.0</v>
      </c>
      <c r="H9058" s="3" t="str">
        <f>HYPERLINK("http://www.linkedin.com/in/isernia","http://www.linkedin.com/in/isernia")</f>
        <v>http://www.linkedin.com/in/isernia</v>
      </c>
      <c r="I9058" s="2" t="s">
        <v>48</v>
      </c>
      <c r="J9058" s="2" t="s">
        <v>102</v>
      </c>
      <c r="K9058" s="2" t="s">
        <v>14080</v>
      </c>
    </row>
    <row r="9059" ht="15.75" customHeight="1">
      <c r="A9059" s="2">
        <v>191003.0</v>
      </c>
      <c r="B9059" s="2" t="s">
        <v>2099</v>
      </c>
      <c r="C9059" s="2" t="s">
        <v>820</v>
      </c>
      <c r="D9059" s="2" t="s">
        <v>13</v>
      </c>
      <c r="E9059" s="2" t="s">
        <v>16278</v>
      </c>
      <c r="F9059" s="2">
        <v>0.0</v>
      </c>
      <c r="G9059" s="2">
        <v>500.0</v>
      </c>
      <c r="H9059" s="3" t="str">
        <f>HYPERLINK("http://www.linkedin.com/pub/charles-moore/3/794/850","http://www.linkedin.com/pub/charles-moore/3/794/850")</f>
        <v>http://www.linkedin.com/pub/charles-moore/3/794/850</v>
      </c>
      <c r="I9059" s="2" t="s">
        <v>15</v>
      </c>
      <c r="J9059" s="2" t="s">
        <v>102</v>
      </c>
      <c r="K9059" s="2" t="s">
        <v>14088</v>
      </c>
    </row>
    <row r="9060" ht="15.75" customHeight="1">
      <c r="A9060" s="2">
        <v>191018.0</v>
      </c>
      <c r="B9060" s="2" t="s">
        <v>16279</v>
      </c>
      <c r="C9060" s="2" t="s">
        <v>16280</v>
      </c>
      <c r="D9060" s="2" t="s">
        <v>16281</v>
      </c>
      <c r="E9060" s="2" t="s">
        <v>301</v>
      </c>
      <c r="F9060" s="2">
        <v>15.0</v>
      </c>
      <c r="G9060" s="2">
        <v>500.0</v>
      </c>
      <c r="H9060" s="3" t="str">
        <f>HYPERLINK("http://www.linkedin.com/pub/yale-a-tankus/0/b0/229","http://www.linkedin.com/pub/yale-a-tankus/0/b0/229")</f>
        <v>http://www.linkedin.com/pub/yale-a-tankus/0/b0/229</v>
      </c>
      <c r="I9060" s="2" t="s">
        <v>69</v>
      </c>
      <c r="J9060" s="2" t="s">
        <v>102</v>
      </c>
      <c r="K9060" s="2" t="s">
        <v>14080</v>
      </c>
    </row>
    <row r="9061" ht="15.75" customHeight="1">
      <c r="A9061" s="2">
        <v>191150.0</v>
      </c>
      <c r="B9061" s="2" t="s">
        <v>625</v>
      </c>
      <c r="C9061" s="2" t="s">
        <v>3864</v>
      </c>
      <c r="D9061" s="2" t="s">
        <v>16282</v>
      </c>
      <c r="E9061" s="2" t="s">
        <v>2730</v>
      </c>
      <c r="F9061" s="2" t="s">
        <v>13</v>
      </c>
      <c r="G9061" s="2">
        <v>415.0</v>
      </c>
      <c r="H9061" s="3" t="str">
        <f>HYPERLINK("http://www.linkedin.com/pub/tim-bishop/3/85B/5A4","http://www.linkedin.com/pub/tim-bishop/3/85B/5A4")</f>
        <v>http://www.linkedin.com/pub/tim-bishop/3/85B/5A4</v>
      </c>
      <c r="I9061" s="2" t="s">
        <v>15</v>
      </c>
      <c r="J9061" s="2" t="s">
        <v>102</v>
      </c>
      <c r="K9061" s="2" t="s">
        <v>14088</v>
      </c>
    </row>
    <row r="9062" ht="15.75" customHeight="1">
      <c r="A9062" s="2">
        <v>191215.0</v>
      </c>
      <c r="B9062" s="2" t="s">
        <v>511</v>
      </c>
      <c r="C9062" s="2" t="s">
        <v>16283</v>
      </c>
      <c r="D9062" s="2" t="s">
        <v>16284</v>
      </c>
      <c r="E9062" s="2" t="s">
        <v>136</v>
      </c>
      <c r="F9062" s="2">
        <v>4.0</v>
      </c>
      <c r="G9062" s="2">
        <v>500.0</v>
      </c>
      <c r="H9062" s="3" t="str">
        <f>HYPERLINK("http://www.linkedin.com/pub/mike-gilley/0/959/494","http://www.linkedin.com/pub/mike-gilley/0/959/494")</f>
        <v>http://www.linkedin.com/pub/mike-gilley/0/959/494</v>
      </c>
      <c r="I9062" s="2" t="s">
        <v>873</v>
      </c>
      <c r="J9062" s="2" t="s">
        <v>102</v>
      </c>
      <c r="K9062" s="2" t="s">
        <v>14197</v>
      </c>
    </row>
    <row r="9063" ht="15.75" customHeight="1">
      <c r="A9063" s="2">
        <v>191237.0</v>
      </c>
      <c r="B9063" s="2" t="s">
        <v>2609</v>
      </c>
      <c r="C9063" s="2" t="s">
        <v>16285</v>
      </c>
      <c r="D9063" s="2" t="s">
        <v>16286</v>
      </c>
      <c r="E9063" s="2" t="s">
        <v>713</v>
      </c>
      <c r="F9063" s="2">
        <v>25.0</v>
      </c>
      <c r="G9063" s="2">
        <v>500.0</v>
      </c>
      <c r="H9063" s="3" t="str">
        <f>HYPERLINK("http://www.linkedin.com/in/carlyankowski","http://www.linkedin.com/in/carlyankowski")</f>
        <v>http://www.linkedin.com/in/carlyankowski</v>
      </c>
      <c r="I9063" s="2" t="s">
        <v>1452</v>
      </c>
      <c r="J9063" s="2" t="s">
        <v>102</v>
      </c>
      <c r="K9063" s="2" t="s">
        <v>14055</v>
      </c>
    </row>
    <row r="9064" ht="15.75" customHeight="1">
      <c r="A9064" s="2">
        <v>191245.0</v>
      </c>
      <c r="B9064" s="2" t="s">
        <v>189</v>
      </c>
      <c r="C9064" s="2" t="s">
        <v>16287</v>
      </c>
      <c r="D9064" s="2" t="s">
        <v>16288</v>
      </c>
      <c r="E9064" s="2" t="s">
        <v>136</v>
      </c>
      <c r="F9064" s="2">
        <v>7.0</v>
      </c>
      <c r="G9064" s="2">
        <v>500.0</v>
      </c>
      <c r="H9064" s="3" t="str">
        <f>HYPERLINK("http://www.linkedin.com/in/deansprankling","http://www.linkedin.com/in/deansprankling")</f>
        <v>http://www.linkedin.com/in/deansprankling</v>
      </c>
      <c r="I9064" s="2" t="s">
        <v>1094</v>
      </c>
      <c r="J9064" s="2" t="s">
        <v>102</v>
      </c>
      <c r="K9064" s="2" t="s">
        <v>14088</v>
      </c>
    </row>
    <row r="9065" ht="15.75" customHeight="1">
      <c r="A9065" s="2">
        <v>191260.0</v>
      </c>
      <c r="B9065" s="2" t="s">
        <v>287</v>
      </c>
      <c r="C9065" s="2" t="s">
        <v>16289</v>
      </c>
      <c r="D9065" s="2" t="s">
        <v>16290</v>
      </c>
      <c r="E9065" s="2" t="s">
        <v>7844</v>
      </c>
      <c r="F9065" s="2">
        <v>14.0</v>
      </c>
      <c r="G9065" s="2">
        <v>500.0</v>
      </c>
      <c r="H9065" s="3" t="str">
        <f>HYPERLINK("http://www.linkedin.com/in/selwayp","http://www.linkedin.com/in/selwayp")</f>
        <v>http://www.linkedin.com/in/selwayp</v>
      </c>
      <c r="I9065" s="2" t="s">
        <v>15</v>
      </c>
      <c r="J9065" s="2" t="s">
        <v>102</v>
      </c>
      <c r="K9065" s="2" t="s">
        <v>14142</v>
      </c>
    </row>
    <row r="9066" ht="15.75" customHeight="1">
      <c r="A9066" s="2">
        <v>191283.0</v>
      </c>
      <c r="B9066" s="2" t="s">
        <v>2020</v>
      </c>
      <c r="C9066" s="2" t="s">
        <v>16291</v>
      </c>
      <c r="D9066" s="2" t="s">
        <v>16292</v>
      </c>
      <c r="E9066" s="2" t="s">
        <v>914</v>
      </c>
      <c r="F9066" s="2">
        <v>6.0</v>
      </c>
      <c r="G9066" s="2">
        <v>500.0</v>
      </c>
      <c r="H9066" s="3" t="str">
        <f>HYPERLINK("http://www.linkedin.com/in/montegrubb","http://www.linkedin.com/in/montegrubb")</f>
        <v>http://www.linkedin.com/in/montegrubb</v>
      </c>
      <c r="I9066" s="2" t="s">
        <v>77</v>
      </c>
      <c r="J9066" s="2" t="s">
        <v>102</v>
      </c>
      <c r="K9066" s="2" t="s">
        <v>14106</v>
      </c>
    </row>
    <row r="9067" ht="15.75" customHeight="1">
      <c r="A9067" s="2">
        <v>191331.0</v>
      </c>
      <c r="B9067" s="2" t="s">
        <v>178</v>
      </c>
      <c r="C9067" s="2" t="s">
        <v>16293</v>
      </c>
      <c r="D9067" s="2" t="s">
        <v>3118</v>
      </c>
      <c r="E9067" s="2" t="s">
        <v>2730</v>
      </c>
      <c r="F9067" s="2">
        <v>4.0</v>
      </c>
      <c r="G9067" s="2">
        <v>500.0</v>
      </c>
      <c r="H9067" s="3" t="str">
        <f>HYPERLINK("http://www.linkedin.com/pub/joe-privitera/0/102/834","http://www.linkedin.com/pub/joe-privitera/0/102/834")</f>
        <v>http://www.linkedin.com/pub/joe-privitera/0/102/834</v>
      </c>
      <c r="I9067" s="2" t="s">
        <v>15</v>
      </c>
      <c r="J9067" s="2" t="s">
        <v>102</v>
      </c>
      <c r="K9067" s="2" t="s">
        <v>14080</v>
      </c>
    </row>
    <row r="9068" ht="15.75" customHeight="1">
      <c r="A9068" s="2">
        <v>191361.0</v>
      </c>
      <c r="B9068" s="2" t="s">
        <v>2752</v>
      </c>
      <c r="C9068" s="2" t="s">
        <v>1144</v>
      </c>
      <c r="D9068" s="2" t="s">
        <v>2560</v>
      </c>
      <c r="E9068" s="2" t="s">
        <v>2058</v>
      </c>
      <c r="F9068" s="2">
        <v>6.0</v>
      </c>
      <c r="G9068" s="2">
        <v>500.0</v>
      </c>
      <c r="H9068" s="3" t="str">
        <f>HYPERLINK("http://www.linkedin.com/in/callenspark","http://www.linkedin.com/in/callenspark")</f>
        <v>http://www.linkedin.com/in/callenspark</v>
      </c>
      <c r="I9068" s="2" t="s">
        <v>143</v>
      </c>
      <c r="J9068" s="2" t="s">
        <v>102</v>
      </c>
      <c r="K9068" s="2" t="s">
        <v>14080</v>
      </c>
    </row>
    <row r="9069" ht="15.75" customHeight="1">
      <c r="A9069" s="2">
        <v>191405.0</v>
      </c>
      <c r="B9069" s="2" t="s">
        <v>412</v>
      </c>
      <c r="C9069" s="2" t="s">
        <v>16294</v>
      </c>
      <c r="D9069" s="2" t="s">
        <v>16295</v>
      </c>
      <c r="E9069" s="2" t="s">
        <v>101</v>
      </c>
      <c r="F9069" s="2">
        <v>1.0</v>
      </c>
      <c r="G9069" s="2">
        <v>500.0</v>
      </c>
      <c r="H9069" s="3" t="str">
        <f>HYPERLINK("http://www.linkedin.com/in/robpickeral","http://www.linkedin.com/in/robpickeral")</f>
        <v>http://www.linkedin.com/in/robpickeral</v>
      </c>
      <c r="I9069" s="2" t="s">
        <v>69</v>
      </c>
      <c r="J9069" s="2" t="s">
        <v>102</v>
      </c>
      <c r="K9069" s="2" t="s">
        <v>14088</v>
      </c>
    </row>
    <row r="9070" ht="15.75" customHeight="1">
      <c r="A9070" s="2">
        <v>191527.0</v>
      </c>
      <c r="B9070" s="2" t="s">
        <v>16296</v>
      </c>
      <c r="C9070" s="2" t="s">
        <v>16297</v>
      </c>
      <c r="D9070" s="2" t="s">
        <v>13</v>
      </c>
      <c r="E9070" s="2" t="s">
        <v>914</v>
      </c>
      <c r="F9070" s="2">
        <v>0.0</v>
      </c>
      <c r="G9070" s="2">
        <v>500.0</v>
      </c>
      <c r="H9070" s="3" t="str">
        <f>HYPERLINK("https://www.linkedin.com/in/nvered","https://www.linkedin.com/in/nvered")</f>
        <v>https://www.linkedin.com/in/nvered</v>
      </c>
      <c r="I9070" s="2" t="s">
        <v>48</v>
      </c>
      <c r="J9070" s="2" t="s">
        <v>102</v>
      </c>
      <c r="K9070" s="2" t="s">
        <v>14095</v>
      </c>
    </row>
    <row r="9071" ht="15.75" customHeight="1">
      <c r="A9071" s="2">
        <v>191607.0</v>
      </c>
      <c r="B9071" s="2" t="s">
        <v>16298</v>
      </c>
      <c r="C9071" s="2" t="s">
        <v>16299</v>
      </c>
      <c r="D9071" s="2" t="s">
        <v>16300</v>
      </c>
      <c r="E9071" s="2" t="s">
        <v>1329</v>
      </c>
      <c r="F9071" s="2">
        <v>20.0</v>
      </c>
      <c r="G9071" s="2">
        <v>500.0</v>
      </c>
      <c r="H9071" s="3" t="str">
        <f>HYPERLINK("http://www.linkedin.com/in/caspurdy","http://www.linkedin.com/in/caspurdy")</f>
        <v>http://www.linkedin.com/in/caspurdy</v>
      </c>
      <c r="I9071" s="2" t="s">
        <v>160</v>
      </c>
      <c r="J9071" s="2" t="s">
        <v>102</v>
      </c>
      <c r="K9071" s="2" t="s">
        <v>14204</v>
      </c>
    </row>
    <row r="9072" ht="15.75" customHeight="1">
      <c r="A9072" s="2">
        <v>191615.0</v>
      </c>
      <c r="B9072" s="2" t="s">
        <v>4790</v>
      </c>
      <c r="C9072" s="2" t="s">
        <v>16301</v>
      </c>
      <c r="D9072" s="2" t="s">
        <v>309</v>
      </c>
      <c r="E9072" s="2" t="s">
        <v>882</v>
      </c>
      <c r="F9072" s="2">
        <v>8.0</v>
      </c>
      <c r="G9072" s="2">
        <v>500.0</v>
      </c>
      <c r="H9072" s="3" t="str">
        <f>HYPERLINK("http://www.linkedin.com/in/gzicherm","http://www.linkedin.com/in/gzicherm")</f>
        <v>http://www.linkedin.com/in/gzicherm</v>
      </c>
      <c r="I9072" s="2" t="s">
        <v>105</v>
      </c>
      <c r="J9072" s="2" t="s">
        <v>102</v>
      </c>
      <c r="K9072" s="2" t="s">
        <v>14204</v>
      </c>
    </row>
    <row r="9073" ht="15.75" customHeight="1">
      <c r="A9073" s="2">
        <v>191659.0</v>
      </c>
      <c r="B9073" s="2" t="s">
        <v>414</v>
      </c>
      <c r="C9073" s="2" t="s">
        <v>16302</v>
      </c>
      <c r="D9073" s="2" t="s">
        <v>4415</v>
      </c>
      <c r="E9073" s="2" t="s">
        <v>457</v>
      </c>
      <c r="F9073" s="2">
        <v>2.0</v>
      </c>
      <c r="G9073" s="2">
        <v>500.0</v>
      </c>
      <c r="H9073" s="3" t="str">
        <f>HYPERLINK("http://www.linkedin.com/pub/tom-azelby/4/424/7A9","http://www.linkedin.com/pub/tom-azelby/4/424/7A9")</f>
        <v>http://www.linkedin.com/pub/tom-azelby/4/424/7A9</v>
      </c>
      <c r="I9073" s="2" t="s">
        <v>69</v>
      </c>
      <c r="J9073" s="2" t="s">
        <v>102</v>
      </c>
      <c r="K9073" s="2" t="s">
        <v>14211</v>
      </c>
    </row>
    <row r="9074" ht="15.75" customHeight="1">
      <c r="A9074" s="2">
        <v>191729.0</v>
      </c>
      <c r="B9074" s="2" t="s">
        <v>178</v>
      </c>
      <c r="C9074" s="2" t="s">
        <v>16303</v>
      </c>
      <c r="D9074" s="2" t="s">
        <v>16304</v>
      </c>
      <c r="E9074" s="2" t="s">
        <v>16305</v>
      </c>
      <c r="F9074" s="2">
        <v>9.0</v>
      </c>
      <c r="G9074" s="2">
        <v>500.0</v>
      </c>
      <c r="H9074" s="3" t="str">
        <f>HYPERLINK("http://www.linkedin.com/in/kempenich","http://www.linkedin.com/in/kempenich")</f>
        <v>http://www.linkedin.com/in/kempenich</v>
      </c>
      <c r="I9074" s="2" t="s">
        <v>15</v>
      </c>
      <c r="J9074" s="2" t="s">
        <v>102</v>
      </c>
      <c r="K9074" s="2" t="s">
        <v>14197</v>
      </c>
    </row>
    <row r="9075" ht="15.75" customHeight="1">
      <c r="A9075" s="2">
        <v>191730.0</v>
      </c>
      <c r="B9075" s="2" t="s">
        <v>16306</v>
      </c>
      <c r="C9075" s="2" t="s">
        <v>16307</v>
      </c>
      <c r="D9075" s="2" t="s">
        <v>13</v>
      </c>
      <c r="E9075" s="2" t="s">
        <v>136</v>
      </c>
      <c r="F9075" s="2">
        <v>0.0</v>
      </c>
      <c r="G9075" s="2">
        <v>500.0</v>
      </c>
      <c r="H9075" s="3" t="str">
        <f>HYPERLINK("http://www.linkedin.com/pub/fadi-bishara/0/5/712?trk=pub-pbmap","http://www.linkedin.com/pub/fadi-bishara/0/5/712?trk=pub-pbmap")</f>
        <v>http://www.linkedin.com/pub/fadi-bishara/0/5/712?trk=pub-pbmap</v>
      </c>
      <c r="I9075" s="2" t="s">
        <v>709</v>
      </c>
      <c r="J9075" s="2" t="s">
        <v>102</v>
      </c>
      <c r="K9075" s="2" t="s">
        <v>14073</v>
      </c>
    </row>
    <row r="9076" ht="15.75" customHeight="1">
      <c r="A9076" s="2">
        <v>191749.0</v>
      </c>
      <c r="B9076" s="2" t="s">
        <v>2543</v>
      </c>
      <c r="C9076" s="2" t="s">
        <v>16308</v>
      </c>
      <c r="D9076" s="2" t="s">
        <v>3799</v>
      </c>
      <c r="E9076" s="2" t="s">
        <v>4060</v>
      </c>
      <c r="F9076" s="2">
        <v>7.0</v>
      </c>
      <c r="G9076" s="2">
        <v>500.0</v>
      </c>
      <c r="H9076" s="3" t="str">
        <f>HYPERLINK("http://www.linkedin.com/in/donwarden","http://www.linkedin.com/in/donwarden")</f>
        <v>http://www.linkedin.com/in/donwarden</v>
      </c>
      <c r="I9076" s="2" t="s">
        <v>15</v>
      </c>
      <c r="J9076" s="2" t="s">
        <v>102</v>
      </c>
      <c r="K9076" s="2" t="s">
        <v>14088</v>
      </c>
    </row>
    <row r="9077" ht="15.75" customHeight="1">
      <c r="A9077" s="2">
        <v>191785.0</v>
      </c>
      <c r="B9077" s="2" t="s">
        <v>16309</v>
      </c>
      <c r="C9077" s="2" t="s">
        <v>16310</v>
      </c>
      <c r="D9077" s="2" t="s">
        <v>13</v>
      </c>
      <c r="E9077" s="2" t="s">
        <v>16311</v>
      </c>
      <c r="F9077" s="2">
        <v>6.0</v>
      </c>
      <c r="G9077" s="2">
        <v>500.0</v>
      </c>
      <c r="H9077" s="3" t="str">
        <f>HYPERLINK("http://www.linkedin.com/in/olegvyadro","http://www.linkedin.com/in/olegvyadro")</f>
        <v>http://www.linkedin.com/in/olegvyadro</v>
      </c>
      <c r="I9077" s="2" t="s">
        <v>15</v>
      </c>
      <c r="J9077" s="2" t="s">
        <v>102</v>
      </c>
      <c r="K9077" s="2" t="s">
        <v>14197</v>
      </c>
    </row>
    <row r="9078" ht="15.75" customHeight="1">
      <c r="A9078" s="2">
        <v>191798.0</v>
      </c>
      <c r="B9078" s="2" t="s">
        <v>460</v>
      </c>
      <c r="C9078" s="2" t="s">
        <v>16312</v>
      </c>
      <c r="D9078" s="2" t="s">
        <v>13</v>
      </c>
      <c r="E9078" s="2" t="s">
        <v>7844</v>
      </c>
      <c r="F9078" s="2">
        <v>0.0</v>
      </c>
      <c r="G9078" s="2">
        <v>500.0</v>
      </c>
      <c r="H9078" s="3" t="str">
        <f>HYPERLINK("https://www.linkedin.com/in/pagejohn","https://www.linkedin.com/in/pagejohn")</f>
        <v>https://www.linkedin.com/in/pagejohn</v>
      </c>
      <c r="I9078" s="2" t="s">
        <v>15</v>
      </c>
      <c r="J9078" s="2" t="s">
        <v>102</v>
      </c>
      <c r="K9078" s="2" t="s">
        <v>14197</v>
      </c>
    </row>
    <row r="9079" ht="15.75" customHeight="1">
      <c r="A9079" s="2">
        <v>191802.0</v>
      </c>
      <c r="B9079" s="2" t="s">
        <v>1545</v>
      </c>
      <c r="C9079" s="2" t="s">
        <v>16313</v>
      </c>
      <c r="D9079" s="2" t="s">
        <v>16314</v>
      </c>
      <c r="E9079" s="2" t="s">
        <v>11025</v>
      </c>
      <c r="F9079" s="2">
        <v>18.0</v>
      </c>
      <c r="G9079" s="2">
        <v>500.0</v>
      </c>
      <c r="H9079" s="3" t="str">
        <f>HYPERLINK("http://www.linkedin.com/in/patrickoborn","http://www.linkedin.com/in/patrickoborn")</f>
        <v>http://www.linkedin.com/in/patrickoborn</v>
      </c>
      <c r="I9079" s="2" t="s">
        <v>77</v>
      </c>
      <c r="J9079" s="2" t="s">
        <v>102</v>
      </c>
      <c r="K9079" s="2" t="s">
        <v>14105</v>
      </c>
    </row>
    <row r="9080" ht="15.75" customHeight="1">
      <c r="A9080" s="2">
        <v>191840.0</v>
      </c>
      <c r="B9080" s="2" t="s">
        <v>879</v>
      </c>
      <c r="C9080" s="2" t="s">
        <v>16315</v>
      </c>
      <c r="D9080" s="2" t="s">
        <v>5206</v>
      </c>
      <c r="E9080" s="2" t="s">
        <v>713</v>
      </c>
      <c r="F9080" s="2">
        <v>35.0</v>
      </c>
      <c r="G9080" s="2">
        <v>500.0</v>
      </c>
      <c r="H9080" s="3" t="str">
        <f>HYPERLINK("http://www.linkedin.com/in/soley","http://www.linkedin.com/in/soley")</f>
        <v>http://www.linkedin.com/in/soley</v>
      </c>
      <c r="I9080" s="2" t="s">
        <v>48</v>
      </c>
      <c r="J9080" s="2" t="s">
        <v>102</v>
      </c>
      <c r="K9080" s="2" t="s">
        <v>14080</v>
      </c>
    </row>
    <row r="9081" ht="15.75" customHeight="1">
      <c r="A9081" s="2">
        <v>191843.0</v>
      </c>
      <c r="B9081" s="2" t="s">
        <v>16316</v>
      </c>
      <c r="C9081" s="2" t="s">
        <v>16317</v>
      </c>
      <c r="D9081" s="2" t="s">
        <v>16318</v>
      </c>
      <c r="E9081" s="2" t="s">
        <v>235</v>
      </c>
      <c r="F9081" s="2">
        <v>21.0</v>
      </c>
      <c r="G9081" s="2">
        <v>500.0</v>
      </c>
      <c r="H9081" s="3" t="str">
        <f>HYPERLINK("http://www.linkedin.com/pub/yo-delmar/1/277/B50","http://www.linkedin.com/pub/yo-delmar/1/277/B50")</f>
        <v>http://www.linkedin.com/pub/yo-delmar/1/277/B50</v>
      </c>
      <c r="I9081" s="2" t="s">
        <v>48</v>
      </c>
      <c r="J9081" s="2" t="s">
        <v>102</v>
      </c>
      <c r="K9081" s="2" t="s">
        <v>14080</v>
      </c>
    </row>
    <row r="9082" ht="15.75" customHeight="1">
      <c r="A9082" s="2">
        <v>191932.0</v>
      </c>
      <c r="B9082" s="2" t="s">
        <v>2049</v>
      </c>
      <c r="C9082" s="2" t="s">
        <v>16319</v>
      </c>
      <c r="D9082" s="2" t="s">
        <v>16320</v>
      </c>
      <c r="E9082" s="2" t="s">
        <v>989</v>
      </c>
      <c r="F9082" s="2">
        <v>5.0</v>
      </c>
      <c r="G9082" s="2">
        <v>500.0</v>
      </c>
      <c r="H9082" s="3" t="str">
        <f>HYPERLINK("http://www.linkedin.com/in/stephanieahuff","http://www.linkedin.com/in/stephanieahuff")</f>
        <v>http://www.linkedin.com/in/stephanieahuff</v>
      </c>
      <c r="I9082" s="2" t="s">
        <v>2443</v>
      </c>
      <c r="J9082" s="2" t="s">
        <v>102</v>
      </c>
      <c r="K9082" s="2" t="s">
        <v>14055</v>
      </c>
    </row>
    <row r="9083" ht="15.75" customHeight="1">
      <c r="A9083" s="2">
        <v>191937.0</v>
      </c>
      <c r="B9083" s="2" t="s">
        <v>341</v>
      </c>
      <c r="C9083" s="2" t="s">
        <v>16321</v>
      </c>
      <c r="D9083" s="2" t="s">
        <v>47</v>
      </c>
      <c r="E9083" s="2" t="s">
        <v>101</v>
      </c>
      <c r="F9083" s="2" t="s">
        <v>13</v>
      </c>
      <c r="G9083" s="2">
        <v>500.0</v>
      </c>
      <c r="H9083" s="3" t="str">
        <f>HYPERLINK("http://www.linkedin.com/in/ianthomasgroup","http://www.linkedin.com/in/ianthomasgroup")</f>
        <v>http://www.linkedin.com/in/ianthomasgroup</v>
      </c>
      <c r="I9083" s="2" t="s">
        <v>48</v>
      </c>
      <c r="J9083" s="2" t="s">
        <v>102</v>
      </c>
      <c r="K9083" s="2" t="s">
        <v>14080</v>
      </c>
    </row>
    <row r="9084" ht="15.75" customHeight="1">
      <c r="A9084" s="2">
        <v>191961.0</v>
      </c>
      <c r="B9084" s="2" t="s">
        <v>302</v>
      </c>
      <c r="C9084" s="2" t="s">
        <v>16322</v>
      </c>
      <c r="D9084" s="2" t="s">
        <v>47</v>
      </c>
      <c r="E9084" s="2" t="s">
        <v>5453</v>
      </c>
      <c r="F9084" s="2">
        <v>12.0</v>
      </c>
      <c r="G9084" s="2">
        <v>500.0</v>
      </c>
      <c r="H9084" s="3" t="str">
        <f>HYPERLINK("http://www.linkedin.com/in/billfishkin","http://www.linkedin.com/in/billfishkin")</f>
        <v>http://www.linkedin.com/in/billfishkin</v>
      </c>
      <c r="I9084" s="2" t="s">
        <v>69</v>
      </c>
      <c r="J9084" s="2" t="s">
        <v>102</v>
      </c>
      <c r="K9084" s="2" t="s">
        <v>14073</v>
      </c>
    </row>
    <row r="9085" ht="15.75" customHeight="1">
      <c r="A9085" s="2">
        <v>191971.0</v>
      </c>
      <c r="B9085" s="2" t="s">
        <v>16323</v>
      </c>
      <c r="C9085" s="2" t="s">
        <v>548</v>
      </c>
      <c r="D9085" s="2" t="s">
        <v>16324</v>
      </c>
      <c r="E9085" s="2" t="s">
        <v>5294</v>
      </c>
      <c r="F9085" s="2">
        <v>3.0</v>
      </c>
      <c r="G9085" s="2">
        <v>500.0</v>
      </c>
      <c r="H9085" s="3" t="str">
        <f>HYPERLINK("http://www.linkedin.com/in/cookjeremiah","http://www.linkedin.com/in/cookjeremiah")</f>
        <v>http://www.linkedin.com/in/cookjeremiah</v>
      </c>
      <c r="I9085" s="2" t="s">
        <v>1237</v>
      </c>
      <c r="J9085" s="2" t="s">
        <v>102</v>
      </c>
      <c r="K9085" s="2" t="s">
        <v>14073</v>
      </c>
    </row>
    <row r="9086" ht="15.75" customHeight="1">
      <c r="A9086" s="2">
        <v>192003.0</v>
      </c>
      <c r="B9086" s="2" t="s">
        <v>16325</v>
      </c>
      <c r="C9086" s="2" t="s">
        <v>16326</v>
      </c>
      <c r="D9086" s="2" t="s">
        <v>959</v>
      </c>
      <c r="E9086" s="2" t="s">
        <v>235</v>
      </c>
      <c r="F9086" s="2">
        <v>1.0</v>
      </c>
      <c r="G9086" s="2">
        <v>381.0</v>
      </c>
      <c r="H9086" s="3" t="str">
        <f>HYPERLINK("http://www.linkedin.com/in/hwbyerly","http://www.linkedin.com/in/hwbyerly")</f>
        <v>http://www.linkedin.com/in/hwbyerly</v>
      </c>
      <c r="I9086" s="2" t="s">
        <v>422</v>
      </c>
      <c r="J9086" s="2" t="s">
        <v>102</v>
      </c>
      <c r="K9086" s="2" t="s">
        <v>14062</v>
      </c>
    </row>
    <row r="9087" ht="15.75" customHeight="1">
      <c r="A9087" s="2">
        <v>192145.0</v>
      </c>
      <c r="B9087" s="2" t="s">
        <v>11</v>
      </c>
      <c r="C9087" s="2" t="s">
        <v>16327</v>
      </c>
      <c r="D9087" s="2" t="s">
        <v>114</v>
      </c>
      <c r="E9087" s="2" t="s">
        <v>301</v>
      </c>
      <c r="F9087" s="2">
        <v>7.0</v>
      </c>
      <c r="G9087" s="2">
        <v>500.0</v>
      </c>
      <c r="H9087" s="3" t="str">
        <f>HYPERLINK("http://www.linkedin.com/in/edavizur","http://www.linkedin.com/in/edavizur")</f>
        <v>http://www.linkedin.com/in/edavizur</v>
      </c>
      <c r="I9087" s="2" t="s">
        <v>48</v>
      </c>
      <c r="J9087" s="2" t="s">
        <v>102</v>
      </c>
      <c r="K9087" s="2" t="s">
        <v>14080</v>
      </c>
    </row>
    <row r="9088" ht="15.75" customHeight="1">
      <c r="A9088" s="2">
        <v>192200.0</v>
      </c>
      <c r="B9088" s="2" t="s">
        <v>275</v>
      </c>
      <c r="C9088" s="2" t="s">
        <v>16328</v>
      </c>
      <c r="D9088" s="2" t="s">
        <v>16329</v>
      </c>
      <c r="E9088" s="2" t="s">
        <v>136</v>
      </c>
      <c r="F9088" s="2">
        <v>35.0</v>
      </c>
      <c r="G9088" s="2">
        <v>500.0</v>
      </c>
      <c r="H9088" s="3" t="str">
        <f>HYPERLINK("http://www.linkedin.com/in/interrante","http://www.linkedin.com/in/interrante")</f>
        <v>http://www.linkedin.com/in/interrante</v>
      </c>
      <c r="I9088" s="2" t="s">
        <v>15</v>
      </c>
      <c r="J9088" s="2" t="s">
        <v>102</v>
      </c>
      <c r="K9088" s="2" t="s">
        <v>14088</v>
      </c>
    </row>
    <row r="9089" ht="15.75" customHeight="1">
      <c r="A9089" s="2">
        <v>192273.0</v>
      </c>
      <c r="B9089" s="2" t="s">
        <v>5173</v>
      </c>
      <c r="C9089" s="2" t="s">
        <v>2278</v>
      </c>
      <c r="D9089" s="2" t="s">
        <v>16330</v>
      </c>
      <c r="E9089" s="2" t="s">
        <v>136</v>
      </c>
      <c r="F9089" s="2">
        <v>2.0</v>
      </c>
      <c r="G9089" s="2">
        <v>445.0</v>
      </c>
      <c r="H9089" s="3" t="str">
        <f>HYPERLINK("http://www.linkedin.com/pub/rich-siegel/0/11A/71B","http://www.linkedin.com/pub/rich-siegel/0/11A/71B")</f>
        <v>http://www.linkedin.com/pub/rich-siegel/0/11A/71B</v>
      </c>
      <c r="I9089" s="2" t="s">
        <v>48</v>
      </c>
      <c r="J9089" s="2" t="s">
        <v>102</v>
      </c>
      <c r="K9089" s="2" t="s">
        <v>14197</v>
      </c>
    </row>
    <row r="9090" ht="15.75" customHeight="1">
      <c r="A9090" s="2">
        <v>192296.0</v>
      </c>
      <c r="B9090" s="2" t="s">
        <v>1919</v>
      </c>
      <c r="C9090" s="2" t="s">
        <v>16331</v>
      </c>
      <c r="D9090" s="2" t="s">
        <v>16332</v>
      </c>
      <c r="E9090" s="2" t="s">
        <v>871</v>
      </c>
      <c r="F9090" s="2">
        <v>3.0</v>
      </c>
      <c r="G9090" s="2">
        <v>500.0</v>
      </c>
      <c r="H9090" s="3" t="str">
        <f>HYPERLINK("http://www.linkedin.com/pub/larry-klapow/0/585/B38","http://www.linkedin.com/pub/larry-klapow/0/585/B38")</f>
        <v>http://www.linkedin.com/pub/larry-klapow/0/585/B38</v>
      </c>
      <c r="I9090" s="2" t="s">
        <v>475</v>
      </c>
      <c r="J9090" s="2" t="s">
        <v>102</v>
      </c>
      <c r="K9090" s="2" t="s">
        <v>14055</v>
      </c>
    </row>
    <row r="9091" ht="15.75" customHeight="1">
      <c r="A9091" s="2">
        <v>192319.0</v>
      </c>
      <c r="B9091" s="2" t="s">
        <v>287</v>
      </c>
      <c r="C9091" s="2" t="s">
        <v>16333</v>
      </c>
      <c r="D9091" s="2" t="s">
        <v>13</v>
      </c>
      <c r="E9091" s="2" t="s">
        <v>16278</v>
      </c>
      <c r="F9091" s="2">
        <v>0.0</v>
      </c>
      <c r="G9091" s="2">
        <v>500.0</v>
      </c>
      <c r="H9091" s="3" t="str">
        <f>HYPERLINK("http://www.linkedin.com/pub/paul-isley/4/229/B2","http://www.linkedin.com/pub/paul-isley/4/229/B2")</f>
        <v>http://www.linkedin.com/pub/paul-isley/4/229/B2</v>
      </c>
      <c r="I9091" s="2" t="s">
        <v>119</v>
      </c>
      <c r="J9091" s="2" t="s">
        <v>102</v>
      </c>
      <c r="K9091" s="2" t="s">
        <v>14088</v>
      </c>
    </row>
    <row r="9092" ht="15.75" customHeight="1">
      <c r="A9092" s="2">
        <v>192373.0</v>
      </c>
      <c r="B9092" s="2" t="s">
        <v>471</v>
      </c>
      <c r="C9092" s="2" t="s">
        <v>16334</v>
      </c>
      <c r="D9092" s="2" t="s">
        <v>13</v>
      </c>
      <c r="E9092" s="2" t="s">
        <v>3148</v>
      </c>
      <c r="F9092" s="2">
        <v>19.0</v>
      </c>
      <c r="G9092" s="2">
        <v>500.0</v>
      </c>
      <c r="H9092" s="3" t="str">
        <f>HYPERLINK("http://www.linkedin.com/in/danbroudy","http://www.linkedin.com/in/danbroudy")</f>
        <v>http://www.linkedin.com/in/danbroudy</v>
      </c>
      <c r="I9092" s="2" t="s">
        <v>105</v>
      </c>
      <c r="J9092" s="2" t="s">
        <v>102</v>
      </c>
      <c r="K9092" s="2" t="s">
        <v>14092</v>
      </c>
    </row>
    <row r="9093" ht="15.75" customHeight="1">
      <c r="A9093" s="2">
        <v>192381.0</v>
      </c>
      <c r="B9093" s="2" t="s">
        <v>16335</v>
      </c>
      <c r="C9093" s="2" t="s">
        <v>16336</v>
      </c>
      <c r="D9093" s="2" t="s">
        <v>16337</v>
      </c>
      <c r="E9093" s="2" t="s">
        <v>16338</v>
      </c>
      <c r="F9093" s="2">
        <v>1.0</v>
      </c>
      <c r="G9093" s="2">
        <v>500.0</v>
      </c>
      <c r="H9093" s="3" t="str">
        <f>HYPERLINK("http://www.linkedin.com/in/energytech","http://www.linkedin.com/in/energytech")</f>
        <v>http://www.linkedin.com/in/energytech</v>
      </c>
      <c r="I9093" s="2" t="s">
        <v>306</v>
      </c>
      <c r="J9093" s="2" t="s">
        <v>102</v>
      </c>
      <c r="K9093" s="2" t="s">
        <v>14055</v>
      </c>
    </row>
    <row r="9094" ht="15.75" customHeight="1">
      <c r="A9094" s="2">
        <v>192434.0</v>
      </c>
      <c r="B9094" s="2" t="s">
        <v>4019</v>
      </c>
      <c r="C9094" s="2" t="s">
        <v>16339</v>
      </c>
      <c r="D9094" s="2" t="s">
        <v>2262</v>
      </c>
      <c r="E9094" s="2" t="s">
        <v>136</v>
      </c>
      <c r="F9094" s="2">
        <v>3.0</v>
      </c>
      <c r="G9094" s="2">
        <v>500.0</v>
      </c>
      <c r="H9094" s="3" t="str">
        <f>HYPERLINK("http://www.linkedin.com/in/hunterwalk","http://www.linkedin.com/in/hunterwalk")</f>
        <v>http://www.linkedin.com/in/hunterwalk</v>
      </c>
      <c r="I9094" s="2" t="s">
        <v>69</v>
      </c>
      <c r="J9094" s="2" t="s">
        <v>102</v>
      </c>
      <c r="K9094" s="2" t="s">
        <v>16197</v>
      </c>
    </row>
    <row r="9095" ht="15.75" customHeight="1">
      <c r="A9095" s="2">
        <v>192445.0</v>
      </c>
      <c r="B9095" s="2" t="s">
        <v>341</v>
      </c>
      <c r="C9095" s="2" t="s">
        <v>16340</v>
      </c>
      <c r="D9095" s="2" t="s">
        <v>1145</v>
      </c>
      <c r="E9095" s="2" t="s">
        <v>713</v>
      </c>
      <c r="F9095" s="2">
        <v>5.0</v>
      </c>
      <c r="G9095" s="2">
        <v>500.0</v>
      </c>
      <c r="H9095" s="3" t="str">
        <f>HYPERLINK("http://www.linkedin.com/pub/kevin-kopanon/0/2A0/410","http://www.linkedin.com/pub/kevin-kopanon/0/2A0/410")</f>
        <v>http://www.linkedin.com/pub/kevin-kopanon/0/2A0/410</v>
      </c>
      <c r="I9095" s="2" t="s">
        <v>69</v>
      </c>
      <c r="J9095" s="2" t="s">
        <v>102</v>
      </c>
      <c r="K9095" s="2" t="s">
        <v>14071</v>
      </c>
    </row>
    <row r="9096" ht="15.75" customHeight="1">
      <c r="A9096" s="2">
        <v>192464.0</v>
      </c>
      <c r="B9096" s="2" t="s">
        <v>3243</v>
      </c>
      <c r="C9096" s="2" t="s">
        <v>16341</v>
      </c>
      <c r="D9096" s="2" t="s">
        <v>16342</v>
      </c>
      <c r="E9096" s="2" t="s">
        <v>136</v>
      </c>
      <c r="F9096" s="2">
        <v>3.0</v>
      </c>
      <c r="G9096" s="2">
        <v>440.0</v>
      </c>
      <c r="H9096" s="3" t="str">
        <f>HYPERLINK("http://www.linkedin.com/in/travismarquette","http://www.linkedin.com/in/travismarquette")</f>
        <v>http://www.linkedin.com/in/travismarquette</v>
      </c>
      <c r="I9096" s="2" t="s">
        <v>96</v>
      </c>
      <c r="J9096" s="2" t="s">
        <v>102</v>
      </c>
      <c r="K9096" s="2" t="s">
        <v>14055</v>
      </c>
    </row>
    <row r="9097" ht="15.75" customHeight="1">
      <c r="A9097" s="2">
        <v>192498.0</v>
      </c>
      <c r="B9097" s="2" t="s">
        <v>16343</v>
      </c>
      <c r="C9097" s="2" t="s">
        <v>16344</v>
      </c>
      <c r="D9097" s="2" t="s">
        <v>410</v>
      </c>
      <c r="E9097" s="2" t="s">
        <v>2058</v>
      </c>
      <c r="F9097" s="2">
        <v>15.0</v>
      </c>
      <c r="G9097" s="2">
        <v>500.0</v>
      </c>
      <c r="H9097" s="3" t="str">
        <f>HYPERLINK("http://www.linkedin.com/in/steffenland","http://www.linkedin.com/in/steffenland")</f>
        <v>http://www.linkedin.com/in/steffenland</v>
      </c>
      <c r="I9097" s="2" t="s">
        <v>15</v>
      </c>
      <c r="J9097" s="2" t="s">
        <v>102</v>
      </c>
      <c r="K9097" s="2" t="s">
        <v>15759</v>
      </c>
    </row>
    <row r="9098" ht="15.75" customHeight="1">
      <c r="A9098" s="2">
        <v>192565.0</v>
      </c>
      <c r="B9098" s="2" t="s">
        <v>11060</v>
      </c>
      <c r="C9098" s="2" t="s">
        <v>4616</v>
      </c>
      <c r="D9098" s="2" t="s">
        <v>517</v>
      </c>
      <c r="E9098" s="2" t="s">
        <v>136</v>
      </c>
      <c r="F9098" s="2">
        <v>0.0</v>
      </c>
      <c r="G9098" s="2">
        <v>500.0</v>
      </c>
      <c r="H9098" s="3" t="str">
        <f>HYPERLINK("http://www.linkedin.com/pub/ajay-mishra/0/123/274","http://www.linkedin.com/pub/ajay-mishra/0/123/274")</f>
        <v>http://www.linkedin.com/pub/ajay-mishra/0/123/274</v>
      </c>
      <c r="I9098" s="2" t="s">
        <v>48</v>
      </c>
      <c r="J9098" s="2" t="s">
        <v>102</v>
      </c>
      <c r="K9098" s="2" t="s">
        <v>14142</v>
      </c>
    </row>
    <row r="9099" ht="15.75" customHeight="1">
      <c r="A9099" s="2">
        <v>192613.0</v>
      </c>
      <c r="B9099" s="2" t="s">
        <v>1173</v>
      </c>
      <c r="C9099" s="2" t="s">
        <v>16345</v>
      </c>
      <c r="D9099" s="2" t="s">
        <v>6567</v>
      </c>
      <c r="E9099" s="2" t="s">
        <v>301</v>
      </c>
      <c r="F9099" s="2">
        <v>6.0</v>
      </c>
      <c r="G9099" s="2">
        <v>500.0</v>
      </c>
      <c r="H9099" s="3" t="str">
        <f>HYPERLINK("http://www.linkedin.com/pub/steve-kaish/0/212/A30","http://www.linkedin.com/pub/steve-kaish/0/212/A30")</f>
        <v>http://www.linkedin.com/pub/steve-kaish/0/212/A30</v>
      </c>
      <c r="I9099" s="2" t="s">
        <v>77</v>
      </c>
      <c r="J9099" s="2" t="s">
        <v>102</v>
      </c>
      <c r="K9099" s="2" t="s">
        <v>14085</v>
      </c>
    </row>
    <row r="9100" ht="15.75" customHeight="1">
      <c r="A9100" s="2">
        <v>192651.0</v>
      </c>
      <c r="B9100" s="2" t="s">
        <v>3432</v>
      </c>
      <c r="C9100" s="2" t="s">
        <v>16346</v>
      </c>
      <c r="D9100" s="2" t="s">
        <v>16347</v>
      </c>
      <c r="E9100" s="2" t="s">
        <v>989</v>
      </c>
      <c r="F9100" s="2">
        <v>12.0</v>
      </c>
      <c r="G9100" s="2">
        <v>500.0</v>
      </c>
      <c r="H9100" s="3" t="str">
        <f>HYPERLINK("http://www.linkedin.com/in/josephsterbling","http://www.linkedin.com/in/josephsterbling")</f>
        <v>http://www.linkedin.com/in/josephsterbling</v>
      </c>
      <c r="I9100" s="2" t="s">
        <v>77</v>
      </c>
      <c r="J9100" s="2" t="s">
        <v>102</v>
      </c>
      <c r="K9100" s="2" t="s">
        <v>14074</v>
      </c>
    </row>
    <row r="9101" ht="15.75" customHeight="1">
      <c r="A9101" s="2">
        <v>192672.0</v>
      </c>
      <c r="B9101" s="2" t="s">
        <v>754</v>
      </c>
      <c r="C9101" s="2" t="s">
        <v>4012</v>
      </c>
      <c r="D9101" s="2" t="s">
        <v>47</v>
      </c>
      <c r="E9101" s="2" t="s">
        <v>1918</v>
      </c>
      <c r="F9101" s="2">
        <v>5.0</v>
      </c>
      <c r="G9101" s="2">
        <v>500.0</v>
      </c>
      <c r="H9101" s="3" t="str">
        <f>HYPERLINK("http://www.linkedin.com/in/welcommgreg","http://www.linkedin.com/in/welcommgreg")</f>
        <v>http://www.linkedin.com/in/welcommgreg</v>
      </c>
      <c r="I9101" s="2" t="s">
        <v>105</v>
      </c>
      <c r="J9101" s="2" t="s">
        <v>102</v>
      </c>
      <c r="K9101" s="2" t="s">
        <v>14092</v>
      </c>
    </row>
    <row r="9102" ht="15.75" customHeight="1">
      <c r="A9102" s="2">
        <v>192928.0</v>
      </c>
      <c r="B9102" s="2" t="s">
        <v>15042</v>
      </c>
      <c r="C9102" s="2" t="s">
        <v>16348</v>
      </c>
      <c r="D9102" s="2" t="s">
        <v>410</v>
      </c>
      <c r="E9102" s="2" t="s">
        <v>457</v>
      </c>
      <c r="F9102" s="2">
        <v>9.0</v>
      </c>
      <c r="G9102" s="2">
        <v>500.0</v>
      </c>
      <c r="H9102" s="3" t="str">
        <f>HYPERLINK("http://www.linkedin.com/in/sherylgundersen","http://www.linkedin.com/in/sherylgundersen")</f>
        <v>http://www.linkedin.com/in/sherylgundersen</v>
      </c>
      <c r="I9102" s="2" t="s">
        <v>15</v>
      </c>
      <c r="J9102" s="2" t="s">
        <v>102</v>
      </c>
      <c r="K9102" s="2" t="s">
        <v>14117</v>
      </c>
    </row>
    <row r="9103" ht="15.75" customHeight="1">
      <c r="A9103" s="2">
        <v>192946.0</v>
      </c>
      <c r="B9103" s="2" t="s">
        <v>5476</v>
      </c>
      <c r="C9103" s="2" t="s">
        <v>16349</v>
      </c>
      <c r="D9103" s="2" t="s">
        <v>16350</v>
      </c>
      <c r="E9103" s="2" t="s">
        <v>1407</v>
      </c>
      <c r="F9103" s="2">
        <v>20.0</v>
      </c>
      <c r="G9103" s="2">
        <v>500.0</v>
      </c>
      <c r="H9103" s="3" t="str">
        <f>HYPERLINK("http://www.linkedin.com/in/carolshaffer","http://www.linkedin.com/in/carolshaffer")</f>
        <v>http://www.linkedin.com/in/carolshaffer</v>
      </c>
      <c r="I9103" s="2" t="s">
        <v>279</v>
      </c>
      <c r="J9103" s="2" t="s">
        <v>102</v>
      </c>
      <c r="K9103" s="2" t="s">
        <v>16351</v>
      </c>
    </row>
    <row r="9104" ht="15.75" customHeight="1">
      <c r="A9104" s="2">
        <v>192966.0</v>
      </c>
      <c r="B9104" s="2" t="s">
        <v>16352</v>
      </c>
      <c r="C9104" s="2" t="s">
        <v>796</v>
      </c>
      <c r="D9104" s="2" t="s">
        <v>309</v>
      </c>
      <c r="E9104" s="2" t="s">
        <v>136</v>
      </c>
      <c r="F9104" s="2" t="s">
        <v>13</v>
      </c>
      <c r="G9104" s="2">
        <v>262.0</v>
      </c>
      <c r="H9104" s="3" t="str">
        <f>HYPERLINK("http://www.linkedin.com/pub/beti-simon/0/B4/976","http://www.linkedin.com/pub/beti-simon/0/B4/976")</f>
        <v>http://www.linkedin.com/pub/beti-simon/0/B4/976</v>
      </c>
      <c r="I9104" s="2" t="s">
        <v>156</v>
      </c>
      <c r="J9104" s="2" t="s">
        <v>102</v>
      </c>
      <c r="K9104" s="2" t="s">
        <v>14055</v>
      </c>
    </row>
    <row r="9105" ht="15.75" customHeight="1">
      <c r="A9105" s="2">
        <v>192995.0</v>
      </c>
      <c r="B9105" s="2" t="s">
        <v>1004</v>
      </c>
      <c r="C9105" s="2" t="s">
        <v>16353</v>
      </c>
      <c r="D9105" s="2" t="s">
        <v>81</v>
      </c>
      <c r="E9105" s="2" t="s">
        <v>5396</v>
      </c>
      <c r="F9105" s="2">
        <v>12.0</v>
      </c>
      <c r="G9105" s="2">
        <v>500.0</v>
      </c>
      <c r="H9105" s="3" t="str">
        <f>HYPERLINK("http://www.linkedin.com/in/scottanschuetz","http://www.linkedin.com/in/scottanschuetz")</f>
        <v>http://www.linkedin.com/in/scottanschuetz</v>
      </c>
      <c r="I9105" s="2" t="s">
        <v>1390</v>
      </c>
      <c r="J9105" s="2" t="s">
        <v>102</v>
      </c>
      <c r="K9105" s="2" t="s">
        <v>14163</v>
      </c>
    </row>
    <row r="9106" ht="15.75" customHeight="1">
      <c r="A9106" s="2">
        <v>193028.0</v>
      </c>
      <c r="B9106" s="2" t="s">
        <v>16354</v>
      </c>
      <c r="C9106" s="2" t="s">
        <v>16355</v>
      </c>
      <c r="D9106" s="2" t="s">
        <v>16356</v>
      </c>
      <c r="E9106" s="2" t="s">
        <v>16357</v>
      </c>
      <c r="F9106" s="2">
        <v>4.0</v>
      </c>
      <c r="G9106" s="2">
        <v>500.0</v>
      </c>
      <c r="H9106" s="3" t="str">
        <f>HYPERLINK("http://www.linkedin.com/in/joeypeloquin","http://www.linkedin.com/in/joeypeloquin")</f>
        <v>http://www.linkedin.com/in/joeypeloquin</v>
      </c>
      <c r="I9106" s="2" t="s">
        <v>160</v>
      </c>
      <c r="J9106" s="2" t="s">
        <v>102</v>
      </c>
      <c r="K9106" s="2" t="s">
        <v>14055</v>
      </c>
    </row>
    <row r="9107" ht="15.75" customHeight="1">
      <c r="A9107" s="2">
        <v>193062.0</v>
      </c>
      <c r="B9107" s="2" t="s">
        <v>1868</v>
      </c>
      <c r="C9107" s="2" t="s">
        <v>16358</v>
      </c>
      <c r="D9107" s="2" t="s">
        <v>114</v>
      </c>
      <c r="E9107" s="2" t="s">
        <v>301</v>
      </c>
      <c r="F9107" s="2">
        <v>10.0</v>
      </c>
      <c r="G9107" s="2">
        <v>500.0</v>
      </c>
      <c r="H9107" s="3" t="str">
        <f>HYPERLINK("http://www.linkedin.com/in/jackcage","http://www.linkedin.com/in/jackcage")</f>
        <v>http://www.linkedin.com/in/jackcage</v>
      </c>
      <c r="I9107" s="2" t="s">
        <v>248</v>
      </c>
      <c r="J9107" s="2" t="s">
        <v>102</v>
      </c>
      <c r="K9107" s="2" t="s">
        <v>14074</v>
      </c>
    </row>
    <row r="9108" ht="15.75" customHeight="1">
      <c r="A9108" s="2">
        <v>193080.0</v>
      </c>
      <c r="B9108" s="2" t="s">
        <v>16359</v>
      </c>
      <c r="C9108" s="2" t="s">
        <v>16360</v>
      </c>
      <c r="D9108" s="2" t="s">
        <v>47</v>
      </c>
      <c r="E9108" s="2" t="s">
        <v>2090</v>
      </c>
      <c r="F9108" s="2">
        <v>1.0</v>
      </c>
      <c r="G9108" s="2">
        <v>386.0</v>
      </c>
      <c r="H9108" s="3" t="str">
        <f>HYPERLINK("http://ca.linkedin.com/in/bbaliuc","http://ca.linkedin.com/in/bbaliuc")</f>
        <v>http://ca.linkedin.com/in/bbaliuc</v>
      </c>
      <c r="I9108" s="2" t="s">
        <v>48</v>
      </c>
      <c r="J9108" s="2" t="s">
        <v>44</v>
      </c>
      <c r="K9108" s="2" t="s">
        <v>14142</v>
      </c>
    </row>
    <row r="9109" ht="15.75" customHeight="1">
      <c r="A9109" s="2">
        <v>193148.0</v>
      </c>
      <c r="B9109" s="2" t="s">
        <v>4797</v>
      </c>
      <c r="C9109" s="2" t="s">
        <v>16361</v>
      </c>
      <c r="D9109" s="2" t="s">
        <v>16362</v>
      </c>
      <c r="E9109" s="2" t="s">
        <v>1234</v>
      </c>
      <c r="F9109" s="2">
        <v>6.0</v>
      </c>
      <c r="G9109" s="2">
        <v>150.0</v>
      </c>
      <c r="H9109" s="3" t="str">
        <f>HYPERLINK("http://www.linkedin.com/in/launchdesign","http://www.linkedin.com/in/launchdesign")</f>
        <v>http://www.linkedin.com/in/launchdesign</v>
      </c>
      <c r="I9109" s="2" t="s">
        <v>2268</v>
      </c>
      <c r="J9109" s="2" t="s">
        <v>102</v>
      </c>
      <c r="K9109" s="2" t="s">
        <v>14055</v>
      </c>
    </row>
    <row r="9110" ht="15.75" customHeight="1">
      <c r="A9110" s="2">
        <v>193196.0</v>
      </c>
      <c r="B9110" s="2" t="s">
        <v>341</v>
      </c>
      <c r="C9110" s="2" t="s">
        <v>16363</v>
      </c>
      <c r="D9110" s="2" t="s">
        <v>47</v>
      </c>
      <c r="E9110" s="2" t="s">
        <v>122</v>
      </c>
      <c r="F9110" s="2">
        <v>10.0</v>
      </c>
      <c r="G9110" s="2">
        <v>500.0</v>
      </c>
      <c r="H9110" s="3" t="str">
        <f>HYPERLINK("http://www.linkedin.com/in/kevinfreedman","http://www.linkedin.com/in/kevinfreedman")</f>
        <v>http://www.linkedin.com/in/kevinfreedman</v>
      </c>
      <c r="I9110" s="2" t="s">
        <v>105</v>
      </c>
      <c r="J9110" s="2" t="s">
        <v>53</v>
      </c>
      <c r="K9110" s="2" t="s">
        <v>14242</v>
      </c>
    </row>
    <row r="9111" ht="15.75" customHeight="1">
      <c r="A9111" s="2">
        <v>193225.0</v>
      </c>
      <c r="B9111" s="2" t="s">
        <v>1593</v>
      </c>
      <c r="C9111" s="2" t="s">
        <v>4997</v>
      </c>
      <c r="D9111" s="2" t="s">
        <v>13</v>
      </c>
      <c r="E9111" s="2" t="s">
        <v>181</v>
      </c>
      <c r="F9111" s="2">
        <v>9.0</v>
      </c>
      <c r="G9111" s="2">
        <v>500.0</v>
      </c>
      <c r="H9111" s="3" t="str">
        <f>HYPERLINK("http://www.linkedin.com/in/adamblackthekeywifiguy","http://www.linkedin.com/in/adamblackthekeywifiguy")</f>
        <v>http://www.linkedin.com/in/adamblackthekeywifiguy</v>
      </c>
      <c r="I9111" s="2" t="s">
        <v>629</v>
      </c>
      <c r="J9111" s="2" t="s">
        <v>102</v>
      </c>
      <c r="K9111" s="2" t="s">
        <v>14073</v>
      </c>
    </row>
    <row r="9112" ht="15.75" customHeight="1">
      <c r="A9112" s="2">
        <v>193232.0</v>
      </c>
      <c r="B9112" s="2" t="s">
        <v>754</v>
      </c>
      <c r="C9112" s="2" t="s">
        <v>3842</v>
      </c>
      <c r="D9112" s="2" t="s">
        <v>16364</v>
      </c>
      <c r="E9112" s="2" t="s">
        <v>728</v>
      </c>
      <c r="F9112" s="2">
        <v>3.0</v>
      </c>
      <c r="G9112" s="2">
        <v>500.0</v>
      </c>
      <c r="H9112" s="3" t="str">
        <f>HYPERLINK("http://www.linkedin.com/in/greghoffman7","http://www.linkedin.com/in/greghoffman7")</f>
        <v>http://www.linkedin.com/in/greghoffman7</v>
      </c>
      <c r="I9112" s="2" t="s">
        <v>15</v>
      </c>
      <c r="J9112" s="2" t="s">
        <v>102</v>
      </c>
      <c r="K9112" s="2" t="s">
        <v>14057</v>
      </c>
    </row>
    <row r="9113" ht="15.75" customHeight="1">
      <c r="A9113" s="2">
        <v>193295.0</v>
      </c>
      <c r="B9113" s="2" t="s">
        <v>3432</v>
      </c>
      <c r="C9113" s="2" t="s">
        <v>16365</v>
      </c>
      <c r="D9113" s="2" t="s">
        <v>13</v>
      </c>
      <c r="E9113" s="2" t="s">
        <v>136</v>
      </c>
      <c r="F9113" s="2">
        <v>0.0</v>
      </c>
      <c r="G9113" s="2">
        <v>500.0</v>
      </c>
      <c r="H9113" s="3" t="str">
        <f>HYPERLINK("https://www.linkedin.com/in/josephadler","https://www.linkedin.com/in/josephadler")</f>
        <v>https://www.linkedin.com/in/josephadler</v>
      </c>
      <c r="I9113" s="2" t="s">
        <v>48</v>
      </c>
      <c r="J9113" s="2" t="s">
        <v>102</v>
      </c>
      <c r="K9113" s="2" t="s">
        <v>14057</v>
      </c>
    </row>
    <row r="9114" ht="15.75" customHeight="1">
      <c r="A9114" s="2">
        <v>193324.0</v>
      </c>
      <c r="B9114" s="2" t="s">
        <v>3477</v>
      </c>
      <c r="C9114" s="2" t="s">
        <v>1742</v>
      </c>
      <c r="D9114" s="2" t="s">
        <v>16366</v>
      </c>
      <c r="E9114" s="2" t="s">
        <v>2058</v>
      </c>
      <c r="F9114" s="2">
        <v>2.0</v>
      </c>
      <c r="G9114" s="2">
        <v>500.0</v>
      </c>
      <c r="H9114" s="3" t="str">
        <f>HYPERLINK("http://www.linkedin.com/in/jnewman","http://www.linkedin.com/in/jnewman")</f>
        <v>http://www.linkedin.com/in/jnewman</v>
      </c>
      <c r="I9114" s="2" t="s">
        <v>69</v>
      </c>
      <c r="J9114" s="2" t="s">
        <v>102</v>
      </c>
      <c r="K9114" s="2" t="s">
        <v>14111</v>
      </c>
    </row>
    <row r="9115" ht="15.75" customHeight="1">
      <c r="A9115" s="2">
        <v>193338.0</v>
      </c>
      <c r="B9115" s="2" t="s">
        <v>1977</v>
      </c>
      <c r="C9115" s="2" t="s">
        <v>16367</v>
      </c>
      <c r="D9115" s="2" t="s">
        <v>2689</v>
      </c>
      <c r="E9115" s="2" t="s">
        <v>989</v>
      </c>
      <c r="F9115" s="2" t="s">
        <v>13</v>
      </c>
      <c r="G9115" s="2">
        <v>500.0</v>
      </c>
      <c r="H9115" s="3" t="str">
        <f>HYPERLINK("http://www.linkedin.com/in/joelengelmeier","http://www.linkedin.com/in/joelengelmeier")</f>
        <v>http://www.linkedin.com/in/joelengelmeier</v>
      </c>
      <c r="I9115" s="2" t="s">
        <v>446</v>
      </c>
      <c r="J9115" s="2" t="s">
        <v>102</v>
      </c>
      <c r="K9115" s="2" t="s">
        <v>14085</v>
      </c>
    </row>
    <row r="9116" ht="15.75" customHeight="1">
      <c r="A9116" s="2">
        <v>193378.0</v>
      </c>
      <c r="B9116" s="2" t="s">
        <v>1680</v>
      </c>
      <c r="C9116" s="2" t="s">
        <v>6863</v>
      </c>
      <c r="D9116" s="2" t="s">
        <v>114</v>
      </c>
      <c r="E9116" s="2" t="s">
        <v>964</v>
      </c>
      <c r="F9116" s="2">
        <v>7.0</v>
      </c>
      <c r="G9116" s="2">
        <v>500.0</v>
      </c>
      <c r="H9116" s="3" t="str">
        <f>HYPERLINK("http://www.linkedin.com/in/sheilagreco","http://www.linkedin.com/in/sheilagreco")</f>
        <v>http://www.linkedin.com/in/sheilagreco</v>
      </c>
      <c r="I9116" s="2" t="s">
        <v>248</v>
      </c>
      <c r="J9116" s="2" t="s">
        <v>102</v>
      </c>
      <c r="K9116" s="2" t="s">
        <v>14115</v>
      </c>
    </row>
    <row r="9117" ht="15.75" customHeight="1">
      <c r="A9117" s="2">
        <v>193443.0</v>
      </c>
      <c r="B9117" s="2" t="s">
        <v>1004</v>
      </c>
      <c r="C9117" s="2" t="s">
        <v>1640</v>
      </c>
      <c r="D9117" s="2" t="s">
        <v>42</v>
      </c>
      <c r="E9117" s="2" t="s">
        <v>989</v>
      </c>
      <c r="F9117" s="2">
        <v>1.0</v>
      </c>
      <c r="G9117" s="2">
        <v>305.0</v>
      </c>
      <c r="H9117" s="3" t="str">
        <f>HYPERLINK("http://www.linkedin.com/in/jscottwebb","http://www.linkedin.com/in/jscottwebb")</f>
        <v>http://www.linkedin.com/in/jscottwebb</v>
      </c>
      <c r="I9117" s="2" t="s">
        <v>69</v>
      </c>
      <c r="J9117" s="2" t="s">
        <v>102</v>
      </c>
      <c r="K9117" s="2" t="s">
        <v>14105</v>
      </c>
    </row>
    <row r="9118" ht="15.75" customHeight="1">
      <c r="A9118" s="2">
        <v>193453.0</v>
      </c>
      <c r="B9118" s="2" t="s">
        <v>2014</v>
      </c>
      <c r="C9118" s="2" t="s">
        <v>16368</v>
      </c>
      <c r="D9118" s="2" t="s">
        <v>400</v>
      </c>
      <c r="E9118" s="2" t="s">
        <v>713</v>
      </c>
      <c r="F9118" s="2" t="s">
        <v>13</v>
      </c>
      <c r="G9118" s="2">
        <v>500.0</v>
      </c>
      <c r="H9118" s="3" t="str">
        <f>HYPERLINK("http://www.linkedin.com/in/klubin","http://www.linkedin.com/in/klubin")</f>
        <v>http://www.linkedin.com/in/klubin</v>
      </c>
      <c r="I9118" s="2" t="s">
        <v>248</v>
      </c>
      <c r="J9118" s="2" t="s">
        <v>102</v>
      </c>
      <c r="K9118" s="2" t="s">
        <v>14481</v>
      </c>
    </row>
    <row r="9119" ht="15.75" customHeight="1">
      <c r="A9119" s="2">
        <v>193505.0</v>
      </c>
      <c r="B9119" s="2" t="s">
        <v>3664</v>
      </c>
      <c r="C9119" s="2" t="s">
        <v>16369</v>
      </c>
      <c r="D9119" s="2" t="s">
        <v>16370</v>
      </c>
      <c r="E9119" s="2" t="s">
        <v>136</v>
      </c>
      <c r="F9119" s="2">
        <v>12.0</v>
      </c>
      <c r="G9119" s="2">
        <v>500.0</v>
      </c>
      <c r="H9119" s="3" t="str">
        <f>HYPERLINK("http://www.linkedin.com/in/christinedover","http://www.linkedin.com/in/christinedover")</f>
        <v>http://www.linkedin.com/in/christinedover</v>
      </c>
      <c r="I9119" s="2" t="s">
        <v>48</v>
      </c>
      <c r="J9119" s="2" t="s">
        <v>102</v>
      </c>
      <c r="K9119" s="2" t="s">
        <v>14197</v>
      </c>
    </row>
    <row r="9120" ht="15.75" customHeight="1">
      <c r="A9120" s="2">
        <v>193509.0</v>
      </c>
      <c r="B9120" s="2" t="s">
        <v>1019</v>
      </c>
      <c r="C9120" s="2" t="s">
        <v>16371</v>
      </c>
      <c r="D9120" s="2" t="s">
        <v>16372</v>
      </c>
      <c r="E9120" s="2" t="s">
        <v>1918</v>
      </c>
      <c r="F9120" s="2">
        <v>15.0</v>
      </c>
      <c r="G9120" s="2">
        <v>500.0</v>
      </c>
      <c r="H9120" s="3" t="str">
        <f>HYPERLINK("http://www.linkedin.com/in/stamper","http://www.linkedin.com/in/stamper")</f>
        <v>http://www.linkedin.com/in/stamper</v>
      </c>
      <c r="I9120" s="2" t="s">
        <v>15</v>
      </c>
      <c r="J9120" s="2" t="s">
        <v>102</v>
      </c>
      <c r="K9120" s="2" t="s">
        <v>14078</v>
      </c>
    </row>
    <row r="9121" ht="15.75" customHeight="1">
      <c r="A9121" s="2">
        <v>193520.0</v>
      </c>
      <c r="B9121" s="2" t="s">
        <v>1112</v>
      </c>
      <c r="C9121" s="2" t="s">
        <v>4962</v>
      </c>
      <c r="D9121" s="2" t="s">
        <v>1145</v>
      </c>
      <c r="E9121" s="2" t="s">
        <v>136</v>
      </c>
      <c r="F9121" s="2">
        <v>12.0</v>
      </c>
      <c r="G9121" s="2">
        <v>500.0</v>
      </c>
      <c r="H9121" s="3" t="str">
        <f>HYPERLINK("http://www.linkedin.com/in/bensharp","http://www.linkedin.com/in/bensharp")</f>
        <v>http://www.linkedin.com/in/bensharp</v>
      </c>
      <c r="I9121" s="2" t="s">
        <v>612</v>
      </c>
      <c r="J9121" s="2" t="s">
        <v>102</v>
      </c>
      <c r="K9121" s="2" t="s">
        <v>14074</v>
      </c>
    </row>
    <row r="9122" ht="15.75" customHeight="1">
      <c r="A9122" s="2">
        <v>193538.0</v>
      </c>
      <c r="B9122" s="2" t="s">
        <v>275</v>
      </c>
      <c r="C9122" s="2" t="s">
        <v>16373</v>
      </c>
      <c r="D9122" s="2" t="s">
        <v>16374</v>
      </c>
      <c r="E9122" s="2" t="s">
        <v>1041</v>
      </c>
      <c r="F9122" s="2">
        <v>0.0</v>
      </c>
      <c r="G9122" s="2">
        <v>500.0</v>
      </c>
      <c r="H9122" s="3" t="str">
        <f>HYPERLINK("http://www.linkedin.com/pub/mark-slaga/3/782/869","http://www.linkedin.com/pub/mark-slaga/3/782/869")</f>
        <v>http://www.linkedin.com/pub/mark-slaga/3/782/869</v>
      </c>
      <c r="I9122" s="2" t="s">
        <v>15</v>
      </c>
      <c r="J9122" s="2" t="s">
        <v>102</v>
      </c>
      <c r="K9122" s="2" t="s">
        <v>14142</v>
      </c>
    </row>
    <row r="9123" ht="15.75" customHeight="1">
      <c r="A9123" s="2">
        <v>193580.0</v>
      </c>
      <c r="B9123" s="2" t="s">
        <v>2567</v>
      </c>
      <c r="C9123" s="2" t="s">
        <v>16375</v>
      </c>
      <c r="D9123" s="2" t="s">
        <v>16376</v>
      </c>
      <c r="E9123" s="2" t="s">
        <v>301</v>
      </c>
      <c r="F9123" s="2">
        <v>14.0</v>
      </c>
      <c r="G9123" s="2">
        <v>500.0</v>
      </c>
      <c r="H9123" s="3" t="str">
        <f>HYPERLINK("http://www.linkedin.com/in/bruzzi","http://www.linkedin.com/in/bruzzi")</f>
        <v>http://www.linkedin.com/in/bruzzi</v>
      </c>
      <c r="I9123" s="2" t="s">
        <v>15</v>
      </c>
      <c r="J9123" s="2" t="s">
        <v>102</v>
      </c>
      <c r="K9123" s="2" t="s">
        <v>14088</v>
      </c>
    </row>
    <row r="9124" ht="15.75" customHeight="1">
      <c r="A9124" s="2">
        <v>193702.0</v>
      </c>
      <c r="B9124" s="2" t="s">
        <v>433</v>
      </c>
      <c r="C9124" s="2" t="s">
        <v>12006</v>
      </c>
      <c r="D9124" s="2" t="s">
        <v>16377</v>
      </c>
      <c r="E9124" s="2" t="s">
        <v>136</v>
      </c>
      <c r="F9124" s="2">
        <v>6.0</v>
      </c>
      <c r="G9124" s="2">
        <v>500.0</v>
      </c>
      <c r="H9124" s="3" t="str">
        <f>HYPERLINK("http://www.linkedin.com/in/yangandrew","http://www.linkedin.com/in/yangandrew")</f>
        <v>http://www.linkedin.com/in/yangandrew</v>
      </c>
      <c r="I9124" s="2" t="s">
        <v>48</v>
      </c>
      <c r="J9124" s="2" t="s">
        <v>102</v>
      </c>
      <c r="K9124" s="2" t="s">
        <v>14088</v>
      </c>
    </row>
    <row r="9125" ht="15.75" customHeight="1">
      <c r="A9125" s="2">
        <v>193713.0</v>
      </c>
      <c r="B9125" s="2" t="s">
        <v>1362</v>
      </c>
      <c r="C9125" s="2" t="s">
        <v>16378</v>
      </c>
      <c r="D9125" s="2" t="s">
        <v>47</v>
      </c>
      <c r="E9125" s="2" t="s">
        <v>1407</v>
      </c>
      <c r="F9125" s="2">
        <v>9.0</v>
      </c>
      <c r="G9125" s="2">
        <v>500.0</v>
      </c>
      <c r="H9125" s="3" t="str">
        <f>HYPERLINK("http://www.linkedin.com/in/tincup","http://www.linkedin.com/in/tincup")</f>
        <v>http://www.linkedin.com/in/tincup</v>
      </c>
      <c r="I9125" s="2" t="s">
        <v>105</v>
      </c>
      <c r="J9125" s="2" t="s">
        <v>102</v>
      </c>
      <c r="K9125" s="2" t="s">
        <v>14092</v>
      </c>
    </row>
    <row r="9126" ht="15.75" customHeight="1">
      <c r="A9126" s="2">
        <v>193756.0</v>
      </c>
      <c r="B9126" s="2" t="s">
        <v>5931</v>
      </c>
      <c r="C9126" s="2" t="s">
        <v>16379</v>
      </c>
      <c r="D9126" s="2" t="s">
        <v>47</v>
      </c>
      <c r="E9126" s="2" t="s">
        <v>713</v>
      </c>
      <c r="F9126" s="2">
        <v>7.0</v>
      </c>
      <c r="G9126" s="2">
        <v>500.0</v>
      </c>
      <c r="H9126" s="3" t="str">
        <f>HYPERLINK("http://www.linkedin.com/in/rjfolz","http://www.linkedin.com/in/rjfolz")</f>
        <v>http://www.linkedin.com/in/rjfolz</v>
      </c>
      <c r="I9126" s="2" t="s">
        <v>105</v>
      </c>
      <c r="J9126" s="2" t="s">
        <v>102</v>
      </c>
      <c r="K9126" s="2" t="s">
        <v>14092</v>
      </c>
    </row>
    <row r="9127" ht="15.75" customHeight="1">
      <c r="A9127" s="2">
        <v>193792.0</v>
      </c>
      <c r="B9127" s="2" t="s">
        <v>16380</v>
      </c>
      <c r="C9127" s="2" t="s">
        <v>16381</v>
      </c>
      <c r="D9127" s="2" t="s">
        <v>16382</v>
      </c>
      <c r="E9127" s="2" t="s">
        <v>301</v>
      </c>
      <c r="F9127" s="2">
        <v>2.0</v>
      </c>
      <c r="G9127" s="2">
        <v>500.0</v>
      </c>
      <c r="H9127" s="3" t="str">
        <f>HYPERLINK("http://www.linkedin.com/in/pathakritesh","http://www.linkedin.com/in/pathakritesh")</f>
        <v>http://www.linkedin.com/in/pathakritesh</v>
      </c>
      <c r="I9127" s="2" t="s">
        <v>15</v>
      </c>
      <c r="J9127" s="2" t="s">
        <v>102</v>
      </c>
      <c r="K9127" s="2" t="s">
        <v>14088</v>
      </c>
    </row>
    <row r="9128" ht="15.75" customHeight="1">
      <c r="A9128" s="2">
        <v>193864.0</v>
      </c>
      <c r="B9128" s="2" t="s">
        <v>754</v>
      </c>
      <c r="C9128" s="2" t="s">
        <v>16383</v>
      </c>
      <c r="D9128" s="2" t="s">
        <v>47</v>
      </c>
      <c r="E9128" s="2" t="s">
        <v>136</v>
      </c>
      <c r="F9128" s="2">
        <v>3.0</v>
      </c>
      <c r="G9128" s="2">
        <v>286.0</v>
      </c>
      <c r="H9128" s="3" t="str">
        <f>HYPERLINK("http://www.linkedin.com/pub/greg-seal/1/55A/423","http://www.linkedin.com/pub/greg-seal/1/55A/423")</f>
        <v>http://www.linkedin.com/pub/greg-seal/1/55A/423</v>
      </c>
      <c r="I9128" s="2" t="s">
        <v>57</v>
      </c>
      <c r="J9128" s="2" t="s">
        <v>102</v>
      </c>
      <c r="K9128" s="2" t="s">
        <v>14074</v>
      </c>
    </row>
    <row r="9129" ht="15.75" customHeight="1">
      <c r="A9129" s="2">
        <v>193877.0</v>
      </c>
      <c r="B9129" s="2" t="s">
        <v>16384</v>
      </c>
      <c r="C9129" s="2" t="s">
        <v>16101</v>
      </c>
      <c r="D9129" s="2" t="s">
        <v>13</v>
      </c>
      <c r="E9129" s="2" t="s">
        <v>16385</v>
      </c>
      <c r="F9129" s="2">
        <v>1.0</v>
      </c>
      <c r="G9129" s="2">
        <v>500.0</v>
      </c>
      <c r="H9129" s="3" t="str">
        <f>HYPERLINK("http://www.linkedin.com/in/jessiefanning","http://www.linkedin.com/in/jessiefanning")</f>
        <v>http://www.linkedin.com/in/jessiefanning</v>
      </c>
      <c r="I9129" s="2" t="s">
        <v>105</v>
      </c>
      <c r="J9129" s="2" t="s">
        <v>102</v>
      </c>
      <c r="K9129" s="2" t="s">
        <v>14092</v>
      </c>
    </row>
    <row r="9130" ht="15.75" customHeight="1">
      <c r="A9130" s="2">
        <v>193928.0</v>
      </c>
      <c r="B9130" s="2" t="s">
        <v>2153</v>
      </c>
      <c r="C9130" s="2" t="s">
        <v>16386</v>
      </c>
      <c r="D9130" s="2" t="s">
        <v>16387</v>
      </c>
      <c r="E9130" s="2" t="s">
        <v>301</v>
      </c>
      <c r="F9130" s="2" t="s">
        <v>13</v>
      </c>
      <c r="G9130" s="2">
        <v>500.0</v>
      </c>
      <c r="H9130" s="3" t="str">
        <f>HYPERLINK("http://www.linkedin.com/pub/nick-oberhuber/4/A76/733","http://www.linkedin.com/pub/nick-oberhuber/4/A76/733")</f>
        <v>http://www.linkedin.com/pub/nick-oberhuber/4/A76/733</v>
      </c>
      <c r="I9130" s="2" t="s">
        <v>15</v>
      </c>
      <c r="J9130" s="2" t="s">
        <v>102</v>
      </c>
      <c r="K9130" s="2" t="s">
        <v>14088</v>
      </c>
    </row>
    <row r="9131" ht="15.75" customHeight="1">
      <c r="A9131" s="2">
        <v>193933.0</v>
      </c>
      <c r="B9131" s="2" t="s">
        <v>16388</v>
      </c>
      <c r="C9131" s="2" t="s">
        <v>948</v>
      </c>
      <c r="D9131" s="2" t="s">
        <v>16389</v>
      </c>
      <c r="E9131" s="2" t="s">
        <v>136</v>
      </c>
      <c r="F9131" s="2">
        <v>3.0</v>
      </c>
      <c r="G9131" s="2">
        <v>500.0</v>
      </c>
      <c r="H9131" s="3" t="str">
        <f>HYPERLINK("http://www.linkedin.com/in/paulvweinstein","http://www.linkedin.com/in/paulvweinstein")</f>
        <v>http://www.linkedin.com/in/paulvweinstein</v>
      </c>
      <c r="I9131" s="2" t="s">
        <v>69</v>
      </c>
      <c r="J9131" s="2" t="s">
        <v>102</v>
      </c>
      <c r="K9131" s="2" t="s">
        <v>16390</v>
      </c>
    </row>
    <row r="9132" ht="15.75" customHeight="1">
      <c r="A9132" s="2">
        <v>194017.0</v>
      </c>
      <c r="B9132" s="2" t="s">
        <v>14093</v>
      </c>
      <c r="C9132" s="2" t="s">
        <v>15232</v>
      </c>
      <c r="D9132" s="2" t="s">
        <v>16391</v>
      </c>
      <c r="E9132" s="2" t="s">
        <v>136</v>
      </c>
      <c r="F9132" s="2">
        <v>3.0</v>
      </c>
      <c r="G9132" s="2">
        <v>500.0</v>
      </c>
      <c r="H9132" s="3" t="str">
        <f>HYPERLINK("http://www.linkedin.com/in/dimitrihage","http://www.linkedin.com/in/dimitrihage")</f>
        <v>http://www.linkedin.com/in/dimitrihage</v>
      </c>
      <c r="I9132" s="2" t="s">
        <v>69</v>
      </c>
      <c r="J9132" s="2" t="s">
        <v>102</v>
      </c>
      <c r="K9132" s="2" t="s">
        <v>14088</v>
      </c>
    </row>
    <row r="9133" ht="15.75" customHeight="1">
      <c r="A9133" s="2">
        <v>194043.0</v>
      </c>
      <c r="B9133" s="2" t="s">
        <v>852</v>
      </c>
      <c r="C9133" s="2" t="s">
        <v>3392</v>
      </c>
      <c r="D9133" s="2" t="s">
        <v>16392</v>
      </c>
      <c r="E9133" s="2" t="s">
        <v>1190</v>
      </c>
      <c r="F9133" s="2">
        <v>25.0</v>
      </c>
      <c r="G9133" s="2">
        <v>500.0</v>
      </c>
      <c r="H9133" s="3" t="str">
        <f>HYPERLINK("http://www.linkedin.com/in/alexanderlopez01","http://www.linkedin.com/in/alexanderlopez01")</f>
        <v>http://www.linkedin.com/in/alexanderlopez01</v>
      </c>
      <c r="I9133" s="2" t="s">
        <v>873</v>
      </c>
      <c r="J9133" s="2" t="s">
        <v>102</v>
      </c>
      <c r="K9133" s="2" t="s">
        <v>14197</v>
      </c>
    </row>
    <row r="9134" ht="15.75" customHeight="1">
      <c r="A9134" s="2">
        <v>194084.0</v>
      </c>
      <c r="B9134" s="2" t="s">
        <v>784</v>
      </c>
      <c r="C9134" s="2" t="s">
        <v>16393</v>
      </c>
      <c r="D9134" s="2" t="s">
        <v>16394</v>
      </c>
      <c r="E9134" s="2" t="s">
        <v>294</v>
      </c>
      <c r="F9134" s="2" t="s">
        <v>13</v>
      </c>
      <c r="G9134" s="2">
        <v>500.0</v>
      </c>
      <c r="H9134" s="3" t="str">
        <f>HYPERLINK("http://www.linkedin.com/in/jeffmonnes","http://www.linkedin.com/in/jeffmonnes")</f>
        <v>http://www.linkedin.com/in/jeffmonnes</v>
      </c>
      <c r="I9134" s="2" t="s">
        <v>15</v>
      </c>
      <c r="J9134" s="2" t="s">
        <v>102</v>
      </c>
      <c r="K9134" s="2" t="s">
        <v>14142</v>
      </c>
    </row>
    <row r="9135" ht="15.75" customHeight="1">
      <c r="A9135" s="2">
        <v>194189.0</v>
      </c>
      <c r="B9135" s="2" t="s">
        <v>665</v>
      </c>
      <c r="C9135" s="2" t="s">
        <v>16395</v>
      </c>
      <c r="D9135" s="2" t="s">
        <v>16396</v>
      </c>
      <c r="E9135" s="2" t="s">
        <v>1407</v>
      </c>
      <c r="F9135" s="2">
        <v>10.0</v>
      </c>
      <c r="G9135" s="2">
        <v>500.0</v>
      </c>
      <c r="H9135" s="3" t="str">
        <f>HYPERLINK("http://www.linkedin.com/in/chambron","http://www.linkedin.com/in/chambron")</f>
        <v>http://www.linkedin.com/in/chambron</v>
      </c>
      <c r="I9135" s="2" t="s">
        <v>69</v>
      </c>
      <c r="J9135" s="2" t="s">
        <v>102</v>
      </c>
      <c r="K9135" s="2" t="s">
        <v>14882</v>
      </c>
    </row>
    <row r="9136" ht="15.75" customHeight="1">
      <c r="A9136" s="2">
        <v>194196.0</v>
      </c>
      <c r="B9136" s="2" t="s">
        <v>471</v>
      </c>
      <c r="C9136" s="2" t="s">
        <v>593</v>
      </c>
      <c r="D9136" s="2" t="s">
        <v>16397</v>
      </c>
      <c r="E9136" s="2" t="s">
        <v>744</v>
      </c>
      <c r="F9136" s="2">
        <v>0.0</v>
      </c>
      <c r="G9136" s="2">
        <v>500.0</v>
      </c>
      <c r="H9136" s="3" t="str">
        <f>HYPERLINK("http://www.linkedin.com/pub/dan-weiss/3/B6B/39B","http://www.linkedin.com/pub/dan-weiss/3/B6B/39B")</f>
        <v>http://www.linkedin.com/pub/dan-weiss/3/B6B/39B</v>
      </c>
      <c r="I9136" s="2" t="s">
        <v>15</v>
      </c>
      <c r="J9136" s="2" t="s">
        <v>102</v>
      </c>
      <c r="K9136" s="2" t="s">
        <v>14142</v>
      </c>
    </row>
    <row r="9137" ht="15.75" customHeight="1">
      <c r="A9137" s="2">
        <v>194249.0</v>
      </c>
      <c r="B9137" s="2" t="s">
        <v>16398</v>
      </c>
      <c r="C9137" s="2" t="s">
        <v>16399</v>
      </c>
      <c r="D9137" s="2" t="s">
        <v>13</v>
      </c>
      <c r="E9137" s="2" t="s">
        <v>16400</v>
      </c>
      <c r="F9137" s="2">
        <v>3.0</v>
      </c>
      <c r="G9137" s="2">
        <v>500.0</v>
      </c>
      <c r="H9137" s="3" t="str">
        <f>HYPERLINK("http://www.linkedin.com/in/nateungerott","http://www.linkedin.com/in/nateungerott")</f>
        <v>http://www.linkedin.com/in/nateungerott</v>
      </c>
      <c r="I9137" s="2" t="s">
        <v>160</v>
      </c>
      <c r="J9137" s="2" t="s">
        <v>102</v>
      </c>
      <c r="K9137" s="2" t="s">
        <v>14055</v>
      </c>
    </row>
    <row r="9138" ht="15.75" customHeight="1">
      <c r="A9138" s="2">
        <v>194314.0</v>
      </c>
      <c r="B9138" s="2" t="s">
        <v>1601</v>
      </c>
      <c r="C9138" s="2" t="s">
        <v>16401</v>
      </c>
      <c r="D9138" s="2" t="s">
        <v>304</v>
      </c>
      <c r="E9138" s="2" t="s">
        <v>628</v>
      </c>
      <c r="F9138" s="2" t="s">
        <v>13</v>
      </c>
      <c r="G9138" s="2">
        <v>369.0</v>
      </c>
      <c r="H9138" s="3" t="str">
        <f>HYPERLINK("http://www.linkedin.com/pub/murali-kanakasabai/2/756/373","http://www.linkedin.com/pub/murali-kanakasabai/2/756/373")</f>
        <v>http://www.linkedin.com/pub/murali-kanakasabai/2/756/373</v>
      </c>
      <c r="I9138" s="2" t="s">
        <v>279</v>
      </c>
      <c r="J9138" s="2" t="s">
        <v>102</v>
      </c>
      <c r="K9138" s="2" t="s">
        <v>14105</v>
      </c>
    </row>
    <row r="9139" ht="15.75" customHeight="1">
      <c r="A9139" s="2">
        <v>194358.0</v>
      </c>
      <c r="B9139" s="2" t="s">
        <v>511</v>
      </c>
      <c r="C9139" s="2" t="s">
        <v>15337</v>
      </c>
      <c r="D9139" s="2" t="s">
        <v>4854</v>
      </c>
      <c r="E9139" s="2" t="s">
        <v>713</v>
      </c>
      <c r="F9139" s="2" t="s">
        <v>13</v>
      </c>
      <c r="G9139" s="2">
        <v>204.0</v>
      </c>
      <c r="H9139" s="3" t="str">
        <f>HYPERLINK("http://www.linkedin.com/in/mikegreene","http://www.linkedin.com/in/mikegreene")</f>
        <v>http://www.linkedin.com/in/mikegreene</v>
      </c>
      <c r="I9139" s="2" t="s">
        <v>15</v>
      </c>
      <c r="J9139" s="2" t="s">
        <v>102</v>
      </c>
      <c r="K9139" s="2" t="s">
        <v>14095</v>
      </c>
    </row>
    <row r="9140" ht="15.75" customHeight="1">
      <c r="A9140" s="2">
        <v>194363.0</v>
      </c>
      <c r="B9140" s="2" t="s">
        <v>947</v>
      </c>
      <c r="C9140" s="2" t="s">
        <v>16402</v>
      </c>
      <c r="D9140" s="2" t="s">
        <v>16403</v>
      </c>
      <c r="E9140" s="2" t="s">
        <v>1407</v>
      </c>
      <c r="F9140" s="2">
        <v>2.0</v>
      </c>
      <c r="G9140" s="2">
        <v>238.0</v>
      </c>
      <c r="H9140" s="3" t="str">
        <f>HYPERLINK("http://www.linkedin.com/in/ggrundstrom","http://www.linkedin.com/in/ggrundstrom")</f>
        <v>http://www.linkedin.com/in/ggrundstrom</v>
      </c>
      <c r="I9140" s="2" t="s">
        <v>15</v>
      </c>
      <c r="J9140" s="2" t="s">
        <v>102</v>
      </c>
      <c r="K9140" s="2" t="s">
        <v>14095</v>
      </c>
    </row>
    <row r="9141" ht="15.75" customHeight="1">
      <c r="A9141" s="2">
        <v>194375.0</v>
      </c>
      <c r="B9141" s="2" t="s">
        <v>341</v>
      </c>
      <c r="C9141" s="2" t="s">
        <v>1103</v>
      </c>
      <c r="D9141" s="2" t="s">
        <v>16404</v>
      </c>
      <c r="E9141" s="2" t="s">
        <v>235</v>
      </c>
      <c r="F9141" s="2">
        <v>13.0</v>
      </c>
      <c r="G9141" s="2">
        <v>500.0</v>
      </c>
      <c r="H9141" s="3" t="str">
        <f>HYPERLINK("http://www.linkedin.com/in/kevhill","http://www.linkedin.com/in/kevhill")</f>
        <v>http://www.linkedin.com/in/kevhill</v>
      </c>
      <c r="I9141" s="2" t="s">
        <v>248</v>
      </c>
      <c r="J9141" s="2" t="s">
        <v>102</v>
      </c>
      <c r="K9141" s="2" t="s">
        <v>14115</v>
      </c>
    </row>
    <row r="9142" ht="15.75" customHeight="1">
      <c r="A9142" s="2">
        <v>194376.0</v>
      </c>
      <c r="B9142" s="2" t="s">
        <v>2109</v>
      </c>
      <c r="C9142" s="2" t="s">
        <v>16405</v>
      </c>
      <c r="D9142" s="2" t="s">
        <v>16406</v>
      </c>
      <c r="E9142" s="2" t="s">
        <v>301</v>
      </c>
      <c r="F9142" s="2">
        <v>10.0</v>
      </c>
      <c r="G9142" s="2">
        <v>500.0</v>
      </c>
      <c r="H9142" s="3" t="str">
        <f>HYPERLINK("http://www.linkedin.com/in/robminaglia1","http://www.linkedin.com/in/robminaglia1")</f>
        <v>http://www.linkedin.com/in/robminaglia1</v>
      </c>
      <c r="I9142" s="2" t="s">
        <v>48</v>
      </c>
      <c r="J9142" s="2" t="s">
        <v>102</v>
      </c>
      <c r="K9142" s="2" t="s">
        <v>14088</v>
      </c>
    </row>
    <row r="9143" ht="15.75" customHeight="1">
      <c r="A9143" s="2">
        <v>194440.0</v>
      </c>
      <c r="B9143" s="2" t="s">
        <v>16407</v>
      </c>
      <c r="C9143" s="2" t="s">
        <v>15231</v>
      </c>
      <c r="D9143" s="2" t="s">
        <v>16408</v>
      </c>
      <c r="E9143" s="2" t="s">
        <v>10658</v>
      </c>
      <c r="F9143" s="2">
        <v>14.0</v>
      </c>
      <c r="G9143" s="2">
        <v>500.0</v>
      </c>
      <c r="H9143" s="3" t="str">
        <f>HYPERLINK("http://www.linkedin.com/in/fali59","http://www.linkedin.com/in/fali59")</f>
        <v>http://www.linkedin.com/in/fali59</v>
      </c>
      <c r="I9143" s="2" t="s">
        <v>865</v>
      </c>
      <c r="J9143" s="2" t="s">
        <v>102</v>
      </c>
      <c r="K9143" s="2" t="s">
        <v>14055</v>
      </c>
    </row>
    <row r="9144" ht="15.75" customHeight="1">
      <c r="A9144" s="2">
        <v>194513.0</v>
      </c>
      <c r="B9144" s="2" t="s">
        <v>460</v>
      </c>
      <c r="C9144" s="2" t="s">
        <v>16409</v>
      </c>
      <c r="D9144" s="2" t="s">
        <v>47</v>
      </c>
      <c r="E9144" s="2" t="s">
        <v>136</v>
      </c>
      <c r="F9144" s="2">
        <v>16.0</v>
      </c>
      <c r="G9144" s="2">
        <v>500.0</v>
      </c>
      <c r="H9144" s="3" t="str">
        <f>HYPERLINK("http://www.linkedin.com/pub/john-donham/0/72/600","http://www.linkedin.com/pub/john-donham/0/72/600")</f>
        <v>http://www.linkedin.com/pub/john-donham/0/72/600</v>
      </c>
      <c r="I9144" s="2" t="s">
        <v>69</v>
      </c>
      <c r="J9144" s="2" t="s">
        <v>102</v>
      </c>
      <c r="K9144" s="2" t="s">
        <v>14073</v>
      </c>
    </row>
    <row r="9145" ht="15.75" customHeight="1">
      <c r="A9145" s="2">
        <v>194582.0</v>
      </c>
      <c r="B9145" s="2" t="s">
        <v>866</v>
      </c>
      <c r="C9145" s="2" t="s">
        <v>16410</v>
      </c>
      <c r="D9145" s="2" t="s">
        <v>16411</v>
      </c>
      <c r="E9145" s="2" t="s">
        <v>728</v>
      </c>
      <c r="F9145" s="2">
        <v>8.0</v>
      </c>
      <c r="G9145" s="2">
        <v>500.0</v>
      </c>
      <c r="H9145" s="3" t="str">
        <f>HYPERLINK("http://www.linkedin.com/in/nicoleblomgren","http://www.linkedin.com/in/nicoleblomgren")</f>
        <v>http://www.linkedin.com/in/nicoleblomgren</v>
      </c>
      <c r="I9145" s="2" t="s">
        <v>248</v>
      </c>
      <c r="J9145" s="2" t="s">
        <v>102</v>
      </c>
      <c r="K9145" s="2" t="s">
        <v>14105</v>
      </c>
    </row>
    <row r="9146" ht="15.75" customHeight="1">
      <c r="A9146" s="2">
        <v>194607.0</v>
      </c>
      <c r="B9146" s="2" t="s">
        <v>16412</v>
      </c>
      <c r="C9146" s="2" t="s">
        <v>12053</v>
      </c>
      <c r="D9146" s="2" t="s">
        <v>16413</v>
      </c>
      <c r="E9146" s="2" t="s">
        <v>1615</v>
      </c>
      <c r="F9146" s="2">
        <v>6.0</v>
      </c>
      <c r="G9146" s="2">
        <v>500.0</v>
      </c>
      <c r="H9146" s="3" t="str">
        <f>HYPERLINK("http://www.linkedin.com/in/henryearaya","http://www.linkedin.com/in/henryearaya")</f>
        <v>http://www.linkedin.com/in/henryearaya</v>
      </c>
      <c r="I9146" s="2" t="s">
        <v>15</v>
      </c>
      <c r="J9146" s="2" t="s">
        <v>102</v>
      </c>
      <c r="K9146" s="2" t="s">
        <v>14071</v>
      </c>
    </row>
    <row r="9147" ht="15.75" customHeight="1">
      <c r="A9147" s="2">
        <v>194652.0</v>
      </c>
      <c r="B9147" s="2" t="s">
        <v>1284</v>
      </c>
      <c r="C9147" s="2" t="s">
        <v>16414</v>
      </c>
      <c r="D9147" s="2" t="s">
        <v>47</v>
      </c>
      <c r="E9147" s="2" t="s">
        <v>762</v>
      </c>
      <c r="F9147" s="2">
        <v>43.0</v>
      </c>
      <c r="G9147" s="2">
        <v>500.0</v>
      </c>
      <c r="H9147" s="3" t="str">
        <f>HYPERLINK("http://www.linkedin.com/in/castoro","http://www.linkedin.com/in/castoro")</f>
        <v>http://www.linkedin.com/in/castoro</v>
      </c>
      <c r="I9147" s="2" t="s">
        <v>143</v>
      </c>
      <c r="J9147" s="2" t="s">
        <v>102</v>
      </c>
      <c r="K9147" s="2" t="s">
        <v>14082</v>
      </c>
    </row>
    <row r="9148" ht="15.75" customHeight="1">
      <c r="A9148" s="2">
        <v>194663.0</v>
      </c>
      <c r="B9148" s="2" t="s">
        <v>879</v>
      </c>
      <c r="C9148" s="2" t="s">
        <v>1299</v>
      </c>
      <c r="D9148" s="2" t="s">
        <v>1017</v>
      </c>
      <c r="E9148" s="2" t="s">
        <v>762</v>
      </c>
      <c r="F9148" s="2">
        <v>17.0</v>
      </c>
      <c r="G9148" s="2">
        <v>500.0</v>
      </c>
      <c r="H9148" s="3" t="str">
        <f>HYPERLINK("http://www.linkedin.com/in/richardbarnett","http://www.linkedin.com/in/richardbarnett")</f>
        <v>http://www.linkedin.com/in/richardbarnett</v>
      </c>
      <c r="I9148" s="2" t="s">
        <v>15</v>
      </c>
      <c r="J9148" s="2" t="s">
        <v>102</v>
      </c>
      <c r="K9148" s="2" t="s">
        <v>14080</v>
      </c>
    </row>
    <row r="9149" ht="15.75" customHeight="1">
      <c r="A9149" s="2">
        <v>194718.0</v>
      </c>
      <c r="B9149" s="2" t="s">
        <v>796</v>
      </c>
      <c r="C9149" s="2" t="s">
        <v>16415</v>
      </c>
      <c r="D9149" s="2" t="s">
        <v>16416</v>
      </c>
      <c r="E9149" s="2" t="s">
        <v>628</v>
      </c>
      <c r="F9149" s="2">
        <v>6.0</v>
      </c>
      <c r="G9149" s="2">
        <v>500.0</v>
      </c>
      <c r="H9149" s="3" t="str">
        <f>HYPERLINK("http://www.linkedin.com/in/simongoodall","http://www.linkedin.com/in/simongoodall")</f>
        <v>http://www.linkedin.com/in/simongoodall</v>
      </c>
      <c r="I9149" s="2" t="s">
        <v>69</v>
      </c>
      <c r="J9149" s="2" t="s">
        <v>102</v>
      </c>
      <c r="K9149" s="2" t="s">
        <v>14088</v>
      </c>
    </row>
    <row r="9150" ht="15.75" customHeight="1">
      <c r="A9150" s="2">
        <v>194722.0</v>
      </c>
      <c r="B9150" s="2" t="s">
        <v>625</v>
      </c>
      <c r="C9150" s="2" t="s">
        <v>16417</v>
      </c>
      <c r="D9150" s="2" t="s">
        <v>15794</v>
      </c>
      <c r="E9150" s="2" t="s">
        <v>713</v>
      </c>
      <c r="F9150" s="2">
        <v>4.0</v>
      </c>
      <c r="G9150" s="2">
        <v>500.0</v>
      </c>
      <c r="H9150" s="3" t="str">
        <f>HYPERLINK("http://www.linkedin.com/in/andreae","http://www.linkedin.com/in/andreae")</f>
        <v>http://www.linkedin.com/in/andreae</v>
      </c>
      <c r="I9150" s="2" t="s">
        <v>48</v>
      </c>
      <c r="J9150" s="2" t="s">
        <v>102</v>
      </c>
      <c r="K9150" s="2" t="s">
        <v>14095</v>
      </c>
    </row>
    <row r="9151" ht="15.75" customHeight="1">
      <c r="A9151" s="2">
        <v>194895.0</v>
      </c>
      <c r="B9151" s="2" t="s">
        <v>4183</v>
      </c>
      <c r="C9151" s="2" t="s">
        <v>16418</v>
      </c>
      <c r="D9151" s="2" t="s">
        <v>114</v>
      </c>
      <c r="E9151" s="2" t="s">
        <v>1234</v>
      </c>
      <c r="F9151" s="2">
        <v>7.0</v>
      </c>
      <c r="G9151" s="2">
        <v>500.0</v>
      </c>
      <c r="H9151" s="3" t="str">
        <f>HYPERLINK("http://www.linkedin.com/in/kennethgroberts","http://www.linkedin.com/in/kennethgroberts")</f>
        <v>http://www.linkedin.com/in/kennethgroberts</v>
      </c>
      <c r="I9151" s="2" t="s">
        <v>6750</v>
      </c>
      <c r="J9151" s="2" t="s">
        <v>102</v>
      </c>
      <c r="K9151" s="2" t="s">
        <v>14055</v>
      </c>
    </row>
    <row r="9152" ht="15.75" customHeight="1">
      <c r="A9152" s="2">
        <v>194934.0</v>
      </c>
      <c r="B9152" s="2" t="s">
        <v>16419</v>
      </c>
      <c r="C9152" s="2" t="s">
        <v>16420</v>
      </c>
      <c r="D9152" s="2" t="s">
        <v>16421</v>
      </c>
      <c r="E9152" s="2" t="s">
        <v>2058</v>
      </c>
      <c r="F9152" s="2">
        <v>8.0</v>
      </c>
      <c r="G9152" s="2">
        <v>455.0</v>
      </c>
      <c r="H9152" s="3" t="str">
        <f>HYPERLINK("http://www.linkedin.com/pub/asaf-silberstein/1/525/664","http://www.linkedin.com/pub/asaf-silberstein/1/525/664")</f>
        <v>http://www.linkedin.com/pub/asaf-silberstein/1/525/664</v>
      </c>
      <c r="I9152" s="2" t="s">
        <v>167</v>
      </c>
      <c r="J9152" s="2" t="s">
        <v>102</v>
      </c>
      <c r="K9152" s="2" t="s">
        <v>16422</v>
      </c>
    </row>
    <row r="9153" ht="15.75" customHeight="1">
      <c r="A9153" s="2">
        <v>194948.0</v>
      </c>
      <c r="B9153" s="2" t="s">
        <v>16423</v>
      </c>
      <c r="C9153" s="2" t="s">
        <v>4983</v>
      </c>
      <c r="D9153" s="2" t="s">
        <v>16424</v>
      </c>
      <c r="E9153" s="2" t="s">
        <v>136</v>
      </c>
      <c r="F9153" s="2">
        <v>0.0</v>
      </c>
      <c r="G9153" s="2">
        <v>500.0</v>
      </c>
      <c r="H9153" s="3" t="str">
        <f>HYPERLINK("http://www.linkedin.com/pub/thy-lam/1/786/643","http://www.linkedin.com/pub/thy-lam/1/786/643")</f>
        <v>http://www.linkedin.com/pub/thy-lam/1/786/643</v>
      </c>
      <c r="I9153" s="2" t="s">
        <v>69</v>
      </c>
      <c r="J9153" s="2" t="s">
        <v>102</v>
      </c>
      <c r="K9153" s="2" t="s">
        <v>14092</v>
      </c>
    </row>
    <row r="9154" ht="15.75" customHeight="1">
      <c r="A9154" s="2">
        <v>194981.0</v>
      </c>
      <c r="B9154" s="2" t="s">
        <v>511</v>
      </c>
      <c r="C9154" s="2" t="s">
        <v>1599</v>
      </c>
      <c r="D9154" s="2" t="s">
        <v>16425</v>
      </c>
      <c r="E9154" s="2" t="s">
        <v>3334</v>
      </c>
      <c r="F9154" s="2">
        <v>9.0</v>
      </c>
      <c r="G9154" s="2">
        <v>500.0</v>
      </c>
      <c r="H9154" s="3" t="str">
        <f>HYPERLINK("http://www.linkedin.com/in/mikeoliversolus","http://www.linkedin.com/in/mikeoliversolus")</f>
        <v>http://www.linkedin.com/in/mikeoliversolus</v>
      </c>
      <c r="I9154" s="2" t="s">
        <v>77</v>
      </c>
      <c r="J9154" s="2" t="s">
        <v>102</v>
      </c>
      <c r="K9154" s="2" t="s">
        <v>14211</v>
      </c>
    </row>
    <row r="9155" ht="15.75" customHeight="1">
      <c r="A9155" s="2">
        <v>195024.0</v>
      </c>
      <c r="B9155" s="2" t="s">
        <v>5197</v>
      </c>
      <c r="C9155" s="2" t="s">
        <v>1843</v>
      </c>
      <c r="D9155" s="2" t="s">
        <v>14513</v>
      </c>
      <c r="E9155" s="2" t="s">
        <v>136</v>
      </c>
      <c r="F9155" s="2">
        <v>19.0</v>
      </c>
      <c r="G9155" s="2">
        <v>500.0</v>
      </c>
      <c r="H9155" s="3" t="str">
        <f>HYPERLINK("http://www.linkedin.com/in/praveenshah","http://www.linkedin.com/in/praveenshah")</f>
        <v>http://www.linkedin.com/in/praveenshah</v>
      </c>
      <c r="I9155" s="2" t="s">
        <v>172</v>
      </c>
      <c r="J9155" s="2" t="s">
        <v>102</v>
      </c>
      <c r="K9155" s="2" t="s">
        <v>14074</v>
      </c>
    </row>
    <row r="9156" ht="15.75" customHeight="1">
      <c r="A9156" s="2">
        <v>195097.0</v>
      </c>
      <c r="B9156" s="2" t="s">
        <v>1173</v>
      </c>
      <c r="C9156" s="2" t="s">
        <v>16426</v>
      </c>
      <c r="D9156" s="2" t="s">
        <v>410</v>
      </c>
      <c r="E9156" s="2" t="s">
        <v>101</v>
      </c>
      <c r="F9156" s="2">
        <v>1.0</v>
      </c>
      <c r="G9156" s="2">
        <v>118.0</v>
      </c>
      <c r="H9156" s="3" t="str">
        <f>HYPERLINK("http://www.linkedin.com/pub/steve-potter/0/83B/803","http://www.linkedin.com/pub/steve-potter/0/83B/803")</f>
        <v>http://www.linkedin.com/pub/steve-potter/0/83B/803</v>
      </c>
      <c r="I9156" s="2" t="s">
        <v>15</v>
      </c>
      <c r="J9156" s="2" t="s">
        <v>102</v>
      </c>
      <c r="K9156" s="2" t="s">
        <v>14095</v>
      </c>
    </row>
    <row r="9157" ht="15.75" customHeight="1">
      <c r="A9157" s="2">
        <v>195173.0</v>
      </c>
      <c r="B9157" s="2" t="s">
        <v>4954</v>
      </c>
      <c r="C9157" s="2" t="s">
        <v>16427</v>
      </c>
      <c r="D9157" s="2" t="s">
        <v>13</v>
      </c>
      <c r="E9157" s="2" t="s">
        <v>136</v>
      </c>
      <c r="F9157" s="2">
        <v>0.0</v>
      </c>
      <c r="G9157" s="2">
        <v>500.0</v>
      </c>
      <c r="H9157" s="3" t="str">
        <f>HYPERLINK("http://www.linkedin.com/pub/carolyn-crandall/0/332/47A","http://www.linkedin.com/pub/carolyn-crandall/0/332/47A")</f>
        <v>http://www.linkedin.com/pub/carolyn-crandall/0/332/47A</v>
      </c>
      <c r="I9157" s="2" t="s">
        <v>48</v>
      </c>
      <c r="J9157" s="2" t="s">
        <v>102</v>
      </c>
      <c r="K9157" s="2" t="s">
        <v>14080</v>
      </c>
    </row>
    <row r="9158" ht="15.75" customHeight="1">
      <c r="A9158" s="2">
        <v>195311.0</v>
      </c>
      <c r="B9158" s="2" t="s">
        <v>710</v>
      </c>
      <c r="C9158" s="2" t="s">
        <v>4033</v>
      </c>
      <c r="D9158" s="2" t="s">
        <v>3013</v>
      </c>
      <c r="E9158" s="2" t="s">
        <v>136</v>
      </c>
      <c r="F9158" s="2" t="s">
        <v>13</v>
      </c>
      <c r="G9158" s="2">
        <v>163.0</v>
      </c>
      <c r="H9158" s="3" t="str">
        <f>HYPERLINK("http://www.linkedin.com/in/jasonyan","http://www.linkedin.com/in/jasonyan")</f>
        <v>http://www.linkedin.com/in/jasonyan</v>
      </c>
      <c r="I9158" s="2" t="s">
        <v>15</v>
      </c>
      <c r="J9158" s="2" t="s">
        <v>102</v>
      </c>
      <c r="K9158" s="2" t="s">
        <v>14142</v>
      </c>
    </row>
    <row r="9159" ht="15.75" customHeight="1">
      <c r="A9159" s="2">
        <v>195383.0</v>
      </c>
      <c r="B9159" s="2" t="s">
        <v>275</v>
      </c>
      <c r="C9159" s="2" t="s">
        <v>16428</v>
      </c>
      <c r="D9159" s="2" t="s">
        <v>16429</v>
      </c>
      <c r="E9159" s="2" t="s">
        <v>101</v>
      </c>
      <c r="F9159" s="2">
        <v>10.0</v>
      </c>
      <c r="G9159" s="2">
        <v>500.0</v>
      </c>
      <c r="H9159" s="3" t="str">
        <f>HYPERLINK("http://www.linkedin.com/pub/mark-hipp/2/BA8/B08","http://www.linkedin.com/pub/mark-hipp/2/BA8/B08")</f>
        <v>http://www.linkedin.com/pub/mark-hipp/2/BA8/B08</v>
      </c>
      <c r="I9159" s="2" t="s">
        <v>48</v>
      </c>
      <c r="J9159" s="2" t="s">
        <v>102</v>
      </c>
      <c r="K9159" s="2" t="s">
        <v>16430</v>
      </c>
    </row>
    <row r="9160" ht="15.75" customHeight="1">
      <c r="A9160" s="2">
        <v>195386.0</v>
      </c>
      <c r="B9160" s="2" t="s">
        <v>2198</v>
      </c>
      <c r="C9160" s="2" t="s">
        <v>16431</v>
      </c>
      <c r="D9160" s="2" t="s">
        <v>943</v>
      </c>
      <c r="E9160" s="2" t="s">
        <v>136</v>
      </c>
      <c r="F9160" s="2">
        <v>17.0</v>
      </c>
      <c r="G9160" s="2">
        <v>500.0</v>
      </c>
      <c r="H9160" s="3" t="str">
        <f>HYPERLINK("http://www.linkedin.com/in/neilhaldar","http://www.linkedin.com/in/neilhaldar")</f>
        <v>http://www.linkedin.com/in/neilhaldar</v>
      </c>
      <c r="I9160" s="2" t="s">
        <v>910</v>
      </c>
      <c r="J9160" s="2" t="s">
        <v>102</v>
      </c>
      <c r="K9160" s="2" t="s">
        <v>14055</v>
      </c>
    </row>
    <row r="9161" ht="15.75" customHeight="1">
      <c r="A9161" s="2">
        <v>195444.0</v>
      </c>
      <c r="B9161" s="2" t="s">
        <v>1260</v>
      </c>
      <c r="C9161" s="2" t="s">
        <v>16432</v>
      </c>
      <c r="D9161" s="2" t="s">
        <v>16433</v>
      </c>
      <c r="E9161" s="2" t="s">
        <v>1407</v>
      </c>
      <c r="F9161" s="2">
        <v>38.0</v>
      </c>
      <c r="G9161" s="2">
        <v>500.0</v>
      </c>
      <c r="H9161" s="3" t="str">
        <f>HYPERLINK("http://www.linkedin.com/pub/darren-ferrar/1/89B/881","http://www.linkedin.com/pub/darren-ferrar/1/89B/881")</f>
        <v>http://www.linkedin.com/pub/darren-ferrar/1/89B/881</v>
      </c>
      <c r="I9161" s="2" t="s">
        <v>1107</v>
      </c>
      <c r="J9161" s="2" t="s">
        <v>102</v>
      </c>
      <c r="K9161" s="2" t="s">
        <v>14092</v>
      </c>
    </row>
    <row r="9162" ht="15.75" customHeight="1">
      <c r="A9162" s="2">
        <v>195467.0</v>
      </c>
      <c r="B9162" s="2" t="s">
        <v>12275</v>
      </c>
      <c r="C9162" s="2" t="s">
        <v>16434</v>
      </c>
      <c r="D9162" s="2" t="s">
        <v>16435</v>
      </c>
      <c r="E9162" s="2" t="s">
        <v>2426</v>
      </c>
      <c r="F9162" s="2">
        <v>19.0</v>
      </c>
      <c r="G9162" s="2">
        <v>479.0</v>
      </c>
      <c r="H9162" s="3" t="str">
        <f>HYPERLINK("http://www.linkedin.com/in/terihuenink","http://www.linkedin.com/in/terihuenink")</f>
        <v>http://www.linkedin.com/in/terihuenink</v>
      </c>
      <c r="I9162" s="2" t="s">
        <v>105</v>
      </c>
      <c r="J9162" s="2" t="s">
        <v>102</v>
      </c>
      <c r="K9162" s="2" t="s">
        <v>14071</v>
      </c>
    </row>
    <row r="9163" ht="15.75" customHeight="1">
      <c r="A9163" s="2">
        <v>195610.0</v>
      </c>
      <c r="B9163" s="2" t="s">
        <v>16436</v>
      </c>
      <c r="C9163" s="2" t="s">
        <v>66</v>
      </c>
      <c r="D9163" s="2" t="s">
        <v>13</v>
      </c>
      <c r="E9163" s="2" t="s">
        <v>136</v>
      </c>
      <c r="F9163" s="2">
        <v>0.0</v>
      </c>
      <c r="G9163" s="2">
        <v>500.0</v>
      </c>
      <c r="H9163" s="3" t="str">
        <f>HYPERLINK("http://www.linkedin.com/pub/genia-jacques/0/13A/A97","http://www.linkedin.com/pub/genia-jacques/0/13A/A97")</f>
        <v>http://www.linkedin.com/pub/genia-jacques/0/13A/A97</v>
      </c>
      <c r="I9163" s="2" t="s">
        <v>48</v>
      </c>
      <c r="J9163" s="2" t="s">
        <v>102</v>
      </c>
      <c r="K9163" s="2" t="s">
        <v>14088</v>
      </c>
    </row>
    <row r="9164" ht="15.75" customHeight="1">
      <c r="A9164" s="2">
        <v>195751.0</v>
      </c>
      <c r="B9164" s="2" t="s">
        <v>275</v>
      </c>
      <c r="C9164" s="2" t="s">
        <v>1456</v>
      </c>
      <c r="D9164" s="2" t="s">
        <v>16437</v>
      </c>
      <c r="E9164" s="2" t="s">
        <v>2463</v>
      </c>
      <c r="F9164" s="2">
        <v>12.0</v>
      </c>
      <c r="G9164" s="2">
        <v>500.0</v>
      </c>
      <c r="H9164" s="3" t="str">
        <f>HYPERLINK("http://www.linkedin.com/in/markandersonindy","http://www.linkedin.com/in/markandersonindy")</f>
        <v>http://www.linkedin.com/in/markandersonindy</v>
      </c>
      <c r="I9164" s="2" t="s">
        <v>69</v>
      </c>
      <c r="J9164" s="2" t="s">
        <v>102</v>
      </c>
      <c r="K9164" s="2" t="s">
        <v>14111</v>
      </c>
    </row>
    <row r="9165" ht="15.75" customHeight="1">
      <c r="A9165" s="2">
        <v>195846.0</v>
      </c>
      <c r="B9165" s="2" t="s">
        <v>845</v>
      </c>
      <c r="C9165" s="2" t="s">
        <v>16438</v>
      </c>
      <c r="D9165" s="2" t="s">
        <v>14914</v>
      </c>
      <c r="E9165" s="2" t="s">
        <v>713</v>
      </c>
      <c r="F9165" s="2">
        <v>0.0</v>
      </c>
      <c r="G9165" s="2">
        <v>500.0</v>
      </c>
      <c r="H9165" s="3" t="str">
        <f>HYPERLINK("http://www.linkedin.com/pub/david-dahn-cpa-mst/0/36A/317","http://www.linkedin.com/pub/david-dahn-cpa-mst/0/36A/317")</f>
        <v>http://www.linkedin.com/pub/david-dahn-cpa-mst/0/36A/317</v>
      </c>
      <c r="I9165" s="2" t="s">
        <v>599</v>
      </c>
      <c r="J9165" s="2" t="s">
        <v>102</v>
      </c>
      <c r="K9165" s="2" t="s">
        <v>14055</v>
      </c>
    </row>
    <row r="9166" ht="15.75" customHeight="1">
      <c r="A9166" s="2">
        <v>195907.0</v>
      </c>
      <c r="B9166" s="2" t="s">
        <v>1015</v>
      </c>
      <c r="C9166" s="2" t="s">
        <v>14701</v>
      </c>
      <c r="D9166" s="2" t="s">
        <v>13</v>
      </c>
      <c r="E9166" s="2" t="s">
        <v>136</v>
      </c>
      <c r="F9166" s="2">
        <v>0.0</v>
      </c>
      <c r="G9166" s="2">
        <v>500.0</v>
      </c>
      <c r="H9166" s="3" t="str">
        <f>HYPERLINK("http://www.linkedin.com/in/brianbowman","http://www.linkedin.com/in/brianbowman")</f>
        <v>http://www.linkedin.com/in/brianbowman</v>
      </c>
      <c r="I9166" s="2" t="s">
        <v>69</v>
      </c>
      <c r="J9166" s="2" t="s">
        <v>102</v>
      </c>
      <c r="K9166" s="2" t="s">
        <v>14071</v>
      </c>
    </row>
    <row r="9167" ht="15.75" customHeight="1">
      <c r="A9167" s="2">
        <v>195959.0</v>
      </c>
      <c r="B9167" s="2" t="s">
        <v>11636</v>
      </c>
      <c r="C9167" s="2" t="s">
        <v>4829</v>
      </c>
      <c r="D9167" s="2" t="s">
        <v>16439</v>
      </c>
      <c r="E9167" s="2" t="s">
        <v>301</v>
      </c>
      <c r="F9167" s="2">
        <v>3.0</v>
      </c>
      <c r="G9167" s="2">
        <v>500.0</v>
      </c>
      <c r="H9167" s="3" t="str">
        <f>HYPERLINK("http://www.linkedin.com/in/evanbauer","http://www.linkedin.com/in/evanbauer")</f>
        <v>http://www.linkedin.com/in/evanbauer</v>
      </c>
      <c r="I9167" s="2" t="s">
        <v>48</v>
      </c>
      <c r="J9167" s="2" t="s">
        <v>102</v>
      </c>
      <c r="K9167" s="2" t="s">
        <v>14080</v>
      </c>
    </row>
    <row r="9168" ht="15.75" customHeight="1">
      <c r="A9168" s="2">
        <v>196002.0</v>
      </c>
      <c r="B9168" s="2" t="s">
        <v>625</v>
      </c>
      <c r="C9168" s="2" t="s">
        <v>11086</v>
      </c>
      <c r="D9168" s="2" t="s">
        <v>47</v>
      </c>
      <c r="E9168" s="2" t="s">
        <v>3709</v>
      </c>
      <c r="F9168" s="2">
        <v>0.0</v>
      </c>
      <c r="G9168" s="2">
        <v>60.0</v>
      </c>
      <c r="H9168" s="3" t="str">
        <f>HYPERLINK("http://uk.linkedin.com/pub/tim-donald/A/4B0/829","http://uk.linkedin.com/pub/tim-donald/A/4B0/829")</f>
        <v>http://uk.linkedin.com/pub/tim-donald/A/4B0/829</v>
      </c>
      <c r="I9168" s="2" t="s">
        <v>48</v>
      </c>
      <c r="J9168" s="2" t="s">
        <v>53</v>
      </c>
      <c r="K9168" s="2" t="s">
        <v>14074</v>
      </c>
    </row>
    <row r="9169" ht="15.75" customHeight="1">
      <c r="A9169" s="2">
        <v>196021.0</v>
      </c>
      <c r="B9169" s="2" t="s">
        <v>993</v>
      </c>
      <c r="C9169" s="2" t="s">
        <v>16440</v>
      </c>
      <c r="D9169" s="2" t="s">
        <v>16441</v>
      </c>
      <c r="E9169" s="2" t="s">
        <v>235</v>
      </c>
      <c r="F9169" s="2">
        <v>17.0</v>
      </c>
      <c r="G9169" s="2">
        <v>500.0</v>
      </c>
      <c r="H9169" s="3" t="str">
        <f>HYPERLINK("http://www.linkedin.com/in/jonfukuda","http://www.linkedin.com/in/jonfukuda")</f>
        <v>http://www.linkedin.com/in/jonfukuda</v>
      </c>
      <c r="I9169" s="2" t="s">
        <v>15</v>
      </c>
      <c r="J9169" s="2" t="s">
        <v>102</v>
      </c>
      <c r="K9169" s="2" t="s">
        <v>14088</v>
      </c>
    </row>
    <row r="9170" ht="15.75" customHeight="1">
      <c r="A9170" s="2">
        <v>196166.0</v>
      </c>
      <c r="B9170" s="2" t="s">
        <v>16442</v>
      </c>
      <c r="C9170" s="2" t="s">
        <v>2810</v>
      </c>
      <c r="D9170" s="2" t="s">
        <v>16443</v>
      </c>
      <c r="E9170" s="2" t="s">
        <v>136</v>
      </c>
      <c r="F9170" s="2">
        <v>9.0</v>
      </c>
      <c r="G9170" s="2">
        <v>500.0</v>
      </c>
      <c r="H9170" s="3" t="str">
        <f>HYPERLINK("http://www.linkedin.com/pub/balakrishna-narasimhan/0/938/627","http://www.linkedin.com/pub/balakrishna-narasimhan/0/938/627")</f>
        <v>http://www.linkedin.com/pub/balakrishna-narasimhan/0/938/627</v>
      </c>
      <c r="I9170" s="2" t="s">
        <v>15</v>
      </c>
      <c r="J9170" s="2" t="s">
        <v>102</v>
      </c>
      <c r="K9170" s="2" t="s">
        <v>14088</v>
      </c>
    </row>
    <row r="9171" ht="15.75" customHeight="1">
      <c r="A9171" s="2">
        <v>196172.0</v>
      </c>
      <c r="B9171" s="2" t="s">
        <v>471</v>
      </c>
      <c r="C9171" s="2" t="s">
        <v>2722</v>
      </c>
      <c r="D9171" s="2" t="s">
        <v>16444</v>
      </c>
      <c r="E9171" s="2" t="s">
        <v>301</v>
      </c>
      <c r="F9171" s="2">
        <v>17.0</v>
      </c>
      <c r="G9171" s="2">
        <v>500.0</v>
      </c>
      <c r="H9171" s="3" t="str">
        <f>HYPERLINK("http://www.linkedin.com/pub/dan-hight/1/A41/47A","http://www.linkedin.com/pub/dan-hight/1/A41/47A")</f>
        <v>http://www.linkedin.com/pub/dan-hight/1/A41/47A</v>
      </c>
      <c r="I9171" s="2" t="s">
        <v>105</v>
      </c>
      <c r="J9171" s="2" t="s">
        <v>102</v>
      </c>
      <c r="K9171" s="2" t="s">
        <v>14055</v>
      </c>
    </row>
    <row r="9172" ht="15.75" customHeight="1">
      <c r="A9172" s="2">
        <v>196199.0</v>
      </c>
      <c r="B9172" s="2" t="s">
        <v>5078</v>
      </c>
      <c r="C9172" s="2" t="s">
        <v>1729</v>
      </c>
      <c r="D9172" s="2" t="s">
        <v>16445</v>
      </c>
      <c r="E9172" s="2" t="s">
        <v>1190</v>
      </c>
      <c r="F9172" s="2">
        <v>1.0</v>
      </c>
      <c r="G9172" s="2">
        <v>500.0</v>
      </c>
      <c r="H9172" s="3" t="str">
        <f>HYPERLINK("http://www.linkedin.com/in/diegofmartinez","http://www.linkedin.com/in/diegofmartinez")</f>
        <v>http://www.linkedin.com/in/diegofmartinez</v>
      </c>
      <c r="I9172" s="2" t="s">
        <v>77</v>
      </c>
      <c r="J9172" s="2" t="s">
        <v>102</v>
      </c>
      <c r="K9172" s="2" t="s">
        <v>14105</v>
      </c>
    </row>
    <row r="9173" ht="15.75" customHeight="1">
      <c r="A9173" s="2">
        <v>196287.0</v>
      </c>
      <c r="B9173" s="2" t="s">
        <v>784</v>
      </c>
      <c r="C9173" s="2" t="s">
        <v>16446</v>
      </c>
      <c r="D9173" s="2" t="s">
        <v>16447</v>
      </c>
      <c r="E9173" s="2" t="s">
        <v>762</v>
      </c>
      <c r="F9173" s="2">
        <v>2.0</v>
      </c>
      <c r="G9173" s="2">
        <v>500.0</v>
      </c>
      <c r="H9173" s="3" t="str">
        <f>HYPERLINK("http://www.linkedin.com/in/jeffmucci","http://www.linkedin.com/in/jeffmucci")</f>
        <v>http://www.linkedin.com/in/jeffmucci</v>
      </c>
      <c r="I9173" s="2" t="s">
        <v>326</v>
      </c>
      <c r="J9173" s="2" t="s">
        <v>102</v>
      </c>
      <c r="K9173" s="2" t="s">
        <v>14074</v>
      </c>
    </row>
    <row r="9174" ht="15.75" customHeight="1">
      <c r="A9174" s="2">
        <v>196380.0</v>
      </c>
      <c r="B9174" s="2" t="s">
        <v>5389</v>
      </c>
      <c r="C9174" s="2" t="s">
        <v>16448</v>
      </c>
      <c r="D9174" s="2" t="s">
        <v>16449</v>
      </c>
      <c r="E9174" s="2" t="s">
        <v>2058</v>
      </c>
      <c r="F9174" s="2">
        <v>1.0</v>
      </c>
      <c r="G9174" s="2">
        <v>500.0</v>
      </c>
      <c r="H9174" s="3" t="str">
        <f>HYPERLINK("http://www.linkedin.com/in/paulaarnett","http://www.linkedin.com/in/paulaarnett")</f>
        <v>http://www.linkedin.com/in/paulaarnett</v>
      </c>
      <c r="I9174" s="2" t="s">
        <v>69</v>
      </c>
      <c r="J9174" s="2" t="s">
        <v>102</v>
      </c>
      <c r="K9174" s="2" t="s">
        <v>14088</v>
      </c>
    </row>
    <row r="9175" ht="15.75" customHeight="1">
      <c r="A9175" s="2">
        <v>196461.0</v>
      </c>
      <c r="B9175" s="2" t="s">
        <v>2242</v>
      </c>
      <c r="C9175" s="2" t="s">
        <v>16450</v>
      </c>
      <c r="D9175" s="2" t="s">
        <v>108</v>
      </c>
      <c r="E9175" s="2" t="s">
        <v>713</v>
      </c>
      <c r="F9175" s="2">
        <v>34.0</v>
      </c>
      <c r="G9175" s="2">
        <v>500.0</v>
      </c>
      <c r="H9175" s="3" t="str">
        <f>HYPERLINK("http://www.linkedin.com/in/yoavshapira","http://www.linkedin.com/in/yoavshapira")</f>
        <v>http://www.linkedin.com/in/yoavshapira</v>
      </c>
      <c r="I9175" s="2" t="s">
        <v>48</v>
      </c>
      <c r="J9175" s="2" t="s">
        <v>102</v>
      </c>
      <c r="K9175" s="2" t="s">
        <v>14117</v>
      </c>
    </row>
    <row r="9176" ht="15.75" customHeight="1">
      <c r="A9176" s="2">
        <v>196467.0</v>
      </c>
      <c r="B9176" s="2" t="s">
        <v>1617</v>
      </c>
      <c r="C9176" s="2" t="s">
        <v>3249</v>
      </c>
      <c r="D9176" s="2" t="s">
        <v>1059</v>
      </c>
      <c r="E9176" s="2" t="s">
        <v>407</v>
      </c>
      <c r="F9176" s="2">
        <v>6.0</v>
      </c>
      <c r="G9176" s="2">
        <v>500.0</v>
      </c>
      <c r="H9176" s="3" t="str">
        <f>HYPERLINK("http://www.linkedin.com/in/gazelleinteractive","http://www.linkedin.com/in/gazelleinteractive")</f>
        <v>http://www.linkedin.com/in/gazelleinteractive</v>
      </c>
      <c r="I9176" s="2" t="s">
        <v>105</v>
      </c>
      <c r="J9176" s="2" t="s">
        <v>102</v>
      </c>
      <c r="K9176" s="2" t="s">
        <v>14055</v>
      </c>
    </row>
    <row r="9177" ht="15.75" customHeight="1">
      <c r="A9177" s="2">
        <v>196522.0</v>
      </c>
      <c r="B9177" s="2" t="s">
        <v>1004</v>
      </c>
      <c r="C9177" s="2" t="s">
        <v>16451</v>
      </c>
      <c r="D9177" s="2" t="s">
        <v>47</v>
      </c>
      <c r="E9177" s="2" t="s">
        <v>136</v>
      </c>
      <c r="F9177" s="2">
        <v>2.0</v>
      </c>
      <c r="G9177" s="2">
        <v>500.0</v>
      </c>
      <c r="H9177" s="3" t="str">
        <f>HYPERLINK("http://www.linkedin.com/in/scottdietzen","http://www.linkedin.com/in/scottdietzen")</f>
        <v>http://www.linkedin.com/in/scottdietzen</v>
      </c>
      <c r="I9177" s="2" t="s">
        <v>48</v>
      </c>
      <c r="J9177" s="2" t="s">
        <v>102</v>
      </c>
      <c r="K9177" s="2" t="s">
        <v>14422</v>
      </c>
    </row>
    <row r="9178" ht="15.75" customHeight="1">
      <c r="A9178" s="2">
        <v>196606.0</v>
      </c>
      <c r="B9178" s="2" t="s">
        <v>16452</v>
      </c>
      <c r="C9178" s="2" t="s">
        <v>16453</v>
      </c>
      <c r="D9178" s="2" t="s">
        <v>3013</v>
      </c>
      <c r="E9178" s="2" t="s">
        <v>136</v>
      </c>
      <c r="F9178" s="2">
        <v>5.0</v>
      </c>
      <c r="G9178" s="2">
        <v>500.0</v>
      </c>
      <c r="H9178" s="3" t="str">
        <f>HYPERLINK("http://www.linkedin.com/in/cbenara","http://www.linkedin.com/in/cbenara")</f>
        <v>http://www.linkedin.com/in/cbenara</v>
      </c>
      <c r="I9178" s="2" t="s">
        <v>77</v>
      </c>
      <c r="J9178" s="2" t="s">
        <v>102</v>
      </c>
      <c r="K9178" s="2" t="s">
        <v>14074</v>
      </c>
    </row>
    <row r="9179" ht="15.75" customHeight="1">
      <c r="A9179" s="2">
        <v>196642.0</v>
      </c>
      <c r="B9179" s="2" t="s">
        <v>116</v>
      </c>
      <c r="C9179" s="2" t="s">
        <v>16454</v>
      </c>
      <c r="D9179" s="2" t="s">
        <v>4026</v>
      </c>
      <c r="E9179" s="2" t="s">
        <v>136</v>
      </c>
      <c r="F9179" s="2">
        <v>7.0</v>
      </c>
      <c r="G9179" s="2">
        <v>500.0</v>
      </c>
      <c r="H9179" s="3" t="str">
        <f>HYPERLINK("http://www.linkedin.com/in/alexbrutin","http://www.linkedin.com/in/alexbrutin")</f>
        <v>http://www.linkedin.com/in/alexbrutin</v>
      </c>
      <c r="I9179" s="2" t="s">
        <v>252</v>
      </c>
      <c r="J9179" s="2" t="s">
        <v>102</v>
      </c>
      <c r="K9179" s="2" t="s">
        <v>14055</v>
      </c>
    </row>
    <row r="9180" ht="15.75" customHeight="1">
      <c r="A9180" s="2">
        <v>196666.0</v>
      </c>
      <c r="B9180" s="2" t="s">
        <v>752</v>
      </c>
      <c r="C9180" s="2" t="s">
        <v>16455</v>
      </c>
      <c r="D9180" s="2" t="s">
        <v>16456</v>
      </c>
      <c r="E9180" s="2" t="s">
        <v>1547</v>
      </c>
      <c r="F9180" s="2">
        <v>0.0</v>
      </c>
      <c r="G9180" s="2">
        <v>500.0</v>
      </c>
      <c r="H9180" s="3" t="str">
        <f>HYPERLINK("http://www.linkedin.com/pub/jim-drill/1/849/24","http://www.linkedin.com/pub/jim-drill/1/849/24")</f>
        <v>http://www.linkedin.com/pub/jim-drill/1/849/24</v>
      </c>
      <c r="I9180" s="2" t="s">
        <v>458</v>
      </c>
      <c r="J9180" s="2" t="s">
        <v>102</v>
      </c>
      <c r="K9180" s="2" t="s">
        <v>14082</v>
      </c>
    </row>
    <row r="9181" ht="15.75" customHeight="1">
      <c r="A9181" s="2">
        <v>196705.0</v>
      </c>
      <c r="B9181" s="2" t="s">
        <v>1767</v>
      </c>
      <c r="C9181" s="2" t="s">
        <v>12417</v>
      </c>
      <c r="D9181" s="2" t="s">
        <v>13</v>
      </c>
      <c r="E9181" s="2" t="s">
        <v>136</v>
      </c>
      <c r="F9181" s="2">
        <v>0.0</v>
      </c>
      <c r="G9181" s="2">
        <v>500.0</v>
      </c>
      <c r="H9181" s="3" t="str">
        <f>HYPERLINK("https://www.linkedin.com/in/erikklein","https://www.linkedin.com/in/erikklein")</f>
        <v>https://www.linkedin.com/in/erikklein</v>
      </c>
      <c r="I9181" s="2" t="s">
        <v>69</v>
      </c>
      <c r="J9181" s="2" t="s">
        <v>102</v>
      </c>
      <c r="K9181" s="2" t="s">
        <v>14282</v>
      </c>
    </row>
    <row r="9182" ht="15.75" customHeight="1">
      <c r="A9182" s="2">
        <v>196770.0</v>
      </c>
      <c r="B9182" s="2" t="s">
        <v>1653</v>
      </c>
      <c r="C9182" s="2" t="s">
        <v>16457</v>
      </c>
      <c r="D9182" s="2" t="s">
        <v>13</v>
      </c>
      <c r="E9182" s="2" t="s">
        <v>864</v>
      </c>
      <c r="F9182" s="2">
        <v>0.0</v>
      </c>
      <c r="G9182" s="2">
        <v>500.0</v>
      </c>
      <c r="H9182" s="3" t="str">
        <f>HYPERLINK("http://www.linkedin.com/in/dougstabenow","http://www.linkedin.com/in/dougstabenow")</f>
        <v>http://www.linkedin.com/in/dougstabenow</v>
      </c>
      <c r="I9182" s="2" t="s">
        <v>48</v>
      </c>
      <c r="J9182" s="2" t="s">
        <v>102</v>
      </c>
      <c r="K9182" s="2" t="s">
        <v>14080</v>
      </c>
    </row>
    <row r="9183" ht="15.75" customHeight="1">
      <c r="A9183" s="2">
        <v>196857.0</v>
      </c>
      <c r="B9183" s="2" t="s">
        <v>16458</v>
      </c>
      <c r="C9183" s="2" t="s">
        <v>16459</v>
      </c>
      <c r="D9183" s="2" t="s">
        <v>16460</v>
      </c>
      <c r="E9183" s="2" t="s">
        <v>2724</v>
      </c>
      <c r="F9183" s="2" t="s">
        <v>13</v>
      </c>
      <c r="G9183" s="2">
        <v>500.0</v>
      </c>
      <c r="H9183" s="3" t="str">
        <f>HYPERLINK("http://www.linkedin.com/pub/chase-holland/6/53A/4B9","http://www.linkedin.com/pub/chase-holland/6/53A/4B9")</f>
        <v>http://www.linkedin.com/pub/chase-holland/6/53A/4B9</v>
      </c>
      <c r="I9183" s="2" t="s">
        <v>15</v>
      </c>
      <c r="J9183" s="2" t="s">
        <v>102</v>
      </c>
      <c r="K9183" s="2" t="s">
        <v>14088</v>
      </c>
    </row>
    <row r="9184" ht="15.75" customHeight="1">
      <c r="A9184" s="2">
        <v>196926.0</v>
      </c>
      <c r="B9184" s="2" t="s">
        <v>341</v>
      </c>
      <c r="C9184" s="2" t="s">
        <v>16461</v>
      </c>
      <c r="D9184" s="2" t="s">
        <v>16462</v>
      </c>
      <c r="E9184" s="2" t="s">
        <v>101</v>
      </c>
      <c r="F9184" s="2">
        <v>0.0</v>
      </c>
      <c r="G9184" s="2">
        <v>500.0</v>
      </c>
      <c r="H9184" s="3" t="str">
        <f>HYPERLINK("http://www.linkedin.com/pub/kevin-strange/0/430/688","http://www.linkedin.com/pub/kevin-strange/0/430/688")</f>
        <v>http://www.linkedin.com/pub/kevin-strange/0/430/688</v>
      </c>
      <c r="I9184" s="2" t="s">
        <v>15</v>
      </c>
      <c r="J9184" s="2" t="s">
        <v>102</v>
      </c>
      <c r="K9184" s="2" t="s">
        <v>14142</v>
      </c>
    </row>
    <row r="9185" ht="15.75" customHeight="1">
      <c r="A9185" s="2">
        <v>197104.0</v>
      </c>
      <c r="B9185" s="2" t="s">
        <v>3143</v>
      </c>
      <c r="C9185" s="2" t="s">
        <v>16463</v>
      </c>
      <c r="D9185" s="2" t="s">
        <v>13</v>
      </c>
      <c r="E9185" s="2" t="s">
        <v>136</v>
      </c>
      <c r="F9185" s="2">
        <v>3.0</v>
      </c>
      <c r="G9185" s="2">
        <v>500.0</v>
      </c>
      <c r="H9185" s="3" t="str">
        <f>HYPERLINK("http://www.linkedin.com/in/miriamliszewski","http://www.linkedin.com/in/miriamliszewski")</f>
        <v>http://www.linkedin.com/in/miriamliszewski</v>
      </c>
      <c r="I9185" s="2" t="s">
        <v>77</v>
      </c>
      <c r="J9185" s="2" t="s">
        <v>102</v>
      </c>
      <c r="K9185" s="2" t="s">
        <v>14211</v>
      </c>
    </row>
    <row r="9186" ht="15.75" customHeight="1">
      <c r="A9186" s="2">
        <v>197141.0</v>
      </c>
      <c r="B9186" s="2" t="s">
        <v>1096</v>
      </c>
      <c r="C9186" s="2" t="s">
        <v>16464</v>
      </c>
      <c r="D9186" s="2" t="s">
        <v>16465</v>
      </c>
      <c r="E9186" s="2" t="s">
        <v>808</v>
      </c>
      <c r="F9186" s="2">
        <v>16.0</v>
      </c>
      <c r="G9186" s="2">
        <v>500.0</v>
      </c>
      <c r="H9186" s="3" t="str">
        <f>HYPERLINK("http://www.linkedin.com/in/tfilippone","http://www.linkedin.com/in/tfilippone")</f>
        <v>http://www.linkedin.com/in/tfilippone</v>
      </c>
      <c r="I9186" s="2" t="s">
        <v>225</v>
      </c>
      <c r="J9186" s="2" t="s">
        <v>102</v>
      </c>
      <c r="K9186" s="2" t="s">
        <v>14055</v>
      </c>
    </row>
    <row r="9187" ht="15.75" customHeight="1">
      <c r="A9187" s="2">
        <v>197191.0</v>
      </c>
      <c r="B9187" s="2" t="s">
        <v>845</v>
      </c>
      <c r="C9187" s="2" t="s">
        <v>16466</v>
      </c>
      <c r="D9187" s="2" t="s">
        <v>16467</v>
      </c>
      <c r="E9187" s="2" t="s">
        <v>101</v>
      </c>
      <c r="F9187" s="2">
        <v>4.0</v>
      </c>
      <c r="G9187" s="2">
        <v>500.0</v>
      </c>
      <c r="H9187" s="3" t="str">
        <f>HYPERLINK("http://www.linkedin.com/in/davidkeim","http://www.linkedin.com/in/davidkeim")</f>
        <v>http://www.linkedin.com/in/davidkeim</v>
      </c>
      <c r="I9187" s="2" t="s">
        <v>15</v>
      </c>
      <c r="J9187" s="2" t="s">
        <v>102</v>
      </c>
      <c r="K9187" s="2" t="s">
        <v>14080</v>
      </c>
    </row>
    <row r="9188" ht="15.75" customHeight="1">
      <c r="A9188" s="2">
        <v>197245.0</v>
      </c>
      <c r="B9188" s="2" t="s">
        <v>414</v>
      </c>
      <c r="C9188" s="2" t="s">
        <v>5698</v>
      </c>
      <c r="D9188" s="2" t="s">
        <v>16468</v>
      </c>
      <c r="E9188" s="2" t="s">
        <v>2730</v>
      </c>
      <c r="F9188" s="2">
        <v>2.0</v>
      </c>
      <c r="G9188" s="2">
        <v>500.0</v>
      </c>
      <c r="H9188" s="3" t="str">
        <f>HYPERLINK("http://www.linkedin.com/in/tomsgorman","http://www.linkedin.com/in/tomsgorman")</f>
        <v>http://www.linkedin.com/in/tomsgorman</v>
      </c>
      <c r="I9188" s="2" t="s">
        <v>248</v>
      </c>
      <c r="J9188" s="2" t="s">
        <v>102</v>
      </c>
      <c r="K9188" s="2" t="s">
        <v>14140</v>
      </c>
    </row>
    <row r="9189" ht="15.75" customHeight="1">
      <c r="A9189" s="2">
        <v>197282.0</v>
      </c>
      <c r="B9189" s="2" t="s">
        <v>897</v>
      </c>
      <c r="C9189" s="2" t="s">
        <v>2964</v>
      </c>
      <c r="D9189" s="2" t="s">
        <v>114</v>
      </c>
      <c r="E9189" s="2" t="s">
        <v>4084</v>
      </c>
      <c r="F9189" s="2">
        <v>12.0</v>
      </c>
      <c r="G9189" s="2">
        <v>500.0</v>
      </c>
      <c r="H9189" s="3" t="str">
        <f>HYPERLINK("http://www.linkedin.com/in/jstapleton","http://www.linkedin.com/in/jstapleton")</f>
        <v>http://www.linkedin.com/in/jstapleton</v>
      </c>
      <c r="I9189" s="2" t="s">
        <v>15</v>
      </c>
      <c r="J9189" s="2" t="s">
        <v>102</v>
      </c>
      <c r="K9189" s="2" t="s">
        <v>14080</v>
      </c>
    </row>
    <row r="9190" ht="15.75" customHeight="1">
      <c r="A9190" s="2">
        <v>197305.0</v>
      </c>
      <c r="B9190" s="2" t="s">
        <v>940</v>
      </c>
      <c r="C9190" s="2" t="s">
        <v>16469</v>
      </c>
      <c r="D9190" s="2" t="s">
        <v>16470</v>
      </c>
      <c r="E9190" s="2" t="s">
        <v>1041</v>
      </c>
      <c r="F9190" s="2">
        <v>3.0</v>
      </c>
      <c r="G9190" s="2">
        <v>300.0</v>
      </c>
      <c r="H9190" s="3" t="str">
        <f>HYPERLINK("http://www.linkedin.com/pub/bob-mccarthy/6/660/717","http://www.linkedin.com/pub/bob-mccarthy/6/660/717")</f>
        <v>http://www.linkedin.com/pub/bob-mccarthy/6/660/717</v>
      </c>
      <c r="I9190" s="2" t="s">
        <v>1012</v>
      </c>
      <c r="J9190" s="2" t="s">
        <v>102</v>
      </c>
      <c r="K9190" s="2" t="s">
        <v>16471</v>
      </c>
    </row>
    <row r="9191" ht="15.75" customHeight="1">
      <c r="A9191" s="2">
        <v>197320.0</v>
      </c>
      <c r="B9191" s="2" t="s">
        <v>879</v>
      </c>
      <c r="C9191" s="2" t="s">
        <v>845</v>
      </c>
      <c r="D9191" s="2" t="s">
        <v>943</v>
      </c>
      <c r="E9191" s="2" t="s">
        <v>301</v>
      </c>
      <c r="F9191" s="2">
        <v>3.0</v>
      </c>
      <c r="G9191" s="2">
        <v>500.0</v>
      </c>
      <c r="H9191" s="3" t="str">
        <f>HYPERLINK("http://www.linkedin.com/in/richardmdavid","http://www.linkedin.com/in/richardmdavid")</f>
        <v>http://www.linkedin.com/in/richardmdavid</v>
      </c>
      <c r="I9191" s="2" t="s">
        <v>279</v>
      </c>
      <c r="J9191" s="2" t="s">
        <v>102</v>
      </c>
      <c r="K9191" s="2" t="s">
        <v>14074</v>
      </c>
    </row>
    <row r="9192" ht="15.75" customHeight="1">
      <c r="A9192" s="2">
        <v>197526.0</v>
      </c>
      <c r="B9192" s="2" t="s">
        <v>511</v>
      </c>
      <c r="C9192" s="2" t="s">
        <v>16472</v>
      </c>
      <c r="D9192" s="2" t="s">
        <v>1145</v>
      </c>
      <c r="E9192" s="2" t="s">
        <v>989</v>
      </c>
      <c r="F9192" s="2">
        <v>9.0</v>
      </c>
      <c r="G9192" s="2">
        <v>500.0</v>
      </c>
      <c r="H9192" s="3" t="str">
        <f>HYPERLINK("http://www.linkedin.com/in/mikedektas","http://www.linkedin.com/in/mikedektas")</f>
        <v>http://www.linkedin.com/in/mikedektas</v>
      </c>
      <c r="I9192" s="2" t="s">
        <v>844</v>
      </c>
      <c r="J9192" s="2" t="s">
        <v>102</v>
      </c>
      <c r="K9192" s="2" t="s">
        <v>14055</v>
      </c>
    </row>
    <row r="9193" ht="15.75" customHeight="1">
      <c r="A9193" s="2">
        <v>197640.0</v>
      </c>
      <c r="B9193" s="2" t="s">
        <v>16473</v>
      </c>
      <c r="C9193" s="2" t="s">
        <v>2807</v>
      </c>
      <c r="D9193" s="2" t="s">
        <v>16474</v>
      </c>
      <c r="E9193" s="2" t="s">
        <v>136</v>
      </c>
      <c r="F9193" s="2">
        <v>24.0</v>
      </c>
      <c r="G9193" s="2">
        <v>500.0</v>
      </c>
      <c r="H9193" s="3" t="str">
        <f>HYPERLINK("http://www.linkedin.com/in/normalane","http://www.linkedin.com/in/normalane")</f>
        <v>http://www.linkedin.com/in/normalane</v>
      </c>
      <c r="I9193" s="2" t="s">
        <v>48</v>
      </c>
      <c r="J9193" s="2" t="s">
        <v>102</v>
      </c>
      <c r="K9193" s="2" t="s">
        <v>14080</v>
      </c>
    </row>
    <row r="9194" ht="15.75" customHeight="1">
      <c r="A9194" s="2">
        <v>197833.0</v>
      </c>
      <c r="B9194" s="2" t="s">
        <v>313</v>
      </c>
      <c r="C9194" s="2" t="s">
        <v>644</v>
      </c>
      <c r="D9194" s="2" t="s">
        <v>16475</v>
      </c>
      <c r="E9194" s="2" t="s">
        <v>713</v>
      </c>
      <c r="F9194" s="2">
        <v>3.0</v>
      </c>
      <c r="G9194" s="2">
        <v>500.0</v>
      </c>
      <c r="H9194" s="3" t="str">
        <f>HYPERLINK("http://www.linkedin.com/in/leebyrne","http://www.linkedin.com/in/leebyrne")</f>
        <v>http://www.linkedin.com/in/leebyrne</v>
      </c>
      <c r="I9194" s="2" t="s">
        <v>105</v>
      </c>
      <c r="J9194" s="2" t="s">
        <v>102</v>
      </c>
      <c r="K9194" s="2" t="s">
        <v>14074</v>
      </c>
    </row>
    <row r="9195" ht="15.75" customHeight="1">
      <c r="A9195" s="2">
        <v>197837.0</v>
      </c>
      <c r="B9195" s="2" t="s">
        <v>784</v>
      </c>
      <c r="C9195" s="2" t="s">
        <v>1153</v>
      </c>
      <c r="D9195" s="2" t="s">
        <v>16476</v>
      </c>
      <c r="E9195" s="2" t="s">
        <v>713</v>
      </c>
      <c r="F9195" s="2">
        <v>0.0</v>
      </c>
      <c r="G9195" s="2">
        <v>500.0</v>
      </c>
      <c r="H9195" s="3" t="str">
        <f>HYPERLINK("http://www.linkedin.com/pub/jeff-brown/3/B6A/4B2","http://www.linkedin.com/pub/jeff-brown/3/B6A/4B2")</f>
        <v>http://www.linkedin.com/pub/jeff-brown/3/B6A/4B2</v>
      </c>
      <c r="I9195" s="2" t="s">
        <v>167</v>
      </c>
      <c r="J9195" s="2" t="s">
        <v>102</v>
      </c>
      <c r="K9195" s="2" t="s">
        <v>14078</v>
      </c>
    </row>
    <row r="9196" ht="15.75" customHeight="1">
      <c r="A9196" s="2">
        <v>197900.0</v>
      </c>
      <c r="B9196" s="2" t="s">
        <v>341</v>
      </c>
      <c r="C9196" s="2" t="s">
        <v>292</v>
      </c>
      <c r="D9196" s="2" t="s">
        <v>13</v>
      </c>
      <c r="E9196" s="2" t="s">
        <v>713</v>
      </c>
      <c r="F9196" s="2">
        <v>0.0</v>
      </c>
      <c r="G9196" s="2">
        <v>478.0</v>
      </c>
      <c r="H9196" s="3" t="str">
        <f>HYPERLINK("https://www.linkedin.com/pub/kevin-smith/7/100/630","https://www.linkedin.com/pub/kevin-smith/7/100/630")</f>
        <v>https://www.linkedin.com/pub/kevin-smith/7/100/630</v>
      </c>
      <c r="I9196" s="2" t="s">
        <v>865</v>
      </c>
      <c r="J9196" s="2" t="s">
        <v>102</v>
      </c>
      <c r="K9196" s="2" t="s">
        <v>14197</v>
      </c>
    </row>
    <row r="9197" ht="15.75" customHeight="1">
      <c r="A9197" s="2">
        <v>197906.0</v>
      </c>
      <c r="B9197" s="2" t="s">
        <v>5585</v>
      </c>
      <c r="C9197" s="2" t="s">
        <v>16477</v>
      </c>
      <c r="D9197" s="2" t="s">
        <v>47</v>
      </c>
      <c r="E9197" s="2" t="s">
        <v>301</v>
      </c>
      <c r="F9197" s="2">
        <v>1.0</v>
      </c>
      <c r="G9197" s="2">
        <v>326.0</v>
      </c>
      <c r="H9197" s="3" t="str">
        <f>HYPERLINK("http://www.linkedin.com/in/juliecorbo","http://www.linkedin.com/in/juliecorbo")</f>
        <v>http://www.linkedin.com/in/juliecorbo</v>
      </c>
      <c r="I9197" s="2" t="s">
        <v>57</v>
      </c>
      <c r="J9197" s="2" t="s">
        <v>102</v>
      </c>
      <c r="K9197" s="2" t="s">
        <v>14055</v>
      </c>
    </row>
    <row r="9198" ht="15.75" customHeight="1">
      <c r="A9198" s="2">
        <v>197970.0</v>
      </c>
      <c r="B9198" s="2" t="s">
        <v>1868</v>
      </c>
      <c r="C9198" s="2" t="s">
        <v>11650</v>
      </c>
      <c r="D9198" s="2" t="s">
        <v>16478</v>
      </c>
      <c r="E9198" s="2" t="s">
        <v>713</v>
      </c>
      <c r="F9198" s="2">
        <v>8.0</v>
      </c>
      <c r="G9198" s="2">
        <v>500.0</v>
      </c>
      <c r="H9198" s="3" t="str">
        <f>HYPERLINK("http://www.linkedin.com/in/jackkaiser","http://www.linkedin.com/in/jackkaiser")</f>
        <v>http://www.linkedin.com/in/jackkaiser</v>
      </c>
      <c r="I9198" s="2" t="s">
        <v>15</v>
      </c>
      <c r="J9198" s="2" t="s">
        <v>102</v>
      </c>
      <c r="K9198" s="2" t="s">
        <v>14117</v>
      </c>
    </row>
    <row r="9199" ht="15.75" customHeight="1">
      <c r="A9199" s="2">
        <v>197973.0</v>
      </c>
      <c r="B9199" s="2" t="s">
        <v>1076</v>
      </c>
      <c r="C9199" s="2" t="s">
        <v>1153</v>
      </c>
      <c r="D9199" s="2" t="s">
        <v>3298</v>
      </c>
      <c r="E9199" s="2" t="s">
        <v>301</v>
      </c>
      <c r="F9199" s="2">
        <v>7.0</v>
      </c>
      <c r="G9199" s="2">
        <v>500.0</v>
      </c>
      <c r="H9199" s="3" t="str">
        <f>HYPERLINK("http://www.linkedin.com/in/jenniferbrownconsulting","http://www.linkedin.com/in/jenniferbrownconsulting")</f>
        <v>http://www.linkedin.com/in/jenniferbrownconsulting</v>
      </c>
      <c r="I9199" s="2" t="s">
        <v>225</v>
      </c>
      <c r="J9199" s="2" t="s">
        <v>102</v>
      </c>
      <c r="K9199" s="2" t="s">
        <v>14055</v>
      </c>
    </row>
    <row r="9200" ht="15.75" customHeight="1">
      <c r="A9200" s="2">
        <v>197992.0</v>
      </c>
      <c r="B9200" s="2" t="s">
        <v>16479</v>
      </c>
      <c r="C9200" s="2" t="s">
        <v>16480</v>
      </c>
      <c r="D9200" s="2" t="s">
        <v>536</v>
      </c>
      <c r="E9200" s="2" t="s">
        <v>325</v>
      </c>
      <c r="F9200" s="2">
        <v>11.0</v>
      </c>
      <c r="G9200" s="2">
        <v>500.0</v>
      </c>
      <c r="H9200" s="3" t="str">
        <f>HYPERLINK("http://www.linkedin.com/in/kateflanagan1","http://www.linkedin.com/in/kateflanagan1")</f>
        <v>http://www.linkedin.com/in/kateflanagan1</v>
      </c>
      <c r="I9200" s="2" t="s">
        <v>15</v>
      </c>
      <c r="J9200" s="2" t="s">
        <v>102</v>
      </c>
      <c r="K9200" s="2" t="s">
        <v>14071</v>
      </c>
    </row>
    <row r="9201" ht="15.75" customHeight="1">
      <c r="A9201" s="2">
        <v>198016.0</v>
      </c>
      <c r="B9201" s="2" t="s">
        <v>16481</v>
      </c>
      <c r="C9201" s="2" t="s">
        <v>8435</v>
      </c>
      <c r="D9201" s="2" t="s">
        <v>47</v>
      </c>
      <c r="E9201" s="2" t="s">
        <v>2254</v>
      </c>
      <c r="F9201" s="2">
        <v>1.0</v>
      </c>
      <c r="G9201" s="2">
        <v>500.0</v>
      </c>
      <c r="H9201" s="3" t="str">
        <f>HYPERLINK("http://www.linkedin.com/in/brady","http://www.linkedin.com/in/brady")</f>
        <v>http://www.linkedin.com/in/brady</v>
      </c>
      <c r="I9201" s="2" t="s">
        <v>15</v>
      </c>
      <c r="J9201" s="2" t="s">
        <v>102</v>
      </c>
      <c r="K9201" s="2" t="s">
        <v>14080</v>
      </c>
    </row>
    <row r="9202" ht="15.75" customHeight="1">
      <c r="A9202" s="2">
        <v>198052.0</v>
      </c>
      <c r="B9202" s="2" t="s">
        <v>12188</v>
      </c>
      <c r="C9202" s="2" t="s">
        <v>16482</v>
      </c>
      <c r="D9202" s="2" t="s">
        <v>2802</v>
      </c>
      <c r="E9202" s="2" t="s">
        <v>2058</v>
      </c>
      <c r="F9202" s="2">
        <v>4.0</v>
      </c>
      <c r="G9202" s="2">
        <v>500.0</v>
      </c>
      <c r="H9202" s="3" t="str">
        <f>HYPERLINK("http://www.linkedin.com/pub/allison-levine/4/2B/82B","http://www.linkedin.com/pub/allison-levine/4/2B/82B")</f>
        <v>http://www.linkedin.com/pub/allison-levine/4/2B/82B</v>
      </c>
      <c r="I9202" s="2" t="s">
        <v>167</v>
      </c>
      <c r="J9202" s="2" t="s">
        <v>102</v>
      </c>
      <c r="K9202" s="2" t="s">
        <v>14068</v>
      </c>
    </row>
    <row r="9203" ht="15.75" customHeight="1">
      <c r="A9203" s="2">
        <v>198212.0</v>
      </c>
      <c r="B9203" s="2" t="s">
        <v>471</v>
      </c>
      <c r="C9203" s="2" t="s">
        <v>16083</v>
      </c>
      <c r="D9203" s="2" t="s">
        <v>16483</v>
      </c>
      <c r="E9203" s="2" t="s">
        <v>728</v>
      </c>
      <c r="F9203" s="2">
        <v>17.0</v>
      </c>
      <c r="G9203" s="2">
        <v>500.0</v>
      </c>
      <c r="H9203" s="3" t="str">
        <f>HYPERLINK("http://www.linkedin.com/in/danaustin","http://www.linkedin.com/in/danaustin")</f>
        <v>http://www.linkedin.com/in/danaustin</v>
      </c>
      <c r="I9203" s="2" t="s">
        <v>248</v>
      </c>
      <c r="J9203" s="2" t="s">
        <v>102</v>
      </c>
      <c r="K9203" s="2" t="s">
        <v>14055</v>
      </c>
    </row>
    <row r="9204" ht="15.75" customHeight="1">
      <c r="A9204" s="2">
        <v>198262.0</v>
      </c>
      <c r="B9204" s="2" t="s">
        <v>157</v>
      </c>
      <c r="C9204" s="2" t="s">
        <v>16484</v>
      </c>
      <c r="D9204" s="2" t="s">
        <v>1297</v>
      </c>
      <c r="E9204" s="2" t="s">
        <v>235</v>
      </c>
      <c r="F9204" s="2">
        <v>13.0</v>
      </c>
      <c r="G9204" s="2">
        <v>500.0</v>
      </c>
      <c r="H9204" s="3" t="str">
        <f>HYPERLINK("http://www.linkedin.com/in/jebrickman","http://www.linkedin.com/in/jebrickman")</f>
        <v>http://www.linkedin.com/in/jebrickman</v>
      </c>
      <c r="I9204" s="2" t="s">
        <v>1237</v>
      </c>
      <c r="J9204" s="2" t="s">
        <v>102</v>
      </c>
      <c r="K9204" s="2" t="s">
        <v>14078</v>
      </c>
    </row>
    <row r="9205" ht="15.75" customHeight="1">
      <c r="A9205" s="2">
        <v>198279.0</v>
      </c>
      <c r="B9205" s="2" t="s">
        <v>5310</v>
      </c>
      <c r="C9205" s="2" t="s">
        <v>16485</v>
      </c>
      <c r="D9205" s="2" t="s">
        <v>16486</v>
      </c>
      <c r="E9205" s="2" t="s">
        <v>1329</v>
      </c>
      <c r="F9205" s="2" t="s">
        <v>13</v>
      </c>
      <c r="G9205" s="2">
        <v>500.0</v>
      </c>
      <c r="H9205" s="3" t="str">
        <f>HYPERLINK("http://www.linkedin.com/pub/dustin-finley-15k-/2/30B/11A","http://www.linkedin.com/pub/dustin-finley-15k-/2/30B/11A")</f>
        <v>http://www.linkedin.com/pub/dustin-finley-15k-/2/30B/11A</v>
      </c>
      <c r="I9205" s="2" t="s">
        <v>15</v>
      </c>
      <c r="J9205" s="2" t="s">
        <v>102</v>
      </c>
      <c r="K9205" s="2" t="s">
        <v>14495</v>
      </c>
    </row>
    <row r="9206" ht="15.75" customHeight="1">
      <c r="A9206" s="2">
        <v>198470.0</v>
      </c>
      <c r="B9206" s="2" t="s">
        <v>2752</v>
      </c>
      <c r="C9206" s="2" t="s">
        <v>1233</v>
      </c>
      <c r="D9206" s="2" t="s">
        <v>16487</v>
      </c>
      <c r="E9206" s="2" t="s">
        <v>728</v>
      </c>
      <c r="F9206" s="2">
        <v>6.0</v>
      </c>
      <c r="G9206" s="2">
        <v>500.0</v>
      </c>
      <c r="H9206" s="3" t="str">
        <f>HYPERLINK("http://www.linkedin.com/in/craigcollins","http://www.linkedin.com/in/craigcollins")</f>
        <v>http://www.linkedin.com/in/craigcollins</v>
      </c>
      <c r="I9206" s="2" t="s">
        <v>105</v>
      </c>
      <c r="J9206" s="2" t="s">
        <v>102</v>
      </c>
      <c r="K9206" s="2" t="s">
        <v>14074</v>
      </c>
    </row>
    <row r="9207" ht="15.75" customHeight="1">
      <c r="A9207" s="2">
        <v>198579.0</v>
      </c>
      <c r="B9207" s="2" t="s">
        <v>11932</v>
      </c>
      <c r="C9207" s="2" t="s">
        <v>2021</v>
      </c>
      <c r="D9207" s="2" t="s">
        <v>16488</v>
      </c>
      <c r="E9207" s="2" t="s">
        <v>101</v>
      </c>
      <c r="F9207" s="2">
        <v>6.0</v>
      </c>
      <c r="G9207" s="2">
        <v>500.0</v>
      </c>
      <c r="H9207" s="3" t="str">
        <f>HYPERLINK("http://www.linkedin.com/in/clintbailey","http://www.linkedin.com/in/clintbailey")</f>
        <v>http://www.linkedin.com/in/clintbailey</v>
      </c>
      <c r="I9207" s="2" t="s">
        <v>248</v>
      </c>
      <c r="J9207" s="2" t="s">
        <v>102</v>
      </c>
      <c r="K9207" s="2" t="s">
        <v>14140</v>
      </c>
    </row>
    <row r="9208" ht="15.75" customHeight="1">
      <c r="A9208" s="2">
        <v>198642.0</v>
      </c>
      <c r="B9208" s="2" t="s">
        <v>16489</v>
      </c>
      <c r="C9208" s="2" t="s">
        <v>16490</v>
      </c>
      <c r="D9208" s="2" t="s">
        <v>7962</v>
      </c>
      <c r="E9208" s="2" t="s">
        <v>1918</v>
      </c>
      <c r="F9208" s="2">
        <v>0.0</v>
      </c>
      <c r="G9208" s="2">
        <v>500.0</v>
      </c>
      <c r="H9208" s="3" t="str">
        <f>HYPERLINK("http://www.linkedin.com/pub/uri-benedek/4/34B/2AB","http://www.linkedin.com/pub/uri-benedek/4/34B/2AB")</f>
        <v>http://www.linkedin.com/pub/uri-benedek/4/34B/2AB</v>
      </c>
      <c r="I9208" s="2" t="s">
        <v>669</v>
      </c>
      <c r="J9208" s="2" t="s">
        <v>102</v>
      </c>
      <c r="K9208" s="2" t="s">
        <v>14750</v>
      </c>
    </row>
    <row r="9209" ht="15.75" customHeight="1">
      <c r="A9209" s="2">
        <v>198703.0</v>
      </c>
      <c r="B9209" s="2" t="s">
        <v>16491</v>
      </c>
      <c r="C9209" s="2" t="s">
        <v>16492</v>
      </c>
      <c r="D9209" s="2" t="s">
        <v>2136</v>
      </c>
      <c r="E9209" s="2" t="s">
        <v>1190</v>
      </c>
      <c r="F9209" s="2">
        <v>17.0</v>
      </c>
      <c r="G9209" s="2">
        <v>500.0</v>
      </c>
      <c r="H9209" s="3" t="str">
        <f>HYPERLINK("http://www.linkedin.com/in/zaharamossman","http://www.linkedin.com/in/zaharamossman")</f>
        <v>http://www.linkedin.com/in/zaharamossman</v>
      </c>
      <c r="I9209" s="2" t="s">
        <v>69</v>
      </c>
      <c r="J9209" s="2" t="s">
        <v>102</v>
      </c>
      <c r="K9209" s="2" t="s">
        <v>14080</v>
      </c>
    </row>
    <row r="9210" ht="15.75" customHeight="1">
      <c r="A9210" s="2">
        <v>198815.0</v>
      </c>
      <c r="B9210" s="2" t="s">
        <v>721</v>
      </c>
      <c r="C9210" s="2" t="s">
        <v>16493</v>
      </c>
      <c r="D9210" s="2" t="s">
        <v>125</v>
      </c>
      <c r="E9210" s="2" t="s">
        <v>713</v>
      </c>
      <c r="F9210" s="2">
        <v>0.0</v>
      </c>
      <c r="G9210" s="2">
        <v>500.0</v>
      </c>
      <c r="H9210" s="3" t="str">
        <f>HYPERLINK("http://www.linkedin.com/pub/andrew-pessotti/7/B30/737","http://www.linkedin.com/pub/andrew-pessotti/7/B30/737")</f>
        <v>http://www.linkedin.com/pub/andrew-pessotti/7/B30/737</v>
      </c>
      <c r="I9210" s="2" t="s">
        <v>15</v>
      </c>
      <c r="J9210" s="2" t="s">
        <v>102</v>
      </c>
      <c r="K9210" s="2" t="s">
        <v>14095</v>
      </c>
    </row>
    <row r="9211" ht="15.75" customHeight="1">
      <c r="A9211" s="2">
        <v>198877.0</v>
      </c>
      <c r="B9211" s="2" t="s">
        <v>4358</v>
      </c>
      <c r="C9211" s="2" t="s">
        <v>16494</v>
      </c>
      <c r="D9211" s="2" t="s">
        <v>16495</v>
      </c>
      <c r="E9211" s="2" t="s">
        <v>4935</v>
      </c>
      <c r="F9211" s="2" t="s">
        <v>13</v>
      </c>
      <c r="G9211" s="2">
        <v>83.0</v>
      </c>
      <c r="H9211" s="3" t="str">
        <f>HYPERLINK("http://www.linkedin.com/pub/catherine-mccoy-pmp-csm/8/154/4A7","http://www.linkedin.com/pub/catherine-mccoy-pmp-csm/8/154/4A7")</f>
        <v>http://www.linkedin.com/pub/catherine-mccoy-pmp-csm/8/154/4A7</v>
      </c>
      <c r="I9211" s="2" t="s">
        <v>15</v>
      </c>
      <c r="J9211" s="2" t="s">
        <v>102</v>
      </c>
      <c r="K9211" s="2" t="s">
        <v>14092</v>
      </c>
    </row>
    <row r="9212" ht="15.75" customHeight="1">
      <c r="A9212" s="2">
        <v>199050.0</v>
      </c>
      <c r="B9212" s="2" t="s">
        <v>16496</v>
      </c>
      <c r="C9212" s="2" t="s">
        <v>16497</v>
      </c>
      <c r="D9212" s="2" t="s">
        <v>16498</v>
      </c>
      <c r="E9212" s="2" t="s">
        <v>1190</v>
      </c>
      <c r="F9212" s="2">
        <v>25.0</v>
      </c>
      <c r="G9212" s="2">
        <v>500.0</v>
      </c>
      <c r="H9212" s="3" t="str">
        <f>HYPERLINK("http://www.linkedin.com/in/armandoescalante","http://www.linkedin.com/in/armandoescalante")</f>
        <v>http://www.linkedin.com/in/armandoescalante</v>
      </c>
      <c r="I9212" s="2" t="s">
        <v>15</v>
      </c>
      <c r="J9212" s="2" t="s">
        <v>102</v>
      </c>
      <c r="K9212" s="2" t="s">
        <v>14078</v>
      </c>
    </row>
    <row r="9213" ht="15.75" customHeight="1">
      <c r="A9213" s="2">
        <v>199062.0</v>
      </c>
      <c r="B9213" s="2" t="s">
        <v>1173</v>
      </c>
      <c r="C9213" s="2" t="s">
        <v>2857</v>
      </c>
      <c r="D9213" s="2" t="s">
        <v>410</v>
      </c>
      <c r="E9213" s="2" t="s">
        <v>713</v>
      </c>
      <c r="F9213" s="2" t="s">
        <v>13</v>
      </c>
      <c r="G9213" s="2">
        <v>160.0</v>
      </c>
      <c r="H9213" s="3" t="str">
        <f>HYPERLINK("http://www.linkedin.com/pub/steve-bennett/0/236/864","http://www.linkedin.com/pub/steve-bennett/0/236/864")</f>
        <v>http://www.linkedin.com/pub/steve-bennett/0/236/864</v>
      </c>
      <c r="I9213" s="2" t="s">
        <v>15</v>
      </c>
      <c r="J9213" s="2" t="s">
        <v>102</v>
      </c>
      <c r="K9213" s="2" t="s">
        <v>14117</v>
      </c>
    </row>
    <row r="9214" ht="15.75" customHeight="1">
      <c r="A9214" s="2">
        <v>199178.0</v>
      </c>
      <c r="B9214" s="2" t="s">
        <v>16499</v>
      </c>
      <c r="C9214" s="2" t="s">
        <v>4097</v>
      </c>
      <c r="D9214" s="2" t="s">
        <v>11051</v>
      </c>
      <c r="E9214" s="2" t="s">
        <v>989</v>
      </c>
      <c r="F9214" s="2">
        <v>1.0</v>
      </c>
      <c r="G9214" s="2">
        <v>500.0</v>
      </c>
      <c r="H9214" s="3" t="str">
        <f>HYPERLINK("http://www.linkedin.com/pub/tonya-brock/8/487/992","http://www.linkedin.com/pub/tonya-brock/8/487/992")</f>
        <v>http://www.linkedin.com/pub/tonya-brock/8/487/992</v>
      </c>
      <c r="I9214" s="2" t="s">
        <v>248</v>
      </c>
      <c r="J9214" s="2" t="s">
        <v>102</v>
      </c>
      <c r="K9214" s="2" t="s">
        <v>14115</v>
      </c>
    </row>
    <row r="9215" ht="15.75" customHeight="1">
      <c r="A9215" s="2">
        <v>199222.0</v>
      </c>
      <c r="B9215" s="2" t="s">
        <v>752</v>
      </c>
      <c r="C9215" s="2" t="s">
        <v>16500</v>
      </c>
      <c r="D9215" s="2" t="s">
        <v>16501</v>
      </c>
      <c r="E9215" s="2" t="s">
        <v>628</v>
      </c>
      <c r="F9215" s="2">
        <v>37.0</v>
      </c>
      <c r="G9215" s="2">
        <v>500.0</v>
      </c>
      <c r="H9215" s="3" t="str">
        <f>HYPERLINK("http://www.linkedin.com/in/jimlipuma","http://www.linkedin.com/in/jimlipuma")</f>
        <v>http://www.linkedin.com/in/jimlipuma</v>
      </c>
      <c r="I9215" s="2" t="s">
        <v>69</v>
      </c>
      <c r="J9215" s="2" t="s">
        <v>102</v>
      </c>
      <c r="K9215" s="2" t="s">
        <v>14088</v>
      </c>
    </row>
    <row r="9216" ht="15.75" customHeight="1">
      <c r="A9216" s="2">
        <v>199279.0</v>
      </c>
      <c r="B9216" s="2" t="s">
        <v>940</v>
      </c>
      <c r="C9216" s="2" t="s">
        <v>16502</v>
      </c>
      <c r="D9216" s="2" t="s">
        <v>536</v>
      </c>
      <c r="E9216" s="2" t="s">
        <v>136</v>
      </c>
      <c r="F9216" s="2" t="s">
        <v>13</v>
      </c>
      <c r="G9216" s="2">
        <v>425.0</v>
      </c>
      <c r="H9216" s="3" t="str">
        <f>HYPERLINK("http://www.linkedin.com/pub/bob-pack/2/693/A32","http://www.linkedin.com/pub/bob-pack/2/693/A32")</f>
        <v>http://www.linkedin.com/pub/bob-pack/2/693/A32</v>
      </c>
      <c r="I9216" s="2" t="s">
        <v>69</v>
      </c>
      <c r="J9216" s="2" t="s">
        <v>102</v>
      </c>
      <c r="K9216" s="2" t="s">
        <v>14197</v>
      </c>
    </row>
    <row r="9217" ht="15.75" customHeight="1">
      <c r="A9217" s="2">
        <v>199650.0</v>
      </c>
      <c r="B9217" s="2" t="s">
        <v>341</v>
      </c>
      <c r="C9217" s="2" t="s">
        <v>626</v>
      </c>
      <c r="D9217" s="2" t="s">
        <v>16503</v>
      </c>
      <c r="E9217" s="2" t="s">
        <v>728</v>
      </c>
      <c r="F9217" s="2" t="s">
        <v>13</v>
      </c>
      <c r="G9217" s="2">
        <v>330.0</v>
      </c>
      <c r="H9217" s="3" t="str">
        <f>HYPERLINK("http://www.linkedin.com/pub/kevin-sullivan/0/5A4/569","http://www.linkedin.com/pub/kevin-sullivan/0/5A4/569")</f>
        <v>http://www.linkedin.com/pub/kevin-sullivan/0/5A4/569</v>
      </c>
      <c r="I9217" s="2" t="s">
        <v>15</v>
      </c>
      <c r="J9217" s="2" t="s">
        <v>102</v>
      </c>
      <c r="K9217" s="2" t="s">
        <v>14057</v>
      </c>
    </row>
    <row r="9218" ht="15.75" customHeight="1">
      <c r="A9218" s="2">
        <v>199823.0</v>
      </c>
      <c r="B9218" s="2" t="s">
        <v>845</v>
      </c>
      <c r="C9218" s="2" t="s">
        <v>16504</v>
      </c>
      <c r="D9218" s="2" t="s">
        <v>16505</v>
      </c>
      <c r="E9218" s="2" t="s">
        <v>136</v>
      </c>
      <c r="F9218" s="2">
        <v>6.0</v>
      </c>
      <c r="G9218" s="2">
        <v>500.0</v>
      </c>
      <c r="H9218" s="3" t="str">
        <f>HYPERLINK("http://uk.linkedin.com/pub/david-crofts/2/8AB/843","http://uk.linkedin.com/pub/david-crofts/2/8AB/843")</f>
        <v>http://uk.linkedin.com/pub/david-crofts/2/8AB/843</v>
      </c>
      <c r="I9218" s="2" t="s">
        <v>1452</v>
      </c>
      <c r="J9218" s="2" t="s">
        <v>102</v>
      </c>
      <c r="K9218" s="2" t="s">
        <v>16506</v>
      </c>
    </row>
    <row r="9219" ht="15.75" customHeight="1">
      <c r="A9219" s="2">
        <v>199824.0</v>
      </c>
      <c r="B9219" s="2" t="s">
        <v>133</v>
      </c>
      <c r="C9219" s="2" t="s">
        <v>16507</v>
      </c>
      <c r="D9219" s="2" t="s">
        <v>16508</v>
      </c>
      <c r="E9219" s="2" t="s">
        <v>713</v>
      </c>
      <c r="F9219" s="2">
        <v>2.0</v>
      </c>
      <c r="G9219" s="2">
        <v>500.0</v>
      </c>
      <c r="H9219" s="3" t="str">
        <f>HYPERLINK("http://www.linkedin.com/in/michaelmcclurg","http://www.linkedin.com/in/michaelmcclurg")</f>
        <v>http://www.linkedin.com/in/michaelmcclurg</v>
      </c>
      <c r="I9219" s="2" t="s">
        <v>15</v>
      </c>
      <c r="J9219" s="2" t="s">
        <v>102</v>
      </c>
      <c r="K9219" s="2" t="s">
        <v>14750</v>
      </c>
    </row>
    <row r="9220" ht="15.75" customHeight="1">
      <c r="A9220" s="2">
        <v>199830.0</v>
      </c>
      <c r="B9220" s="2" t="s">
        <v>1071</v>
      </c>
      <c r="C9220" s="2" t="s">
        <v>16509</v>
      </c>
      <c r="D9220" s="2" t="s">
        <v>47</v>
      </c>
      <c r="E9220" s="2" t="s">
        <v>744</v>
      </c>
      <c r="F9220" s="2">
        <v>5.0</v>
      </c>
      <c r="G9220" s="2">
        <v>500.0</v>
      </c>
      <c r="H9220" s="3" t="str">
        <f>HYPERLINK("http://fr.linkedin.com/in/ericchaniot","http://fr.linkedin.com/in/ericchaniot")</f>
        <v>http://fr.linkedin.com/in/ericchaniot</v>
      </c>
      <c r="I9220" s="2" t="s">
        <v>15</v>
      </c>
      <c r="J9220" s="2" t="s">
        <v>102</v>
      </c>
      <c r="K9220" s="2" t="s">
        <v>14259</v>
      </c>
    </row>
    <row r="9221" ht="15.75" customHeight="1">
      <c r="A9221" s="2">
        <v>199889.0</v>
      </c>
      <c r="B9221" s="2" t="s">
        <v>15562</v>
      </c>
      <c r="C9221" s="2" t="s">
        <v>16510</v>
      </c>
      <c r="D9221" s="2" t="s">
        <v>3989</v>
      </c>
      <c r="E9221" s="2" t="s">
        <v>713</v>
      </c>
      <c r="F9221" s="2">
        <v>0.0</v>
      </c>
      <c r="G9221" s="2">
        <v>500.0</v>
      </c>
      <c r="H9221" s="3" t="str">
        <f>HYPERLINK("http://www.linkedin.com/in/loumaiuri","http://www.linkedin.com/in/loumaiuri")</f>
        <v>http://www.linkedin.com/in/loumaiuri</v>
      </c>
      <c r="I9221" s="2" t="s">
        <v>279</v>
      </c>
      <c r="J9221" s="2" t="s">
        <v>102</v>
      </c>
      <c r="K9221" s="2" t="s">
        <v>14197</v>
      </c>
    </row>
    <row r="9222" ht="15.75" customHeight="1">
      <c r="A9222" s="2">
        <v>199987.0</v>
      </c>
      <c r="B9222" s="2" t="s">
        <v>295</v>
      </c>
      <c r="C9222" s="2" t="s">
        <v>15337</v>
      </c>
      <c r="D9222" s="2" t="s">
        <v>47</v>
      </c>
      <c r="E9222" s="2" t="s">
        <v>2058</v>
      </c>
      <c r="F9222" s="2">
        <v>3.0</v>
      </c>
      <c r="G9222" s="2">
        <v>500.0</v>
      </c>
      <c r="H9222" s="3" t="str">
        <f>HYPERLINK("http://www.linkedin.com/in/seanwgreene","http://www.linkedin.com/in/seanwgreene")</f>
        <v>http://www.linkedin.com/in/seanwgreene</v>
      </c>
      <c r="I9222" s="2" t="s">
        <v>69</v>
      </c>
      <c r="J9222" s="2" t="s">
        <v>102</v>
      </c>
      <c r="K9222" s="2" t="s">
        <v>14071</v>
      </c>
    </row>
    <row r="9223" ht="15.75" customHeight="1">
      <c r="A9223" s="2">
        <v>200040.0</v>
      </c>
      <c r="B9223" s="2" t="s">
        <v>3305</v>
      </c>
      <c r="C9223" s="2" t="s">
        <v>16511</v>
      </c>
      <c r="D9223" s="2" t="s">
        <v>47</v>
      </c>
      <c r="E9223" s="2" t="s">
        <v>407</v>
      </c>
      <c r="F9223" s="2" t="s">
        <v>13</v>
      </c>
      <c r="G9223" s="2">
        <v>360.0</v>
      </c>
      <c r="H9223" s="3" t="str">
        <f>HYPERLINK("http://www.linkedin.com/pub/ana-subero/15/646/633","http://www.linkedin.com/pub/ana-subero/15/646/633")</f>
        <v>http://www.linkedin.com/pub/ana-subero/15/646/633</v>
      </c>
      <c r="I9223" s="2" t="s">
        <v>27</v>
      </c>
      <c r="J9223" s="2" t="s">
        <v>102</v>
      </c>
      <c r="K9223" s="2" t="s">
        <v>14055</v>
      </c>
    </row>
    <row r="9224" ht="15.75" customHeight="1">
      <c r="A9224" s="2">
        <v>200098.0</v>
      </c>
      <c r="B9224" s="2" t="s">
        <v>1071</v>
      </c>
      <c r="C9224" s="2" t="s">
        <v>9186</v>
      </c>
      <c r="D9224" s="2" t="s">
        <v>16512</v>
      </c>
      <c r="E9224" s="2" t="s">
        <v>15466</v>
      </c>
      <c r="F9224" s="2">
        <v>2.0</v>
      </c>
      <c r="G9224" s="2">
        <v>392.0</v>
      </c>
      <c r="H9224" s="3" t="str">
        <f>HYPERLINK("http://www.linkedin.com/in/esilberman","http://www.linkedin.com/in/esilberman")</f>
        <v>http://www.linkedin.com/in/esilberman</v>
      </c>
      <c r="I9224" s="2" t="s">
        <v>105</v>
      </c>
      <c r="J9224" s="2" t="s">
        <v>102</v>
      </c>
      <c r="K9224" s="2" t="s">
        <v>14055</v>
      </c>
    </row>
    <row r="9225" ht="15.75" customHeight="1">
      <c r="A9225" s="2">
        <v>200174.0</v>
      </c>
      <c r="B9225" s="2" t="s">
        <v>10862</v>
      </c>
      <c r="C9225" s="2" t="s">
        <v>1027</v>
      </c>
      <c r="D9225" s="2" t="s">
        <v>16513</v>
      </c>
      <c r="E9225" s="2" t="s">
        <v>1041</v>
      </c>
      <c r="F9225" s="2">
        <v>2.0</v>
      </c>
      <c r="G9225" s="2">
        <v>238.0</v>
      </c>
      <c r="H9225" s="3" t="str">
        <f>HYPERLINK("http://www.linkedin.com/in/clairegeorge","http://www.linkedin.com/in/clairegeorge")</f>
        <v>http://www.linkedin.com/in/clairegeorge</v>
      </c>
      <c r="I9225" s="2" t="s">
        <v>48</v>
      </c>
      <c r="J9225" s="2" t="s">
        <v>102</v>
      </c>
      <c r="K9225" s="2" t="s">
        <v>14082</v>
      </c>
    </row>
    <row r="9226" ht="15.75" customHeight="1">
      <c r="A9226" s="2">
        <v>200386.0</v>
      </c>
      <c r="B9226" s="2" t="s">
        <v>471</v>
      </c>
      <c r="C9226" s="2" t="s">
        <v>16514</v>
      </c>
      <c r="D9226" s="2" t="s">
        <v>3087</v>
      </c>
      <c r="E9226" s="2" t="s">
        <v>2058</v>
      </c>
      <c r="F9226" s="2">
        <v>6.0</v>
      </c>
      <c r="G9226" s="2">
        <v>500.0</v>
      </c>
      <c r="H9226" s="3" t="str">
        <f>HYPERLINK("http://www.linkedin.com/in/danguerrero","http://www.linkedin.com/in/danguerrero")</f>
        <v>http://www.linkedin.com/in/danguerrero</v>
      </c>
      <c r="I9226" s="2" t="s">
        <v>279</v>
      </c>
      <c r="J9226" s="2" t="s">
        <v>102</v>
      </c>
      <c r="K9226" s="2" t="s">
        <v>14197</v>
      </c>
    </row>
    <row r="9227" ht="15.75" customHeight="1">
      <c r="A9227" s="2">
        <v>200423.0</v>
      </c>
      <c r="B9227" s="2" t="s">
        <v>16515</v>
      </c>
      <c r="C9227" s="2" t="s">
        <v>16516</v>
      </c>
      <c r="D9227" s="2" t="s">
        <v>751</v>
      </c>
      <c r="E9227" s="2" t="s">
        <v>136</v>
      </c>
      <c r="F9227" s="2">
        <v>4.0</v>
      </c>
      <c r="G9227" s="2">
        <v>500.0</v>
      </c>
      <c r="H9227" s="3" t="str">
        <f>HYPERLINK("http://www.linkedin.com/in/kfarr","http://www.linkedin.com/in/kfarr")</f>
        <v>http://www.linkedin.com/in/kfarr</v>
      </c>
      <c r="I9227" s="2" t="s">
        <v>69</v>
      </c>
      <c r="J9227" s="2" t="s">
        <v>102</v>
      </c>
      <c r="K9227" s="2" t="s">
        <v>14073</v>
      </c>
    </row>
    <row r="9228" ht="15.75" customHeight="1">
      <c r="A9228" s="2">
        <v>200427.0</v>
      </c>
      <c r="B9228" s="2" t="s">
        <v>414</v>
      </c>
      <c r="C9228" s="2" t="s">
        <v>16517</v>
      </c>
      <c r="D9228" s="2" t="s">
        <v>16142</v>
      </c>
      <c r="E9228" s="2" t="s">
        <v>804</v>
      </c>
      <c r="F9228" s="2">
        <v>5.0</v>
      </c>
      <c r="G9228" s="2">
        <v>500.0</v>
      </c>
      <c r="H9228" s="3" t="str">
        <f>HYPERLINK("http://www.linkedin.com/in/tomdebolt","http://www.linkedin.com/in/tomdebolt")</f>
        <v>http://www.linkedin.com/in/tomdebolt</v>
      </c>
      <c r="I9228" s="2" t="s">
        <v>2843</v>
      </c>
      <c r="J9228" s="2" t="s">
        <v>102</v>
      </c>
      <c r="K9228" s="2" t="s">
        <v>14055</v>
      </c>
    </row>
    <row r="9229" ht="15.75" customHeight="1">
      <c r="A9229" s="2">
        <v>200474.0</v>
      </c>
      <c r="B9229" s="2" t="s">
        <v>511</v>
      </c>
      <c r="C9229" s="2" t="s">
        <v>16518</v>
      </c>
      <c r="D9229" s="2" t="s">
        <v>12278</v>
      </c>
      <c r="E9229" s="2" t="s">
        <v>1407</v>
      </c>
      <c r="F9229" s="2">
        <v>19.0</v>
      </c>
      <c r="G9229" s="2">
        <v>500.0</v>
      </c>
      <c r="H9229" s="3" t="str">
        <f>HYPERLINK("http://www.linkedin.com/in/mikemaloney","http://www.linkedin.com/in/mikemaloney")</f>
        <v>http://www.linkedin.com/in/mikemaloney</v>
      </c>
      <c r="I9229" s="2" t="s">
        <v>279</v>
      </c>
      <c r="J9229" s="2" t="s">
        <v>102</v>
      </c>
      <c r="K9229" s="2" t="s">
        <v>14197</v>
      </c>
    </row>
    <row r="9230" ht="15.75" customHeight="1">
      <c r="A9230" s="2">
        <v>200553.0</v>
      </c>
      <c r="B9230" s="2" t="s">
        <v>845</v>
      </c>
      <c r="C9230" s="2" t="s">
        <v>16519</v>
      </c>
      <c r="D9230" s="2" t="s">
        <v>16520</v>
      </c>
      <c r="E9230" s="2" t="s">
        <v>16521</v>
      </c>
      <c r="F9230" s="2">
        <v>5.0</v>
      </c>
      <c r="G9230" s="2">
        <v>500.0</v>
      </c>
      <c r="H9230" s="3" t="str">
        <f>HYPERLINK("http://uk.linkedin.com/pub/david-quantrell/5/7A/993","http://uk.linkedin.com/pub/david-quantrell/5/7A/993")</f>
        <v>http://uk.linkedin.com/pub/david-quantrell/5/7A/993</v>
      </c>
      <c r="I9230" s="2" t="s">
        <v>48</v>
      </c>
      <c r="J9230" s="2" t="s">
        <v>53</v>
      </c>
      <c r="K9230" s="2" t="s">
        <v>14082</v>
      </c>
    </row>
    <row r="9231" ht="15.75" customHeight="1">
      <c r="A9231" s="2">
        <v>200581.0</v>
      </c>
      <c r="B9231" s="2" t="s">
        <v>1004</v>
      </c>
      <c r="C9231" s="2" t="s">
        <v>288</v>
      </c>
      <c r="D9231" s="2" t="s">
        <v>16522</v>
      </c>
      <c r="E9231" s="2" t="s">
        <v>136</v>
      </c>
      <c r="F9231" s="2">
        <v>0.0</v>
      </c>
      <c r="G9231" s="2">
        <v>500.0</v>
      </c>
      <c r="H9231" s="3" t="str">
        <f>HYPERLINK("http://www.linkedin.com/pub/scott-davis/3/53/7A7","http://www.linkedin.com/pub/scott-davis/3/53/7A7")</f>
        <v>http://www.linkedin.com/pub/scott-davis/3/53/7A7</v>
      </c>
      <c r="I9231" s="2" t="s">
        <v>48</v>
      </c>
      <c r="J9231" s="2" t="s">
        <v>102</v>
      </c>
      <c r="K9231" s="2" t="s">
        <v>14095</v>
      </c>
    </row>
    <row r="9232" ht="15.75" customHeight="1">
      <c r="A9232" s="2">
        <v>200602.0</v>
      </c>
      <c r="B9232" s="2" t="s">
        <v>1405</v>
      </c>
      <c r="C9232" s="2" t="s">
        <v>16523</v>
      </c>
      <c r="D9232" s="2" t="s">
        <v>16524</v>
      </c>
      <c r="E9232" s="2" t="s">
        <v>16525</v>
      </c>
      <c r="F9232" s="2">
        <v>10.0</v>
      </c>
      <c r="G9232" s="2">
        <v>500.0</v>
      </c>
      <c r="H9232" s="3" t="str">
        <f>HYPERLINK("http://www.linkedin.com/in/ronshell","http://www.linkedin.com/in/ronshell")</f>
        <v>http://www.linkedin.com/in/ronshell</v>
      </c>
      <c r="I9232" s="2" t="s">
        <v>48</v>
      </c>
      <c r="J9232" s="2" t="s">
        <v>102</v>
      </c>
      <c r="K9232" s="2" t="s">
        <v>14095</v>
      </c>
    </row>
    <row r="9233" ht="15.75" customHeight="1">
      <c r="A9233" s="2">
        <v>200615.0</v>
      </c>
      <c r="B9233" s="2" t="s">
        <v>16526</v>
      </c>
      <c r="C9233" s="2" t="s">
        <v>13</v>
      </c>
      <c r="D9233" s="2" t="s">
        <v>13</v>
      </c>
      <c r="E9233" s="2" t="s">
        <v>914</v>
      </c>
      <c r="F9233" s="2">
        <v>0.0</v>
      </c>
      <c r="G9233" s="2">
        <v>500.0</v>
      </c>
      <c r="H9233" s="3" t="str">
        <f>HYPERLINK("http://www.linkedin.com/in/markstouse","http://www.linkedin.com/in/markstouse")</f>
        <v>http://www.linkedin.com/in/markstouse</v>
      </c>
      <c r="I9233" s="2" t="s">
        <v>48</v>
      </c>
      <c r="J9233" s="2" t="s">
        <v>102</v>
      </c>
      <c r="K9233" s="2" t="s">
        <v>15579</v>
      </c>
    </row>
    <row r="9234" ht="15.75" customHeight="1">
      <c r="A9234" s="2">
        <v>200621.0</v>
      </c>
      <c r="B9234" s="2" t="s">
        <v>677</v>
      </c>
      <c r="C9234" s="2" t="s">
        <v>16527</v>
      </c>
      <c r="D9234" s="2" t="s">
        <v>5628</v>
      </c>
      <c r="E9234" s="2" t="s">
        <v>136</v>
      </c>
      <c r="F9234" s="2" t="s">
        <v>13</v>
      </c>
      <c r="G9234" s="2">
        <v>500.0</v>
      </c>
      <c r="H9234" s="3" t="str">
        <f>HYPERLINK("http://www.linkedin.com/in/danielha","http://www.linkedin.com/in/danielha")</f>
        <v>http://www.linkedin.com/in/danielha</v>
      </c>
      <c r="I9234" s="2" t="s">
        <v>15</v>
      </c>
      <c r="J9234" s="2" t="s">
        <v>102</v>
      </c>
      <c r="K9234" s="2" t="s">
        <v>14080</v>
      </c>
    </row>
    <row r="9235" ht="15.75" customHeight="1">
      <c r="A9235" s="2">
        <v>200781.0</v>
      </c>
      <c r="B9235" s="2" t="s">
        <v>1405</v>
      </c>
      <c r="C9235" s="2" t="s">
        <v>16528</v>
      </c>
      <c r="D9235" s="2" t="s">
        <v>14863</v>
      </c>
      <c r="E9235" s="2" t="s">
        <v>136</v>
      </c>
      <c r="F9235" s="2">
        <v>8.0</v>
      </c>
      <c r="G9235" s="2">
        <v>500.0</v>
      </c>
      <c r="H9235" s="3" t="str">
        <f>HYPERLINK("http://www.linkedin.com/in/ronzaragoza","http://www.linkedin.com/in/ronzaragoza")</f>
        <v>http://www.linkedin.com/in/ronzaragoza</v>
      </c>
      <c r="I9235" s="2" t="s">
        <v>48</v>
      </c>
      <c r="J9235" s="2" t="s">
        <v>102</v>
      </c>
      <c r="K9235" s="2" t="s">
        <v>14080</v>
      </c>
    </row>
    <row r="9236" ht="15.75" customHeight="1">
      <c r="A9236" s="2">
        <v>200786.0</v>
      </c>
      <c r="B9236" s="2" t="s">
        <v>1919</v>
      </c>
      <c r="C9236" s="2" t="s">
        <v>16529</v>
      </c>
      <c r="D9236" s="2" t="s">
        <v>114</v>
      </c>
      <c r="E9236" s="2" t="s">
        <v>1190</v>
      </c>
      <c r="F9236" s="2">
        <v>6.0</v>
      </c>
      <c r="G9236" s="2">
        <v>500.0</v>
      </c>
      <c r="H9236" s="3" t="str">
        <f>HYPERLINK("http://www.linkedin.com/in/larryschweitzer","http://www.linkedin.com/in/larryschweitzer")</f>
        <v>http://www.linkedin.com/in/larryschweitzer</v>
      </c>
      <c r="I9236" s="2" t="s">
        <v>248</v>
      </c>
      <c r="J9236" s="2" t="s">
        <v>102</v>
      </c>
      <c r="K9236" s="2" t="s">
        <v>14074</v>
      </c>
    </row>
    <row r="9237" ht="15.75" customHeight="1">
      <c r="A9237" s="2">
        <v>200794.0</v>
      </c>
      <c r="B9237" s="2" t="s">
        <v>412</v>
      </c>
      <c r="C9237" s="2" t="s">
        <v>3249</v>
      </c>
      <c r="D9237" s="2" t="s">
        <v>47</v>
      </c>
      <c r="E9237" s="2" t="s">
        <v>136</v>
      </c>
      <c r="F9237" s="2">
        <v>0.0</v>
      </c>
      <c r="G9237" s="2">
        <v>500.0</v>
      </c>
      <c r="H9237" s="3" t="str">
        <f>HYPERLINK("http://www.linkedin.com/in/rwalkervc","http://www.linkedin.com/in/rwalkervc")</f>
        <v>http://www.linkedin.com/in/rwalkervc</v>
      </c>
      <c r="I9237" s="2" t="s">
        <v>669</v>
      </c>
      <c r="J9237" s="2" t="s">
        <v>102</v>
      </c>
      <c r="K9237" s="2" t="s">
        <v>14055</v>
      </c>
    </row>
    <row r="9238" ht="15.75" customHeight="1">
      <c r="A9238" s="2">
        <v>200855.0</v>
      </c>
      <c r="B9238" s="2" t="s">
        <v>16530</v>
      </c>
      <c r="C9238" s="2" t="s">
        <v>16531</v>
      </c>
      <c r="D9238" s="2" t="s">
        <v>536</v>
      </c>
      <c r="E9238" s="2" t="s">
        <v>713</v>
      </c>
      <c r="F9238" s="2">
        <v>20.0</v>
      </c>
      <c r="G9238" s="2">
        <v>500.0</v>
      </c>
      <c r="H9238" s="3" t="str">
        <f>HYPERLINK("http://www.linkedin.com/in/cms1013","http://www.linkedin.com/in/cms1013")</f>
        <v>http://www.linkedin.com/in/cms1013</v>
      </c>
      <c r="I9238" s="2" t="s">
        <v>1390</v>
      </c>
      <c r="J9238" s="2" t="s">
        <v>102</v>
      </c>
      <c r="K9238" s="2" t="s">
        <v>14055</v>
      </c>
    </row>
    <row r="9239" ht="15.75" customHeight="1">
      <c r="A9239" s="2">
        <v>200932.0</v>
      </c>
      <c r="B9239" s="2" t="s">
        <v>625</v>
      </c>
      <c r="C9239" s="2" t="s">
        <v>399</v>
      </c>
      <c r="D9239" s="2" t="s">
        <v>1805</v>
      </c>
      <c r="E9239" s="2" t="s">
        <v>301</v>
      </c>
      <c r="F9239" s="2" t="s">
        <v>13</v>
      </c>
      <c r="G9239" s="2">
        <v>500.0</v>
      </c>
      <c r="H9239" s="3" t="str">
        <f>HYPERLINK("http://www.linkedin.com/pub/tim-johnson/4/1A/37A","http://www.linkedin.com/pub/tim-johnson/4/1A/37A")</f>
        <v>http://www.linkedin.com/pub/tim-johnson/4/1A/37A</v>
      </c>
      <c r="I9239" s="2" t="s">
        <v>15</v>
      </c>
      <c r="J9239" s="2" t="s">
        <v>102</v>
      </c>
      <c r="K9239" s="2" t="s">
        <v>14142</v>
      </c>
    </row>
    <row r="9240" ht="15.75" customHeight="1">
      <c r="A9240" s="2">
        <v>201073.0</v>
      </c>
      <c r="B9240" s="2" t="s">
        <v>287</v>
      </c>
      <c r="C9240" s="2" t="s">
        <v>16532</v>
      </c>
      <c r="D9240" s="2" t="s">
        <v>16533</v>
      </c>
      <c r="E9240" s="2" t="s">
        <v>301</v>
      </c>
      <c r="F9240" s="2">
        <v>0.0</v>
      </c>
      <c r="G9240" s="2">
        <v>347.0</v>
      </c>
      <c r="H9240" s="3" t="str">
        <f>HYPERLINK("http://www.linkedin.com/in/paulsitar","http://www.linkedin.com/in/paulsitar")</f>
        <v>http://www.linkedin.com/in/paulsitar</v>
      </c>
      <c r="I9240" s="2" t="s">
        <v>160</v>
      </c>
      <c r="J9240" s="2" t="s">
        <v>102</v>
      </c>
      <c r="K9240" s="2" t="s">
        <v>14105</v>
      </c>
    </row>
    <row r="9241" ht="15.75" customHeight="1">
      <c r="A9241" s="2">
        <v>201216.0</v>
      </c>
      <c r="B9241" s="2" t="s">
        <v>1532</v>
      </c>
      <c r="C9241" s="2" t="s">
        <v>16534</v>
      </c>
      <c r="D9241" s="2" t="s">
        <v>400</v>
      </c>
      <c r="E9241" s="2" t="s">
        <v>136</v>
      </c>
      <c r="F9241" s="2">
        <v>11.0</v>
      </c>
      <c r="G9241" s="2">
        <v>500.0</v>
      </c>
      <c r="H9241" s="3" t="str">
        <f>HYPERLINK("http://www.linkedin.com/in/rohitdewan","http://www.linkedin.com/in/rohitdewan")</f>
        <v>http://www.linkedin.com/in/rohitdewan</v>
      </c>
      <c r="I9241" s="2" t="s">
        <v>69</v>
      </c>
      <c r="J9241" s="2" t="s">
        <v>102</v>
      </c>
      <c r="K9241" s="2" t="s">
        <v>14080</v>
      </c>
    </row>
    <row r="9242" ht="15.75" customHeight="1">
      <c r="A9242" s="2">
        <v>201416.0</v>
      </c>
      <c r="B9242" s="2" t="s">
        <v>1173</v>
      </c>
      <c r="C9242" s="2" t="s">
        <v>12101</v>
      </c>
      <c r="D9242" s="2" t="s">
        <v>16535</v>
      </c>
      <c r="E9242" s="2" t="s">
        <v>989</v>
      </c>
      <c r="F9242" s="2" t="s">
        <v>13</v>
      </c>
      <c r="G9242" s="2">
        <v>240.0</v>
      </c>
      <c r="H9242" s="3" t="str">
        <f>HYPERLINK("http://www.linkedin.com/pub/steve-berke/B/891/419","http://www.linkedin.com/pub/steve-berke/B/891/419")</f>
        <v>http://www.linkedin.com/pub/steve-berke/B/891/419</v>
      </c>
      <c r="I9242" s="2" t="s">
        <v>2419</v>
      </c>
      <c r="J9242" s="2" t="s">
        <v>102</v>
      </c>
      <c r="K9242" s="2" t="s">
        <v>14105</v>
      </c>
    </row>
    <row r="9243" ht="15.75" customHeight="1">
      <c r="A9243" s="2">
        <v>201495.0</v>
      </c>
      <c r="B9243" s="2" t="s">
        <v>398</v>
      </c>
      <c r="C9243" s="2" t="s">
        <v>16536</v>
      </c>
      <c r="D9243" s="2" t="s">
        <v>16537</v>
      </c>
      <c r="E9243" s="2" t="s">
        <v>101</v>
      </c>
      <c r="F9243" s="2">
        <v>7.0</v>
      </c>
      <c r="G9243" s="2">
        <v>500.0</v>
      </c>
      <c r="H9243" s="3" t="str">
        <f>HYPERLINK("http://www.linkedin.com/in/colindaymude","http://www.linkedin.com/in/colindaymude")</f>
        <v>http://www.linkedin.com/in/colindaymude</v>
      </c>
      <c r="I9243" s="2" t="s">
        <v>1390</v>
      </c>
      <c r="J9243" s="2" t="s">
        <v>102</v>
      </c>
      <c r="K9243" s="2" t="s">
        <v>14055</v>
      </c>
    </row>
    <row r="9244" ht="15.75" customHeight="1">
      <c r="A9244" s="2">
        <v>201521.0</v>
      </c>
      <c r="B9244" s="2" t="s">
        <v>11149</v>
      </c>
      <c r="C9244" s="2" t="s">
        <v>2805</v>
      </c>
      <c r="D9244" s="2" t="s">
        <v>1320</v>
      </c>
      <c r="E9244" s="2" t="s">
        <v>914</v>
      </c>
      <c r="F9244" s="2">
        <v>7.0</v>
      </c>
      <c r="G9244" s="2">
        <v>500.0</v>
      </c>
      <c r="H9244" s="3" t="str">
        <f>HYPERLINK("http://www.linkedin.com/in/brettclay","http://www.linkedin.com/in/brettclay")</f>
        <v>http://www.linkedin.com/in/brettclay</v>
      </c>
      <c r="I9244" s="2" t="s">
        <v>57</v>
      </c>
      <c r="J9244" s="2" t="s">
        <v>102</v>
      </c>
      <c r="K9244" s="2" t="s">
        <v>14092</v>
      </c>
    </row>
    <row r="9245" ht="15.75" customHeight="1">
      <c r="A9245" s="2">
        <v>201679.0</v>
      </c>
      <c r="B9245" s="2" t="s">
        <v>16538</v>
      </c>
      <c r="C9245" s="2" t="s">
        <v>14478</v>
      </c>
      <c r="D9245" s="2" t="s">
        <v>114</v>
      </c>
      <c r="E9245" s="2" t="s">
        <v>2454</v>
      </c>
      <c r="F9245" s="2">
        <v>47.0</v>
      </c>
      <c r="G9245" s="2">
        <v>500.0</v>
      </c>
      <c r="H9245" s="3" t="str">
        <f>HYPERLINK("http://www.linkedin.com/in/salesleadexpert","http://www.linkedin.com/in/salesleadexpert")</f>
        <v>http://www.linkedin.com/in/salesleadexpert</v>
      </c>
      <c r="I9245" s="2" t="s">
        <v>105</v>
      </c>
      <c r="J9245" s="2" t="s">
        <v>102</v>
      </c>
      <c r="K9245" s="2" t="s">
        <v>14055</v>
      </c>
    </row>
    <row r="9246" ht="15.75" customHeight="1">
      <c r="A9246" s="2">
        <v>201693.0</v>
      </c>
      <c r="B9246" s="2" t="s">
        <v>2859</v>
      </c>
      <c r="C9246" s="2" t="s">
        <v>16539</v>
      </c>
      <c r="D9246" s="2" t="s">
        <v>304</v>
      </c>
      <c r="E9246" s="2" t="s">
        <v>728</v>
      </c>
      <c r="F9246" s="2">
        <v>0.0</v>
      </c>
      <c r="G9246" s="2">
        <v>500.0</v>
      </c>
      <c r="H9246" s="3" t="str">
        <f>HYPERLINK("http://www.linkedin.com/in/linville","http://www.linkedin.com/in/linville")</f>
        <v>http://www.linkedin.com/in/linville</v>
      </c>
      <c r="I9246" s="2" t="s">
        <v>15</v>
      </c>
      <c r="J9246" s="2" t="s">
        <v>102</v>
      </c>
      <c r="K9246" s="2" t="s">
        <v>14197</v>
      </c>
    </row>
    <row r="9247" ht="15.75" customHeight="1">
      <c r="A9247" s="2">
        <v>201745.0</v>
      </c>
      <c r="B9247" s="2" t="s">
        <v>4067</v>
      </c>
      <c r="C9247" s="2" t="s">
        <v>16540</v>
      </c>
      <c r="D9247" s="2" t="s">
        <v>955</v>
      </c>
      <c r="E9247" s="2" t="s">
        <v>1329</v>
      </c>
      <c r="F9247" s="2">
        <v>7.0</v>
      </c>
      <c r="G9247" s="2">
        <v>450.0</v>
      </c>
      <c r="H9247" s="3" t="str">
        <f>HYPERLINK("http://www.linkedin.com/pub/jeremy-schultz/3/598/764","http://www.linkedin.com/pub/jeremy-schultz/3/598/764")</f>
        <v>http://www.linkedin.com/pub/jeremy-schultz/3/598/764</v>
      </c>
      <c r="I9247" s="2" t="s">
        <v>15</v>
      </c>
      <c r="J9247" s="2" t="s">
        <v>102</v>
      </c>
      <c r="K9247" s="2" t="s">
        <v>14197</v>
      </c>
    </row>
    <row r="9248" ht="15.75" customHeight="1">
      <c r="A9248" s="2">
        <v>201814.0</v>
      </c>
      <c r="B9248" s="2" t="s">
        <v>10728</v>
      </c>
      <c r="C9248" s="2" t="s">
        <v>16541</v>
      </c>
      <c r="D9248" s="2" t="s">
        <v>16542</v>
      </c>
      <c r="E9248" s="2" t="s">
        <v>301</v>
      </c>
      <c r="F9248" s="2">
        <v>6.0</v>
      </c>
      <c r="G9248" s="2">
        <v>500.0</v>
      </c>
      <c r="H9248" s="3" t="str">
        <f>HYPERLINK("http://www.linkedin.com/pub/jenny-ciappa/3/605/99A","http://www.linkedin.com/pub/jenny-ciappa/3/605/99A")</f>
        <v>http://www.linkedin.com/pub/jenny-ciappa/3/605/99A</v>
      </c>
      <c r="I9248" s="2" t="s">
        <v>248</v>
      </c>
      <c r="J9248" s="2" t="s">
        <v>102</v>
      </c>
      <c r="K9248" s="2" t="s">
        <v>14115</v>
      </c>
    </row>
    <row r="9249" ht="15.75" customHeight="1">
      <c r="A9249" s="2">
        <v>201841.0</v>
      </c>
      <c r="B9249" s="2" t="s">
        <v>752</v>
      </c>
      <c r="C9249" s="2" t="s">
        <v>16543</v>
      </c>
      <c r="D9249" s="2" t="s">
        <v>16544</v>
      </c>
      <c r="E9249" s="2" t="s">
        <v>16545</v>
      </c>
      <c r="F9249" s="2">
        <v>5.0</v>
      </c>
      <c r="G9249" s="2">
        <v>199.0</v>
      </c>
      <c r="H9249" s="3" t="str">
        <f>HYPERLINK("http://www.linkedin.com/pub/jim-justinich/3/74A/868","http://www.linkedin.com/pub/jim-justinich/3/74A/868")</f>
        <v>http://www.linkedin.com/pub/jim-justinich/3/74A/868</v>
      </c>
      <c r="I9249" s="2" t="s">
        <v>15</v>
      </c>
      <c r="J9249" s="2" t="s">
        <v>102</v>
      </c>
      <c r="K9249" s="2" t="s">
        <v>14080</v>
      </c>
    </row>
    <row r="9250" ht="15.75" customHeight="1">
      <c r="A9250" s="2">
        <v>201997.0</v>
      </c>
      <c r="B9250" s="2" t="s">
        <v>1454</v>
      </c>
      <c r="C9250" s="2" t="s">
        <v>677</v>
      </c>
      <c r="D9250" s="2" t="s">
        <v>410</v>
      </c>
      <c r="E9250" s="2" t="s">
        <v>235</v>
      </c>
      <c r="F9250" s="2">
        <v>0.0</v>
      </c>
      <c r="G9250" s="2">
        <v>453.0</v>
      </c>
      <c r="H9250" s="3" t="str">
        <f>HYPERLINK("http://www.linkedin.com/pub/alan-daniel/11/45/9A8","http://www.linkedin.com/pub/alan-daniel/11/45/9A8")</f>
        <v>http://www.linkedin.com/pub/alan-daniel/11/45/9A8</v>
      </c>
      <c r="I9250" s="2" t="s">
        <v>15</v>
      </c>
      <c r="J9250" s="2" t="s">
        <v>102</v>
      </c>
      <c r="K9250" s="2" t="s">
        <v>14078</v>
      </c>
    </row>
    <row r="9251" ht="15.75" customHeight="1">
      <c r="A9251" s="2">
        <v>202060.0</v>
      </c>
      <c r="B9251" s="2" t="s">
        <v>12386</v>
      </c>
      <c r="C9251" s="2" t="s">
        <v>16546</v>
      </c>
      <c r="D9251" s="2" t="s">
        <v>13</v>
      </c>
      <c r="E9251" s="2" t="s">
        <v>16547</v>
      </c>
      <c r="F9251" s="2">
        <v>0.0</v>
      </c>
      <c r="G9251" s="2">
        <v>500.0</v>
      </c>
      <c r="H9251" s="3" t="str">
        <f>HYPERLINK("http://www.linkedin.com/in/micheleelsaesser","http://www.linkedin.com/in/micheleelsaesser")</f>
        <v>http://www.linkedin.com/in/micheleelsaesser</v>
      </c>
      <c r="I9251" s="2" t="s">
        <v>458</v>
      </c>
      <c r="J9251" s="2" t="s">
        <v>102</v>
      </c>
      <c r="K9251" s="2" t="s">
        <v>14055</v>
      </c>
    </row>
    <row r="9252" ht="15.75" customHeight="1">
      <c r="A9252" s="2">
        <v>202067.0</v>
      </c>
      <c r="B9252" s="2" t="s">
        <v>1582</v>
      </c>
      <c r="C9252" s="2" t="s">
        <v>16548</v>
      </c>
      <c r="D9252" s="2" t="s">
        <v>42</v>
      </c>
      <c r="E9252" s="2" t="s">
        <v>166</v>
      </c>
      <c r="F9252" s="2" t="s">
        <v>13</v>
      </c>
      <c r="G9252" s="2">
        <v>108.0</v>
      </c>
      <c r="H9252" s="3" t="str">
        <f>HYPERLINK("http://www.linkedin.com/pub/erin-swim/11/261/614","http://www.linkedin.com/pub/erin-swim/11/261/614")</f>
        <v>http://www.linkedin.com/pub/erin-swim/11/261/614</v>
      </c>
      <c r="I9252" s="2" t="s">
        <v>279</v>
      </c>
      <c r="J9252" s="2" t="s">
        <v>102</v>
      </c>
      <c r="K9252" s="2" t="s">
        <v>14197</v>
      </c>
    </row>
    <row r="9253" ht="15.75" customHeight="1">
      <c r="A9253" s="2">
        <v>202175.0</v>
      </c>
      <c r="B9253" s="2" t="s">
        <v>16549</v>
      </c>
      <c r="C9253" s="2" t="s">
        <v>12787</v>
      </c>
      <c r="D9253" s="2" t="s">
        <v>3100</v>
      </c>
      <c r="E9253" s="2" t="s">
        <v>808</v>
      </c>
      <c r="F9253" s="2">
        <v>2.0</v>
      </c>
      <c r="G9253" s="2">
        <v>307.0</v>
      </c>
      <c r="H9253" s="3" t="str">
        <f>HYPERLINK("http://www.linkedin.com/pub/ellen-gould/3/177/80A","http://www.linkedin.com/pub/ellen-gould/3/177/80A")</f>
        <v>http://www.linkedin.com/pub/ellen-gould/3/177/80A</v>
      </c>
      <c r="I9253" s="2" t="s">
        <v>105</v>
      </c>
      <c r="J9253" s="2" t="s">
        <v>102</v>
      </c>
      <c r="K9253" s="2" t="s">
        <v>14055</v>
      </c>
    </row>
    <row r="9254" ht="15.75" customHeight="1">
      <c r="A9254" s="2">
        <v>202187.0</v>
      </c>
      <c r="B9254" s="2" t="s">
        <v>412</v>
      </c>
      <c r="C9254" s="2" t="s">
        <v>16550</v>
      </c>
      <c r="D9254" s="2" t="s">
        <v>16551</v>
      </c>
      <c r="E9254" s="2" t="s">
        <v>7844</v>
      </c>
      <c r="F9254" s="2">
        <v>10.0</v>
      </c>
      <c r="G9254" s="2">
        <v>441.0</v>
      </c>
      <c r="H9254" s="3" t="str">
        <f>HYPERLINK("http://www.linkedin.com/in/robertjreagan","http://www.linkedin.com/in/robertjreagan")</f>
        <v>http://www.linkedin.com/in/robertjreagan</v>
      </c>
      <c r="I9254" s="2" t="s">
        <v>15</v>
      </c>
      <c r="J9254" s="2" t="s">
        <v>102</v>
      </c>
      <c r="K9254" s="2" t="s">
        <v>14617</v>
      </c>
    </row>
    <row r="9255" ht="15.75" customHeight="1">
      <c r="A9255" s="2">
        <v>202450.0</v>
      </c>
      <c r="B9255" s="2" t="s">
        <v>3477</v>
      </c>
      <c r="C9255" s="2" t="s">
        <v>16552</v>
      </c>
      <c r="D9255" s="2" t="s">
        <v>13</v>
      </c>
      <c r="E9255" s="2" t="s">
        <v>7844</v>
      </c>
      <c r="F9255" s="2">
        <v>0.0</v>
      </c>
      <c r="G9255" s="2">
        <v>500.0</v>
      </c>
      <c r="H9255" s="3" t="str">
        <f>HYPERLINK("http://www.linkedin.com/pub/josh-fieldman/8/B8B/19B","http://www.linkedin.com/pub/josh-fieldman/8/B8B/19B")</f>
        <v>http://www.linkedin.com/pub/josh-fieldman/8/B8B/19B</v>
      </c>
      <c r="I9255" s="2" t="s">
        <v>172</v>
      </c>
      <c r="J9255" s="2" t="s">
        <v>102</v>
      </c>
      <c r="K9255" s="2" t="s">
        <v>14055</v>
      </c>
    </row>
    <row r="9256" ht="15.75" customHeight="1">
      <c r="A9256" s="2">
        <v>202480.0</v>
      </c>
      <c r="B9256" s="2" t="s">
        <v>511</v>
      </c>
      <c r="C9256" s="2" t="s">
        <v>16553</v>
      </c>
      <c r="D9256" s="2" t="s">
        <v>16554</v>
      </c>
      <c r="E9256" s="2" t="s">
        <v>214</v>
      </c>
      <c r="F9256" s="2">
        <v>1.0</v>
      </c>
      <c r="G9256" s="2">
        <v>500.0</v>
      </c>
      <c r="H9256" s="3" t="str">
        <f>HYPERLINK("http://www.linkedin.com/pub/mike-mcbride/0/81A/11A","http://www.linkedin.com/pub/mike-mcbride/0/81A/11A")</f>
        <v>http://www.linkedin.com/pub/mike-mcbride/0/81A/11A</v>
      </c>
      <c r="I9256" s="2" t="s">
        <v>160</v>
      </c>
      <c r="J9256" s="2" t="s">
        <v>102</v>
      </c>
      <c r="K9256" s="2" t="s">
        <v>14074</v>
      </c>
    </row>
    <row r="9257" ht="15.75" customHeight="1">
      <c r="A9257" s="2">
        <v>203185.0</v>
      </c>
      <c r="B9257" s="2" t="s">
        <v>16555</v>
      </c>
      <c r="C9257" s="2" t="s">
        <v>16556</v>
      </c>
      <c r="D9257" s="2" t="s">
        <v>16557</v>
      </c>
      <c r="E9257" s="2" t="s">
        <v>301</v>
      </c>
      <c r="F9257" s="2">
        <v>0.0</v>
      </c>
      <c r="G9257" s="2">
        <v>500.0</v>
      </c>
      <c r="H9257" s="3" t="str">
        <f>HYPERLINK("http://www.linkedin.com/in/fages04081963","http://www.linkedin.com/in/fages04081963")</f>
        <v>http://www.linkedin.com/in/fages04081963</v>
      </c>
      <c r="I9257" s="2" t="s">
        <v>15</v>
      </c>
      <c r="J9257" s="2" t="s">
        <v>102</v>
      </c>
      <c r="K9257" s="2" t="s">
        <v>14080</v>
      </c>
    </row>
    <row r="9258" ht="15.75" customHeight="1">
      <c r="A9258" s="2">
        <v>203211.0</v>
      </c>
      <c r="B9258" s="2" t="s">
        <v>540</v>
      </c>
      <c r="C9258" s="2" t="s">
        <v>16558</v>
      </c>
      <c r="D9258" s="2" t="s">
        <v>13</v>
      </c>
      <c r="E9258" s="2" t="s">
        <v>12618</v>
      </c>
      <c r="F9258" s="2">
        <v>37.0</v>
      </c>
      <c r="G9258" s="2">
        <v>500.0</v>
      </c>
      <c r="H9258" s="3" t="str">
        <f>HYPERLINK("http://www.linkedin.com/in/christianbuckley","http://www.linkedin.com/in/christianbuckley")</f>
        <v>http://www.linkedin.com/in/christianbuckley</v>
      </c>
      <c r="I9258" s="2" t="s">
        <v>15</v>
      </c>
      <c r="J9258" s="2" t="s">
        <v>102</v>
      </c>
      <c r="K9258" s="2" t="s">
        <v>14080</v>
      </c>
    </row>
    <row r="9259" ht="15.75" customHeight="1">
      <c r="A9259" s="2">
        <v>203223.0</v>
      </c>
      <c r="B9259" s="2" t="s">
        <v>1004</v>
      </c>
      <c r="C9259" s="2" t="s">
        <v>3907</v>
      </c>
      <c r="D9259" s="2" t="s">
        <v>16559</v>
      </c>
      <c r="E9259" s="2" t="s">
        <v>762</v>
      </c>
      <c r="F9259" s="2">
        <v>11.0</v>
      </c>
      <c r="G9259" s="2">
        <v>500.0</v>
      </c>
      <c r="H9259" s="3" t="str">
        <f>HYPERLINK("http://www.linkedin.com/in/sfrancisatx","http://www.linkedin.com/in/sfrancisatx")</f>
        <v>http://www.linkedin.com/in/sfrancisatx</v>
      </c>
      <c r="I9259" s="2" t="s">
        <v>48</v>
      </c>
      <c r="J9259" s="2" t="s">
        <v>102</v>
      </c>
      <c r="K9259" s="2" t="s">
        <v>14052</v>
      </c>
    </row>
    <row r="9260" ht="15.75" customHeight="1">
      <c r="A9260" s="2">
        <v>203228.0</v>
      </c>
      <c r="B9260" s="2" t="s">
        <v>2752</v>
      </c>
      <c r="C9260" s="2" t="s">
        <v>16560</v>
      </c>
      <c r="D9260" s="2"/>
      <c r="E9260" s="2" t="s">
        <v>181</v>
      </c>
      <c r="F9260" s="2">
        <v>0.0</v>
      </c>
      <c r="G9260" s="2">
        <v>500.0</v>
      </c>
      <c r="H9260" s="3" t="str">
        <f>HYPERLINK("http://www.linkedin.com/pub/craig-nevill-manning/0/2/A62","http://www.linkedin.com/pub/craig-nevill-manning/0/2/A62")</f>
        <v>http://www.linkedin.com/pub/craig-nevill-manning/0/2/A62</v>
      </c>
      <c r="I9260" s="2" t="s">
        <v>48</v>
      </c>
      <c r="J9260" s="2" t="s">
        <v>102</v>
      </c>
      <c r="K9260" s="2" t="s">
        <v>14339</v>
      </c>
    </row>
    <row r="9261" ht="15.75" customHeight="1">
      <c r="A9261" s="2">
        <v>203241.0</v>
      </c>
      <c r="B9261" s="2" t="s">
        <v>4677</v>
      </c>
      <c r="C9261" s="2" t="s">
        <v>3583</v>
      </c>
      <c r="D9261" s="2" t="s">
        <v>16377</v>
      </c>
      <c r="E9261" s="2" t="s">
        <v>11902</v>
      </c>
      <c r="F9261" s="2">
        <v>44.0</v>
      </c>
      <c r="G9261" s="2">
        <v>500.0</v>
      </c>
      <c r="H9261" s="3" t="str">
        <f>HYPERLINK("http://www.linkedin.com/in/pkjarvis","http://www.linkedin.com/in/pkjarvis")</f>
        <v>http://www.linkedin.com/in/pkjarvis</v>
      </c>
      <c r="I9261" s="2" t="s">
        <v>709</v>
      </c>
      <c r="J9261" s="2" t="s">
        <v>102</v>
      </c>
      <c r="K9261" s="2" t="s">
        <v>14105</v>
      </c>
    </row>
    <row r="9262" ht="15.75" customHeight="1">
      <c r="A9262" s="2">
        <v>203268.0</v>
      </c>
      <c r="B9262" s="2" t="s">
        <v>414</v>
      </c>
      <c r="C9262" s="2" t="s">
        <v>16561</v>
      </c>
      <c r="D9262" s="2" t="s">
        <v>309</v>
      </c>
      <c r="E9262" s="2" t="s">
        <v>136</v>
      </c>
      <c r="F9262" s="2">
        <v>2.0</v>
      </c>
      <c r="G9262" s="2">
        <v>500.0</v>
      </c>
      <c r="H9262" s="3" t="str">
        <f>HYPERLINK("http://www.linkedin.com/in/tomfishburne","http://www.linkedin.com/in/tomfishburne")</f>
        <v>http://www.linkedin.com/in/tomfishburne</v>
      </c>
      <c r="I9262" s="2" t="s">
        <v>105</v>
      </c>
      <c r="J9262" s="2" t="s">
        <v>102</v>
      </c>
      <c r="K9262" s="2" t="s">
        <v>14074</v>
      </c>
    </row>
    <row r="9263" ht="15.75" customHeight="1">
      <c r="A9263" s="2">
        <v>203286.0</v>
      </c>
      <c r="B9263" s="2" t="s">
        <v>460</v>
      </c>
      <c r="C9263" s="2" t="s">
        <v>16562</v>
      </c>
      <c r="D9263" s="2" t="s">
        <v>16563</v>
      </c>
      <c r="E9263" s="2" t="s">
        <v>136</v>
      </c>
      <c r="F9263" s="2">
        <v>0.0</v>
      </c>
      <c r="G9263" s="2">
        <v>500.0</v>
      </c>
      <c r="H9263" s="3" t="str">
        <f>HYPERLINK("http://www.linkedin.com/in/jjoyner","http://www.linkedin.com/in/jjoyner")</f>
        <v>http://www.linkedin.com/in/jjoyner</v>
      </c>
      <c r="I9263" s="2" t="s">
        <v>15</v>
      </c>
      <c r="J9263" s="2" t="s">
        <v>102</v>
      </c>
      <c r="K9263" s="2" t="s">
        <v>14078</v>
      </c>
    </row>
    <row r="9264" ht="15.75" customHeight="1">
      <c r="A9264" s="2">
        <v>203302.0</v>
      </c>
      <c r="B9264" s="2" t="s">
        <v>16564</v>
      </c>
      <c r="C9264" s="2" t="s">
        <v>16565</v>
      </c>
      <c r="D9264" s="2" t="s">
        <v>517</v>
      </c>
      <c r="E9264" s="2" t="s">
        <v>136</v>
      </c>
      <c r="F9264" s="2">
        <v>3.0</v>
      </c>
      <c r="G9264" s="2">
        <v>500.0</v>
      </c>
      <c r="H9264" s="3" t="str">
        <f>HYPERLINK("http://www.linkedin.com/in/pierreloic","http://www.linkedin.com/in/pierreloic")</f>
        <v>http://www.linkedin.com/in/pierreloic</v>
      </c>
      <c r="I9264" s="2" t="s">
        <v>1237</v>
      </c>
      <c r="J9264" s="2" t="s">
        <v>102</v>
      </c>
      <c r="K9264" s="2" t="s">
        <v>14242</v>
      </c>
    </row>
    <row r="9265" ht="15.75" customHeight="1">
      <c r="A9265" s="2">
        <v>203303.0</v>
      </c>
      <c r="B9265" s="2" t="s">
        <v>16566</v>
      </c>
      <c r="C9265" s="2" t="s">
        <v>4019</v>
      </c>
      <c r="D9265" s="2" t="s">
        <v>16567</v>
      </c>
      <c r="E9265" s="2" t="s">
        <v>15962</v>
      </c>
      <c r="F9265" s="2">
        <v>5.0</v>
      </c>
      <c r="G9265" s="2">
        <v>500.0</v>
      </c>
      <c r="H9265" s="3" t="str">
        <f>HYPERLINK("http://ca.linkedin.com/in/jenhunter","http://ca.linkedin.com/in/jenhunter")</f>
        <v>http://ca.linkedin.com/in/jenhunter</v>
      </c>
      <c r="I9265" s="2" t="s">
        <v>57</v>
      </c>
      <c r="J9265" s="2" t="s">
        <v>44</v>
      </c>
      <c r="K9265" s="2" t="s">
        <v>14173</v>
      </c>
    </row>
    <row r="9266" ht="15.75" customHeight="1">
      <c r="A9266" s="2">
        <v>203331.0</v>
      </c>
      <c r="B9266" s="2" t="s">
        <v>845</v>
      </c>
      <c r="C9266" s="2" t="s">
        <v>5211</v>
      </c>
      <c r="D9266" s="2" t="s">
        <v>304</v>
      </c>
      <c r="E9266" s="2" t="s">
        <v>136</v>
      </c>
      <c r="F9266" s="2">
        <v>7.0</v>
      </c>
      <c r="G9266" s="2">
        <v>500.0</v>
      </c>
      <c r="H9266" s="3" t="str">
        <f>HYPERLINK("http://www.linkedin.com/in/davidrbernstein","http://www.linkedin.com/in/davidrbernstein")</f>
        <v>http://www.linkedin.com/in/davidrbernstein</v>
      </c>
      <c r="I9266" s="2" t="s">
        <v>15</v>
      </c>
      <c r="J9266" s="2" t="s">
        <v>102</v>
      </c>
      <c r="K9266" s="2" t="s">
        <v>14088</v>
      </c>
    </row>
    <row r="9267" ht="15.75" customHeight="1">
      <c r="A9267" s="2">
        <v>203361.0</v>
      </c>
      <c r="B9267" s="2" t="s">
        <v>133</v>
      </c>
      <c r="C9267" s="2" t="s">
        <v>11457</v>
      </c>
      <c r="D9267" s="2" t="s">
        <v>114</v>
      </c>
      <c r="E9267" s="2" t="s">
        <v>15403</v>
      </c>
      <c r="F9267" s="2">
        <v>17.0</v>
      </c>
      <c r="G9267" s="2">
        <v>500.0</v>
      </c>
      <c r="H9267" s="3" t="str">
        <f>HYPERLINK("http://www.linkedin.com/in/mtanner","http://www.linkedin.com/in/mtanner")</f>
        <v>http://www.linkedin.com/in/mtanner</v>
      </c>
      <c r="I9267" s="2" t="s">
        <v>15</v>
      </c>
      <c r="J9267" s="2" t="s">
        <v>102</v>
      </c>
      <c r="K9267" s="2" t="s">
        <v>14197</v>
      </c>
    </row>
    <row r="9268" ht="15.75" customHeight="1">
      <c r="A9268" s="2">
        <v>203365.0</v>
      </c>
      <c r="B9268" s="2" t="s">
        <v>287</v>
      </c>
      <c r="C9268" s="2" t="s">
        <v>16568</v>
      </c>
      <c r="D9268" s="2" t="s">
        <v>16569</v>
      </c>
      <c r="E9268" s="2" t="s">
        <v>7844</v>
      </c>
      <c r="F9268" s="2">
        <v>1.0</v>
      </c>
      <c r="G9268" s="2">
        <v>399.0</v>
      </c>
      <c r="H9268" s="3" t="str">
        <f>HYPERLINK("http://www.linkedin.com/pub/paul-zyla/3/A47/B89","http://www.linkedin.com/pub/paul-zyla/3/A47/B89")</f>
        <v>http://www.linkedin.com/pub/paul-zyla/3/A47/B89</v>
      </c>
      <c r="I9268" s="2" t="s">
        <v>279</v>
      </c>
      <c r="J9268" s="2" t="s">
        <v>102</v>
      </c>
      <c r="K9268" s="2" t="s">
        <v>14197</v>
      </c>
    </row>
    <row r="9269" ht="15.75" customHeight="1">
      <c r="A9269" s="2">
        <v>203417.0</v>
      </c>
      <c r="B9269" s="2" t="s">
        <v>994</v>
      </c>
      <c r="C9269" s="2" t="s">
        <v>797</v>
      </c>
      <c r="D9269" s="2" t="s">
        <v>114</v>
      </c>
      <c r="E9269" s="2" t="s">
        <v>136</v>
      </c>
      <c r="F9269" s="2">
        <v>17.0</v>
      </c>
      <c r="G9269" s="2">
        <v>500.0</v>
      </c>
      <c r="H9269" s="3" t="str">
        <f>HYPERLINK("http://www.linkedin.com/in/lloydtaylor","http://www.linkedin.com/in/lloydtaylor")</f>
        <v>http://www.linkedin.com/in/lloydtaylor</v>
      </c>
      <c r="I9269" s="2" t="s">
        <v>48</v>
      </c>
      <c r="J9269" s="2" t="s">
        <v>102</v>
      </c>
      <c r="K9269" s="2" t="s">
        <v>14495</v>
      </c>
    </row>
    <row r="9270" ht="15.75" customHeight="1">
      <c r="A9270" s="2">
        <v>203440.0</v>
      </c>
      <c r="B9270" s="2" t="s">
        <v>1816</v>
      </c>
      <c r="C9270" s="2" t="s">
        <v>3869</v>
      </c>
      <c r="D9270" s="2" t="s">
        <v>517</v>
      </c>
      <c r="E9270" s="2" t="s">
        <v>457</v>
      </c>
      <c r="F9270" s="2">
        <v>0.0</v>
      </c>
      <c r="G9270" s="2">
        <v>219.0</v>
      </c>
      <c r="H9270" s="3" t="str">
        <f>HYPERLINK("http://www.linkedin.com/pub/jeffrey-williams/3/80B/307","http://www.linkedin.com/pub/jeffrey-williams/3/80B/307")</f>
        <v>http://www.linkedin.com/pub/jeffrey-williams/3/80B/307</v>
      </c>
      <c r="I9270" s="2" t="s">
        <v>15</v>
      </c>
      <c r="J9270" s="2" t="s">
        <v>102</v>
      </c>
      <c r="K9270" s="2" t="s">
        <v>14092</v>
      </c>
    </row>
    <row r="9271" ht="15.75" customHeight="1">
      <c r="A9271" s="2">
        <v>203475.0</v>
      </c>
      <c r="B9271" s="2" t="s">
        <v>412</v>
      </c>
      <c r="C9271" s="2" t="s">
        <v>16322</v>
      </c>
      <c r="D9271" s="2" t="s">
        <v>1935</v>
      </c>
      <c r="E9271" s="2" t="s">
        <v>136</v>
      </c>
      <c r="F9271" s="2">
        <v>1.0</v>
      </c>
      <c r="G9271" s="2">
        <v>500.0</v>
      </c>
      <c r="H9271" s="3" t="str">
        <f>HYPERLINK("http://www.linkedin.com/in/bobbyfishkin","http://www.linkedin.com/in/bobbyfishkin")</f>
        <v>http://www.linkedin.com/in/bobbyfishkin</v>
      </c>
      <c r="I9271" s="2" t="s">
        <v>69</v>
      </c>
      <c r="J9271" s="2" t="s">
        <v>102</v>
      </c>
      <c r="K9271" s="2" t="s">
        <v>14073</v>
      </c>
    </row>
    <row r="9272" ht="15.75" customHeight="1">
      <c r="A9272" s="2">
        <v>203490.0</v>
      </c>
      <c r="B9272" s="2" t="s">
        <v>2877</v>
      </c>
      <c r="C9272" s="2" t="s">
        <v>16570</v>
      </c>
      <c r="D9272" s="2" t="s">
        <v>2698</v>
      </c>
      <c r="E9272" s="2" t="s">
        <v>136</v>
      </c>
      <c r="F9272" s="2">
        <v>6.0</v>
      </c>
      <c r="G9272" s="2">
        <v>500.0</v>
      </c>
      <c r="H9272" s="3" t="str">
        <f>HYPERLINK("http://www.linkedin.com/in/cmcmanis","http://www.linkedin.com/in/cmcmanis")</f>
        <v>http://www.linkedin.com/in/cmcmanis</v>
      </c>
      <c r="I9272" s="2" t="s">
        <v>69</v>
      </c>
      <c r="J9272" s="2" t="s">
        <v>102</v>
      </c>
      <c r="K9272" s="2" t="s">
        <v>14080</v>
      </c>
    </row>
    <row r="9273" ht="15.75" customHeight="1">
      <c r="A9273" s="2">
        <v>203508.0</v>
      </c>
      <c r="B9273" s="2" t="s">
        <v>4147</v>
      </c>
      <c r="C9273" s="2" t="s">
        <v>16571</v>
      </c>
      <c r="D9273" s="2" t="s">
        <v>410</v>
      </c>
      <c r="E9273" s="2" t="s">
        <v>3987</v>
      </c>
      <c r="F9273" s="2">
        <v>6.0</v>
      </c>
      <c r="G9273" s="2">
        <v>500.0</v>
      </c>
      <c r="H9273" s="3" t="str">
        <f>HYPERLINK("http://www.linkedin.com/in/venkatvallabhaneni","http://www.linkedin.com/in/venkatvallabhaneni")</f>
        <v>http://www.linkedin.com/in/venkatvallabhaneni</v>
      </c>
      <c r="I9273" s="2" t="s">
        <v>15</v>
      </c>
      <c r="J9273" s="2" t="s">
        <v>102</v>
      </c>
      <c r="K9273" s="2" t="s">
        <v>14080</v>
      </c>
    </row>
    <row r="9274" ht="15.75" customHeight="1">
      <c r="A9274" s="2">
        <v>203573.0</v>
      </c>
      <c r="B9274" s="2" t="s">
        <v>1071</v>
      </c>
      <c r="C9274" s="2" t="s">
        <v>16572</v>
      </c>
      <c r="D9274" s="2" t="s">
        <v>16573</v>
      </c>
      <c r="E9274" s="2" t="s">
        <v>2968</v>
      </c>
      <c r="F9274" s="2">
        <v>2.0</v>
      </c>
      <c r="G9274" s="2">
        <v>371.0</v>
      </c>
      <c r="H9274" s="3" t="str">
        <f>HYPERLINK("http://www.linkedin.com/pub/eric-westerkamp/0/19A/9A5","http://www.linkedin.com/pub/eric-westerkamp/0/19A/9A5")</f>
        <v>http://www.linkedin.com/pub/eric-westerkamp/0/19A/9A5</v>
      </c>
      <c r="I9274" s="2" t="s">
        <v>48</v>
      </c>
      <c r="J9274" s="2" t="s">
        <v>102</v>
      </c>
      <c r="K9274" s="2" t="s">
        <v>14197</v>
      </c>
    </row>
    <row r="9275" ht="15.75" customHeight="1">
      <c r="A9275" s="2">
        <v>203616.0</v>
      </c>
      <c r="B9275" s="2" t="s">
        <v>2168</v>
      </c>
      <c r="C9275" s="2" t="s">
        <v>16574</v>
      </c>
      <c r="D9275" s="2" t="s">
        <v>16575</v>
      </c>
      <c r="E9275" s="2" t="s">
        <v>136</v>
      </c>
      <c r="F9275" s="2">
        <v>3.0</v>
      </c>
      <c r="G9275" s="2">
        <v>500.0</v>
      </c>
      <c r="H9275" s="3" t="str">
        <f>HYPERLINK("http://www.linkedin.com/in/perrochon","http://www.linkedin.com/in/perrochon")</f>
        <v>http://www.linkedin.com/in/perrochon</v>
      </c>
      <c r="I9275" s="2" t="s">
        <v>69</v>
      </c>
      <c r="J9275" s="2" t="s">
        <v>102</v>
      </c>
      <c r="K9275" s="2" t="s">
        <v>16197</v>
      </c>
    </row>
    <row r="9276" ht="15.75" customHeight="1">
      <c r="A9276" s="2">
        <v>203768.0</v>
      </c>
      <c r="B9276" s="2" t="s">
        <v>16576</v>
      </c>
      <c r="C9276" s="2" t="s">
        <v>16577</v>
      </c>
      <c r="D9276" s="2" t="s">
        <v>16578</v>
      </c>
      <c r="E9276" s="2" t="s">
        <v>1547</v>
      </c>
      <c r="F9276" s="2">
        <v>23.0</v>
      </c>
      <c r="G9276" s="2">
        <v>500.0</v>
      </c>
      <c r="H9276" s="3" t="str">
        <f>HYPERLINK("http://www.linkedin.com/in/karon45","http://www.linkedin.com/in/karon45")</f>
        <v>http://www.linkedin.com/in/karon45</v>
      </c>
      <c r="I9276" s="2" t="s">
        <v>669</v>
      </c>
      <c r="J9276" s="2" t="s">
        <v>102</v>
      </c>
      <c r="K9276" s="2" t="s">
        <v>14071</v>
      </c>
    </row>
    <row r="9277" ht="15.75" customHeight="1">
      <c r="A9277" s="2">
        <v>203838.0</v>
      </c>
      <c r="B9277" s="2" t="s">
        <v>540</v>
      </c>
      <c r="C9277" s="2" t="s">
        <v>16579</v>
      </c>
      <c r="D9277" s="2" t="s">
        <v>16580</v>
      </c>
      <c r="E9277" s="2" t="s">
        <v>136</v>
      </c>
      <c r="F9277" s="2">
        <v>2.0</v>
      </c>
      <c r="G9277" s="2">
        <v>500.0</v>
      </c>
      <c r="H9277" s="3" t="str">
        <f>HYPERLINK("http://www.linkedin.com/in/christianolsson","http://www.linkedin.com/in/christianolsson")</f>
        <v>http://www.linkedin.com/in/christianolsson</v>
      </c>
      <c r="I9277" s="2" t="s">
        <v>48</v>
      </c>
      <c r="J9277" s="2" t="s">
        <v>102</v>
      </c>
      <c r="K9277" s="2" t="s">
        <v>14088</v>
      </c>
    </row>
    <row r="9278" ht="15.75" customHeight="1">
      <c r="A9278" s="2">
        <v>203845.0</v>
      </c>
      <c r="B9278" s="2" t="s">
        <v>1839</v>
      </c>
      <c r="C9278" s="2" t="s">
        <v>6612</v>
      </c>
      <c r="D9278" s="2" t="s">
        <v>309</v>
      </c>
      <c r="E9278" s="2" t="s">
        <v>2426</v>
      </c>
      <c r="F9278" s="2">
        <v>54.0</v>
      </c>
      <c r="G9278" s="2">
        <v>500.0</v>
      </c>
      <c r="H9278" s="3" t="str">
        <f>HYPERLINK("http://www.linkedin.com/in/donatodiorio","http://www.linkedin.com/in/donatodiorio")</f>
        <v>http://www.linkedin.com/in/donatodiorio</v>
      </c>
      <c r="I9278" s="2" t="s">
        <v>48</v>
      </c>
      <c r="J9278" s="2" t="s">
        <v>102</v>
      </c>
      <c r="K9278" s="2" t="s">
        <v>14080</v>
      </c>
    </row>
    <row r="9279" ht="15.75" customHeight="1">
      <c r="A9279" s="2">
        <v>203881.0</v>
      </c>
      <c r="B9279" s="2" t="s">
        <v>3950</v>
      </c>
      <c r="C9279" s="2" t="s">
        <v>16581</v>
      </c>
      <c r="D9279" s="2" t="s">
        <v>114</v>
      </c>
      <c r="E9279" s="2" t="s">
        <v>136</v>
      </c>
      <c r="F9279" s="2">
        <v>9.0</v>
      </c>
      <c r="G9279" s="2">
        <v>500.0</v>
      </c>
      <c r="H9279" s="3" t="str">
        <f>HYPERLINK("http://www.linkedin.com/in/tanok","http://www.linkedin.com/in/tanok")</f>
        <v>http://www.linkedin.com/in/tanok</v>
      </c>
      <c r="I9279" s="2" t="s">
        <v>48</v>
      </c>
      <c r="J9279" s="2" t="s">
        <v>102</v>
      </c>
      <c r="K9279" s="2" t="s">
        <v>14197</v>
      </c>
    </row>
    <row r="9280" ht="15.75" customHeight="1">
      <c r="A9280" s="2">
        <v>203953.0</v>
      </c>
      <c r="B9280" s="2" t="s">
        <v>11932</v>
      </c>
      <c r="C9280" s="2" t="s">
        <v>16582</v>
      </c>
      <c r="D9280" s="2" t="s">
        <v>400</v>
      </c>
      <c r="E9280" s="2" t="s">
        <v>255</v>
      </c>
      <c r="F9280" s="2">
        <v>4.0</v>
      </c>
      <c r="G9280" s="2">
        <v>500.0</v>
      </c>
      <c r="H9280" s="3" t="str">
        <f>HYPERLINK("http://www.linkedin.com/in/clintcielto","http://www.linkedin.com/in/clintcielto")</f>
        <v>http://www.linkedin.com/in/clintcielto</v>
      </c>
      <c r="I9280" s="2" t="s">
        <v>105</v>
      </c>
      <c r="J9280" s="2" t="s">
        <v>102</v>
      </c>
      <c r="K9280" s="2" t="s">
        <v>14204</v>
      </c>
    </row>
    <row r="9281" ht="15.75" customHeight="1">
      <c r="A9281" s="2">
        <v>203986.0</v>
      </c>
      <c r="B9281" s="2" t="s">
        <v>1545</v>
      </c>
      <c r="C9281" s="2" t="s">
        <v>16583</v>
      </c>
      <c r="D9281" s="2" t="s">
        <v>16584</v>
      </c>
      <c r="E9281" s="2" t="s">
        <v>136</v>
      </c>
      <c r="F9281" s="2">
        <v>11.0</v>
      </c>
      <c r="G9281" s="2">
        <v>482.0</v>
      </c>
      <c r="H9281" s="3" t="str">
        <f>HYPERLINK("http://www.linkedin.com/in/patrickgainer","http://www.linkedin.com/in/patrickgainer")</f>
        <v>http://www.linkedin.com/in/patrickgainer</v>
      </c>
      <c r="I9281" s="2" t="s">
        <v>69</v>
      </c>
      <c r="J9281" s="2" t="s">
        <v>102</v>
      </c>
      <c r="K9281" s="2" t="s">
        <v>16197</v>
      </c>
    </row>
    <row r="9282" ht="15.75" customHeight="1">
      <c r="A9282" s="2">
        <v>204016.0</v>
      </c>
      <c r="B9282" s="2" t="s">
        <v>16585</v>
      </c>
      <c r="C9282" s="2" t="s">
        <v>16586</v>
      </c>
      <c r="D9282" s="2" t="s">
        <v>16587</v>
      </c>
      <c r="E9282" s="2" t="s">
        <v>914</v>
      </c>
      <c r="F9282" s="2">
        <v>21.0</v>
      </c>
      <c r="G9282" s="2">
        <v>500.0</v>
      </c>
      <c r="H9282" s="3" t="str">
        <f>HYPERLINK("http://www.linkedin.com/in/giuseppemascarella","http://www.linkedin.com/in/giuseppemascarella")</f>
        <v>http://www.linkedin.com/in/giuseppemascarella</v>
      </c>
      <c r="I9282" s="2" t="s">
        <v>115</v>
      </c>
      <c r="J9282" s="2" t="s">
        <v>102</v>
      </c>
      <c r="K9282" s="2" t="s">
        <v>14055</v>
      </c>
    </row>
    <row r="9283" ht="15.75" customHeight="1">
      <c r="A9283" s="2">
        <v>204169.0</v>
      </c>
      <c r="B9283" s="2" t="s">
        <v>2014</v>
      </c>
      <c r="C9283" s="2" t="s">
        <v>16588</v>
      </c>
      <c r="D9283" s="2" t="s">
        <v>15794</v>
      </c>
      <c r="E9283" s="2" t="s">
        <v>301</v>
      </c>
      <c r="F9283" s="2">
        <v>43.0</v>
      </c>
      <c r="G9283" s="2">
        <v>500.0</v>
      </c>
      <c r="H9283" s="3" t="str">
        <f>HYPERLINK("http://www.linkedin.com/in/fitzpatrickken","http://www.linkedin.com/in/fitzpatrickken")</f>
        <v>http://www.linkedin.com/in/fitzpatrickken</v>
      </c>
      <c r="I9283" s="2" t="s">
        <v>160</v>
      </c>
      <c r="J9283" s="2" t="s">
        <v>102</v>
      </c>
      <c r="K9283" s="2" t="s">
        <v>14105</v>
      </c>
    </row>
    <row r="9284" ht="15.75" customHeight="1">
      <c r="A9284" s="2">
        <v>204176.0</v>
      </c>
      <c r="B9284" s="2" t="s">
        <v>5173</v>
      </c>
      <c r="C9284" s="2" t="s">
        <v>3400</v>
      </c>
      <c r="D9284" s="2" t="s">
        <v>16589</v>
      </c>
      <c r="E9284" s="2" t="s">
        <v>136</v>
      </c>
      <c r="F9284" s="2">
        <v>13.0</v>
      </c>
      <c r="G9284" s="2">
        <v>451.0</v>
      </c>
      <c r="H9284" s="3" t="str">
        <f>HYPERLINK("http://www.linkedin.com/pub/rich-sutton/1/B59/906","http://www.linkedin.com/pub/rich-sutton/1/B59/906")</f>
        <v>http://www.linkedin.com/pub/rich-sutton/1/B59/906</v>
      </c>
      <c r="I9284" s="2" t="s">
        <v>48</v>
      </c>
      <c r="J9284" s="2" t="s">
        <v>102</v>
      </c>
      <c r="K9284" s="2" t="s">
        <v>14088</v>
      </c>
    </row>
    <row r="9285" ht="15.75" customHeight="1">
      <c r="A9285" s="2">
        <v>204309.0</v>
      </c>
      <c r="B9285" s="2" t="s">
        <v>631</v>
      </c>
      <c r="C9285" s="2" t="s">
        <v>16590</v>
      </c>
      <c r="D9285" s="2" t="s">
        <v>16591</v>
      </c>
      <c r="E9285" s="2" t="s">
        <v>16592</v>
      </c>
      <c r="F9285" s="2" t="s">
        <v>13</v>
      </c>
      <c r="G9285" s="2">
        <v>422.0</v>
      </c>
      <c r="H9285" s="3" t="str">
        <f>HYPERLINK("http://www.linkedin.com/pub/chris-heilbock/3/9B6/5B7","http://www.linkedin.com/pub/chris-heilbock/3/9B6/5B7")</f>
        <v>http://www.linkedin.com/pub/chris-heilbock/3/9B6/5B7</v>
      </c>
      <c r="I9285" s="2" t="s">
        <v>105</v>
      </c>
      <c r="J9285" s="2" t="s">
        <v>102</v>
      </c>
      <c r="K9285" s="2" t="s">
        <v>14071</v>
      </c>
    </row>
    <row r="9286" ht="15.75" customHeight="1">
      <c r="A9286" s="2">
        <v>204554.0</v>
      </c>
      <c r="B9286" s="2" t="s">
        <v>11</v>
      </c>
      <c r="C9286" s="2" t="s">
        <v>16593</v>
      </c>
      <c r="D9286" s="2" t="s">
        <v>47</v>
      </c>
      <c r="E9286" s="2" t="s">
        <v>882</v>
      </c>
      <c r="F9286" s="2">
        <v>2.0</v>
      </c>
      <c r="G9286" s="2">
        <v>500.0</v>
      </c>
      <c r="H9286" s="3" t="str">
        <f>HYPERLINK("http://www.linkedin.com/in/yourdon","http://www.linkedin.com/in/yourdon")</f>
        <v>http://www.linkedin.com/in/yourdon</v>
      </c>
      <c r="I9286" s="2" t="s">
        <v>15</v>
      </c>
      <c r="J9286" s="2" t="s">
        <v>102</v>
      </c>
      <c r="K9286" s="2" t="s">
        <v>14071</v>
      </c>
    </row>
    <row r="9287" ht="15.75" customHeight="1">
      <c r="A9287" s="2">
        <v>204604.0</v>
      </c>
      <c r="B9287" s="2" t="s">
        <v>1868</v>
      </c>
      <c r="C9287" s="2" t="s">
        <v>16594</v>
      </c>
      <c r="D9287" s="2" t="s">
        <v>81</v>
      </c>
      <c r="E9287" s="2" t="s">
        <v>2058</v>
      </c>
      <c r="F9287" s="2">
        <v>11.0</v>
      </c>
      <c r="G9287" s="2">
        <v>500.0</v>
      </c>
      <c r="H9287" s="3" t="str">
        <f>HYPERLINK("http://www.linkedin.com/in/jackaskeels","http://www.linkedin.com/in/jackaskeels")</f>
        <v>http://www.linkedin.com/in/jackaskeels</v>
      </c>
      <c r="I9287" s="2" t="s">
        <v>57</v>
      </c>
      <c r="J9287" s="2" t="s">
        <v>102</v>
      </c>
      <c r="K9287" s="2" t="s">
        <v>14092</v>
      </c>
    </row>
    <row r="9288" ht="15.75" customHeight="1">
      <c r="A9288" s="2">
        <v>204671.0</v>
      </c>
      <c r="B9288" s="2" t="s">
        <v>982</v>
      </c>
      <c r="C9288" s="2" t="s">
        <v>16595</v>
      </c>
      <c r="D9288" s="2" t="s">
        <v>309</v>
      </c>
      <c r="E9288" s="2" t="s">
        <v>713</v>
      </c>
      <c r="F9288" s="2">
        <v>5.0</v>
      </c>
      <c r="G9288" s="2">
        <v>500.0</v>
      </c>
      <c r="H9288" s="3" t="str">
        <f>HYPERLINK("http://www.linkedin.com/in/terryswack","http://www.linkedin.com/in/terryswack")</f>
        <v>http://www.linkedin.com/in/terryswack</v>
      </c>
      <c r="I9288" s="2" t="s">
        <v>48</v>
      </c>
      <c r="J9288" s="2" t="s">
        <v>102</v>
      </c>
      <c r="K9288" s="2" t="s">
        <v>14080</v>
      </c>
    </row>
    <row r="9289" ht="15.75" customHeight="1">
      <c r="A9289" s="2">
        <v>204674.0</v>
      </c>
      <c r="B9289" s="2" t="s">
        <v>275</v>
      </c>
      <c r="C9289" s="2" t="s">
        <v>16596</v>
      </c>
      <c r="D9289" s="2" t="s">
        <v>13</v>
      </c>
      <c r="E9289" s="2" t="s">
        <v>136</v>
      </c>
      <c r="F9289" s="2">
        <v>0.0</v>
      </c>
      <c r="G9289" s="2">
        <v>500.0</v>
      </c>
      <c r="H9289" s="3" t="str">
        <f>HYPERLINK("https://www.linkedin.com/pub/mark-gigliotti/0/28b/a82","https://www.linkedin.com/pub/mark-gigliotti/0/28b/a82")</f>
        <v>https://www.linkedin.com/pub/mark-gigliotti/0/28b/a82</v>
      </c>
      <c r="I9289" s="2" t="s">
        <v>195</v>
      </c>
      <c r="J9289" s="2" t="s">
        <v>102</v>
      </c>
      <c r="K9289" s="2" t="s">
        <v>14055</v>
      </c>
    </row>
    <row r="9290" ht="15.75" customHeight="1">
      <c r="A9290" s="2">
        <v>204742.0</v>
      </c>
      <c r="B9290" s="2" t="s">
        <v>16597</v>
      </c>
      <c r="C9290" s="2" t="s">
        <v>867</v>
      </c>
      <c r="D9290" s="2" t="s">
        <v>16598</v>
      </c>
      <c r="E9290" s="2" t="s">
        <v>136</v>
      </c>
      <c r="F9290" s="2">
        <v>5.0</v>
      </c>
      <c r="G9290" s="2">
        <v>217.0</v>
      </c>
      <c r="H9290" s="3" t="str">
        <f>HYPERLINK("http://www.linkedin.com/in/lisakdonnelly","http://www.linkedin.com/in/lisakdonnelly")</f>
        <v>http://www.linkedin.com/in/lisakdonnelly</v>
      </c>
      <c r="I9290" s="2" t="s">
        <v>69</v>
      </c>
      <c r="J9290" s="2" t="s">
        <v>102</v>
      </c>
      <c r="K9290" s="2" t="s">
        <v>16599</v>
      </c>
    </row>
    <row r="9291" ht="15.75" customHeight="1">
      <c r="A9291" s="2">
        <v>204780.0</v>
      </c>
      <c r="B9291" s="2" t="s">
        <v>16600</v>
      </c>
      <c r="C9291" s="2" t="s">
        <v>16070</v>
      </c>
      <c r="D9291" s="2" t="s">
        <v>3799</v>
      </c>
      <c r="E9291" s="2" t="s">
        <v>628</v>
      </c>
      <c r="F9291" s="2" t="s">
        <v>13</v>
      </c>
      <c r="G9291" s="2">
        <v>500.0</v>
      </c>
      <c r="H9291" s="3" t="str">
        <f>HYPERLINK("http://www.linkedin.com/pub/daryle-burt/4/263/37B","http://www.linkedin.com/pub/daryle-burt/4/263/37B")</f>
        <v>http://www.linkedin.com/pub/daryle-burt/4/263/37B</v>
      </c>
      <c r="I9291" s="2" t="s">
        <v>15</v>
      </c>
      <c r="J9291" s="2" t="s">
        <v>102</v>
      </c>
      <c r="K9291" s="2" t="s">
        <v>14095</v>
      </c>
    </row>
    <row r="9292" ht="15.75" customHeight="1">
      <c r="A9292" s="2">
        <v>204844.0</v>
      </c>
      <c r="B9292" s="2" t="s">
        <v>1984</v>
      </c>
      <c r="C9292" s="2" t="s">
        <v>16601</v>
      </c>
      <c r="D9292" s="2" t="s">
        <v>100</v>
      </c>
      <c r="E9292" s="2" t="s">
        <v>136</v>
      </c>
      <c r="F9292" s="2">
        <v>2.0</v>
      </c>
      <c r="G9292" s="2">
        <v>500.0</v>
      </c>
      <c r="H9292" s="3" t="str">
        <f>HYPERLINK("http://www.linkedin.com/pub/anne-issacs/0/174/899","http://www.linkedin.com/pub/anne-issacs/0/174/899")</f>
        <v>http://www.linkedin.com/pub/anne-issacs/0/174/899</v>
      </c>
      <c r="I9292" s="2" t="s">
        <v>57</v>
      </c>
      <c r="J9292" s="2" t="s">
        <v>102</v>
      </c>
      <c r="K9292" s="2" t="s">
        <v>14204</v>
      </c>
    </row>
    <row r="9293" ht="15.75" customHeight="1">
      <c r="A9293" s="2">
        <v>204907.0</v>
      </c>
      <c r="B9293" s="2" t="s">
        <v>12386</v>
      </c>
      <c r="C9293" s="2" t="s">
        <v>12031</v>
      </c>
      <c r="D9293" s="2" t="s">
        <v>16602</v>
      </c>
      <c r="E9293" s="2" t="s">
        <v>16603</v>
      </c>
      <c r="F9293" s="2">
        <v>30.0</v>
      </c>
      <c r="G9293" s="2">
        <v>500.0</v>
      </c>
      <c r="H9293" s="3" t="str">
        <f>HYPERLINK("http://www.linkedin.com/pub/michele-markham/3/B9B/48","http://www.linkedin.com/pub/michele-markham/3/B9B/48")</f>
        <v>http://www.linkedin.com/pub/michele-markham/3/B9B/48</v>
      </c>
      <c r="I9293" s="2" t="s">
        <v>105</v>
      </c>
      <c r="J9293" s="2" t="s">
        <v>102</v>
      </c>
      <c r="K9293" s="2" t="s">
        <v>14055</v>
      </c>
    </row>
    <row r="9294" ht="15.75" customHeight="1">
      <c r="A9294" s="2">
        <v>204932.0</v>
      </c>
      <c r="B9294" s="2" t="s">
        <v>460</v>
      </c>
      <c r="C9294" s="2" t="s">
        <v>16604</v>
      </c>
      <c r="D9294" s="2" t="s">
        <v>16605</v>
      </c>
      <c r="E9294" s="2" t="s">
        <v>136</v>
      </c>
      <c r="F9294" s="2">
        <v>9.0</v>
      </c>
      <c r="G9294" s="2">
        <v>500.0</v>
      </c>
      <c r="H9294" s="3" t="str">
        <f>HYPERLINK("http://www.linkedin.com/in/jfschirmer","http://www.linkedin.com/in/jfschirmer")</f>
        <v>http://www.linkedin.com/in/jfschirmer</v>
      </c>
      <c r="I9294" s="2" t="s">
        <v>105</v>
      </c>
      <c r="J9294" s="2" t="s">
        <v>102</v>
      </c>
      <c r="K9294" s="2" t="s">
        <v>14055</v>
      </c>
    </row>
    <row r="9295" ht="15.75" customHeight="1">
      <c r="A9295" s="2">
        <v>204948.0</v>
      </c>
      <c r="B9295" s="2" t="s">
        <v>511</v>
      </c>
      <c r="C9295" s="2" t="s">
        <v>16606</v>
      </c>
      <c r="D9295" s="2" t="s">
        <v>16607</v>
      </c>
      <c r="E9295" s="2" t="s">
        <v>136</v>
      </c>
      <c r="F9295" s="2">
        <v>5.0</v>
      </c>
      <c r="G9295" s="2">
        <v>500.0</v>
      </c>
      <c r="H9295" s="3" t="str">
        <f>HYPERLINK("http://www.linkedin.com/in/euglow","http://www.linkedin.com/in/euglow")</f>
        <v>http://www.linkedin.com/in/euglow</v>
      </c>
      <c r="I9295" s="2" t="s">
        <v>69</v>
      </c>
      <c r="J9295" s="2" t="s">
        <v>102</v>
      </c>
      <c r="K9295" s="2" t="s">
        <v>14088</v>
      </c>
    </row>
    <row r="9296" ht="15.75" customHeight="1">
      <c r="A9296" s="2">
        <v>204949.0</v>
      </c>
      <c r="B9296" s="2" t="s">
        <v>1144</v>
      </c>
      <c r="C9296" s="2" t="s">
        <v>16608</v>
      </c>
      <c r="D9296" s="2" t="s">
        <v>410</v>
      </c>
      <c r="E9296" s="2" t="s">
        <v>9909</v>
      </c>
      <c r="F9296" s="2">
        <v>17.0</v>
      </c>
      <c r="G9296" s="2">
        <v>500.0</v>
      </c>
      <c r="H9296" s="3" t="str">
        <f>HYPERLINK("http://www.linkedin.com/in/allenmireles","http://www.linkedin.com/in/allenmireles")</f>
        <v>http://www.linkedin.com/in/allenmireles</v>
      </c>
      <c r="I9296" s="2" t="s">
        <v>844</v>
      </c>
      <c r="J9296" s="2" t="s">
        <v>102</v>
      </c>
      <c r="K9296" s="2" t="s">
        <v>14055</v>
      </c>
    </row>
    <row r="9297" ht="15.75" customHeight="1">
      <c r="A9297" s="2">
        <v>204961.0</v>
      </c>
      <c r="B9297" s="2" t="s">
        <v>16609</v>
      </c>
      <c r="C9297" s="2" t="s">
        <v>16610</v>
      </c>
      <c r="D9297" s="2" t="s">
        <v>16611</v>
      </c>
      <c r="E9297" s="2" t="s">
        <v>136</v>
      </c>
      <c r="F9297" s="2">
        <v>16.0</v>
      </c>
      <c r="G9297" s="2">
        <v>500.0</v>
      </c>
      <c r="H9297" s="3" t="str">
        <f>HYPERLINK("http://www.linkedin.com/in/amantonopoulos","http://www.linkedin.com/in/amantonopoulos")</f>
        <v>http://www.linkedin.com/in/amantonopoulos</v>
      </c>
      <c r="I9297" s="2" t="s">
        <v>15</v>
      </c>
      <c r="J9297" s="2" t="s">
        <v>102</v>
      </c>
      <c r="K9297" s="2" t="s">
        <v>14339</v>
      </c>
    </row>
    <row r="9298" ht="15.75" customHeight="1">
      <c r="A9298" s="2">
        <v>205004.0</v>
      </c>
      <c r="B9298" s="2" t="s">
        <v>460</v>
      </c>
      <c r="C9298" s="2" t="s">
        <v>3284</v>
      </c>
      <c r="D9298" s="2" t="s">
        <v>1145</v>
      </c>
      <c r="E9298" s="2" t="s">
        <v>989</v>
      </c>
      <c r="F9298" s="2">
        <v>1.0</v>
      </c>
      <c r="G9298" s="2">
        <v>500.0</v>
      </c>
      <c r="H9298" s="3" t="str">
        <f>HYPERLINK("http://www.linkedin.com/in/johnowens1","http://www.linkedin.com/in/johnowens1")</f>
        <v>http://www.linkedin.com/in/johnowens1</v>
      </c>
      <c r="I9298" s="2" t="s">
        <v>15</v>
      </c>
      <c r="J9298" s="2" t="s">
        <v>102</v>
      </c>
      <c r="K9298" s="2" t="s">
        <v>14080</v>
      </c>
    </row>
    <row r="9299" ht="15.75" customHeight="1">
      <c r="A9299" s="2">
        <v>205036.0</v>
      </c>
      <c r="B9299" s="2" t="s">
        <v>879</v>
      </c>
      <c r="C9299" s="2" t="s">
        <v>4867</v>
      </c>
      <c r="D9299" s="2" t="s">
        <v>114</v>
      </c>
      <c r="E9299" s="2" t="s">
        <v>16612</v>
      </c>
      <c r="F9299" s="2">
        <v>11.0</v>
      </c>
      <c r="G9299" s="2">
        <v>500.0</v>
      </c>
      <c r="H9299" s="3" t="str">
        <f>HYPERLINK("http://www.linkedin.com/in/richalbert","http://www.linkedin.com/in/richalbert")</f>
        <v>http://www.linkedin.com/in/richalbert</v>
      </c>
      <c r="I9299" s="2" t="s">
        <v>248</v>
      </c>
      <c r="J9299" s="2" t="s">
        <v>102</v>
      </c>
      <c r="K9299" s="2" t="s">
        <v>14115</v>
      </c>
    </row>
    <row r="9300" ht="15.75" customHeight="1">
      <c r="A9300" s="2">
        <v>205092.0</v>
      </c>
      <c r="B9300" s="2" t="s">
        <v>157</v>
      </c>
      <c r="C9300" s="2" t="s">
        <v>16613</v>
      </c>
      <c r="D9300" s="2" t="s">
        <v>16614</v>
      </c>
      <c r="E9300" s="2" t="s">
        <v>1407</v>
      </c>
      <c r="F9300" s="2" t="s">
        <v>13</v>
      </c>
      <c r="G9300" s="2">
        <v>301.0</v>
      </c>
      <c r="H9300" s="3" t="str">
        <f>HYPERLINK("http://www.linkedin.com/pub/jonathan-tipton/9/839/192","http://www.linkedin.com/pub/jonathan-tipton/9/839/192")</f>
        <v>http://www.linkedin.com/pub/jonathan-tipton/9/839/192</v>
      </c>
      <c r="I9300" s="2" t="s">
        <v>15</v>
      </c>
      <c r="J9300" s="2" t="s">
        <v>102</v>
      </c>
      <c r="K9300" s="2" t="s">
        <v>14117</v>
      </c>
    </row>
    <row r="9301" ht="15.75" customHeight="1">
      <c r="A9301" s="2">
        <v>205119.0</v>
      </c>
      <c r="B9301" s="2" t="s">
        <v>2145</v>
      </c>
      <c r="C9301" s="2" t="s">
        <v>16615</v>
      </c>
      <c r="D9301" s="2" t="s">
        <v>1320</v>
      </c>
      <c r="E9301" s="2" t="s">
        <v>3107</v>
      </c>
      <c r="F9301" s="2">
        <v>4.0</v>
      </c>
      <c r="G9301" s="2">
        <v>500.0</v>
      </c>
      <c r="H9301" s="3" t="str">
        <f>HYPERLINK("http://www.linkedin.com/in/adrienneobey","http://www.linkedin.com/in/adrienneobey")</f>
        <v>http://www.linkedin.com/in/adrienneobey</v>
      </c>
      <c r="I9301" s="2" t="s">
        <v>248</v>
      </c>
      <c r="J9301" s="2" t="s">
        <v>102</v>
      </c>
      <c r="K9301" s="2" t="s">
        <v>14105</v>
      </c>
    </row>
    <row r="9302" ht="15.75" customHeight="1">
      <c r="A9302" s="2">
        <v>205127.0</v>
      </c>
      <c r="B9302" s="2" t="s">
        <v>16616</v>
      </c>
      <c r="C9302" s="2" t="s">
        <v>15304</v>
      </c>
      <c r="D9302" s="2" t="s">
        <v>13</v>
      </c>
      <c r="E9302" s="2" t="s">
        <v>16617</v>
      </c>
      <c r="F9302" s="2">
        <v>0.0</v>
      </c>
      <c r="G9302" s="2">
        <v>500.0</v>
      </c>
      <c r="H9302" s="3" t="str">
        <f>HYPERLINK("http://www.linkedin.com/in/amithnagarajan","http://www.linkedin.com/in/amithnagarajan")</f>
        <v>http://www.linkedin.com/in/amithnagarajan</v>
      </c>
      <c r="I9302" s="2" t="s">
        <v>48</v>
      </c>
      <c r="J9302" s="2" t="s">
        <v>102</v>
      </c>
      <c r="K9302" s="2" t="s">
        <v>14080</v>
      </c>
    </row>
    <row r="9303" ht="15.75" customHeight="1">
      <c r="A9303" s="2">
        <v>205128.0</v>
      </c>
      <c r="B9303" s="2" t="s">
        <v>897</v>
      </c>
      <c r="C9303" s="2" t="s">
        <v>16618</v>
      </c>
      <c r="D9303" s="2" t="s">
        <v>16619</v>
      </c>
      <c r="E9303" s="2" t="s">
        <v>325</v>
      </c>
      <c r="F9303" s="2">
        <v>7.0</v>
      </c>
      <c r="G9303" s="2">
        <v>500.0</v>
      </c>
      <c r="H9303" s="3" t="str">
        <f>HYPERLINK("http://www.linkedin.com/in/jamiecirrito","http://www.linkedin.com/in/jamiecirrito")</f>
        <v>http://www.linkedin.com/in/jamiecirrito</v>
      </c>
      <c r="I9303" s="2" t="s">
        <v>248</v>
      </c>
      <c r="J9303" s="2" t="s">
        <v>102</v>
      </c>
      <c r="K9303" s="2" t="s">
        <v>14115</v>
      </c>
    </row>
    <row r="9304" ht="15.75" customHeight="1">
      <c r="A9304" s="2">
        <v>205156.0</v>
      </c>
      <c r="B9304" s="2" t="s">
        <v>3477</v>
      </c>
      <c r="C9304" s="2" t="s">
        <v>16620</v>
      </c>
      <c r="D9304" s="2" t="s">
        <v>16621</v>
      </c>
      <c r="E9304" s="2" t="s">
        <v>301</v>
      </c>
      <c r="F9304" s="2">
        <v>7.0</v>
      </c>
      <c r="G9304" s="2">
        <v>500.0</v>
      </c>
      <c r="H9304" s="3" t="str">
        <f>HYPERLINK("http://www.linkedin.com/in/joshmarmer","http://www.linkedin.com/in/joshmarmer")</f>
        <v>http://www.linkedin.com/in/joshmarmer</v>
      </c>
      <c r="I9304" s="2" t="s">
        <v>248</v>
      </c>
      <c r="J9304" s="2" t="s">
        <v>102</v>
      </c>
      <c r="K9304" s="2" t="s">
        <v>14115</v>
      </c>
    </row>
    <row r="9305" ht="15.75" customHeight="1">
      <c r="A9305" s="2">
        <v>205195.0</v>
      </c>
      <c r="B9305" s="2" t="s">
        <v>625</v>
      </c>
      <c r="C9305" s="2" t="s">
        <v>1617</v>
      </c>
      <c r="D9305" s="2" t="s">
        <v>3118</v>
      </c>
      <c r="E9305" s="2" t="s">
        <v>989</v>
      </c>
      <c r="F9305" s="2">
        <v>9.0</v>
      </c>
      <c r="G9305" s="2">
        <v>500.0</v>
      </c>
      <c r="H9305" s="3" t="str">
        <f>HYPERLINK("http://www.linkedin.com/in/timryan","http://www.linkedin.com/in/timryan")</f>
        <v>http://www.linkedin.com/in/timryan</v>
      </c>
      <c r="I9305" s="2" t="s">
        <v>15</v>
      </c>
      <c r="J9305" s="2" t="s">
        <v>102</v>
      </c>
      <c r="K9305" s="2" t="s">
        <v>14080</v>
      </c>
    </row>
    <row r="9306" ht="15.75" customHeight="1">
      <c r="A9306" s="2">
        <v>205244.0</v>
      </c>
      <c r="B9306" s="2" t="s">
        <v>16622</v>
      </c>
      <c r="C9306" s="2" t="s">
        <v>16623</v>
      </c>
      <c r="D9306" s="2" t="s">
        <v>410</v>
      </c>
      <c r="E9306" s="2" t="s">
        <v>235</v>
      </c>
      <c r="F9306" s="2">
        <v>0.0</v>
      </c>
      <c r="G9306" s="2">
        <v>500.0</v>
      </c>
      <c r="H9306" s="3" t="str">
        <f>HYPERLINK("http://www.linkedin.com/pub/kristy-mcdonnell-ortiz/3/70A/403","http://www.linkedin.com/pub/kristy-mcdonnell-ortiz/3/70A/403")</f>
        <v>http://www.linkedin.com/pub/kristy-mcdonnell-ortiz/3/70A/403</v>
      </c>
      <c r="I9306" s="2" t="s">
        <v>57</v>
      </c>
      <c r="J9306" s="2" t="s">
        <v>102</v>
      </c>
      <c r="K9306" s="2" t="s">
        <v>14085</v>
      </c>
    </row>
    <row r="9307" ht="15.75" customHeight="1">
      <c r="A9307" s="2">
        <v>205270.0</v>
      </c>
      <c r="B9307" s="2" t="s">
        <v>178</v>
      </c>
      <c r="C9307" s="2" t="s">
        <v>755</v>
      </c>
      <c r="D9307" s="2" t="s">
        <v>1825</v>
      </c>
      <c r="E9307" s="2" t="s">
        <v>3829</v>
      </c>
      <c r="F9307" s="2">
        <v>12.0</v>
      </c>
      <c r="G9307" s="2">
        <v>500.0</v>
      </c>
      <c r="H9307" s="3" t="str">
        <f>HYPERLINK("http://www.linkedin.com/pub/joe-walsh/0/236/B0","http://www.linkedin.com/pub/joe-walsh/0/236/B0")</f>
        <v>http://www.linkedin.com/pub/joe-walsh/0/236/B0</v>
      </c>
      <c r="I9307" s="2" t="s">
        <v>48</v>
      </c>
      <c r="J9307" s="2" t="s">
        <v>102</v>
      </c>
      <c r="K9307" s="2" t="s">
        <v>14073</v>
      </c>
    </row>
    <row r="9308" ht="15.75" customHeight="1">
      <c r="A9308" s="2">
        <v>205292.0</v>
      </c>
      <c r="B9308" s="2" t="s">
        <v>1582</v>
      </c>
      <c r="C9308" s="2" t="s">
        <v>3200</v>
      </c>
      <c r="D9308" s="2" t="s">
        <v>114</v>
      </c>
      <c r="E9308" s="2" t="s">
        <v>181</v>
      </c>
      <c r="F9308" s="2">
        <v>0.0</v>
      </c>
      <c r="G9308" s="2">
        <v>500.0</v>
      </c>
      <c r="H9308" s="3" t="str">
        <f>HYPERLINK("http://www.linkedin.com/pub/erin-jensen/3/981/AB3","http://www.linkedin.com/pub/erin-jensen/3/981/AB3")</f>
        <v>http://www.linkedin.com/pub/erin-jensen/3/981/AB3</v>
      </c>
      <c r="I9308" s="2" t="s">
        <v>248</v>
      </c>
      <c r="J9308" s="2" t="s">
        <v>102</v>
      </c>
      <c r="K9308" s="2" t="s">
        <v>14055</v>
      </c>
    </row>
    <row r="9309" ht="15.75" customHeight="1">
      <c r="A9309" s="2">
        <v>205342.0</v>
      </c>
      <c r="B9309" s="2" t="s">
        <v>16624</v>
      </c>
      <c r="C9309" s="2" t="s">
        <v>15071</v>
      </c>
      <c r="D9309" s="2" t="s">
        <v>16625</v>
      </c>
      <c r="E9309" s="2" t="s">
        <v>136</v>
      </c>
      <c r="F9309" s="2">
        <v>7.0</v>
      </c>
      <c r="G9309" s="2">
        <v>500.0</v>
      </c>
      <c r="H9309" s="3" t="str">
        <f>HYPERLINK("http://www.linkedin.com/in/bhargavarishi","http://www.linkedin.com/in/bhargavarishi")</f>
        <v>http://www.linkedin.com/in/bhargavarishi</v>
      </c>
      <c r="I9309" s="2" t="s">
        <v>160</v>
      </c>
      <c r="J9309" s="2" t="s">
        <v>102</v>
      </c>
      <c r="K9309" s="2" t="s">
        <v>14211</v>
      </c>
    </row>
    <row r="9310" ht="15.75" customHeight="1">
      <c r="A9310" s="2">
        <v>205369.0</v>
      </c>
      <c r="B9310" s="2" t="s">
        <v>1437</v>
      </c>
      <c r="C9310" s="2" t="s">
        <v>16626</v>
      </c>
      <c r="D9310" s="2" t="s">
        <v>114</v>
      </c>
      <c r="E9310" s="2" t="s">
        <v>301</v>
      </c>
      <c r="F9310" s="2">
        <v>44.0</v>
      </c>
      <c r="G9310" s="2">
        <v>500.0</v>
      </c>
      <c r="H9310" s="3" t="str">
        <f>HYPERLINK("http://www.linkedin.com/in/alsiano","http://www.linkedin.com/in/alsiano")</f>
        <v>http://www.linkedin.com/in/alsiano</v>
      </c>
      <c r="I9310" s="2" t="s">
        <v>248</v>
      </c>
      <c r="J9310" s="2" t="s">
        <v>102</v>
      </c>
      <c r="K9310" s="2" t="s">
        <v>14115</v>
      </c>
    </row>
    <row r="9311" ht="15.75" customHeight="1">
      <c r="A9311" s="2">
        <v>205379.0</v>
      </c>
      <c r="B9311" s="2" t="s">
        <v>5931</v>
      </c>
      <c r="C9311" s="2" t="s">
        <v>1157</v>
      </c>
      <c r="D9311" s="2" t="s">
        <v>16627</v>
      </c>
      <c r="E9311" s="2" t="s">
        <v>16628</v>
      </c>
      <c r="F9311" s="2">
        <v>7.0</v>
      </c>
      <c r="G9311" s="2">
        <v>500.0</v>
      </c>
      <c r="H9311" s="3" t="str">
        <f>HYPERLINK("http://www.linkedin.com/in/ralphrhoward","http://www.linkedin.com/in/ralphrhoward")</f>
        <v>http://www.linkedin.com/in/ralphrhoward</v>
      </c>
      <c r="I9311" s="2" t="s">
        <v>2419</v>
      </c>
      <c r="J9311" s="2" t="s">
        <v>102</v>
      </c>
      <c r="K9311" s="2" t="s">
        <v>14055</v>
      </c>
    </row>
    <row r="9312" ht="15.75" customHeight="1">
      <c r="A9312" s="2">
        <v>205502.0</v>
      </c>
      <c r="B9312" s="2" t="s">
        <v>3684</v>
      </c>
      <c r="C9312" s="2" t="s">
        <v>16629</v>
      </c>
      <c r="D9312" s="2" t="s">
        <v>114</v>
      </c>
      <c r="E9312" s="2" t="s">
        <v>989</v>
      </c>
      <c r="F9312" s="2">
        <v>2.0</v>
      </c>
      <c r="G9312" s="2">
        <v>500.0</v>
      </c>
      <c r="H9312" s="3" t="str">
        <f>HYPERLINK("http://www.linkedin.com/in/waltmclaren","http://www.linkedin.com/in/waltmclaren")</f>
        <v>http://www.linkedin.com/in/waltmclaren</v>
      </c>
      <c r="I9312" s="2" t="s">
        <v>15</v>
      </c>
      <c r="J9312" s="2" t="s">
        <v>102</v>
      </c>
      <c r="K9312" s="2" t="s">
        <v>14197</v>
      </c>
    </row>
    <row r="9313" ht="15.75" customHeight="1">
      <c r="A9313" s="2">
        <v>205608.0</v>
      </c>
      <c r="B9313" s="2" t="s">
        <v>16630</v>
      </c>
      <c r="C9313" s="2" t="s">
        <v>16631</v>
      </c>
      <c r="D9313" s="2" t="s">
        <v>47</v>
      </c>
      <c r="E9313" s="2" t="s">
        <v>882</v>
      </c>
      <c r="F9313" s="2">
        <v>14.0</v>
      </c>
      <c r="G9313" s="2">
        <v>500.0</v>
      </c>
      <c r="H9313" s="3" t="str">
        <f>HYPERLINK("http://www.linkedin.com/in/bonigala","http://www.linkedin.com/in/bonigala")</f>
        <v>http://www.linkedin.com/in/bonigala</v>
      </c>
      <c r="I9313" s="2" t="s">
        <v>105</v>
      </c>
      <c r="J9313" s="2" t="s">
        <v>102</v>
      </c>
      <c r="K9313" s="2" t="s">
        <v>14204</v>
      </c>
    </row>
    <row r="9314" ht="15.75" customHeight="1">
      <c r="A9314" s="2">
        <v>205643.0</v>
      </c>
      <c r="B9314" s="2" t="s">
        <v>16632</v>
      </c>
      <c r="C9314" s="2" t="s">
        <v>10926</v>
      </c>
      <c r="D9314" s="2" t="s">
        <v>16633</v>
      </c>
      <c r="E9314" s="2" t="s">
        <v>16634</v>
      </c>
      <c r="F9314" s="2">
        <v>1.0</v>
      </c>
      <c r="G9314" s="2">
        <v>104.0</v>
      </c>
      <c r="H9314" s="3" t="str">
        <f>HYPERLINK("http://www.linkedin.com/in/jamesrforrest","http://www.linkedin.com/in/jamesrforrest")</f>
        <v>http://www.linkedin.com/in/jamesrforrest</v>
      </c>
      <c r="I9314" s="2" t="s">
        <v>15</v>
      </c>
      <c r="J9314" s="2" t="s">
        <v>102</v>
      </c>
      <c r="K9314" s="2" t="s">
        <v>16635</v>
      </c>
    </row>
    <row r="9315" ht="15.75" customHeight="1">
      <c r="A9315" s="2">
        <v>205680.0</v>
      </c>
      <c r="B9315" s="2" t="s">
        <v>1173</v>
      </c>
      <c r="C9315" s="2" t="s">
        <v>9601</v>
      </c>
      <c r="D9315" s="2" t="s">
        <v>47</v>
      </c>
      <c r="E9315" s="2" t="s">
        <v>628</v>
      </c>
      <c r="F9315" s="2">
        <v>3.0</v>
      </c>
      <c r="G9315" s="2">
        <v>329.0</v>
      </c>
      <c r="H9315" s="3" t="str">
        <f>HYPERLINK("http://www.linkedin.com/pub/steve-kroll/0/337/997","http://www.linkedin.com/pub/steve-kroll/0/337/997")</f>
        <v>http://www.linkedin.com/pub/steve-kroll/0/337/997</v>
      </c>
      <c r="I9315" s="2" t="s">
        <v>167</v>
      </c>
      <c r="J9315" s="2" t="s">
        <v>102</v>
      </c>
      <c r="K9315" s="2" t="s">
        <v>14074</v>
      </c>
    </row>
    <row r="9316" ht="15.75" customHeight="1">
      <c r="A9316" s="2">
        <v>205701.0</v>
      </c>
      <c r="B9316" s="2" t="s">
        <v>16636</v>
      </c>
      <c r="C9316" s="2" t="s">
        <v>3452</v>
      </c>
      <c r="D9316" s="2" t="s">
        <v>16637</v>
      </c>
      <c r="E9316" s="2" t="s">
        <v>2454</v>
      </c>
      <c r="F9316" s="2">
        <v>6.0</v>
      </c>
      <c r="G9316" s="2">
        <v>500.0</v>
      </c>
      <c r="H9316" s="3" t="str">
        <f>HYPERLINK("http://www.linkedin.com/pub/capers-jones/0/344/409","http://www.linkedin.com/pub/capers-jones/0/344/409")</f>
        <v>http://www.linkedin.com/pub/capers-jones/0/344/409</v>
      </c>
      <c r="I9316" s="2" t="s">
        <v>48</v>
      </c>
      <c r="J9316" s="2" t="s">
        <v>102</v>
      </c>
      <c r="K9316" s="2" t="s">
        <v>14117</v>
      </c>
    </row>
    <row r="9317" ht="15.75" customHeight="1">
      <c r="A9317" s="2">
        <v>205773.0</v>
      </c>
      <c r="B9317" s="2" t="s">
        <v>116</v>
      </c>
      <c r="C9317" s="2" t="s">
        <v>16638</v>
      </c>
      <c r="D9317" s="2" t="s">
        <v>114</v>
      </c>
      <c r="E9317" s="2" t="s">
        <v>1041</v>
      </c>
      <c r="F9317" s="2">
        <v>3.0</v>
      </c>
      <c r="G9317" s="2">
        <v>118.0</v>
      </c>
      <c r="H9317" s="3" t="str">
        <f>HYPERLINK("http://www.linkedin.com/pub/alex-cochrane/4/4B7/462","http://www.linkedin.com/pub/alex-cochrane/4/4B7/462")</f>
        <v>http://www.linkedin.com/pub/alex-cochrane/4/4B7/462</v>
      </c>
      <c r="I9317" s="2" t="s">
        <v>365</v>
      </c>
      <c r="J9317" s="2" t="s">
        <v>102</v>
      </c>
      <c r="K9317" s="2" t="s">
        <v>14055</v>
      </c>
    </row>
    <row r="9318" ht="15.75" customHeight="1">
      <c r="A9318" s="2">
        <v>205822.0</v>
      </c>
      <c r="B9318" s="2" t="s">
        <v>16639</v>
      </c>
      <c r="C9318" s="2" t="s">
        <v>11087</v>
      </c>
      <c r="D9318" s="2" t="s">
        <v>16640</v>
      </c>
      <c r="E9318" s="2" t="s">
        <v>3516</v>
      </c>
      <c r="F9318" s="2">
        <v>0.0</v>
      </c>
      <c r="G9318" s="2">
        <v>500.0</v>
      </c>
      <c r="H9318" s="3" t="str">
        <f>HYPERLINK("http://www.linkedin.com/in/mcleodglass","http://www.linkedin.com/in/mcleodglass")</f>
        <v>http://www.linkedin.com/in/mcleodglass</v>
      </c>
      <c r="I9318" s="2" t="s">
        <v>119</v>
      </c>
      <c r="J9318" s="2" t="s">
        <v>102</v>
      </c>
      <c r="K9318" s="2" t="s">
        <v>14204</v>
      </c>
    </row>
    <row r="9319" ht="15.75" customHeight="1">
      <c r="A9319" s="2">
        <v>205837.0</v>
      </c>
      <c r="B9319" s="2" t="s">
        <v>1585</v>
      </c>
      <c r="C9319" s="2" t="s">
        <v>16641</v>
      </c>
      <c r="D9319" s="2" t="s">
        <v>47</v>
      </c>
      <c r="E9319" s="2" t="s">
        <v>713</v>
      </c>
      <c r="F9319" s="2">
        <v>7.0</v>
      </c>
      <c r="G9319" s="2">
        <v>500.0</v>
      </c>
      <c r="H9319" s="3" t="str">
        <f>HYPERLINK("http://www.linkedin.com/in/thomaskoulopoulos","http://www.linkedin.com/in/thomaskoulopoulos")</f>
        <v>http://www.linkedin.com/in/thomaskoulopoulos</v>
      </c>
      <c r="I9319" s="2" t="s">
        <v>15</v>
      </c>
      <c r="J9319" s="2" t="s">
        <v>102</v>
      </c>
      <c r="K9319" s="2" t="s">
        <v>14197</v>
      </c>
    </row>
    <row r="9320" ht="15.75" customHeight="1">
      <c r="A9320" s="2">
        <v>205860.0</v>
      </c>
      <c r="B9320" s="2" t="s">
        <v>16642</v>
      </c>
      <c r="C9320" s="2" t="s">
        <v>3249</v>
      </c>
      <c r="D9320" s="2" t="s">
        <v>16643</v>
      </c>
      <c r="E9320" s="2" t="s">
        <v>101</v>
      </c>
      <c r="F9320" s="2">
        <v>28.0</v>
      </c>
      <c r="G9320" s="2">
        <v>500.0</v>
      </c>
      <c r="H9320" s="3" t="str">
        <f>HYPERLINK("http://www.linkedin.com/pub/piper-walker/4/1BB/102","http://www.linkedin.com/pub/piper-walker/4/1BB/102")</f>
        <v>http://www.linkedin.com/pub/piper-walker/4/1BB/102</v>
      </c>
      <c r="I9320" s="2" t="s">
        <v>195</v>
      </c>
      <c r="J9320" s="2" t="s">
        <v>102</v>
      </c>
      <c r="K9320" s="2" t="s">
        <v>14115</v>
      </c>
    </row>
    <row r="9321" ht="15.75" customHeight="1">
      <c r="A9321" s="2">
        <v>205926.0</v>
      </c>
      <c r="B9321" s="2" t="s">
        <v>2109</v>
      </c>
      <c r="C9321" s="2" t="s">
        <v>2857</v>
      </c>
      <c r="D9321" s="2" t="s">
        <v>304</v>
      </c>
      <c r="E9321" s="2" t="s">
        <v>744</v>
      </c>
      <c r="F9321" s="2">
        <v>6.0</v>
      </c>
      <c r="G9321" s="2">
        <v>500.0</v>
      </c>
      <c r="H9321" s="3" t="str">
        <f>HYPERLINK("http://www.linkedin.com/in/bennettrobert","http://www.linkedin.com/in/bennettrobert")</f>
        <v>http://www.linkedin.com/in/bennettrobert</v>
      </c>
      <c r="I9321" s="2" t="s">
        <v>77</v>
      </c>
      <c r="J9321" s="2" t="s">
        <v>102</v>
      </c>
      <c r="K9321" s="2" t="s">
        <v>14085</v>
      </c>
    </row>
    <row r="9322" ht="15.75" customHeight="1">
      <c r="A9322" s="2">
        <v>205990.0</v>
      </c>
      <c r="B9322" s="2" t="s">
        <v>16644</v>
      </c>
      <c r="C9322" s="2" t="s">
        <v>16645</v>
      </c>
      <c r="D9322" s="2" t="s">
        <v>47</v>
      </c>
      <c r="E9322" s="2" t="s">
        <v>101</v>
      </c>
      <c r="F9322" s="2" t="s">
        <v>13</v>
      </c>
      <c r="G9322" s="2">
        <v>191.0</v>
      </c>
      <c r="H9322" s="3" t="str">
        <f>HYPERLINK("http://www.linkedin.com/pub/gentry-ganote/1/90/3A","http://www.linkedin.com/pub/gentry-ganote/1/90/3A")</f>
        <v>http://www.linkedin.com/pub/gentry-ganote/1/90/3A</v>
      </c>
      <c r="I9322" s="2" t="s">
        <v>15</v>
      </c>
      <c r="J9322" s="2" t="s">
        <v>102</v>
      </c>
      <c r="K9322" s="2" t="s">
        <v>14197</v>
      </c>
    </row>
    <row r="9323" ht="15.75" customHeight="1">
      <c r="A9323" s="2">
        <v>205995.0</v>
      </c>
      <c r="B9323" s="2" t="s">
        <v>16646</v>
      </c>
      <c r="C9323" s="2" t="s">
        <v>16647</v>
      </c>
      <c r="D9323" s="2" t="s">
        <v>16648</v>
      </c>
      <c r="E9323" s="2" t="s">
        <v>1615</v>
      </c>
      <c r="F9323" s="2">
        <v>10.0</v>
      </c>
      <c r="G9323" s="2">
        <v>500.0</v>
      </c>
      <c r="H9323" s="3" t="str">
        <f>HYPERLINK("http://www.linkedin.com/in/jenniferbarone","http://www.linkedin.com/in/jenniferbarone")</f>
        <v>http://www.linkedin.com/in/jenniferbarone</v>
      </c>
      <c r="I9323" s="2" t="s">
        <v>279</v>
      </c>
      <c r="J9323" s="2" t="s">
        <v>102</v>
      </c>
      <c r="K9323" s="2" t="s">
        <v>14055</v>
      </c>
    </row>
    <row r="9324" ht="15.75" customHeight="1">
      <c r="A9324" s="2">
        <v>206007.0</v>
      </c>
      <c r="B9324" s="2" t="s">
        <v>2915</v>
      </c>
      <c r="C9324" s="2" t="s">
        <v>16649</v>
      </c>
      <c r="D9324" s="2" t="s">
        <v>13</v>
      </c>
      <c r="E9324" s="2" t="s">
        <v>136</v>
      </c>
      <c r="F9324" s="2">
        <v>0.0</v>
      </c>
      <c r="G9324" s="2">
        <v>500.0</v>
      </c>
      <c r="H9324" s="3" t="str">
        <f>HYPERLINK("https://www.linkedin.com/in/abbashaiderali","https://www.linkedin.com/in/abbashaiderali")</f>
        <v>https://www.linkedin.com/in/abbashaiderali</v>
      </c>
      <c r="I9324" s="2" t="s">
        <v>48</v>
      </c>
      <c r="J9324" s="2" t="s">
        <v>102</v>
      </c>
      <c r="K9324" s="2" t="s">
        <v>14088</v>
      </c>
    </row>
    <row r="9325" ht="15.75" customHeight="1">
      <c r="A9325" s="2">
        <v>206119.0</v>
      </c>
      <c r="B9325" s="2" t="s">
        <v>16650</v>
      </c>
      <c r="C9325" s="2" t="s">
        <v>2696</v>
      </c>
      <c r="D9325" s="2" t="s">
        <v>16651</v>
      </c>
      <c r="E9325" s="2" t="s">
        <v>235</v>
      </c>
      <c r="F9325" s="2">
        <v>14.0</v>
      </c>
      <c r="G9325" s="2">
        <v>500.0</v>
      </c>
      <c r="H9325" s="3" t="str">
        <f>HYPERLINK("http://www.linkedin.com/in/roderickmorris","http://www.linkedin.com/in/roderickmorris")</f>
        <v>http://www.linkedin.com/in/roderickmorris</v>
      </c>
      <c r="I9325" s="2" t="s">
        <v>48</v>
      </c>
      <c r="J9325" s="2" t="s">
        <v>102</v>
      </c>
      <c r="K9325" s="2" t="s">
        <v>14088</v>
      </c>
    </row>
    <row r="9326" ht="15.75" customHeight="1">
      <c r="A9326" s="2">
        <v>206159.0</v>
      </c>
      <c r="B9326" s="2" t="s">
        <v>245</v>
      </c>
      <c r="C9326" s="2" t="s">
        <v>16652</v>
      </c>
      <c r="D9326" s="2" t="s">
        <v>47</v>
      </c>
      <c r="E9326" s="2" t="s">
        <v>16653</v>
      </c>
      <c r="F9326" s="2">
        <v>33.0</v>
      </c>
      <c r="G9326" s="2">
        <v>500.0</v>
      </c>
      <c r="H9326" s="3" t="str">
        <f>HYPERLINK("http://www.linkedin.com/in/stevenearle","http://www.linkedin.com/in/stevenearle")</f>
        <v>http://www.linkedin.com/in/stevenearle</v>
      </c>
      <c r="I9326" s="2" t="s">
        <v>57</v>
      </c>
      <c r="J9326" s="2" t="s">
        <v>102</v>
      </c>
      <c r="K9326" s="2" t="s">
        <v>14074</v>
      </c>
    </row>
    <row r="9327" ht="15.75" customHeight="1">
      <c r="A9327" s="2">
        <v>206195.0</v>
      </c>
      <c r="B9327" s="2" t="s">
        <v>940</v>
      </c>
      <c r="C9327" s="2" t="s">
        <v>16654</v>
      </c>
      <c r="D9327" s="2" t="s">
        <v>16655</v>
      </c>
      <c r="E9327" s="2" t="s">
        <v>713</v>
      </c>
      <c r="F9327" s="2">
        <v>42.0</v>
      </c>
      <c r="G9327" s="2">
        <v>500.0</v>
      </c>
      <c r="H9327" s="3" t="str">
        <f>HYPERLINK("http://www.linkedin.com/pub/bob-gagnon/0/30B/A61","http://www.linkedin.com/pub/bob-gagnon/0/30B/A61")</f>
        <v>http://www.linkedin.com/pub/bob-gagnon/0/30B/A61</v>
      </c>
      <c r="I9327" s="2" t="s">
        <v>48</v>
      </c>
      <c r="J9327" s="2" t="s">
        <v>102</v>
      </c>
      <c r="K9327" s="2" t="s">
        <v>14095</v>
      </c>
    </row>
    <row r="9328" ht="15.75" customHeight="1">
      <c r="A9328" s="2">
        <v>206243.0</v>
      </c>
      <c r="B9328" s="2" t="s">
        <v>1019</v>
      </c>
      <c r="C9328" s="2" t="s">
        <v>1144</v>
      </c>
      <c r="D9328" s="2" t="s">
        <v>8338</v>
      </c>
      <c r="E9328" s="2" t="s">
        <v>4935</v>
      </c>
      <c r="F9328" s="2">
        <v>25.0</v>
      </c>
      <c r="G9328" s="2">
        <v>500.0</v>
      </c>
      <c r="H9328" s="3" t="str">
        <f>HYPERLINK("http://www.linkedin.com/in/mattallen","http://www.linkedin.com/in/mattallen")</f>
        <v>http://www.linkedin.com/in/mattallen</v>
      </c>
      <c r="I9328" s="2" t="s">
        <v>15</v>
      </c>
      <c r="J9328" s="2" t="s">
        <v>102</v>
      </c>
      <c r="K9328" s="2" t="s">
        <v>16656</v>
      </c>
    </row>
    <row r="9329" ht="15.75" customHeight="1">
      <c r="A9329" s="2">
        <v>206310.0</v>
      </c>
      <c r="B9329" s="2" t="s">
        <v>3223</v>
      </c>
      <c r="C9329" s="2" t="s">
        <v>16657</v>
      </c>
      <c r="D9329" s="2" t="s">
        <v>1935</v>
      </c>
      <c r="E9329" s="2" t="s">
        <v>808</v>
      </c>
      <c r="F9329" s="2">
        <v>30.0</v>
      </c>
      <c r="G9329" s="2">
        <v>500.0</v>
      </c>
      <c r="H9329" s="3" t="str">
        <f>HYPERLINK("http://www.linkedin.com/pub/laura-linden-rangel/0/571/3A8","http://www.linkedin.com/pub/laura-linden-rangel/0/571/3A8")</f>
        <v>http://www.linkedin.com/pub/laura-linden-rangel/0/571/3A8</v>
      </c>
      <c r="I9329" s="2" t="s">
        <v>612</v>
      </c>
      <c r="J9329" s="2" t="s">
        <v>102</v>
      </c>
      <c r="K9329" s="2" t="s">
        <v>14074</v>
      </c>
    </row>
    <row r="9330" ht="15.75" customHeight="1">
      <c r="A9330" s="2">
        <v>206441.0</v>
      </c>
      <c r="B9330" s="2" t="s">
        <v>1167</v>
      </c>
      <c r="C9330" s="2" t="s">
        <v>16658</v>
      </c>
      <c r="D9330" s="2" t="s">
        <v>108</v>
      </c>
      <c r="E9330" s="2" t="s">
        <v>16659</v>
      </c>
      <c r="F9330" s="2">
        <v>1.0</v>
      </c>
      <c r="G9330" s="2">
        <v>198.0</v>
      </c>
      <c r="H9330" s="3" t="str">
        <f>HYPERLINK("http://www.linkedin.com/pub/ben-taitelbaum/4/410/4B7","http://www.linkedin.com/pub/ben-taitelbaum/4/410/4B7")</f>
        <v>http://www.linkedin.com/pub/ben-taitelbaum/4/410/4B7</v>
      </c>
      <c r="I9330" s="2" t="s">
        <v>69</v>
      </c>
      <c r="J9330" s="2" t="s">
        <v>102</v>
      </c>
      <c r="K9330" s="2" t="s">
        <v>14078</v>
      </c>
    </row>
    <row r="9331" ht="15.75" customHeight="1">
      <c r="A9331" s="2">
        <v>206445.0</v>
      </c>
      <c r="B9331" s="2" t="s">
        <v>2567</v>
      </c>
      <c r="C9331" s="2" t="s">
        <v>15392</v>
      </c>
      <c r="D9331" s="2" t="s">
        <v>16660</v>
      </c>
      <c r="E9331" s="2" t="s">
        <v>181</v>
      </c>
      <c r="F9331" s="2">
        <v>1.0</v>
      </c>
      <c r="G9331" s="2">
        <v>500.0</v>
      </c>
      <c r="H9331" s="3" t="str">
        <f>HYPERLINK("http://www.linkedin.com/in/christopherlhanson","http://www.linkedin.com/in/christopherlhanson")</f>
        <v>http://www.linkedin.com/in/christopherlhanson</v>
      </c>
      <c r="I9331" s="2" t="s">
        <v>279</v>
      </c>
      <c r="J9331" s="2" t="s">
        <v>102</v>
      </c>
      <c r="K9331" s="2" t="s">
        <v>14197</v>
      </c>
    </row>
    <row r="9332" ht="15.75" customHeight="1">
      <c r="A9332" s="2">
        <v>206490.0</v>
      </c>
      <c r="B9332" s="2" t="s">
        <v>2646</v>
      </c>
      <c r="C9332" s="2" t="s">
        <v>2948</v>
      </c>
      <c r="D9332" s="2" t="s">
        <v>16661</v>
      </c>
      <c r="E9332" s="2" t="s">
        <v>136</v>
      </c>
      <c r="F9332" s="2">
        <v>13.0</v>
      </c>
      <c r="G9332" s="2">
        <v>500.0</v>
      </c>
      <c r="H9332" s="3" t="str">
        <f>HYPERLINK("http://www.linkedin.com/pub/justin-foster/1/127/423","http://www.linkedin.com/pub/justin-foster/1/127/423")</f>
        <v>http://www.linkedin.com/pub/justin-foster/1/127/423</v>
      </c>
      <c r="I9332" s="2" t="s">
        <v>48</v>
      </c>
      <c r="J9332" s="2" t="s">
        <v>102</v>
      </c>
      <c r="K9332" s="2" t="s">
        <v>16662</v>
      </c>
    </row>
    <row r="9333" ht="15.75" customHeight="1">
      <c r="A9333" s="2">
        <v>206525.0</v>
      </c>
      <c r="B9333" s="2" t="s">
        <v>16663</v>
      </c>
      <c r="C9333" s="2" t="s">
        <v>14520</v>
      </c>
      <c r="D9333" s="2" t="s">
        <v>1988</v>
      </c>
      <c r="E9333" s="2" t="s">
        <v>2724</v>
      </c>
      <c r="F9333" s="2">
        <v>87.0</v>
      </c>
      <c r="G9333" s="2">
        <v>500.0</v>
      </c>
      <c r="H9333" s="3" t="str">
        <f>HYPERLINK("http://www.linkedin.com/in/boeparrish","http://www.linkedin.com/in/boeparrish")</f>
        <v>http://www.linkedin.com/in/boeparrish</v>
      </c>
      <c r="I9333" s="2" t="s">
        <v>458</v>
      </c>
      <c r="J9333" s="2" t="s">
        <v>102</v>
      </c>
      <c r="K9333" s="2" t="s">
        <v>14074</v>
      </c>
    </row>
    <row r="9334" ht="15.75" customHeight="1">
      <c r="A9334" s="2">
        <v>206546.0</v>
      </c>
      <c r="B9334" s="2" t="s">
        <v>275</v>
      </c>
      <c r="C9334" s="2" t="s">
        <v>16664</v>
      </c>
      <c r="D9334" s="2" t="s">
        <v>10271</v>
      </c>
      <c r="E9334" s="2" t="s">
        <v>136</v>
      </c>
      <c r="F9334" s="2" t="s">
        <v>13</v>
      </c>
      <c r="G9334" s="2">
        <v>500.0</v>
      </c>
      <c r="H9334" s="3" t="str">
        <f>HYPERLINK("http://www.linkedin.com/in/markhoeft","http://www.linkedin.com/in/markhoeft")</f>
        <v>http://www.linkedin.com/in/markhoeft</v>
      </c>
      <c r="I9334" s="2" t="s">
        <v>48</v>
      </c>
      <c r="J9334" s="2" t="s">
        <v>102</v>
      </c>
      <c r="K9334" s="2" t="s">
        <v>16665</v>
      </c>
    </row>
    <row r="9335" ht="15.75" customHeight="1">
      <c r="A9335" s="2">
        <v>206564.0</v>
      </c>
      <c r="B9335" s="2" t="s">
        <v>10417</v>
      </c>
      <c r="C9335" s="2" t="s">
        <v>16666</v>
      </c>
      <c r="D9335" s="2" t="s">
        <v>1145</v>
      </c>
      <c r="E9335" s="2" t="s">
        <v>136</v>
      </c>
      <c r="F9335" s="2">
        <v>5.0</v>
      </c>
      <c r="G9335" s="2">
        <v>500.0</v>
      </c>
      <c r="H9335" s="3" t="str">
        <f>HYPERLINK("http://www.linkedin.com/in/dantemalagrino","http://www.linkedin.com/in/dantemalagrino")</f>
        <v>http://www.linkedin.com/in/dantemalagrino</v>
      </c>
      <c r="I9335" s="2" t="s">
        <v>873</v>
      </c>
      <c r="J9335" s="2" t="s">
        <v>102</v>
      </c>
      <c r="K9335" s="2" t="s">
        <v>14074</v>
      </c>
    </row>
    <row r="9336" ht="15.75" customHeight="1">
      <c r="A9336" s="2">
        <v>206597.0</v>
      </c>
      <c r="B9336" s="2" t="s">
        <v>16667</v>
      </c>
      <c r="C9336" s="2" t="s">
        <v>16668</v>
      </c>
      <c r="D9336" s="2" t="s">
        <v>114</v>
      </c>
      <c r="E9336" s="2" t="s">
        <v>301</v>
      </c>
      <c r="F9336" s="2">
        <v>2.0</v>
      </c>
      <c r="G9336" s="2">
        <v>447.0</v>
      </c>
      <c r="H9336" s="3" t="str">
        <f>HYPERLINK("http://www.linkedin.com/pub/dr-nathan-baruch/0/31B/919","http://www.linkedin.com/pub/dr-nathan-baruch/0/31B/919")</f>
        <v>http://www.linkedin.com/pub/dr-nathan-baruch/0/31B/919</v>
      </c>
      <c r="I9336" s="2" t="s">
        <v>1183</v>
      </c>
      <c r="J9336" s="2" t="s">
        <v>102</v>
      </c>
      <c r="K9336" s="2" t="s">
        <v>14055</v>
      </c>
    </row>
    <row r="9337" ht="15.75" customHeight="1">
      <c r="A9337" s="2">
        <v>206674.0</v>
      </c>
      <c r="B9337" s="2" t="s">
        <v>879</v>
      </c>
      <c r="C9337" s="2" t="s">
        <v>16669</v>
      </c>
      <c r="D9337" s="2" t="s">
        <v>16670</v>
      </c>
      <c r="E9337" s="2" t="s">
        <v>301</v>
      </c>
      <c r="F9337" s="2">
        <v>3.0</v>
      </c>
      <c r="G9337" s="2">
        <v>350.0</v>
      </c>
      <c r="H9337" s="3" t="str">
        <f>HYPERLINK("http://www.linkedin.com/in/ricksurett","http://www.linkedin.com/in/ricksurett")</f>
        <v>http://www.linkedin.com/in/ricksurett</v>
      </c>
      <c r="I9337" s="2" t="s">
        <v>446</v>
      </c>
      <c r="J9337" s="2" t="s">
        <v>102</v>
      </c>
      <c r="K9337" s="2" t="s">
        <v>14085</v>
      </c>
    </row>
    <row r="9338" ht="15.75" customHeight="1">
      <c r="A9338" s="2">
        <v>206729.0</v>
      </c>
      <c r="B9338" s="2" t="s">
        <v>285</v>
      </c>
      <c r="C9338" s="2" t="s">
        <v>16671</v>
      </c>
      <c r="D9338" s="2" t="s">
        <v>13</v>
      </c>
      <c r="E9338" s="2" t="s">
        <v>16672</v>
      </c>
      <c r="F9338" s="2">
        <v>29.0</v>
      </c>
      <c r="G9338" s="2">
        <v>500.0</v>
      </c>
      <c r="H9338" s="3" t="str">
        <f>HYPERLINK("http://www.linkedin.com/pub/marc-chesover/0/5b2/855","http://www.linkedin.com/pub/marc-chesover/0/5b2/855")</f>
        <v>http://www.linkedin.com/pub/marc-chesover/0/5b2/855</v>
      </c>
      <c r="I9338" s="2" t="s">
        <v>48</v>
      </c>
      <c r="J9338" s="2" t="s">
        <v>53</v>
      </c>
      <c r="K9338" s="2" t="s">
        <v>14242</v>
      </c>
    </row>
    <row r="9339" ht="15.75" customHeight="1">
      <c r="A9339" s="2">
        <v>206789.0</v>
      </c>
      <c r="B9339" s="2" t="s">
        <v>1104</v>
      </c>
      <c r="C9339" s="2" t="s">
        <v>16673</v>
      </c>
      <c r="D9339" s="2" t="s">
        <v>16674</v>
      </c>
      <c r="E9339" s="2" t="s">
        <v>235</v>
      </c>
      <c r="F9339" s="2">
        <v>3.0</v>
      </c>
      <c r="G9339" s="2">
        <v>500.0</v>
      </c>
      <c r="H9339" s="3" t="str">
        <f>HYPERLINK("http://www.linkedin.com/pub/jay-andre/0/256/3A2","http://www.linkedin.com/pub/jay-andre/0/256/3A2")</f>
        <v>http://www.linkedin.com/pub/jay-andre/0/256/3A2</v>
      </c>
      <c r="I9339" s="2" t="s">
        <v>248</v>
      </c>
      <c r="J9339" s="2" t="s">
        <v>102</v>
      </c>
      <c r="K9339" s="2" t="s">
        <v>14115</v>
      </c>
    </row>
    <row r="9340" ht="15.75" customHeight="1">
      <c r="A9340" s="2">
        <v>206830.0</v>
      </c>
      <c r="B9340" s="2" t="s">
        <v>1362</v>
      </c>
      <c r="C9340" s="2" t="s">
        <v>16675</v>
      </c>
      <c r="D9340" s="2" t="s">
        <v>16676</v>
      </c>
      <c r="E9340" s="2" t="s">
        <v>16677</v>
      </c>
      <c r="F9340" s="2">
        <v>8.0</v>
      </c>
      <c r="G9340" s="2">
        <v>97.0</v>
      </c>
      <c r="H9340" s="3" t="str">
        <f>HYPERLINK("http://www.linkedin.com/in/williamlovell","http://www.linkedin.com/in/williamlovell")</f>
        <v>http://www.linkedin.com/in/williamlovell</v>
      </c>
      <c r="I9340" s="2" t="s">
        <v>105</v>
      </c>
      <c r="J9340" s="2" t="s">
        <v>102</v>
      </c>
      <c r="K9340" s="2" t="s">
        <v>14074</v>
      </c>
    </row>
    <row r="9341" ht="15.75" customHeight="1">
      <c r="A9341" s="2">
        <v>206842.0</v>
      </c>
      <c r="B9341" s="2" t="s">
        <v>2609</v>
      </c>
      <c r="C9341" s="2" t="s">
        <v>1153</v>
      </c>
      <c r="D9341" s="2" t="s">
        <v>114</v>
      </c>
      <c r="E9341" s="2" t="s">
        <v>989</v>
      </c>
      <c r="F9341" s="2">
        <v>17.0</v>
      </c>
      <c r="G9341" s="2">
        <v>500.0</v>
      </c>
      <c r="H9341" s="3" t="str">
        <f>HYPERLINK("http://www.linkedin.com/in/imcarlbrown","http://www.linkedin.com/in/imcarlbrown")</f>
        <v>http://www.linkedin.com/in/imcarlbrown</v>
      </c>
      <c r="I9341" s="2" t="s">
        <v>105</v>
      </c>
      <c r="J9341" s="2" t="s">
        <v>102</v>
      </c>
      <c r="K9341" s="2" t="s">
        <v>14422</v>
      </c>
    </row>
    <row r="9342" ht="15.75" customHeight="1">
      <c r="A9342" s="2">
        <v>206856.0</v>
      </c>
      <c r="B9342" s="2" t="s">
        <v>2335</v>
      </c>
      <c r="C9342" s="2" t="s">
        <v>16678</v>
      </c>
      <c r="D9342" s="2" t="s">
        <v>16679</v>
      </c>
      <c r="E9342" s="2" t="s">
        <v>136</v>
      </c>
      <c r="F9342" s="2">
        <v>9.0</v>
      </c>
      <c r="G9342" s="2">
        <v>500.0</v>
      </c>
      <c r="H9342" s="3" t="str">
        <f>HYPERLINK("http://www.linkedin.com/in/brunoaziza","http://www.linkedin.com/in/brunoaziza")</f>
        <v>http://www.linkedin.com/in/brunoaziza</v>
      </c>
      <c r="I9342" s="2" t="s">
        <v>48</v>
      </c>
      <c r="J9342" s="2" t="s">
        <v>102</v>
      </c>
      <c r="K9342" s="2" t="s">
        <v>14052</v>
      </c>
    </row>
    <row r="9343" ht="15.75" customHeight="1">
      <c r="A9343" s="2">
        <v>206877.0</v>
      </c>
      <c r="B9343" s="2" t="s">
        <v>625</v>
      </c>
      <c r="C9343" s="2" t="s">
        <v>16680</v>
      </c>
      <c r="D9343" s="2" t="s">
        <v>16681</v>
      </c>
      <c r="E9343" s="2" t="s">
        <v>971</v>
      </c>
      <c r="F9343" s="2">
        <v>7.0</v>
      </c>
      <c r="G9343" s="2">
        <v>500.0</v>
      </c>
      <c r="H9343" s="3" t="str">
        <f>HYPERLINK("http://www.linkedin.com/in/timdillard","http://www.linkedin.com/in/timdillard")</f>
        <v>http://www.linkedin.com/in/timdillard</v>
      </c>
      <c r="I9343" s="2" t="s">
        <v>69</v>
      </c>
      <c r="J9343" s="2" t="s">
        <v>102</v>
      </c>
      <c r="K9343" s="2" t="s">
        <v>14080</v>
      </c>
    </row>
    <row r="9344" ht="15.75" customHeight="1">
      <c r="A9344" s="2">
        <v>206886.0</v>
      </c>
      <c r="B9344" s="2" t="s">
        <v>4167</v>
      </c>
      <c r="C9344" s="2" t="s">
        <v>1257</v>
      </c>
      <c r="D9344" s="2" t="s">
        <v>16682</v>
      </c>
      <c r="E9344" s="2" t="s">
        <v>989</v>
      </c>
      <c r="F9344" s="2">
        <v>19.0</v>
      </c>
      <c r="G9344" s="2">
        <v>500.0</v>
      </c>
      <c r="H9344" s="3" t="str">
        <f>HYPERLINK("http://www.linkedin.com/in/mindydrummond","http://www.linkedin.com/in/mindydrummond")</f>
        <v>http://www.linkedin.com/in/mindydrummond</v>
      </c>
      <c r="I9344" s="2" t="s">
        <v>248</v>
      </c>
      <c r="J9344" s="2" t="s">
        <v>102</v>
      </c>
      <c r="K9344" s="2" t="s">
        <v>14055</v>
      </c>
    </row>
    <row r="9345" ht="15.75" customHeight="1">
      <c r="A9345" s="2">
        <v>206955.0</v>
      </c>
      <c r="B9345" s="2" t="s">
        <v>16683</v>
      </c>
      <c r="C9345" s="2" t="s">
        <v>11857</v>
      </c>
      <c r="D9345" s="2" t="s">
        <v>16684</v>
      </c>
      <c r="E9345" s="2" t="s">
        <v>1407</v>
      </c>
      <c r="F9345" s="2">
        <v>9.0</v>
      </c>
      <c r="G9345" s="2">
        <v>450.0</v>
      </c>
      <c r="H9345" s="3" t="str">
        <f>HYPERLINK("http://www.linkedin.com/in/rhettguthrie","http://www.linkedin.com/in/rhettguthrie")</f>
        <v>http://www.linkedin.com/in/rhettguthrie</v>
      </c>
      <c r="I9345" s="2" t="s">
        <v>15</v>
      </c>
      <c r="J9345" s="2" t="s">
        <v>102</v>
      </c>
      <c r="K9345" s="2" t="s">
        <v>14142</v>
      </c>
    </row>
    <row r="9346" ht="15.75" customHeight="1">
      <c r="A9346" s="2">
        <v>206989.0</v>
      </c>
      <c r="B9346" s="2" t="s">
        <v>784</v>
      </c>
      <c r="C9346" s="2" t="s">
        <v>16685</v>
      </c>
      <c r="D9346" s="2" t="s">
        <v>1320</v>
      </c>
      <c r="E9346" s="2" t="s">
        <v>5396</v>
      </c>
      <c r="F9346" s="2">
        <v>14.0</v>
      </c>
      <c r="G9346" s="2">
        <v>500.0</v>
      </c>
      <c r="H9346" s="3" t="str">
        <f>HYPERLINK("http://www.linkedin.com/in/jeffdalton","http://www.linkedin.com/in/jeffdalton")</f>
        <v>http://www.linkedin.com/in/jeffdalton</v>
      </c>
      <c r="I9346" s="2" t="s">
        <v>57</v>
      </c>
      <c r="J9346" s="2" t="s">
        <v>102</v>
      </c>
      <c r="K9346" s="2" t="s">
        <v>14092</v>
      </c>
    </row>
    <row r="9347" ht="15.75" customHeight="1">
      <c r="A9347" s="2">
        <v>206993.0</v>
      </c>
      <c r="B9347" s="2" t="s">
        <v>1816</v>
      </c>
      <c r="C9347" s="2" t="s">
        <v>2805</v>
      </c>
      <c r="D9347" s="2" t="s">
        <v>16686</v>
      </c>
      <c r="E9347" s="2" t="s">
        <v>1407</v>
      </c>
      <c r="F9347" s="2">
        <v>0.0</v>
      </c>
      <c r="G9347" s="2">
        <v>475.0</v>
      </c>
      <c r="H9347" s="3" t="str">
        <f>HYPERLINK("http://www.linkedin.com/pub/jeffrey-clay/0/258/A6","http://www.linkedin.com/pub/jeffrey-clay/0/258/A6")</f>
        <v>http://www.linkedin.com/pub/jeffrey-clay/0/258/A6</v>
      </c>
      <c r="I9347" s="2" t="s">
        <v>2843</v>
      </c>
      <c r="J9347" s="2" t="s">
        <v>102</v>
      </c>
      <c r="K9347" s="2" t="s">
        <v>14074</v>
      </c>
    </row>
    <row r="9348" ht="15.75" customHeight="1">
      <c r="A9348" s="2">
        <v>207004.0</v>
      </c>
      <c r="B9348" s="2" t="s">
        <v>10781</v>
      </c>
      <c r="C9348" s="2" t="s">
        <v>10581</v>
      </c>
      <c r="D9348" s="2" t="s">
        <v>13</v>
      </c>
      <c r="E9348" s="2" t="s">
        <v>1918</v>
      </c>
      <c r="F9348" s="2">
        <v>0.0</v>
      </c>
      <c r="G9348" s="2">
        <v>500.0</v>
      </c>
      <c r="H9348" s="3" t="str">
        <f>HYPERLINK("http://www.linkedin.com/in/dannygillis","http://www.linkedin.com/in/dannygillis")</f>
        <v>http://www.linkedin.com/in/dannygillis</v>
      </c>
      <c r="I9348" s="2" t="s">
        <v>156</v>
      </c>
      <c r="J9348" s="2" t="s">
        <v>102</v>
      </c>
      <c r="K9348" s="2" t="s">
        <v>14074</v>
      </c>
    </row>
    <row r="9349" ht="15.75" customHeight="1">
      <c r="A9349" s="2">
        <v>207019.0</v>
      </c>
      <c r="B9349" s="2" t="s">
        <v>2457</v>
      </c>
      <c r="C9349" s="2" t="s">
        <v>3788</v>
      </c>
      <c r="D9349" s="2" t="s">
        <v>13</v>
      </c>
      <c r="E9349" s="2" t="s">
        <v>16687</v>
      </c>
      <c r="F9349" s="2">
        <v>17.0</v>
      </c>
      <c r="G9349" s="2">
        <v>500.0</v>
      </c>
      <c r="H9349" s="3" t="str">
        <f>HYPERLINK("http://www.linkedin.com/in/brandatenterprisefactory","http://www.linkedin.com/in/brandatenterprisefactory")</f>
        <v>http://www.linkedin.com/in/brandatenterprisefactory</v>
      </c>
      <c r="I9349" s="2" t="s">
        <v>57</v>
      </c>
      <c r="J9349" s="2" t="s">
        <v>102</v>
      </c>
      <c r="K9349" s="2" t="s">
        <v>14055</v>
      </c>
    </row>
    <row r="9350" ht="15.75" customHeight="1">
      <c r="A9350" s="2">
        <v>207109.0</v>
      </c>
      <c r="B9350" s="2" t="s">
        <v>16688</v>
      </c>
      <c r="C9350" s="2" t="s">
        <v>16689</v>
      </c>
      <c r="D9350" s="2"/>
      <c r="E9350" s="2" t="s">
        <v>16690</v>
      </c>
      <c r="F9350" s="2">
        <v>0.0</v>
      </c>
      <c r="G9350" s="2">
        <v>416.0</v>
      </c>
      <c r="H9350" s="3" t="str">
        <f>HYPERLINK("http://www.linkedin.com/pub/david-g-ullman/0/784/566","http://www.linkedin.com/pub/david-g-ullman/0/784/566")</f>
        <v>http://www.linkedin.com/pub/david-g-ullman/0/784/566</v>
      </c>
      <c r="I9350" s="2" t="s">
        <v>2268</v>
      </c>
      <c r="J9350" s="2" t="s">
        <v>102</v>
      </c>
      <c r="K9350" s="2" t="s">
        <v>14074</v>
      </c>
    </row>
    <row r="9351" ht="15.75" customHeight="1">
      <c r="A9351" s="2">
        <v>207131.0</v>
      </c>
      <c r="B9351" s="2" t="s">
        <v>16691</v>
      </c>
      <c r="C9351" s="2" t="s">
        <v>16692</v>
      </c>
      <c r="D9351" s="2" t="s">
        <v>16693</v>
      </c>
      <c r="E9351" s="2" t="s">
        <v>4407</v>
      </c>
      <c r="F9351" s="2">
        <v>1.0</v>
      </c>
      <c r="G9351" s="2">
        <v>169.0</v>
      </c>
      <c r="H9351" s="3" t="str">
        <f>HYPERLINK("http://www.linkedin.com/pub/jeannie-ladesso/4/993/28B","http://www.linkedin.com/pub/jeannie-ladesso/4/993/28B")</f>
        <v>http://www.linkedin.com/pub/jeannie-ladesso/4/993/28B</v>
      </c>
      <c r="I9351" s="2" t="s">
        <v>15</v>
      </c>
      <c r="J9351" s="2" t="s">
        <v>102</v>
      </c>
      <c r="K9351" s="2" t="s">
        <v>14074</v>
      </c>
    </row>
    <row r="9352" ht="15.75" customHeight="1">
      <c r="A9352" s="2">
        <v>207193.0</v>
      </c>
      <c r="B9352" s="2" t="s">
        <v>10790</v>
      </c>
      <c r="C9352" s="2" t="s">
        <v>16694</v>
      </c>
      <c r="D9352" s="2" t="s">
        <v>16695</v>
      </c>
      <c r="E9352" s="2" t="s">
        <v>155</v>
      </c>
      <c r="F9352" s="2">
        <v>1.0</v>
      </c>
      <c r="G9352" s="2">
        <v>428.0</v>
      </c>
      <c r="H9352" s="3" t="str">
        <f>HYPERLINK("http://www.linkedin.com/pub/annie-lawrenson/3/B99/A83","http://www.linkedin.com/pub/annie-lawrenson/3/B99/A83")</f>
        <v>http://www.linkedin.com/pub/annie-lawrenson/3/B99/A83</v>
      </c>
      <c r="I9352" s="2" t="s">
        <v>48</v>
      </c>
      <c r="J9352" s="2" t="s">
        <v>102</v>
      </c>
      <c r="K9352" s="2" t="s">
        <v>14750</v>
      </c>
    </row>
    <row r="9353" ht="15.75" customHeight="1">
      <c r="A9353" s="2">
        <v>207215.0</v>
      </c>
      <c r="B9353" s="2" t="s">
        <v>2117</v>
      </c>
      <c r="C9353" s="2" t="s">
        <v>16122</v>
      </c>
      <c r="D9353" s="2" t="s">
        <v>536</v>
      </c>
      <c r="E9353" s="2" t="s">
        <v>16696</v>
      </c>
      <c r="F9353" s="2">
        <v>4.0</v>
      </c>
      <c r="G9353" s="2">
        <v>500.0</v>
      </c>
      <c r="H9353" s="3" t="str">
        <f>HYPERLINK("http://www.linkedin.com/in/cperkins","http://www.linkedin.com/in/cperkins")</f>
        <v>http://www.linkedin.com/in/cperkins</v>
      </c>
      <c r="I9353" s="2" t="s">
        <v>57</v>
      </c>
      <c r="J9353" s="2" t="s">
        <v>102</v>
      </c>
      <c r="K9353" s="2" t="s">
        <v>14092</v>
      </c>
    </row>
    <row r="9354" ht="15.75" customHeight="1">
      <c r="A9354" s="2">
        <v>207241.0</v>
      </c>
      <c r="B9354" s="2" t="s">
        <v>291</v>
      </c>
      <c r="C9354" s="2" t="s">
        <v>16697</v>
      </c>
      <c r="D9354" s="2" t="s">
        <v>114</v>
      </c>
      <c r="E9354" s="2" t="s">
        <v>2724</v>
      </c>
      <c r="F9354" s="2">
        <v>6.0</v>
      </c>
      <c r="G9354" s="2">
        <v>500.0</v>
      </c>
      <c r="H9354" s="3" t="str">
        <f>HYPERLINK("http://www.linkedin.com/in/garyabrown","http://www.linkedin.com/in/garyabrown")</f>
        <v>http://www.linkedin.com/in/garyabrown</v>
      </c>
      <c r="I9354" s="2" t="s">
        <v>77</v>
      </c>
      <c r="J9354" s="2" t="s">
        <v>102</v>
      </c>
      <c r="K9354" s="2" t="s">
        <v>14105</v>
      </c>
    </row>
    <row r="9355" ht="15.75" customHeight="1">
      <c r="A9355" s="2">
        <v>207242.0</v>
      </c>
      <c r="B9355" s="2" t="s">
        <v>471</v>
      </c>
      <c r="C9355" s="2" t="s">
        <v>16698</v>
      </c>
      <c r="D9355" s="2" t="s">
        <v>16699</v>
      </c>
      <c r="E9355" s="2" t="s">
        <v>713</v>
      </c>
      <c r="F9355" s="2">
        <v>2.0</v>
      </c>
      <c r="G9355" s="2">
        <v>500.0</v>
      </c>
      <c r="H9355" s="3" t="str">
        <f>HYPERLINK("http://www.linkedin.com/in/daneiref","http://www.linkedin.com/in/daneiref")</f>
        <v>http://www.linkedin.com/in/daneiref</v>
      </c>
      <c r="I9355" s="2" t="s">
        <v>48</v>
      </c>
      <c r="J9355" s="2" t="s">
        <v>102</v>
      </c>
      <c r="K9355" s="2" t="s">
        <v>14117</v>
      </c>
    </row>
    <row r="9356" ht="15.75" customHeight="1">
      <c r="A9356" s="2">
        <v>207248.0</v>
      </c>
      <c r="B9356" s="2" t="s">
        <v>637</v>
      </c>
      <c r="C9356" s="2" t="s">
        <v>16700</v>
      </c>
      <c r="D9356" s="2" t="s">
        <v>517</v>
      </c>
      <c r="E9356" s="2" t="s">
        <v>457</v>
      </c>
      <c r="F9356" s="2">
        <v>22.0</v>
      </c>
      <c r="G9356" s="2">
        <v>500.0</v>
      </c>
      <c r="H9356" s="3" t="str">
        <f>HYPERLINK("http://www.linkedin.com/in/lmattiazzi","http://www.linkedin.com/in/lmattiazzi")</f>
        <v>http://www.linkedin.com/in/lmattiazzi</v>
      </c>
      <c r="I9356" s="2" t="s">
        <v>15</v>
      </c>
      <c r="J9356" s="2" t="s">
        <v>102</v>
      </c>
      <c r="K9356" s="2" t="s">
        <v>14142</v>
      </c>
    </row>
    <row r="9357" ht="15.75" customHeight="1">
      <c r="A9357" s="2">
        <v>207295.0</v>
      </c>
      <c r="B9357" s="2" t="s">
        <v>412</v>
      </c>
      <c r="C9357" s="2" t="s">
        <v>556</v>
      </c>
      <c r="D9357" s="2" t="s">
        <v>16701</v>
      </c>
      <c r="E9357" s="2" t="s">
        <v>713</v>
      </c>
      <c r="F9357" s="2">
        <v>3.0</v>
      </c>
      <c r="G9357" s="2">
        <v>211.0</v>
      </c>
      <c r="H9357" s="3" t="str">
        <f>HYPERLINK("http://www.linkedin.com/pub/bob-kinney/4/328/BB2","http://www.linkedin.com/pub/bob-kinney/4/328/BB2")</f>
        <v>http://www.linkedin.com/pub/bob-kinney/4/328/BB2</v>
      </c>
      <c r="I9357" s="2" t="s">
        <v>69</v>
      </c>
      <c r="J9357" s="2" t="s">
        <v>102</v>
      </c>
      <c r="K9357" s="2" t="s">
        <v>16702</v>
      </c>
    </row>
    <row r="9358" ht="15.75" customHeight="1">
      <c r="A9358" s="2">
        <v>207333.0</v>
      </c>
      <c r="B9358" s="2" t="s">
        <v>1486</v>
      </c>
      <c r="C9358" s="2" t="s">
        <v>16703</v>
      </c>
      <c r="D9358" s="2" t="s">
        <v>13</v>
      </c>
      <c r="E9358" s="2" t="s">
        <v>16704</v>
      </c>
      <c r="F9358" s="2">
        <v>0.0</v>
      </c>
      <c r="G9358" s="2">
        <v>500.0</v>
      </c>
      <c r="H9358" s="3" t="str">
        <f>HYPERLINK("http://www.linkedin.com/in/amitkeynan","http://www.linkedin.com/in/amitkeynan")</f>
        <v>http://www.linkedin.com/in/amitkeynan</v>
      </c>
      <c r="I9358" s="2" t="s">
        <v>77</v>
      </c>
      <c r="J9358" s="2" t="s">
        <v>102</v>
      </c>
      <c r="K9358" s="2" t="s">
        <v>16705</v>
      </c>
    </row>
    <row r="9359" ht="15.75" customHeight="1">
      <c r="A9359" s="2">
        <v>207366.0</v>
      </c>
      <c r="B9359" s="2" t="s">
        <v>1167</v>
      </c>
      <c r="C9359" s="2" t="s">
        <v>16706</v>
      </c>
      <c r="D9359" s="2" t="s">
        <v>16707</v>
      </c>
      <c r="E9359" s="2" t="s">
        <v>964</v>
      </c>
      <c r="F9359" s="2">
        <v>4.0</v>
      </c>
      <c r="G9359" s="2">
        <v>377.0</v>
      </c>
      <c r="H9359" s="3" t="str">
        <f>HYPERLINK("http://www.linkedin.com/in/benthroop","http://www.linkedin.com/in/benthroop")</f>
        <v>http://www.linkedin.com/in/benthroop</v>
      </c>
      <c r="I9359" s="2" t="s">
        <v>143</v>
      </c>
      <c r="J9359" s="2" t="s">
        <v>102</v>
      </c>
      <c r="K9359" s="2" t="s">
        <v>14071</v>
      </c>
    </row>
    <row r="9360" ht="15.75" customHeight="1">
      <c r="A9360" s="2">
        <v>207377.0</v>
      </c>
      <c r="B9360" s="2" t="s">
        <v>1300</v>
      </c>
      <c r="C9360" s="2" t="s">
        <v>1299</v>
      </c>
      <c r="D9360" s="2" t="s">
        <v>16708</v>
      </c>
      <c r="E9360" s="2" t="s">
        <v>7844</v>
      </c>
      <c r="F9360" s="2">
        <v>4.0</v>
      </c>
      <c r="G9360" s="2">
        <v>500.0</v>
      </c>
      <c r="H9360" s="3" t="str">
        <f>HYPERLINK("http://www.linkedin.com/in/barnett","http://www.linkedin.com/in/barnett")</f>
        <v>http://www.linkedin.com/in/barnett</v>
      </c>
      <c r="I9360" s="2" t="s">
        <v>15</v>
      </c>
      <c r="J9360" s="2" t="s">
        <v>102</v>
      </c>
      <c r="K9360" s="2" t="s">
        <v>14057</v>
      </c>
    </row>
    <row r="9361" ht="15.75" customHeight="1">
      <c r="A9361" s="2">
        <v>207417.0</v>
      </c>
      <c r="B9361" s="2" t="s">
        <v>295</v>
      </c>
      <c r="C9361" s="2" t="s">
        <v>16709</v>
      </c>
      <c r="D9361" s="2"/>
      <c r="E9361" s="2" t="s">
        <v>16710</v>
      </c>
      <c r="F9361" s="2">
        <v>4.0</v>
      </c>
      <c r="G9361" s="2">
        <v>500.0</v>
      </c>
      <c r="H9361" s="3" t="str">
        <f>HYPERLINK("http://www.linkedin.com/pub/sean-jazayeri/0/939/12A","http://www.linkedin.com/pub/sean-jazayeri/0/939/12A")</f>
        <v>http://www.linkedin.com/pub/sean-jazayeri/0/939/12A</v>
      </c>
      <c r="I9361" s="2" t="s">
        <v>15</v>
      </c>
      <c r="J9361" s="2" t="s">
        <v>102</v>
      </c>
      <c r="K9361" s="2" t="s">
        <v>14092</v>
      </c>
    </row>
    <row r="9362" ht="15.75" customHeight="1">
      <c r="A9362" s="2">
        <v>207553.0</v>
      </c>
      <c r="B9362" s="2" t="s">
        <v>3202</v>
      </c>
      <c r="C9362" s="2" t="s">
        <v>16711</v>
      </c>
      <c r="D9362" s="2"/>
      <c r="E9362" s="2" t="s">
        <v>14180</v>
      </c>
      <c r="F9362" s="2">
        <v>2.0</v>
      </c>
      <c r="G9362" s="2">
        <v>500.0</v>
      </c>
      <c r="H9362" s="3" t="str">
        <f>HYPERLINK("http://www.linkedin.com/in/mfree","http://www.linkedin.com/in/mfree")</f>
        <v>http://www.linkedin.com/in/mfree</v>
      </c>
      <c r="I9362" s="2" t="s">
        <v>69</v>
      </c>
      <c r="J9362" s="2" t="s">
        <v>102</v>
      </c>
      <c r="K9362" s="2" t="s">
        <v>14071</v>
      </c>
    </row>
    <row r="9363" ht="15.75" customHeight="1">
      <c r="A9363" s="2">
        <v>207569.0</v>
      </c>
      <c r="B9363" s="2" t="s">
        <v>625</v>
      </c>
      <c r="C9363" s="2" t="s">
        <v>797</v>
      </c>
      <c r="D9363" s="2" t="s">
        <v>11774</v>
      </c>
      <c r="E9363" s="2" t="s">
        <v>864</v>
      </c>
      <c r="F9363" s="2">
        <v>4.0</v>
      </c>
      <c r="G9363" s="2">
        <v>500.0</v>
      </c>
      <c r="H9363" s="3" t="str">
        <f>HYPERLINK("http://www.linkedin.com/pub/tim-taylor/10/486/528","http://www.linkedin.com/pub/tim-taylor/10/486/528")</f>
        <v>http://www.linkedin.com/pub/tim-taylor/10/486/528</v>
      </c>
      <c r="I9363" s="2" t="s">
        <v>77</v>
      </c>
      <c r="J9363" s="2" t="s">
        <v>102</v>
      </c>
      <c r="K9363" s="2" t="s">
        <v>14237</v>
      </c>
    </row>
    <row r="9364" ht="15.75" customHeight="1">
      <c r="A9364" s="2">
        <v>207594.0</v>
      </c>
      <c r="B9364" s="2" t="s">
        <v>275</v>
      </c>
      <c r="C9364" s="2" t="s">
        <v>16712</v>
      </c>
      <c r="D9364" s="2" t="s">
        <v>16713</v>
      </c>
      <c r="E9364" s="2" t="s">
        <v>235</v>
      </c>
      <c r="F9364" s="2">
        <v>1.0</v>
      </c>
      <c r="G9364" s="2">
        <v>500.0</v>
      </c>
      <c r="H9364" s="3" t="str">
        <f>HYPERLINK("http://www.linkedin.com/pub/mark-bruininga/0/A74/330","http://www.linkedin.com/pub/mark-bruininga/0/A74/330")</f>
        <v>http://www.linkedin.com/pub/mark-bruininga/0/A74/330</v>
      </c>
      <c r="I9364" s="2" t="s">
        <v>15</v>
      </c>
      <c r="J9364" s="2" t="s">
        <v>102</v>
      </c>
      <c r="K9364" s="2" t="s">
        <v>14142</v>
      </c>
    </row>
    <row r="9365" ht="15.75" customHeight="1">
      <c r="A9365" s="2">
        <v>207761.0</v>
      </c>
      <c r="B9365" s="2" t="s">
        <v>313</v>
      </c>
      <c r="C9365" s="2" t="s">
        <v>16714</v>
      </c>
      <c r="D9365" s="2" t="s">
        <v>16715</v>
      </c>
      <c r="E9365" s="2" t="s">
        <v>971</v>
      </c>
      <c r="F9365" s="2">
        <v>2.0</v>
      </c>
      <c r="G9365" s="2">
        <v>500.0</v>
      </c>
      <c r="H9365" s="3" t="str">
        <f>HYPERLINK("http://www.linkedin.com/in/leejohns","http://www.linkedin.com/in/leejohns")</f>
        <v>http://www.linkedin.com/in/leejohns</v>
      </c>
      <c r="I9365" s="2" t="s">
        <v>119</v>
      </c>
      <c r="J9365" s="2" t="s">
        <v>102</v>
      </c>
      <c r="K9365" s="2" t="s">
        <v>14125</v>
      </c>
    </row>
    <row r="9366" ht="15.75" customHeight="1">
      <c r="A9366" s="2">
        <v>207796.0</v>
      </c>
      <c r="B9366" s="2" t="s">
        <v>5200</v>
      </c>
      <c r="C9366" s="2" t="s">
        <v>4561</v>
      </c>
      <c r="D9366" s="2" t="s">
        <v>13</v>
      </c>
      <c r="E9366" s="2" t="s">
        <v>3516</v>
      </c>
      <c r="F9366" s="2">
        <v>0.0</v>
      </c>
      <c r="G9366" s="2">
        <v>500.0</v>
      </c>
      <c r="H9366" s="3" t="str">
        <f>HYPERLINK("http://www.linkedin.com/pub/cynthia-wood/0/B47/622","http://www.linkedin.com/pub/cynthia-wood/0/B47/622")</f>
        <v>http://www.linkedin.com/pub/cynthia-wood/0/B47/622</v>
      </c>
      <c r="I9366" s="2" t="s">
        <v>15</v>
      </c>
      <c r="J9366" s="2" t="s">
        <v>102</v>
      </c>
      <c r="K9366" s="2" t="s">
        <v>14080</v>
      </c>
    </row>
    <row r="9367" ht="15.75" customHeight="1">
      <c r="A9367" s="2">
        <v>207838.0</v>
      </c>
      <c r="B9367" s="2" t="s">
        <v>1004</v>
      </c>
      <c r="C9367" s="2" t="s">
        <v>16716</v>
      </c>
      <c r="D9367" s="2" t="s">
        <v>16717</v>
      </c>
      <c r="E9367" s="2" t="s">
        <v>301</v>
      </c>
      <c r="F9367" s="2">
        <v>7.0</v>
      </c>
      <c r="G9367" s="2">
        <v>500.0</v>
      </c>
      <c r="H9367" s="3" t="str">
        <f>HYPERLINK("http://www.linkedin.com/in/finlayson","http://www.linkedin.com/in/finlayson")</f>
        <v>http://www.linkedin.com/in/finlayson</v>
      </c>
      <c r="I9367" s="2" t="s">
        <v>910</v>
      </c>
      <c r="J9367" s="2" t="s">
        <v>102</v>
      </c>
      <c r="K9367" s="2" t="s">
        <v>14055</v>
      </c>
    </row>
    <row r="9368" ht="15.75" customHeight="1">
      <c r="A9368" s="2">
        <v>207883.0</v>
      </c>
      <c r="B9368" s="2" t="s">
        <v>460</v>
      </c>
      <c r="C9368" s="2" t="s">
        <v>559</v>
      </c>
      <c r="D9368" s="2" t="s">
        <v>13</v>
      </c>
      <c r="E9368" s="2" t="s">
        <v>16718</v>
      </c>
      <c r="F9368" s="2">
        <v>24.0</v>
      </c>
      <c r="G9368" s="2">
        <v>484.0</v>
      </c>
      <c r="H9368" s="3" t="str">
        <f>HYPERLINK("http://www.linkedin.com/in/jtadams","http://www.linkedin.com/in/jtadams")</f>
        <v>http://www.linkedin.com/in/jtadams</v>
      </c>
      <c r="I9368" s="2" t="s">
        <v>15</v>
      </c>
      <c r="J9368" s="2" t="s">
        <v>102</v>
      </c>
      <c r="K9368" s="2" t="s">
        <v>15720</v>
      </c>
    </row>
    <row r="9369" ht="15.75" customHeight="1">
      <c r="A9369" s="2">
        <v>207889.0</v>
      </c>
      <c r="B9369" s="2" t="s">
        <v>4986</v>
      </c>
      <c r="C9369" s="2" t="s">
        <v>16719</v>
      </c>
      <c r="D9369" s="2" t="s">
        <v>16720</v>
      </c>
      <c r="E9369" s="2" t="s">
        <v>251</v>
      </c>
      <c r="F9369" s="2" t="s">
        <v>13</v>
      </c>
      <c r="G9369" s="2">
        <v>471.0</v>
      </c>
      <c r="H9369" s="3" t="str">
        <f>HYPERLINK("http://www.linkedin.com/in/julienjasserme","http://www.linkedin.com/in/julienjasserme")</f>
        <v>http://www.linkedin.com/in/julienjasserme</v>
      </c>
      <c r="I9369" s="2" t="s">
        <v>69</v>
      </c>
      <c r="J9369" s="2" t="s">
        <v>102</v>
      </c>
      <c r="K9369" s="2" t="s">
        <v>14082</v>
      </c>
    </row>
    <row r="9370" ht="15.75" customHeight="1">
      <c r="A9370" s="2">
        <v>207943.0</v>
      </c>
      <c r="B9370" s="2" t="s">
        <v>341</v>
      </c>
      <c r="C9370" s="2" t="s">
        <v>16721</v>
      </c>
      <c r="D9370" s="2" t="s">
        <v>16722</v>
      </c>
      <c r="E9370" s="2" t="s">
        <v>235</v>
      </c>
      <c r="F9370" s="2">
        <v>12.0</v>
      </c>
      <c r="G9370" s="2">
        <v>500.0</v>
      </c>
      <c r="H9370" s="3" t="str">
        <f>HYPERLINK("http://www.linkedin.com/in/kevinpdunn","http://www.linkedin.com/in/kevinpdunn")</f>
        <v>http://www.linkedin.com/in/kevinpdunn</v>
      </c>
      <c r="I9370" s="2" t="s">
        <v>681</v>
      </c>
      <c r="J9370" s="2" t="s">
        <v>102</v>
      </c>
      <c r="K9370" s="2" t="s">
        <v>14074</v>
      </c>
    </row>
    <row r="9371" ht="15.75" customHeight="1">
      <c r="A9371" s="2">
        <v>207949.0</v>
      </c>
      <c r="B9371" s="2" t="s">
        <v>640</v>
      </c>
      <c r="C9371" s="2" t="s">
        <v>12939</v>
      </c>
      <c r="D9371" s="2" t="s">
        <v>42</v>
      </c>
      <c r="E9371" s="2" t="s">
        <v>16723</v>
      </c>
      <c r="F9371" s="2">
        <v>4.0</v>
      </c>
      <c r="G9371" s="2">
        <v>232.0</v>
      </c>
      <c r="H9371" s="3" t="str">
        <f>HYPERLINK("http://www.linkedin.com/in/joshuafisher","http://www.linkedin.com/in/joshuafisher")</f>
        <v>http://www.linkedin.com/in/joshuafisher</v>
      </c>
      <c r="I9371" s="2" t="s">
        <v>15</v>
      </c>
      <c r="J9371" s="2" t="s">
        <v>102</v>
      </c>
      <c r="K9371" s="2" t="s">
        <v>14074</v>
      </c>
    </row>
    <row r="9372" ht="15.75" customHeight="1">
      <c r="A9372" s="2">
        <v>207951.0</v>
      </c>
      <c r="B9372" s="2" t="s">
        <v>1984</v>
      </c>
      <c r="C9372" s="2" t="s">
        <v>16140</v>
      </c>
      <c r="D9372" s="2" t="s">
        <v>16724</v>
      </c>
      <c r="E9372" s="2" t="s">
        <v>1615</v>
      </c>
      <c r="F9372" s="2">
        <v>2.0</v>
      </c>
      <c r="G9372" s="2">
        <v>500.0</v>
      </c>
      <c r="H9372" s="3" t="str">
        <f>HYPERLINK("http://www.linkedin.com/pub/anne-lynch/3/BBB/617","http://www.linkedin.com/pub/anne-lynch/3/BBB/617")</f>
        <v>http://www.linkedin.com/pub/anne-lynch/3/BBB/617</v>
      </c>
      <c r="I9372" s="2" t="s">
        <v>248</v>
      </c>
      <c r="J9372" s="2" t="s">
        <v>102</v>
      </c>
      <c r="K9372" s="2" t="s">
        <v>14140</v>
      </c>
    </row>
    <row r="9373" ht="15.75" customHeight="1">
      <c r="A9373" s="2">
        <v>207973.0</v>
      </c>
      <c r="B9373" s="2" t="s">
        <v>16725</v>
      </c>
      <c r="C9373" s="2" t="s">
        <v>11859</v>
      </c>
      <c r="D9373" s="2" t="s">
        <v>16726</v>
      </c>
      <c r="E9373" s="2" t="s">
        <v>301</v>
      </c>
      <c r="F9373" s="2">
        <v>2.0</v>
      </c>
      <c r="G9373" s="2">
        <v>500.0</v>
      </c>
      <c r="H9373" s="3" t="str">
        <f>HYPERLINK("http://www.linkedin.com/in/madhuraggarwal","http://www.linkedin.com/in/madhuraggarwal")</f>
        <v>http://www.linkedin.com/in/madhuraggarwal</v>
      </c>
      <c r="I9373" s="2" t="s">
        <v>48</v>
      </c>
      <c r="J9373" s="2" t="s">
        <v>102</v>
      </c>
      <c r="K9373" s="2" t="s">
        <v>14080</v>
      </c>
    </row>
    <row r="9374" ht="15.75" customHeight="1">
      <c r="A9374" s="2">
        <v>208035.0</v>
      </c>
      <c r="B9374" s="2" t="s">
        <v>460</v>
      </c>
      <c r="C9374" s="2" t="s">
        <v>15245</v>
      </c>
      <c r="D9374" s="2" t="s">
        <v>13</v>
      </c>
      <c r="E9374" s="2" t="s">
        <v>989</v>
      </c>
      <c r="F9374" s="2">
        <v>0.0</v>
      </c>
      <c r="G9374" s="2">
        <v>500.0</v>
      </c>
      <c r="H9374" s="3" t="str">
        <f>HYPERLINK("http://www.linkedin.com/in/johnsdimauro","http://www.linkedin.com/in/johnsdimauro")</f>
        <v>http://www.linkedin.com/in/johnsdimauro</v>
      </c>
      <c r="I9374" s="2" t="s">
        <v>279</v>
      </c>
      <c r="J9374" s="2" t="s">
        <v>102</v>
      </c>
      <c r="K9374" s="2" t="s">
        <v>14080</v>
      </c>
    </row>
    <row r="9375" ht="15.75" customHeight="1">
      <c r="A9375" s="2">
        <v>208091.0</v>
      </c>
      <c r="B9375" s="2" t="s">
        <v>133</v>
      </c>
      <c r="C9375" s="2" t="s">
        <v>1868</v>
      </c>
      <c r="D9375" s="2" t="s">
        <v>13</v>
      </c>
      <c r="E9375" s="2" t="s">
        <v>136</v>
      </c>
      <c r="F9375" s="2">
        <v>0.0</v>
      </c>
      <c r="G9375" s="2">
        <v>500.0</v>
      </c>
      <c r="H9375" s="3" t="str">
        <f>HYPERLINK("https://www.linkedin.com/in/michaeljack","https://www.linkedin.com/in/michaeljack")</f>
        <v>https://www.linkedin.com/in/michaeljack</v>
      </c>
      <c r="I9375" s="2" t="s">
        <v>279</v>
      </c>
      <c r="J9375" s="2" t="s">
        <v>102</v>
      </c>
      <c r="K9375" s="2" t="s">
        <v>14055</v>
      </c>
    </row>
    <row r="9376" ht="15.75" customHeight="1">
      <c r="A9376" s="2">
        <v>208113.0</v>
      </c>
      <c r="B9376" s="2" t="s">
        <v>59</v>
      </c>
      <c r="C9376" s="2" t="s">
        <v>16727</v>
      </c>
      <c r="D9376" s="2" t="s">
        <v>400</v>
      </c>
      <c r="E9376" s="2" t="s">
        <v>11025</v>
      </c>
      <c r="F9376" s="2">
        <v>17.0</v>
      </c>
      <c r="G9376" s="2">
        <v>500.0</v>
      </c>
      <c r="H9376" s="3" t="str">
        <f>HYPERLINK("http://www.linkedin.com/in/docmartinbaron","http://www.linkedin.com/in/docmartinbaron")</f>
        <v>http://www.linkedin.com/in/docmartinbaron</v>
      </c>
      <c r="I9376" s="2" t="s">
        <v>105</v>
      </c>
      <c r="J9376" s="2" t="s">
        <v>102</v>
      </c>
      <c r="K9376" s="2" t="s">
        <v>14071</v>
      </c>
    </row>
    <row r="9377" ht="15.75" customHeight="1">
      <c r="A9377" s="2">
        <v>208214.0</v>
      </c>
      <c r="B9377" s="2" t="s">
        <v>4488</v>
      </c>
      <c r="C9377" s="2" t="s">
        <v>1742</v>
      </c>
      <c r="D9377" s="2" t="s">
        <v>16728</v>
      </c>
      <c r="E9377" s="2" t="s">
        <v>136</v>
      </c>
      <c r="F9377" s="2">
        <v>42.0</v>
      </c>
      <c r="G9377" s="2">
        <v>500.0</v>
      </c>
      <c r="H9377" s="3" t="str">
        <f>HYPERLINK("http://www.linkedin.com/in/heathernewman","http://www.linkedin.com/in/heathernewman")</f>
        <v>http://www.linkedin.com/in/heathernewman</v>
      </c>
      <c r="I9377" s="2" t="s">
        <v>105</v>
      </c>
      <c r="J9377" s="2" t="s">
        <v>102</v>
      </c>
      <c r="K9377" s="2" t="s">
        <v>14082</v>
      </c>
    </row>
    <row r="9378" ht="15.75" customHeight="1">
      <c r="A9378" s="2">
        <v>208286.0</v>
      </c>
      <c r="B9378" s="2" t="s">
        <v>1545</v>
      </c>
      <c r="C9378" s="2" t="s">
        <v>16729</v>
      </c>
      <c r="D9378" s="2" t="s">
        <v>47</v>
      </c>
      <c r="E9378" s="2" t="s">
        <v>7844</v>
      </c>
      <c r="F9378" s="2">
        <v>0.0</v>
      </c>
      <c r="G9378" s="2">
        <v>245.0</v>
      </c>
      <c r="H9378" s="3" t="str">
        <f>HYPERLINK("http://www.linkedin.com/pub/patrick-irestone/5/375/61","http://www.linkedin.com/pub/patrick-irestone/5/375/61")</f>
        <v>http://www.linkedin.com/pub/patrick-irestone/5/375/61</v>
      </c>
      <c r="I9378" s="2" t="s">
        <v>57</v>
      </c>
      <c r="J9378" s="2" t="s">
        <v>102</v>
      </c>
      <c r="K9378" s="2" t="s">
        <v>14142</v>
      </c>
    </row>
    <row r="9379" ht="15.75" customHeight="1">
      <c r="A9379" s="2">
        <v>208325.0</v>
      </c>
      <c r="B9379" s="2" t="s">
        <v>2099</v>
      </c>
      <c r="C9379" s="2" t="s">
        <v>16730</v>
      </c>
      <c r="D9379" s="2" t="s">
        <v>114</v>
      </c>
      <c r="E9379" s="2" t="s">
        <v>16731</v>
      </c>
      <c r="F9379" s="2">
        <v>8.0</v>
      </c>
      <c r="G9379" s="2">
        <v>500.0</v>
      </c>
      <c r="H9379" s="3" t="str">
        <f>HYPERLINK("http://www.linkedin.com/in/charlesnaselli","http://www.linkedin.com/in/charlesnaselli")</f>
        <v>http://www.linkedin.com/in/charlesnaselli</v>
      </c>
      <c r="I9379" s="2" t="s">
        <v>248</v>
      </c>
      <c r="J9379" s="2" t="s">
        <v>102</v>
      </c>
      <c r="K9379" s="2" t="s">
        <v>14115</v>
      </c>
    </row>
    <row r="9380" ht="15.75" customHeight="1">
      <c r="A9380" s="2">
        <v>208353.0</v>
      </c>
      <c r="B9380" s="2" t="s">
        <v>11636</v>
      </c>
      <c r="C9380" s="2" t="s">
        <v>16732</v>
      </c>
      <c r="D9380" s="2" t="s">
        <v>410</v>
      </c>
      <c r="E9380" s="2" t="s">
        <v>301</v>
      </c>
      <c r="F9380" s="2">
        <v>4.0</v>
      </c>
      <c r="G9380" s="2">
        <v>500.0</v>
      </c>
      <c r="H9380" s="3" t="str">
        <f>HYPERLINK("http://www.linkedin.com/in/evanbinder","http://www.linkedin.com/in/evanbinder")</f>
        <v>http://www.linkedin.com/in/evanbinder</v>
      </c>
      <c r="I9380" s="2" t="s">
        <v>96</v>
      </c>
      <c r="J9380" s="2" t="s">
        <v>102</v>
      </c>
      <c r="K9380" s="2" t="s">
        <v>14055</v>
      </c>
    </row>
    <row r="9381" ht="15.75" customHeight="1">
      <c r="A9381" s="2">
        <v>208366.0</v>
      </c>
      <c r="B9381" s="2" t="s">
        <v>845</v>
      </c>
      <c r="C9381" s="2" t="s">
        <v>12430</v>
      </c>
      <c r="D9381" s="2" t="s">
        <v>16733</v>
      </c>
      <c r="E9381" s="2" t="s">
        <v>1918</v>
      </c>
      <c r="F9381" s="2">
        <v>3.0</v>
      </c>
      <c r="G9381" s="2">
        <v>500.0</v>
      </c>
      <c r="H9381" s="3" t="str">
        <f>HYPERLINK("http://www.linkedin.com/in/davidbye","http://www.linkedin.com/in/davidbye")</f>
        <v>http://www.linkedin.com/in/davidbye</v>
      </c>
      <c r="I9381" s="2" t="s">
        <v>48</v>
      </c>
      <c r="J9381" s="2" t="s">
        <v>102</v>
      </c>
      <c r="K9381" s="2" t="s">
        <v>14142</v>
      </c>
    </row>
    <row r="9382" ht="15.75" customHeight="1">
      <c r="A9382" s="2">
        <v>208380.0</v>
      </c>
      <c r="B9382" s="2" t="s">
        <v>534</v>
      </c>
      <c r="C9382" s="2" t="s">
        <v>16734</v>
      </c>
      <c r="D9382" s="2" t="s">
        <v>13</v>
      </c>
      <c r="E9382" s="2" t="s">
        <v>713</v>
      </c>
      <c r="F9382" s="2">
        <v>0.0</v>
      </c>
      <c r="G9382" s="2">
        <v>500.0</v>
      </c>
      <c r="H9382" s="3" t="str">
        <f>HYPERLINK("https://www.linkedin.com/in/mvirzi","https://www.linkedin.com/in/mvirzi")</f>
        <v>https://www.linkedin.com/in/mvirzi</v>
      </c>
      <c r="I9382" s="2" t="s">
        <v>15</v>
      </c>
      <c r="J9382" s="2" t="s">
        <v>102</v>
      </c>
      <c r="K9382" s="2" t="s">
        <v>14092</v>
      </c>
    </row>
    <row r="9383" ht="15.75" customHeight="1">
      <c r="A9383" s="2">
        <v>208395.0</v>
      </c>
      <c r="B9383" s="2" t="s">
        <v>460</v>
      </c>
      <c r="C9383" s="2" t="s">
        <v>16735</v>
      </c>
      <c r="D9383" s="2" t="s">
        <v>16736</v>
      </c>
      <c r="E9383" s="2" t="s">
        <v>1615</v>
      </c>
      <c r="F9383" s="2">
        <v>0.0</v>
      </c>
      <c r="G9383" s="2">
        <v>500.0</v>
      </c>
      <c r="H9383" s="3" t="str">
        <f>HYPERLINK("http://www.linkedin.com/in/tonnison","http://www.linkedin.com/in/tonnison")</f>
        <v>http://www.linkedin.com/in/tonnison</v>
      </c>
      <c r="I9383" s="2" t="s">
        <v>15</v>
      </c>
      <c r="J9383" s="2" t="s">
        <v>102</v>
      </c>
      <c r="K9383" s="2" t="s">
        <v>14095</v>
      </c>
    </row>
    <row r="9384" ht="15.75" customHeight="1">
      <c r="A9384" s="2">
        <v>208509.0</v>
      </c>
      <c r="B9384" s="2" t="s">
        <v>2805</v>
      </c>
      <c r="C9384" s="2" t="s">
        <v>1004</v>
      </c>
      <c r="D9384" s="2" t="s">
        <v>1674</v>
      </c>
      <c r="E9384" s="2" t="s">
        <v>1155</v>
      </c>
      <c r="F9384" s="2">
        <v>2.0</v>
      </c>
      <c r="G9384" s="2">
        <v>151.0</v>
      </c>
      <c r="H9384" s="3" t="str">
        <f>HYPERLINK("http://www.linkedin.com/in/claydscott","http://www.linkedin.com/in/claydscott")</f>
        <v>http://www.linkedin.com/in/claydscott</v>
      </c>
      <c r="I9384" s="2" t="s">
        <v>15</v>
      </c>
      <c r="J9384" s="2" t="s">
        <v>102</v>
      </c>
      <c r="K9384" s="2" t="s">
        <v>14088</v>
      </c>
    </row>
    <row r="9385" ht="15.75" customHeight="1">
      <c r="A9385" s="2">
        <v>208533.0</v>
      </c>
      <c r="B9385" s="2" t="s">
        <v>2215</v>
      </c>
      <c r="C9385" s="2" t="s">
        <v>5523</v>
      </c>
      <c r="D9385" s="2" t="s">
        <v>410</v>
      </c>
      <c r="E9385" s="2" t="s">
        <v>1862</v>
      </c>
      <c r="F9385" s="2">
        <v>7.0</v>
      </c>
      <c r="G9385" s="2">
        <v>500.0</v>
      </c>
      <c r="H9385" s="3" t="str">
        <f>HYPERLINK("http://www.linkedin.com/pub/donna-drake/4/6A2/395","http://www.linkedin.com/pub/donna-drake/4/6A2/395")</f>
        <v>http://www.linkedin.com/pub/donna-drake/4/6A2/395</v>
      </c>
      <c r="I9385" s="2" t="s">
        <v>15</v>
      </c>
      <c r="J9385" s="2" t="s">
        <v>102</v>
      </c>
      <c r="K9385" s="2" t="s">
        <v>14197</v>
      </c>
    </row>
    <row r="9386" ht="15.75" customHeight="1">
      <c r="A9386" s="2">
        <v>208578.0</v>
      </c>
      <c r="B9386" s="2" t="s">
        <v>16737</v>
      </c>
      <c r="C9386" s="2" t="s">
        <v>1986</v>
      </c>
      <c r="D9386" s="2" t="s">
        <v>16738</v>
      </c>
      <c r="E9386" s="2" t="s">
        <v>16739</v>
      </c>
      <c r="F9386" s="2">
        <v>19.0</v>
      </c>
      <c r="G9386" s="2">
        <v>500.0</v>
      </c>
      <c r="H9386" s="3" t="str">
        <f>HYPERLINK("http://www.linkedin.com/in/robertdparker","http://www.linkedin.com/in/robertdparker")</f>
        <v>http://www.linkedin.com/in/robertdparker</v>
      </c>
      <c r="I9386" s="2" t="s">
        <v>279</v>
      </c>
      <c r="J9386" s="2" t="s">
        <v>16740</v>
      </c>
      <c r="K9386" s="2" t="s">
        <v>14074</v>
      </c>
    </row>
    <row r="9387" ht="15.75" customHeight="1">
      <c r="A9387" s="2">
        <v>208608.0</v>
      </c>
      <c r="B9387" s="2" t="s">
        <v>16741</v>
      </c>
      <c r="C9387" s="2" t="s">
        <v>16742</v>
      </c>
      <c r="D9387" s="2" t="s">
        <v>13</v>
      </c>
      <c r="E9387" s="2" t="s">
        <v>16743</v>
      </c>
      <c r="F9387" s="2">
        <v>1.0</v>
      </c>
      <c r="G9387" s="2">
        <v>500.0</v>
      </c>
      <c r="H9387" s="3" t="str">
        <f>HYPERLINK("http://www.linkedin.com/in/vinmccaffrey","http://www.linkedin.com/in/vinmccaffrey")</f>
        <v>http://www.linkedin.com/in/vinmccaffrey</v>
      </c>
      <c r="I9387" s="2" t="s">
        <v>15</v>
      </c>
      <c r="J9387" s="2" t="s">
        <v>102</v>
      </c>
      <c r="K9387" s="2" t="s">
        <v>14121</v>
      </c>
    </row>
    <row r="9388" ht="15.75" customHeight="1">
      <c r="A9388" s="2">
        <v>208625.0</v>
      </c>
      <c r="B9388" s="2" t="s">
        <v>1023</v>
      </c>
      <c r="C9388" s="2" t="s">
        <v>4554</v>
      </c>
      <c r="D9388" s="2" t="s">
        <v>16744</v>
      </c>
      <c r="E9388" s="2" t="s">
        <v>136</v>
      </c>
      <c r="F9388" s="2">
        <v>6.0</v>
      </c>
      <c r="G9388" s="2">
        <v>500.0</v>
      </c>
      <c r="H9388" s="3" t="str">
        <f>HYPERLINK("http://www.linkedin.com/in/cameronfranks","http://www.linkedin.com/in/cameronfranks")</f>
        <v>http://www.linkedin.com/in/cameronfranks</v>
      </c>
      <c r="I9388" s="2" t="s">
        <v>15</v>
      </c>
      <c r="J9388" s="2" t="s">
        <v>102</v>
      </c>
      <c r="K9388" s="2" t="s">
        <v>14142</v>
      </c>
    </row>
    <row r="9389" ht="15.75" customHeight="1">
      <c r="A9389" s="2">
        <v>208800.0</v>
      </c>
      <c r="B9389" s="2" t="s">
        <v>1232</v>
      </c>
      <c r="C9389" s="2" t="s">
        <v>16745</v>
      </c>
      <c r="D9389" s="2"/>
      <c r="E9389" s="2" t="s">
        <v>914</v>
      </c>
      <c r="F9389" s="2">
        <v>10.0</v>
      </c>
      <c r="G9389" s="2">
        <v>500.0</v>
      </c>
      <c r="H9389" s="3" t="str">
        <f>HYPERLINK("http://www.linkedin.com/in/rogerfrey","http://www.linkedin.com/in/rogerfrey")</f>
        <v>http://www.linkedin.com/in/rogerfrey</v>
      </c>
      <c r="I9389" s="2" t="s">
        <v>48</v>
      </c>
      <c r="J9389" s="2" t="s">
        <v>102</v>
      </c>
      <c r="K9389" s="2" t="s">
        <v>14117</v>
      </c>
    </row>
    <row r="9390" ht="15.75" customHeight="1">
      <c r="A9390" s="2">
        <v>208911.0</v>
      </c>
      <c r="B9390" s="2" t="s">
        <v>287</v>
      </c>
      <c r="C9390" s="2" t="s">
        <v>16746</v>
      </c>
      <c r="D9390" s="2" t="s">
        <v>114</v>
      </c>
      <c r="E9390" s="2" t="s">
        <v>301</v>
      </c>
      <c r="F9390" s="2">
        <v>2.0</v>
      </c>
      <c r="G9390" s="2">
        <v>54.0</v>
      </c>
      <c r="H9390" s="3" t="str">
        <f>HYPERLINK("http://www.linkedin.com/pub/paul-asobayire/1/4A9/9BA","http://www.linkedin.com/pub/paul-asobayire/1/4A9/9BA")</f>
        <v>http://www.linkedin.com/pub/paul-asobayire/1/4A9/9BA</v>
      </c>
      <c r="I9390" s="2" t="s">
        <v>69</v>
      </c>
      <c r="J9390" s="2" t="s">
        <v>102</v>
      </c>
      <c r="K9390" s="2" t="s">
        <v>14080</v>
      </c>
    </row>
    <row r="9391" ht="15.75" customHeight="1">
      <c r="A9391" s="2">
        <v>208966.0</v>
      </c>
      <c r="B9391" s="2" t="s">
        <v>11422</v>
      </c>
      <c r="C9391" s="2" t="s">
        <v>16747</v>
      </c>
      <c r="D9391" s="2" t="s">
        <v>13</v>
      </c>
      <c r="E9391" s="2" t="s">
        <v>3148</v>
      </c>
      <c r="F9391" s="2">
        <v>0.0</v>
      </c>
      <c r="G9391" s="2">
        <v>183.0</v>
      </c>
      <c r="H9391" s="3" t="str">
        <f>HYPERLINK("http://www.linkedin.com/pub/wiley-farler/4/A55/8B6","http://www.linkedin.com/pub/wiley-farler/4/A55/8B6")</f>
        <v>http://www.linkedin.com/pub/wiley-farler/4/A55/8B6</v>
      </c>
      <c r="I9391" s="2" t="s">
        <v>248</v>
      </c>
      <c r="J9391" s="2" t="s">
        <v>102</v>
      </c>
      <c r="K9391" s="2" t="s">
        <v>14197</v>
      </c>
    </row>
    <row r="9392" ht="15.75" customHeight="1">
      <c r="A9392" s="2">
        <v>208969.0</v>
      </c>
      <c r="B9392" s="2" t="s">
        <v>16748</v>
      </c>
      <c r="C9392" s="2" t="s">
        <v>16749</v>
      </c>
      <c r="D9392" s="2" t="s">
        <v>47</v>
      </c>
      <c r="E9392" s="2" t="s">
        <v>16750</v>
      </c>
      <c r="F9392" s="2">
        <v>1.0</v>
      </c>
      <c r="G9392" s="2">
        <v>500.0</v>
      </c>
      <c r="H9392" s="3" t="str">
        <f>HYPERLINK("http://bg.linkedin.com/in/vassillefterov","http://bg.linkedin.com/in/vassillefterov")</f>
        <v>http://bg.linkedin.com/in/vassillefterov</v>
      </c>
      <c r="I9392" s="2" t="s">
        <v>195</v>
      </c>
      <c r="J9392" s="2" t="s">
        <v>102</v>
      </c>
      <c r="K9392" s="2" t="s">
        <v>14115</v>
      </c>
    </row>
    <row r="9393" ht="15.75" customHeight="1">
      <c r="A9393" s="2">
        <v>209132.0</v>
      </c>
      <c r="B9393" s="2" t="s">
        <v>460</v>
      </c>
      <c r="C9393" s="2" t="s">
        <v>16751</v>
      </c>
      <c r="D9393" s="2" t="s">
        <v>3298</v>
      </c>
      <c r="E9393" s="2" t="s">
        <v>16752</v>
      </c>
      <c r="F9393" s="2">
        <v>7.0</v>
      </c>
      <c r="G9393" s="2">
        <v>500.0</v>
      </c>
      <c r="H9393" s="3" t="str">
        <f>HYPERLINK("http://www.linkedin.com/in/johnaceti","http://www.linkedin.com/in/johnaceti")</f>
        <v>http://www.linkedin.com/in/johnaceti</v>
      </c>
      <c r="I9393" s="2" t="s">
        <v>57</v>
      </c>
      <c r="J9393" s="2" t="s">
        <v>102</v>
      </c>
      <c r="K9393" s="2" t="s">
        <v>14055</v>
      </c>
    </row>
    <row r="9394" ht="15.75" customHeight="1">
      <c r="A9394" s="2">
        <v>209144.0</v>
      </c>
      <c r="B9394" s="2" t="s">
        <v>14467</v>
      </c>
      <c r="C9394" s="2" t="s">
        <v>16753</v>
      </c>
      <c r="D9394" s="2" t="s">
        <v>536</v>
      </c>
      <c r="E9394" s="2" t="s">
        <v>301</v>
      </c>
      <c r="F9394" s="2">
        <v>1.0</v>
      </c>
      <c r="G9394" s="2">
        <v>500.0</v>
      </c>
      <c r="H9394" s="3" t="str">
        <f>HYPERLINK("http://www.linkedin.com/in/arisonesh","http://www.linkedin.com/in/arisonesh")</f>
        <v>http://www.linkedin.com/in/arisonesh</v>
      </c>
      <c r="I9394" s="2" t="s">
        <v>48</v>
      </c>
      <c r="J9394" s="2" t="s">
        <v>102</v>
      </c>
      <c r="K9394" s="2" t="s">
        <v>14080</v>
      </c>
    </row>
    <row r="9395" ht="15.75" customHeight="1">
      <c r="A9395" s="2">
        <v>209184.0</v>
      </c>
      <c r="B9395" s="2" t="s">
        <v>341</v>
      </c>
      <c r="C9395" s="2" t="s">
        <v>1326</v>
      </c>
      <c r="D9395" s="2" t="s">
        <v>16754</v>
      </c>
      <c r="E9395" s="2" t="s">
        <v>1407</v>
      </c>
      <c r="F9395" s="2">
        <v>4.0</v>
      </c>
      <c r="G9395" s="2">
        <v>409.0</v>
      </c>
      <c r="H9395" s="3" t="str">
        <f>HYPERLINK("http://www.linkedin.com/pub/kevin-o-connor/5/371/100","http://www.linkedin.com/pub/kevin-o-connor/5/371/100")</f>
        <v>http://www.linkedin.com/pub/kevin-o-connor/5/371/100</v>
      </c>
      <c r="I9395" s="2" t="s">
        <v>105</v>
      </c>
      <c r="J9395" s="2" t="s">
        <v>102</v>
      </c>
      <c r="K9395" s="2" t="s">
        <v>14071</v>
      </c>
    </row>
    <row r="9396" ht="15.75" customHeight="1">
      <c r="A9396" s="2">
        <v>209220.0</v>
      </c>
      <c r="B9396" s="2" t="s">
        <v>2877</v>
      </c>
      <c r="C9396" s="2" t="s">
        <v>16755</v>
      </c>
      <c r="D9396" s="2" t="s">
        <v>16756</v>
      </c>
      <c r="E9396" s="2" t="s">
        <v>804</v>
      </c>
      <c r="F9396" s="2">
        <v>3.0</v>
      </c>
      <c r="G9396" s="2">
        <v>500.0</v>
      </c>
      <c r="H9396" s="3" t="str">
        <f>HYPERLINK("http://www.linkedin.com/pub/chuck-lightening/5/174/734","http://www.linkedin.com/pub/chuck-lightening/5/174/734")</f>
        <v>http://www.linkedin.com/pub/chuck-lightening/5/174/734</v>
      </c>
      <c r="I9396" s="2" t="s">
        <v>248</v>
      </c>
      <c r="J9396" s="2" t="s">
        <v>102</v>
      </c>
      <c r="K9396" s="2" t="s">
        <v>14115</v>
      </c>
    </row>
    <row r="9397" ht="15.75" customHeight="1">
      <c r="A9397" s="2">
        <v>209273.0</v>
      </c>
      <c r="B9397" s="2" t="s">
        <v>9131</v>
      </c>
      <c r="C9397" s="2" t="s">
        <v>11857</v>
      </c>
      <c r="D9397" s="2" t="s">
        <v>16757</v>
      </c>
      <c r="E9397" s="2" t="s">
        <v>971</v>
      </c>
      <c r="F9397" s="2">
        <v>2.0</v>
      </c>
      <c r="G9397" s="2">
        <v>196.0</v>
      </c>
      <c r="H9397" s="3" t="str">
        <f>HYPERLINK("http://www.linkedin.com/pub/fritz-guthrie/5/404/235","http://www.linkedin.com/pub/fritz-guthrie/5/404/235")</f>
        <v>http://www.linkedin.com/pub/fritz-guthrie/5/404/235</v>
      </c>
      <c r="I9397" s="2" t="s">
        <v>172</v>
      </c>
      <c r="J9397" s="2" t="s">
        <v>102</v>
      </c>
      <c r="K9397" s="2" t="s">
        <v>14055</v>
      </c>
    </row>
    <row r="9398" ht="15.75" customHeight="1">
      <c r="A9398" s="2">
        <v>209310.0</v>
      </c>
      <c r="B9398" s="2" t="s">
        <v>511</v>
      </c>
      <c r="C9398" s="2" t="s">
        <v>797</v>
      </c>
      <c r="D9398" s="2" t="s">
        <v>309</v>
      </c>
      <c r="E9398" s="2" t="s">
        <v>101</v>
      </c>
      <c r="F9398" s="2">
        <v>4.0</v>
      </c>
      <c r="G9398" s="2">
        <v>315.0</v>
      </c>
      <c r="H9398" s="3" t="str">
        <f>HYPERLINK("http://www.linkedin.com/in/miketaylorinnovativee","http://www.linkedin.com/in/miketaylorinnovativee")</f>
        <v>http://www.linkedin.com/in/miketaylorinnovativee</v>
      </c>
      <c r="I9398" s="2" t="s">
        <v>15</v>
      </c>
      <c r="J9398" s="2" t="s">
        <v>102</v>
      </c>
      <c r="K9398" s="2" t="s">
        <v>14073</v>
      </c>
    </row>
    <row r="9399" ht="15.75" customHeight="1">
      <c r="A9399" s="2">
        <v>209348.0</v>
      </c>
      <c r="B9399" s="2" t="s">
        <v>8993</v>
      </c>
      <c r="C9399" s="2" t="s">
        <v>16758</v>
      </c>
      <c r="D9399" s="2" t="s">
        <v>536</v>
      </c>
      <c r="E9399" s="2" t="s">
        <v>16759</v>
      </c>
      <c r="F9399" s="2">
        <v>15.0</v>
      </c>
      <c r="G9399" s="2">
        <v>500.0</v>
      </c>
      <c r="H9399" s="3" t="str">
        <f>HYPERLINK("http://www.linkedin.com/in/tamararpearlman","http://www.linkedin.com/in/tamararpearlman")</f>
        <v>http://www.linkedin.com/in/tamararpearlman</v>
      </c>
      <c r="I9399" s="2" t="s">
        <v>248</v>
      </c>
      <c r="J9399" s="2" t="s">
        <v>102</v>
      </c>
      <c r="K9399" s="2" t="s">
        <v>14105</v>
      </c>
    </row>
    <row r="9400" ht="15.75" customHeight="1">
      <c r="A9400" s="2">
        <v>209430.0</v>
      </c>
      <c r="B9400" s="2" t="s">
        <v>16107</v>
      </c>
      <c r="C9400" s="2" t="s">
        <v>16760</v>
      </c>
      <c r="D9400" s="2" t="s">
        <v>47</v>
      </c>
      <c r="E9400" s="2" t="s">
        <v>235</v>
      </c>
      <c r="F9400" s="2">
        <v>0.0</v>
      </c>
      <c r="G9400" s="2">
        <v>500.0</v>
      </c>
      <c r="H9400" s="3" t="str">
        <f>HYPERLINK("http://www.linkedin.com/pub/guy-pfeffermann/4/5B0/B26","http://www.linkedin.com/pub/guy-pfeffermann/4/5B0/B26")</f>
        <v>http://www.linkedin.com/pub/guy-pfeffermann/4/5B0/B26</v>
      </c>
      <c r="I9400" s="2" t="s">
        <v>2725</v>
      </c>
      <c r="J9400" s="2" t="s">
        <v>102</v>
      </c>
      <c r="K9400" s="2" t="s">
        <v>14055</v>
      </c>
    </row>
    <row r="9401" ht="15.75" customHeight="1">
      <c r="A9401" s="2">
        <v>209494.0</v>
      </c>
      <c r="B9401" s="2" t="s">
        <v>4560</v>
      </c>
      <c r="C9401" s="2" t="s">
        <v>1144</v>
      </c>
      <c r="D9401" s="2" t="s">
        <v>47</v>
      </c>
      <c r="E9401" s="2" t="s">
        <v>136</v>
      </c>
      <c r="F9401" s="2">
        <v>1.0</v>
      </c>
      <c r="G9401" s="2">
        <v>295.0</v>
      </c>
      <c r="H9401" s="3" t="str">
        <f>HYPERLINK("http://www.linkedin.com/in/ronaldallen","http://www.linkedin.com/in/ronaldallen")</f>
        <v>http://www.linkedin.com/in/ronaldallen</v>
      </c>
      <c r="I9401" s="2" t="s">
        <v>15</v>
      </c>
      <c r="J9401" s="2" t="s">
        <v>102</v>
      </c>
      <c r="K9401" s="2" t="s">
        <v>14080</v>
      </c>
    </row>
    <row r="9402" ht="15.75" customHeight="1">
      <c r="A9402" s="2">
        <v>209532.0</v>
      </c>
      <c r="B9402" s="2" t="s">
        <v>965</v>
      </c>
      <c r="C9402" s="2" t="s">
        <v>1325</v>
      </c>
      <c r="D9402" s="2" t="s">
        <v>16761</v>
      </c>
      <c r="E9402" s="2" t="s">
        <v>214</v>
      </c>
      <c r="F9402" s="2" t="s">
        <v>13</v>
      </c>
      <c r="G9402" s="2">
        <v>500.0</v>
      </c>
      <c r="H9402" s="3" t="str">
        <f>HYPERLINK("http://www.linkedin.com/pub/jordan-miller/5/742/30A","http://www.linkedin.com/pub/jordan-miller/5/742/30A")</f>
        <v>http://www.linkedin.com/pub/jordan-miller/5/742/30A</v>
      </c>
      <c r="I9402" s="2" t="s">
        <v>279</v>
      </c>
      <c r="J9402" s="2" t="s">
        <v>102</v>
      </c>
      <c r="K9402" s="2" t="s">
        <v>14055</v>
      </c>
    </row>
    <row r="9403" ht="15.75" customHeight="1">
      <c r="A9403" s="2">
        <v>209609.0</v>
      </c>
      <c r="B9403" s="2" t="s">
        <v>1096</v>
      </c>
      <c r="C9403" s="2" t="s">
        <v>16762</v>
      </c>
      <c r="D9403" s="2" t="s">
        <v>943</v>
      </c>
      <c r="E9403" s="2" t="s">
        <v>122</v>
      </c>
      <c r="F9403" s="2">
        <v>0.0</v>
      </c>
      <c r="G9403" s="2">
        <v>355.0</v>
      </c>
      <c r="H9403" s="3" t="str">
        <f>HYPERLINK("http://uk.linkedin.com/pub/tony-pepper/0/298/23","http://uk.linkedin.com/pub/tony-pepper/0/298/23")</f>
        <v>http://uk.linkedin.com/pub/tony-pepper/0/298/23</v>
      </c>
      <c r="I9403" s="2" t="s">
        <v>48</v>
      </c>
      <c r="J9403" s="2" t="s">
        <v>53</v>
      </c>
      <c r="K9403" s="2" t="s">
        <v>14204</v>
      </c>
    </row>
    <row r="9404" ht="15.75" customHeight="1">
      <c r="A9404" s="2">
        <v>209613.0</v>
      </c>
      <c r="B9404" s="2" t="s">
        <v>133</v>
      </c>
      <c r="C9404" s="2" t="s">
        <v>16481</v>
      </c>
      <c r="D9404" s="2" t="s">
        <v>16763</v>
      </c>
      <c r="E9404" s="2" t="s">
        <v>989</v>
      </c>
      <c r="F9404" s="2">
        <v>2.0</v>
      </c>
      <c r="G9404" s="2">
        <v>500.0</v>
      </c>
      <c r="H9404" s="3" t="str">
        <f>HYPERLINK("http://www.linkedin.com/pub/michael-brady/5/871/112","http://www.linkedin.com/pub/michael-brady/5/871/112")</f>
        <v>http://www.linkedin.com/pub/michael-brady/5/871/112</v>
      </c>
      <c r="I9404" s="2" t="s">
        <v>15</v>
      </c>
      <c r="J9404" s="2" t="s">
        <v>102</v>
      </c>
      <c r="K9404" s="2" t="s">
        <v>14197</v>
      </c>
    </row>
    <row r="9405" ht="15.75" customHeight="1">
      <c r="A9405" s="2">
        <v>209718.0</v>
      </c>
      <c r="B9405" s="2" t="s">
        <v>940</v>
      </c>
      <c r="C9405" s="2" t="s">
        <v>246</v>
      </c>
      <c r="D9405" s="2" t="s">
        <v>16764</v>
      </c>
      <c r="E9405" s="2" t="s">
        <v>4275</v>
      </c>
      <c r="F9405" s="2">
        <v>7.0</v>
      </c>
      <c r="G9405" s="2">
        <v>500.0</v>
      </c>
      <c r="H9405" s="3" t="str">
        <f>HYPERLINK("http://www.linkedin.com/pub/bob-cooke/5/9A2/8B1","http://www.linkedin.com/pub/bob-cooke/5/9A2/8B1")</f>
        <v>http://www.linkedin.com/pub/bob-cooke/5/9A2/8B1</v>
      </c>
      <c r="I9405" s="2" t="s">
        <v>15</v>
      </c>
      <c r="J9405" s="2" t="s">
        <v>102</v>
      </c>
      <c r="K9405" s="2" t="s">
        <v>14088</v>
      </c>
    </row>
    <row r="9406" ht="15.75" customHeight="1">
      <c r="A9406" s="2">
        <v>209799.0</v>
      </c>
      <c r="B9406" s="2" t="s">
        <v>16765</v>
      </c>
      <c r="C9406" s="2" t="s">
        <v>16766</v>
      </c>
      <c r="D9406" s="2" t="s">
        <v>16767</v>
      </c>
      <c r="E9406" s="2" t="s">
        <v>8142</v>
      </c>
      <c r="F9406" s="2">
        <v>17.0</v>
      </c>
      <c r="G9406" s="2">
        <v>500.0</v>
      </c>
      <c r="H9406" s="3" t="str">
        <f>HYPERLINK("http://ca.linkedin.com/in/grantjurgeneit","http://ca.linkedin.com/in/grantjurgeneit")</f>
        <v>http://ca.linkedin.com/in/grantjurgeneit</v>
      </c>
      <c r="I9406" s="2" t="s">
        <v>15</v>
      </c>
      <c r="J9406" s="2" t="s">
        <v>44</v>
      </c>
      <c r="K9406" s="2" t="s">
        <v>14142</v>
      </c>
    </row>
    <row r="9407" ht="15.75" customHeight="1">
      <c r="A9407" s="2">
        <v>209852.0</v>
      </c>
      <c r="B9407" s="2" t="s">
        <v>16768</v>
      </c>
      <c r="C9407" s="2" t="s">
        <v>16769</v>
      </c>
      <c r="D9407" s="2" t="s">
        <v>16770</v>
      </c>
      <c r="E9407" s="2" t="s">
        <v>2463</v>
      </c>
      <c r="F9407" s="2">
        <v>46.0</v>
      </c>
      <c r="G9407" s="2">
        <v>500.0</v>
      </c>
      <c r="H9407" s="3" t="str">
        <f>HYPERLINK("http://www.linkedin.com/in/tbhcreative","http://www.linkedin.com/in/tbhcreative")</f>
        <v>http://www.linkedin.com/in/tbhcreative</v>
      </c>
      <c r="I9407" s="2" t="s">
        <v>69</v>
      </c>
      <c r="J9407" s="2" t="s">
        <v>102</v>
      </c>
      <c r="K9407" s="2" t="s">
        <v>14197</v>
      </c>
    </row>
    <row r="9408" ht="15.75" customHeight="1">
      <c r="A9408" s="2">
        <v>210050.0</v>
      </c>
      <c r="B9408" s="2" t="s">
        <v>460</v>
      </c>
      <c r="C9408" s="2" t="s">
        <v>16771</v>
      </c>
      <c r="D9408" s="2" t="s">
        <v>114</v>
      </c>
      <c r="E9408" s="2" t="s">
        <v>16772</v>
      </c>
      <c r="F9408" s="2">
        <v>3.0</v>
      </c>
      <c r="G9408" s="2">
        <v>235.0</v>
      </c>
      <c r="H9408" s="3" t="str">
        <f>HYPERLINK("http://www.linkedin.com/in/johnbuckeridge","http://www.linkedin.com/in/johnbuckeridge")</f>
        <v>http://www.linkedin.com/in/johnbuckeridge</v>
      </c>
      <c r="I9408" s="2" t="s">
        <v>57</v>
      </c>
      <c r="J9408" s="2" t="s">
        <v>102</v>
      </c>
      <c r="K9408" s="2" t="s">
        <v>14055</v>
      </c>
    </row>
    <row r="9409" ht="15.75" customHeight="1">
      <c r="A9409" s="2">
        <v>210137.0</v>
      </c>
      <c r="B9409" s="2" t="s">
        <v>3227</v>
      </c>
      <c r="C9409" s="2" t="s">
        <v>2740</v>
      </c>
      <c r="D9409" s="2" t="s">
        <v>955</v>
      </c>
      <c r="E9409" s="2" t="s">
        <v>989</v>
      </c>
      <c r="F9409" s="2">
        <v>0.0</v>
      </c>
      <c r="G9409" s="2">
        <v>500.0</v>
      </c>
      <c r="H9409" s="3" t="str">
        <f>HYPERLINK("http://www.linkedin.com/in/jchadstewart","http://www.linkedin.com/in/jchadstewart")</f>
        <v>http://www.linkedin.com/in/jchadstewart</v>
      </c>
      <c r="I9409" s="2" t="s">
        <v>15</v>
      </c>
      <c r="J9409" s="2" t="s">
        <v>102</v>
      </c>
      <c r="K9409" s="2" t="s">
        <v>14092</v>
      </c>
    </row>
    <row r="9410" ht="15.75" customHeight="1">
      <c r="A9410" s="2">
        <v>210140.0</v>
      </c>
      <c r="B9410" s="2" t="s">
        <v>2734</v>
      </c>
      <c r="C9410" s="2" t="s">
        <v>292</v>
      </c>
      <c r="D9410" s="2" t="s">
        <v>7962</v>
      </c>
      <c r="E9410" s="2" t="s">
        <v>2058</v>
      </c>
      <c r="F9410" s="2" t="s">
        <v>13</v>
      </c>
      <c r="G9410" s="2">
        <v>152.0</v>
      </c>
      <c r="H9410" s="3" t="str">
        <f>HYPERLINK("http://www.linkedin.com/pub/patti-smith/5/942/8B2","http://www.linkedin.com/pub/patti-smith/5/942/8B2")</f>
        <v>http://www.linkedin.com/pub/patti-smith/5/942/8B2</v>
      </c>
      <c r="I9410" s="2" t="s">
        <v>105</v>
      </c>
      <c r="J9410" s="2" t="s">
        <v>102</v>
      </c>
      <c r="K9410" s="2" t="s">
        <v>14092</v>
      </c>
    </row>
    <row r="9411" ht="15.75" customHeight="1">
      <c r="A9411" s="2">
        <v>210145.0</v>
      </c>
      <c r="B9411" s="2" t="s">
        <v>16773</v>
      </c>
      <c r="C9411" s="2" t="s">
        <v>287</v>
      </c>
      <c r="D9411" s="2" t="s">
        <v>108</v>
      </c>
      <c r="E9411" s="2" t="s">
        <v>14739</v>
      </c>
      <c r="F9411" s="2">
        <v>17.0</v>
      </c>
      <c r="G9411" s="2">
        <v>500.0</v>
      </c>
      <c r="H9411" s="3" t="str">
        <f>HYPERLINK("http://www.linkedin.com/in/brookepaul","http://www.linkedin.com/in/brookepaul")</f>
        <v>http://www.linkedin.com/in/brookepaul</v>
      </c>
      <c r="I9411" s="2" t="s">
        <v>69</v>
      </c>
      <c r="J9411" s="2" t="s">
        <v>102</v>
      </c>
      <c r="K9411" s="2" t="s">
        <v>14073</v>
      </c>
    </row>
    <row r="9412" ht="15.75" customHeight="1">
      <c r="A9412" s="2">
        <v>210175.0</v>
      </c>
      <c r="B9412" s="2" t="s">
        <v>1821</v>
      </c>
      <c r="C9412" s="2" t="s">
        <v>8607</v>
      </c>
      <c r="D9412" s="2" t="s">
        <v>16774</v>
      </c>
      <c r="E9412" s="2" t="s">
        <v>628</v>
      </c>
      <c r="F9412" s="2">
        <v>11.0</v>
      </c>
      <c r="G9412" s="2">
        <v>500.0</v>
      </c>
      <c r="H9412" s="3" t="str">
        <f>HYPERLINK("http://www.linkedin.com/in/kdale","http://www.linkedin.com/in/kdale")</f>
        <v>http://www.linkedin.com/in/kdale</v>
      </c>
      <c r="I9412" s="2" t="s">
        <v>69</v>
      </c>
      <c r="J9412" s="2" t="s">
        <v>102</v>
      </c>
      <c r="K9412" s="2" t="s">
        <v>14078</v>
      </c>
    </row>
    <row r="9413" ht="15.75" customHeight="1">
      <c r="A9413" s="2">
        <v>210265.0</v>
      </c>
      <c r="B9413" s="2" t="s">
        <v>133</v>
      </c>
      <c r="C9413" s="2" t="s">
        <v>16775</v>
      </c>
      <c r="D9413" s="2" t="s">
        <v>4705</v>
      </c>
      <c r="E9413" s="2" t="s">
        <v>407</v>
      </c>
      <c r="F9413" s="2">
        <v>3.0</v>
      </c>
      <c r="G9413" s="2">
        <v>443.0</v>
      </c>
      <c r="H9413" s="3" t="str">
        <f>HYPERLINK("http://www.linkedin.com/in/michaelgregson","http://www.linkedin.com/in/michaelgregson")</f>
        <v>http://www.linkedin.com/in/michaelgregson</v>
      </c>
      <c r="I9413" s="2" t="s">
        <v>714</v>
      </c>
      <c r="J9413" s="2" t="s">
        <v>102</v>
      </c>
      <c r="K9413" s="2" t="s">
        <v>14074</v>
      </c>
    </row>
    <row r="9414" ht="15.75" customHeight="1">
      <c r="A9414" s="2">
        <v>210267.0</v>
      </c>
      <c r="B9414" s="2" t="s">
        <v>1458</v>
      </c>
      <c r="C9414" s="2" t="s">
        <v>16776</v>
      </c>
      <c r="D9414" s="2" t="s">
        <v>4048</v>
      </c>
      <c r="E9414" s="2" t="s">
        <v>1234</v>
      </c>
      <c r="F9414" s="2">
        <v>3.0</v>
      </c>
      <c r="G9414" s="2">
        <v>263.0</v>
      </c>
      <c r="H9414" s="3" t="str">
        <f>HYPERLINK("http://www.linkedin.com/in/toddwmeyers","http://www.linkedin.com/in/toddwmeyers")</f>
        <v>http://www.linkedin.com/in/toddwmeyers</v>
      </c>
      <c r="I9414" s="2" t="s">
        <v>15</v>
      </c>
      <c r="J9414" s="2" t="s">
        <v>102</v>
      </c>
      <c r="K9414" s="2" t="s">
        <v>14080</v>
      </c>
    </row>
    <row r="9415" ht="15.75" customHeight="1">
      <c r="A9415" s="2">
        <v>210271.0</v>
      </c>
      <c r="B9415" s="2" t="s">
        <v>460</v>
      </c>
      <c r="C9415" s="2" t="s">
        <v>16777</v>
      </c>
      <c r="D9415" s="2" t="s">
        <v>3118</v>
      </c>
      <c r="E9415" s="2" t="s">
        <v>16778</v>
      </c>
      <c r="F9415" s="2">
        <v>7.0</v>
      </c>
      <c r="G9415" s="2">
        <v>500.0</v>
      </c>
      <c r="H9415" s="3" t="str">
        <f>HYPERLINK("http://www.linkedin.com/pub/john-giessuebel/A/488/94B","http://www.linkedin.com/pub/john-giessuebel/A/488/94B")</f>
        <v>http://www.linkedin.com/pub/john-giessuebel/A/488/94B</v>
      </c>
      <c r="I9415" s="2" t="s">
        <v>2936</v>
      </c>
      <c r="J9415" s="2" t="s">
        <v>102</v>
      </c>
      <c r="K9415" s="2" t="s">
        <v>14092</v>
      </c>
    </row>
    <row r="9416" ht="15.75" customHeight="1">
      <c r="A9416" s="2">
        <v>210526.0</v>
      </c>
      <c r="B9416" s="2" t="s">
        <v>1812</v>
      </c>
      <c r="C9416" s="2" t="s">
        <v>4729</v>
      </c>
      <c r="D9416" s="2" t="s">
        <v>13</v>
      </c>
      <c r="E9416" s="2" t="s">
        <v>992</v>
      </c>
      <c r="F9416" s="2">
        <v>0.0</v>
      </c>
      <c r="G9416" s="2">
        <v>500.0</v>
      </c>
      <c r="H9416" s="3" t="str">
        <f>HYPERLINK("http://www.linkedin.com/in/nicperez","http://www.linkedin.com/in/nicperez")</f>
        <v>http://www.linkedin.com/in/nicperez</v>
      </c>
      <c r="I9416" s="2" t="s">
        <v>69</v>
      </c>
      <c r="J9416" s="2" t="s">
        <v>102</v>
      </c>
      <c r="K9416" s="2" t="s">
        <v>14204</v>
      </c>
    </row>
    <row r="9417" ht="15.75" customHeight="1">
      <c r="A9417" s="2">
        <v>210538.0</v>
      </c>
      <c r="B9417" s="2" t="s">
        <v>16779</v>
      </c>
      <c r="C9417" s="2" t="s">
        <v>3224</v>
      </c>
      <c r="D9417" s="2" t="s">
        <v>114</v>
      </c>
      <c r="E9417" s="2" t="s">
        <v>12318</v>
      </c>
      <c r="F9417" s="2">
        <v>4.0</v>
      </c>
      <c r="G9417" s="2">
        <v>500.0</v>
      </c>
      <c r="H9417" s="3" t="str">
        <f>HYPERLINK("http://www.linkedin.com/in/davyn","http://www.linkedin.com/in/davyn")</f>
        <v>http://www.linkedin.com/in/davyn</v>
      </c>
      <c r="I9417" s="2" t="s">
        <v>865</v>
      </c>
      <c r="J9417" s="2" t="s">
        <v>102</v>
      </c>
      <c r="K9417" s="2" t="s">
        <v>14055</v>
      </c>
    </row>
    <row r="9418" ht="15.75" customHeight="1">
      <c r="A9418" s="2">
        <v>210613.0</v>
      </c>
      <c r="B9418" s="2" t="s">
        <v>295</v>
      </c>
      <c r="C9418" s="2" t="s">
        <v>1218</v>
      </c>
      <c r="D9418" s="2" t="s">
        <v>81</v>
      </c>
      <c r="E9418" s="2" t="s">
        <v>914</v>
      </c>
      <c r="F9418" s="2">
        <v>10.0</v>
      </c>
      <c r="G9418" s="2">
        <v>500.0</v>
      </c>
      <c r="H9418" s="3" t="str">
        <f>HYPERLINK("http://www.linkedin.com/in/seancrawfordmurphy","http://www.linkedin.com/in/seancrawfordmurphy")</f>
        <v>http://www.linkedin.com/in/seancrawfordmurphy</v>
      </c>
      <c r="I9418" s="2" t="s">
        <v>15</v>
      </c>
      <c r="J9418" s="2" t="s">
        <v>102</v>
      </c>
      <c r="K9418" s="2" t="s">
        <v>14197</v>
      </c>
    </row>
    <row r="9419" ht="15.75" customHeight="1">
      <c r="A9419" s="2">
        <v>210616.0</v>
      </c>
      <c r="B9419" s="2" t="s">
        <v>845</v>
      </c>
      <c r="C9419" s="2" t="s">
        <v>292</v>
      </c>
      <c r="D9419" s="2" t="s">
        <v>47</v>
      </c>
      <c r="E9419" s="2" t="s">
        <v>762</v>
      </c>
      <c r="F9419" s="2">
        <v>5.0</v>
      </c>
      <c r="G9419" s="2">
        <v>500.0</v>
      </c>
      <c r="H9419" s="3" t="str">
        <f>HYPERLINK("http://www.linkedin.com/in/davidsmithaustin","http://www.linkedin.com/in/davidsmithaustin")</f>
        <v>http://www.linkedin.com/in/davidsmithaustin</v>
      </c>
      <c r="I9419" s="2" t="s">
        <v>15</v>
      </c>
      <c r="J9419" s="2" t="s">
        <v>102</v>
      </c>
      <c r="K9419" s="2" t="s">
        <v>14071</v>
      </c>
    </row>
    <row r="9420" ht="15.75" customHeight="1">
      <c r="A9420" s="2">
        <v>210635.0</v>
      </c>
      <c r="B9420" s="2" t="s">
        <v>1071</v>
      </c>
      <c r="C9420" s="2" t="s">
        <v>5340</v>
      </c>
      <c r="D9420" s="2" t="s">
        <v>1297</v>
      </c>
      <c r="E9420" s="2" t="s">
        <v>989</v>
      </c>
      <c r="F9420" s="2">
        <v>3.0</v>
      </c>
      <c r="G9420" s="2">
        <v>346.0</v>
      </c>
      <c r="H9420" s="3" t="str">
        <f>HYPERLINK("http://www.linkedin.com/in/ericjdavidson","http://www.linkedin.com/in/ericjdavidson")</f>
        <v>http://www.linkedin.com/in/ericjdavidson</v>
      </c>
      <c r="I9420" s="2" t="s">
        <v>2023</v>
      </c>
      <c r="J9420" s="2" t="s">
        <v>102</v>
      </c>
      <c r="K9420" s="2" t="s">
        <v>14074</v>
      </c>
    </row>
    <row r="9421" ht="15.75" customHeight="1">
      <c r="A9421" s="2">
        <v>210815.0</v>
      </c>
      <c r="B9421" s="2" t="s">
        <v>3477</v>
      </c>
      <c r="C9421" s="2" t="s">
        <v>16780</v>
      </c>
      <c r="D9421" s="2" t="s">
        <v>13</v>
      </c>
      <c r="E9421" s="2" t="s">
        <v>728</v>
      </c>
      <c r="F9421" s="2">
        <v>0.0</v>
      </c>
      <c r="G9421" s="2">
        <v>500.0</v>
      </c>
      <c r="H9421" s="3" t="str">
        <f>HYPERLINK("https://www.linkedin.com/in/jrichau","https://www.linkedin.com/in/jrichau")</f>
        <v>https://www.linkedin.com/in/jrichau</v>
      </c>
      <c r="I9421" s="2" t="s">
        <v>48</v>
      </c>
      <c r="J9421" s="2" t="s">
        <v>102</v>
      </c>
      <c r="K9421" s="2" t="s">
        <v>14651</v>
      </c>
    </row>
    <row r="9422" ht="15.75" customHeight="1">
      <c r="A9422" s="2">
        <v>210821.0</v>
      </c>
      <c r="B9422" s="2" t="s">
        <v>178</v>
      </c>
      <c r="C9422" s="2" t="s">
        <v>4411</v>
      </c>
      <c r="D9422" s="2" t="s">
        <v>16781</v>
      </c>
      <c r="E9422" s="2" t="s">
        <v>1522</v>
      </c>
      <c r="F9422" s="2">
        <v>6.0</v>
      </c>
      <c r="G9422" s="2">
        <v>500.0</v>
      </c>
      <c r="H9422" s="3" t="str">
        <f>HYPERLINK("http://www.linkedin.com/pub/joe-fink/0/42/A5B","http://www.linkedin.com/pub/joe-fink/0/42/A5B")</f>
        <v>http://www.linkedin.com/pub/joe-fink/0/42/A5B</v>
      </c>
      <c r="I9422" s="2" t="s">
        <v>15</v>
      </c>
      <c r="J9422" s="2" t="s">
        <v>102</v>
      </c>
      <c r="K9422" s="2" t="s">
        <v>14197</v>
      </c>
    </row>
    <row r="9423" ht="15.75" customHeight="1">
      <c r="A9423" s="2">
        <v>210834.0</v>
      </c>
      <c r="B9423" s="2" t="s">
        <v>1366</v>
      </c>
      <c r="C9423" s="2" t="s">
        <v>4184</v>
      </c>
      <c r="D9423" s="2" t="s">
        <v>3100</v>
      </c>
      <c r="E9423" s="2" t="s">
        <v>301</v>
      </c>
      <c r="F9423" s="2">
        <v>31.0</v>
      </c>
      <c r="G9423" s="2">
        <v>500.0</v>
      </c>
      <c r="H9423" s="3" t="str">
        <f>HYPERLINK("http://www.linkedin.com/in/peterlutz","http://www.linkedin.com/in/peterlutz")</f>
        <v>http://www.linkedin.com/in/peterlutz</v>
      </c>
      <c r="I9423" s="2" t="s">
        <v>15</v>
      </c>
      <c r="J9423" s="2" t="s">
        <v>102</v>
      </c>
      <c r="K9423" s="2" t="s">
        <v>14080</v>
      </c>
    </row>
    <row r="9424" ht="15.75" customHeight="1">
      <c r="A9424" s="2">
        <v>210841.0</v>
      </c>
      <c r="B9424" s="2" t="s">
        <v>16782</v>
      </c>
      <c r="C9424" s="2" t="s">
        <v>16783</v>
      </c>
      <c r="D9424" s="2" t="s">
        <v>16784</v>
      </c>
      <c r="E9424" s="2" t="s">
        <v>136</v>
      </c>
      <c r="F9424" s="2" t="s">
        <v>13</v>
      </c>
      <c r="G9424" s="2">
        <v>500.0</v>
      </c>
      <c r="H9424" s="3" t="str">
        <f>HYPERLINK("http://www.linkedin.com/in/aagarwal","http://www.linkedin.com/in/aagarwal")</f>
        <v>http://www.linkedin.com/in/aagarwal</v>
      </c>
      <c r="I9424" s="2" t="s">
        <v>48</v>
      </c>
      <c r="J9424" s="2" t="s">
        <v>102</v>
      </c>
      <c r="K9424" s="2" t="s">
        <v>14142</v>
      </c>
    </row>
    <row r="9425" ht="15.75" customHeight="1">
      <c r="A9425" s="2">
        <v>210848.0</v>
      </c>
      <c r="B9425" s="2" t="s">
        <v>287</v>
      </c>
      <c r="C9425" s="2" t="s">
        <v>16785</v>
      </c>
      <c r="D9425" s="2" t="s">
        <v>47</v>
      </c>
      <c r="E9425" s="2" t="s">
        <v>762</v>
      </c>
      <c r="F9425" s="2">
        <v>3.0</v>
      </c>
      <c r="G9425" s="2">
        <v>500.0</v>
      </c>
      <c r="H9425" s="3" t="str">
        <f>HYPERLINK("http://www.linkedin.com/in/walhus","http://www.linkedin.com/in/walhus")</f>
        <v>http://www.linkedin.com/in/walhus</v>
      </c>
      <c r="I9425" s="2" t="s">
        <v>69</v>
      </c>
      <c r="J9425" s="2" t="s">
        <v>102</v>
      </c>
      <c r="K9425" s="2" t="s">
        <v>14071</v>
      </c>
    </row>
    <row r="9426" ht="15.75" customHeight="1">
      <c r="A9426" s="2">
        <v>210856.0</v>
      </c>
      <c r="B9426" s="2" t="s">
        <v>197</v>
      </c>
      <c r="C9426" s="2" t="s">
        <v>16786</v>
      </c>
      <c r="D9426" s="2" t="s">
        <v>410</v>
      </c>
      <c r="E9426" s="2" t="s">
        <v>713</v>
      </c>
      <c r="F9426" s="2">
        <v>0.0</v>
      </c>
      <c r="G9426" s="2">
        <v>500.0</v>
      </c>
      <c r="H9426" s="3" t="str">
        <f>HYPERLINK("http://www.linkedin.com/pub/hector-lopez-camacho/4/781/566","http://www.linkedin.com/pub/hector-lopez-camacho/4/781/566")</f>
        <v>http://www.linkedin.com/pub/hector-lopez-camacho/4/781/566</v>
      </c>
      <c r="I9426" s="2" t="s">
        <v>279</v>
      </c>
      <c r="J9426" s="2" t="s">
        <v>102</v>
      </c>
      <c r="K9426" s="2" t="s">
        <v>14105</v>
      </c>
    </row>
    <row r="9427" ht="15.75" customHeight="1">
      <c r="A9427" s="2">
        <v>210864.0</v>
      </c>
      <c r="B9427" s="2" t="s">
        <v>3227</v>
      </c>
      <c r="C9427" s="2" t="s">
        <v>16787</v>
      </c>
      <c r="D9427" s="2" t="s">
        <v>13</v>
      </c>
      <c r="E9427" s="2" t="s">
        <v>136</v>
      </c>
      <c r="F9427" s="2">
        <v>0.0</v>
      </c>
      <c r="G9427" s="2">
        <v>500.0</v>
      </c>
      <c r="H9427" s="3" t="str">
        <f>HYPERLINK("http://www.linkedin.com/in/chadnuss","http://www.linkedin.com/in/chadnuss")</f>
        <v>http://www.linkedin.com/in/chadnuss</v>
      </c>
      <c r="I9427" s="2" t="s">
        <v>15</v>
      </c>
      <c r="J9427" s="2" t="s">
        <v>102</v>
      </c>
      <c r="K9427" s="2" t="s">
        <v>14080</v>
      </c>
    </row>
    <row r="9428" ht="15.75" customHeight="1">
      <c r="A9428" s="2">
        <v>210874.0</v>
      </c>
      <c r="B9428" s="2" t="s">
        <v>4236</v>
      </c>
      <c r="C9428" s="2" t="s">
        <v>399</v>
      </c>
      <c r="D9428" s="2" t="s">
        <v>16788</v>
      </c>
      <c r="E9428" s="2" t="s">
        <v>914</v>
      </c>
      <c r="F9428" s="2">
        <v>10.0</v>
      </c>
      <c r="G9428" s="2">
        <v>500.0</v>
      </c>
      <c r="H9428" s="3" t="str">
        <f>HYPERLINK("http://www.linkedin.com/in/josiahjohnson","http://www.linkedin.com/in/josiahjohnson")</f>
        <v>http://www.linkedin.com/in/josiahjohnson</v>
      </c>
      <c r="I9428" s="2" t="s">
        <v>15</v>
      </c>
      <c r="J9428" s="2" t="s">
        <v>102</v>
      </c>
      <c r="K9428" s="2" t="s">
        <v>14142</v>
      </c>
    </row>
    <row r="9429" ht="15.75" customHeight="1">
      <c r="A9429" s="2">
        <v>210897.0</v>
      </c>
      <c r="B9429" s="2" t="s">
        <v>116</v>
      </c>
      <c r="C9429" s="2" t="s">
        <v>16789</v>
      </c>
      <c r="D9429" s="2" t="s">
        <v>16790</v>
      </c>
      <c r="E9429" s="2" t="s">
        <v>713</v>
      </c>
      <c r="F9429" s="2">
        <v>5.0</v>
      </c>
      <c r="G9429" s="2">
        <v>500.0</v>
      </c>
      <c r="H9429" s="3" t="str">
        <f>HYPERLINK("http://www.linkedin.com/pub/alex-nasson/0/4/969","http://www.linkedin.com/pub/alex-nasson/0/4/969")</f>
        <v>http://www.linkedin.com/pub/alex-nasson/0/4/969</v>
      </c>
      <c r="I9429" s="2" t="s">
        <v>326</v>
      </c>
      <c r="J9429" s="2" t="s">
        <v>102</v>
      </c>
      <c r="K9429" s="2" t="s">
        <v>14055</v>
      </c>
    </row>
    <row r="9430" ht="15.75" customHeight="1">
      <c r="A9430" s="2">
        <v>210898.0</v>
      </c>
      <c r="B9430" s="2" t="s">
        <v>433</v>
      </c>
      <c r="C9430" s="2" t="s">
        <v>16791</v>
      </c>
      <c r="D9430" s="2" t="s">
        <v>81</v>
      </c>
      <c r="E9430" s="2" t="s">
        <v>251</v>
      </c>
      <c r="F9430" s="2">
        <v>24.0</v>
      </c>
      <c r="G9430" s="2">
        <v>500.0</v>
      </c>
      <c r="H9430" s="3" t="str">
        <f>HYPERLINK("http://www.linkedin.com/in/andrewbliwen","http://www.linkedin.com/in/andrewbliwen")</f>
        <v>http://www.linkedin.com/in/andrewbliwen</v>
      </c>
      <c r="I9430" s="2" t="s">
        <v>172</v>
      </c>
      <c r="J9430" s="2" t="s">
        <v>102</v>
      </c>
      <c r="K9430" s="2" t="s">
        <v>14074</v>
      </c>
    </row>
    <row r="9431" ht="15.75" customHeight="1">
      <c r="A9431" s="2">
        <v>210914.0</v>
      </c>
      <c r="B9431" s="2" t="s">
        <v>133</v>
      </c>
      <c r="C9431" s="2" t="s">
        <v>16792</v>
      </c>
      <c r="D9431" s="2" t="s">
        <v>309</v>
      </c>
      <c r="E9431" s="2" t="s">
        <v>13208</v>
      </c>
      <c r="F9431" s="2">
        <v>34.0</v>
      </c>
      <c r="G9431" s="2">
        <v>500.0</v>
      </c>
      <c r="H9431" s="3" t="str">
        <f>HYPERLINK("http://www.linkedin.com/in/mikeodonnell","http://www.linkedin.com/in/mikeodonnell")</f>
        <v>http://www.linkedin.com/in/mikeodonnell</v>
      </c>
      <c r="I9431" s="2" t="s">
        <v>709</v>
      </c>
      <c r="J9431" s="2" t="s">
        <v>102</v>
      </c>
      <c r="K9431" s="2" t="s">
        <v>14055</v>
      </c>
    </row>
    <row r="9432" ht="15.75" customHeight="1">
      <c r="A9432" s="2">
        <v>210927.0</v>
      </c>
      <c r="B9432" s="2" t="s">
        <v>275</v>
      </c>
      <c r="C9432" s="2" t="s">
        <v>16793</v>
      </c>
      <c r="D9432" s="2" t="s">
        <v>4048</v>
      </c>
      <c r="E9432" s="2" t="s">
        <v>914</v>
      </c>
      <c r="F9432" s="2">
        <v>0.0</v>
      </c>
      <c r="G9432" s="2">
        <v>500.0</v>
      </c>
      <c r="H9432" s="3" t="str">
        <f>HYPERLINK("http://www.linkedin.com/pub/mark-hobson/0/44/801","http://www.linkedin.com/pub/mark-hobson/0/44/801")</f>
        <v>http://www.linkedin.com/pub/mark-hobson/0/44/801</v>
      </c>
      <c r="I9432" s="2" t="s">
        <v>105</v>
      </c>
      <c r="J9432" s="2" t="s">
        <v>102</v>
      </c>
      <c r="K9432" s="2" t="s">
        <v>14071</v>
      </c>
    </row>
    <row r="9433" ht="15.75" customHeight="1">
      <c r="A9433" s="2">
        <v>210928.0</v>
      </c>
      <c r="B9433" s="2" t="s">
        <v>1167</v>
      </c>
      <c r="C9433" s="2" t="s">
        <v>820</v>
      </c>
      <c r="D9433" s="2" t="s">
        <v>42</v>
      </c>
      <c r="E9433" s="2" t="s">
        <v>989</v>
      </c>
      <c r="F9433" s="2">
        <v>0.0</v>
      </c>
      <c r="G9433" s="2">
        <v>500.0</v>
      </c>
      <c r="H9433" s="3" t="str">
        <f>HYPERLINK("http://www.linkedin.com/in/atbenmoore","http://www.linkedin.com/in/atbenmoore")</f>
        <v>http://www.linkedin.com/in/atbenmoore</v>
      </c>
      <c r="I9433" s="2" t="s">
        <v>15</v>
      </c>
      <c r="J9433" s="2" t="s">
        <v>102</v>
      </c>
      <c r="K9433" s="2" t="s">
        <v>14078</v>
      </c>
    </row>
    <row r="9434" ht="15.75" customHeight="1">
      <c r="A9434" s="2">
        <v>210933.0</v>
      </c>
      <c r="B9434" s="2" t="s">
        <v>16794</v>
      </c>
      <c r="C9434" s="2" t="s">
        <v>16795</v>
      </c>
      <c r="D9434" s="2" t="s">
        <v>13</v>
      </c>
      <c r="E9434" s="2" t="s">
        <v>181</v>
      </c>
      <c r="F9434" s="2">
        <v>1.0</v>
      </c>
      <c r="G9434" s="2">
        <v>500.0</v>
      </c>
      <c r="H9434" s="3" t="str">
        <f>HYPERLINK("http://www.linkedin.com/pub/rogier-fentener-van-vlissingen/0/7/555","http://www.linkedin.com/pub/rogier-fentener-van-vlissingen/0/7/555")</f>
        <v>http://www.linkedin.com/pub/rogier-fentener-van-vlissingen/0/7/555</v>
      </c>
      <c r="I9434" s="2" t="s">
        <v>1237</v>
      </c>
      <c r="J9434" s="2" t="s">
        <v>102</v>
      </c>
      <c r="K9434" s="2" t="s">
        <v>14088</v>
      </c>
    </row>
    <row r="9435" ht="15.75" customHeight="1">
      <c r="A9435" s="2">
        <v>210947.0</v>
      </c>
      <c r="B9435" s="2" t="s">
        <v>341</v>
      </c>
      <c r="C9435" s="2" t="s">
        <v>12956</v>
      </c>
      <c r="D9435" s="2" t="s">
        <v>1145</v>
      </c>
      <c r="E9435" s="2" t="s">
        <v>914</v>
      </c>
      <c r="F9435" s="2">
        <v>1.0</v>
      </c>
      <c r="G9435" s="2">
        <v>500.0</v>
      </c>
      <c r="H9435" s="3" t="str">
        <f>HYPERLINK("http://www.linkedin.com/in/kevinmerritt","http://www.linkedin.com/in/kevinmerritt")</f>
        <v>http://www.linkedin.com/in/kevinmerritt</v>
      </c>
      <c r="I9435" s="2" t="s">
        <v>48</v>
      </c>
      <c r="J9435" s="2" t="s">
        <v>102</v>
      </c>
      <c r="K9435" s="2" t="s">
        <v>14080</v>
      </c>
    </row>
    <row r="9436" ht="15.75" customHeight="1">
      <c r="A9436" s="2">
        <v>211049.0</v>
      </c>
      <c r="B9436" s="2" t="s">
        <v>245</v>
      </c>
      <c r="C9436" s="2" t="s">
        <v>16796</v>
      </c>
      <c r="D9436" s="2" t="s">
        <v>16797</v>
      </c>
      <c r="E9436" s="2" t="s">
        <v>136</v>
      </c>
      <c r="F9436" s="2">
        <v>1.0</v>
      </c>
      <c r="G9436" s="2">
        <v>500.0</v>
      </c>
      <c r="H9436" s="3" t="str">
        <f>HYPERLINK("http://www.linkedin.com/in/smarder","http://www.linkedin.com/in/smarder")</f>
        <v>http://www.linkedin.com/in/smarder</v>
      </c>
      <c r="I9436" s="2" t="s">
        <v>69</v>
      </c>
      <c r="J9436" s="2" t="s">
        <v>102</v>
      </c>
      <c r="K9436" s="2" t="s">
        <v>14142</v>
      </c>
    </row>
    <row r="9437" ht="15.75" customHeight="1">
      <c r="A9437" s="2">
        <v>211050.0</v>
      </c>
      <c r="B9437" s="2" t="s">
        <v>287</v>
      </c>
      <c r="C9437" s="2" t="s">
        <v>16798</v>
      </c>
      <c r="D9437" s="2" t="s">
        <v>16799</v>
      </c>
      <c r="E9437" s="2" t="s">
        <v>713</v>
      </c>
      <c r="F9437" s="2" t="s">
        <v>13</v>
      </c>
      <c r="G9437" s="2">
        <v>500.0</v>
      </c>
      <c r="H9437" s="3" t="str">
        <f>HYPERLINK("http://www.linkedin.com/in/paultoomey","http://www.linkedin.com/in/paultoomey")</f>
        <v>http://www.linkedin.com/in/paultoomey</v>
      </c>
      <c r="I9437" s="2" t="s">
        <v>279</v>
      </c>
      <c r="J9437" s="2" t="s">
        <v>102</v>
      </c>
      <c r="K9437" s="2" t="s">
        <v>14197</v>
      </c>
    </row>
    <row r="9438" ht="15.75" customHeight="1">
      <c r="A9438" s="2">
        <v>211075.0</v>
      </c>
      <c r="B9438" s="2" t="s">
        <v>4183</v>
      </c>
      <c r="C9438" s="2" t="s">
        <v>1463</v>
      </c>
      <c r="D9438" s="2" t="s">
        <v>16800</v>
      </c>
      <c r="E9438" s="2" t="s">
        <v>989</v>
      </c>
      <c r="F9438" s="2">
        <v>3.0</v>
      </c>
      <c r="G9438" s="2">
        <v>500.0</v>
      </c>
      <c r="H9438" s="3" t="str">
        <f>HYPERLINK("http://www.linkedin.com/pub/kenneth-roth/0/84/221","http://www.linkedin.com/pub/kenneth-roth/0/84/221")</f>
        <v>http://www.linkedin.com/pub/kenneth-roth/0/84/221</v>
      </c>
      <c r="I9438" s="2" t="s">
        <v>15</v>
      </c>
      <c r="J9438" s="2" t="s">
        <v>102</v>
      </c>
      <c r="K9438" s="2" t="s">
        <v>14088</v>
      </c>
    </row>
    <row r="9439" ht="15.75" customHeight="1">
      <c r="A9439" s="2">
        <v>211116.0</v>
      </c>
      <c r="B9439" s="2" t="s">
        <v>460</v>
      </c>
      <c r="C9439" s="2" t="s">
        <v>16801</v>
      </c>
      <c r="D9439" s="2" t="s">
        <v>16802</v>
      </c>
      <c r="E9439" s="2" t="s">
        <v>136</v>
      </c>
      <c r="F9439" s="2">
        <v>11.0</v>
      </c>
      <c r="G9439" s="2">
        <v>500.0</v>
      </c>
      <c r="H9439" s="3" t="str">
        <f>HYPERLINK("http://www.linkedin.com/in/jheltzel","http://www.linkedin.com/in/jheltzel")</f>
        <v>http://www.linkedin.com/in/jheltzel</v>
      </c>
      <c r="I9439" s="2" t="s">
        <v>69</v>
      </c>
      <c r="J9439" s="2" t="s">
        <v>102</v>
      </c>
      <c r="K9439" s="2" t="s">
        <v>14078</v>
      </c>
    </row>
    <row r="9440" ht="15.75" customHeight="1">
      <c r="A9440" s="2">
        <v>211128.0</v>
      </c>
      <c r="B9440" s="2" t="s">
        <v>784</v>
      </c>
      <c r="C9440" s="2" t="s">
        <v>16803</v>
      </c>
      <c r="D9440" s="2" t="s">
        <v>5231</v>
      </c>
      <c r="E9440" s="2" t="s">
        <v>136</v>
      </c>
      <c r="F9440" s="2">
        <v>1.0</v>
      </c>
      <c r="G9440" s="2">
        <v>425.0</v>
      </c>
      <c r="H9440" s="3" t="str">
        <f>HYPERLINK("http://www.linkedin.com/in/jeffconklin","http://www.linkedin.com/in/jeffconklin")</f>
        <v>http://www.linkedin.com/in/jeffconklin</v>
      </c>
      <c r="I9440" s="2" t="s">
        <v>15</v>
      </c>
      <c r="J9440" s="2" t="s">
        <v>102</v>
      </c>
      <c r="K9440" s="2" t="s">
        <v>14078</v>
      </c>
    </row>
    <row r="9441" ht="15.75" customHeight="1">
      <c r="A9441" s="2">
        <v>211240.0</v>
      </c>
      <c r="B9441" s="2" t="s">
        <v>784</v>
      </c>
      <c r="C9441" s="2" t="s">
        <v>16804</v>
      </c>
      <c r="D9441" s="2" t="s">
        <v>100</v>
      </c>
      <c r="E9441" s="2" t="s">
        <v>914</v>
      </c>
      <c r="F9441" s="2" t="s">
        <v>13</v>
      </c>
      <c r="G9441" s="2">
        <v>500.0</v>
      </c>
      <c r="H9441" s="3" t="str">
        <f>HYPERLINK("http://www.linkedin.com/in/hibbert","http://www.linkedin.com/in/hibbert")</f>
        <v>http://www.linkedin.com/in/hibbert</v>
      </c>
      <c r="I9441" s="2" t="s">
        <v>15</v>
      </c>
      <c r="J9441" s="2" t="s">
        <v>102</v>
      </c>
      <c r="K9441" s="2" t="s">
        <v>14204</v>
      </c>
    </row>
    <row r="9442" ht="15.75" customHeight="1">
      <c r="A9442" s="2">
        <v>211245.0</v>
      </c>
      <c r="B9442" s="2" t="s">
        <v>460</v>
      </c>
      <c r="C9442" s="2" t="s">
        <v>16805</v>
      </c>
      <c r="D9442" s="2" t="s">
        <v>3466</v>
      </c>
      <c r="E9442" s="2" t="s">
        <v>808</v>
      </c>
      <c r="F9442" s="2">
        <v>8.0</v>
      </c>
      <c r="G9442" s="2">
        <v>500.0</v>
      </c>
      <c r="H9442" s="3" t="str">
        <f>HYPERLINK("http://www.linkedin.com/in/johnmaxwell","http://www.linkedin.com/in/johnmaxwell")</f>
        <v>http://www.linkedin.com/in/johnmaxwell</v>
      </c>
      <c r="I9442" s="2" t="s">
        <v>15</v>
      </c>
      <c r="J9442" s="2" t="s">
        <v>102</v>
      </c>
      <c r="K9442" s="2" t="s">
        <v>14088</v>
      </c>
    </row>
    <row r="9443" ht="15.75" customHeight="1">
      <c r="A9443" s="2">
        <v>211248.0</v>
      </c>
      <c r="B9443" s="2" t="s">
        <v>15562</v>
      </c>
      <c r="C9443" s="2" t="s">
        <v>16806</v>
      </c>
      <c r="D9443" s="2" t="s">
        <v>536</v>
      </c>
      <c r="E9443" s="2" t="s">
        <v>762</v>
      </c>
      <c r="F9443" s="2">
        <v>0.0</v>
      </c>
      <c r="G9443" s="2">
        <v>500.0</v>
      </c>
      <c r="H9443" s="3" t="str">
        <f>HYPERLINK("http://www.linkedin.com/in/louellman","http://www.linkedin.com/in/louellman")</f>
        <v>http://www.linkedin.com/in/louellman</v>
      </c>
      <c r="I9443" s="2" t="s">
        <v>599</v>
      </c>
      <c r="J9443" s="2" t="s">
        <v>102</v>
      </c>
      <c r="K9443" s="2" t="s">
        <v>14055</v>
      </c>
    </row>
    <row r="9444" ht="15.75" customHeight="1">
      <c r="A9444" s="2">
        <v>211267.0</v>
      </c>
      <c r="B9444" s="2" t="s">
        <v>11636</v>
      </c>
      <c r="C9444" s="2" t="s">
        <v>16807</v>
      </c>
      <c r="D9444" s="2" t="s">
        <v>16808</v>
      </c>
      <c r="E9444" s="2" t="s">
        <v>301</v>
      </c>
      <c r="F9444" s="2">
        <v>3.0</v>
      </c>
      <c r="G9444" s="2">
        <v>500.0</v>
      </c>
      <c r="H9444" s="3" t="str">
        <f>HYPERLINK("http://www.linkedin.com/in/evanherbst","http://www.linkedin.com/in/evanherbst")</f>
        <v>http://www.linkedin.com/in/evanherbst</v>
      </c>
      <c r="I9444" s="2" t="s">
        <v>15</v>
      </c>
      <c r="J9444" s="2" t="s">
        <v>102</v>
      </c>
      <c r="K9444" s="2" t="s">
        <v>14080</v>
      </c>
    </row>
    <row r="9445" ht="15.75" customHeight="1">
      <c r="A9445" s="2">
        <v>211282.0</v>
      </c>
      <c r="B9445" s="2" t="s">
        <v>460</v>
      </c>
      <c r="C9445" s="2" t="s">
        <v>12521</v>
      </c>
      <c r="D9445" s="2" t="s">
        <v>16809</v>
      </c>
      <c r="E9445" s="2" t="s">
        <v>101</v>
      </c>
      <c r="F9445" s="2">
        <v>3.0</v>
      </c>
      <c r="G9445" s="2">
        <v>500.0</v>
      </c>
      <c r="H9445" s="3" t="str">
        <f>HYPERLINK("http://www.linkedin.com/pub/john-gunn/0/94/911","http://www.linkedin.com/pub/john-gunn/0/94/911")</f>
        <v>http://www.linkedin.com/pub/john-gunn/0/94/911</v>
      </c>
      <c r="I9445" s="2" t="s">
        <v>48</v>
      </c>
      <c r="J9445" s="2" t="s">
        <v>102</v>
      </c>
      <c r="K9445" s="2" t="s">
        <v>14057</v>
      </c>
    </row>
    <row r="9446" ht="15.75" customHeight="1">
      <c r="A9446" s="2">
        <v>211385.0</v>
      </c>
      <c r="B9446" s="2" t="s">
        <v>993</v>
      </c>
      <c r="C9446" s="2" t="s">
        <v>2857</v>
      </c>
      <c r="D9446" s="2" t="s">
        <v>16810</v>
      </c>
      <c r="E9446" s="2" t="s">
        <v>713</v>
      </c>
      <c r="F9446" s="2">
        <v>0.0</v>
      </c>
      <c r="G9446" s="2">
        <v>385.0</v>
      </c>
      <c r="H9446" s="3" t="str">
        <f>HYPERLINK("http://www.linkedin.com/pub/jon-bennett/0/225/915","http://www.linkedin.com/pub/jon-bennett/0/225/915")</f>
        <v>http://www.linkedin.com/pub/jon-bennett/0/225/915</v>
      </c>
      <c r="I9446" s="2" t="s">
        <v>119</v>
      </c>
      <c r="J9446" s="2" t="s">
        <v>102</v>
      </c>
      <c r="K9446" s="2" t="s">
        <v>14052</v>
      </c>
    </row>
    <row r="9447" ht="15.75" customHeight="1">
      <c r="A9447" s="2">
        <v>211405.0</v>
      </c>
      <c r="B9447" s="2" t="s">
        <v>5883</v>
      </c>
      <c r="C9447" s="2" t="s">
        <v>16811</v>
      </c>
      <c r="D9447" s="2" t="s">
        <v>16812</v>
      </c>
      <c r="E9447" s="2" t="s">
        <v>16813</v>
      </c>
      <c r="F9447" s="2">
        <v>53.0</v>
      </c>
      <c r="G9447" s="2">
        <v>500.0</v>
      </c>
      <c r="H9447" s="3" t="str">
        <f>HYPERLINK("http://www.linkedin.com/in/arielsilverstone","http://www.linkedin.com/in/arielsilverstone")</f>
        <v>http://www.linkedin.com/in/arielsilverstone</v>
      </c>
      <c r="I9447" s="2" t="s">
        <v>15</v>
      </c>
      <c r="J9447" s="2" t="s">
        <v>102</v>
      </c>
      <c r="K9447" s="2" t="s">
        <v>14095</v>
      </c>
    </row>
    <row r="9448" ht="15.75" customHeight="1">
      <c r="A9448" s="2">
        <v>211428.0</v>
      </c>
      <c r="B9448" s="2" t="s">
        <v>178</v>
      </c>
      <c r="C9448" s="2" t="s">
        <v>16814</v>
      </c>
      <c r="D9448" s="2" t="s">
        <v>16815</v>
      </c>
      <c r="E9448" s="2" t="s">
        <v>136</v>
      </c>
      <c r="F9448" s="2">
        <v>5.0</v>
      </c>
      <c r="G9448" s="2">
        <v>500.0</v>
      </c>
      <c r="H9448" s="3" t="str">
        <f>HYPERLINK("http://www.linkedin.com/pub/joe-fuca/0/282/27B","http://www.linkedin.com/pub/joe-fuca/0/282/27B")</f>
        <v>http://www.linkedin.com/pub/joe-fuca/0/282/27B</v>
      </c>
      <c r="I9448" s="2" t="s">
        <v>48</v>
      </c>
      <c r="J9448" s="2" t="s">
        <v>102</v>
      </c>
      <c r="K9448" s="2" t="s">
        <v>14080</v>
      </c>
    </row>
    <row r="9449" ht="15.75" customHeight="1">
      <c r="A9449" s="2">
        <v>211463.0</v>
      </c>
      <c r="B9449" s="2" t="s">
        <v>940</v>
      </c>
      <c r="C9449" s="2" t="s">
        <v>16816</v>
      </c>
      <c r="D9449" s="2" t="s">
        <v>16817</v>
      </c>
      <c r="E9449" s="2" t="s">
        <v>251</v>
      </c>
      <c r="F9449" s="2">
        <v>10.0</v>
      </c>
      <c r="G9449" s="2">
        <v>500.0</v>
      </c>
      <c r="H9449" s="3" t="str">
        <f>HYPERLINK("http://www.linkedin.com/in/robertgbarker","http://www.linkedin.com/in/robertgbarker")</f>
        <v>http://www.linkedin.com/in/robertgbarker</v>
      </c>
      <c r="I9449" s="2" t="s">
        <v>57</v>
      </c>
      <c r="J9449" s="2" t="s">
        <v>102</v>
      </c>
      <c r="K9449" s="2" t="s">
        <v>14074</v>
      </c>
    </row>
    <row r="9450" ht="15.75" customHeight="1">
      <c r="A9450" s="2">
        <v>211499.0</v>
      </c>
      <c r="B9450" s="2" t="s">
        <v>11143</v>
      </c>
      <c r="C9450" s="2" t="s">
        <v>16818</v>
      </c>
      <c r="D9450" s="2" t="s">
        <v>47</v>
      </c>
      <c r="E9450" s="2" t="s">
        <v>713</v>
      </c>
      <c r="F9450" s="2">
        <v>15.0</v>
      </c>
      <c r="G9450" s="2">
        <v>500.0</v>
      </c>
      <c r="H9450" s="3" t="str">
        <f>HYPERLINK("http://www.linkedin.com/in/jackiebassett","http://www.linkedin.com/in/jackiebassett")</f>
        <v>http://www.linkedin.com/in/jackiebassett</v>
      </c>
      <c r="I9450" s="2" t="s">
        <v>105</v>
      </c>
      <c r="J9450" s="2" t="s">
        <v>102</v>
      </c>
      <c r="K9450" s="2" t="s">
        <v>14092</v>
      </c>
    </row>
    <row r="9451" ht="15.75" customHeight="1">
      <c r="A9451" s="2">
        <v>211523.0</v>
      </c>
      <c r="B9451" s="2" t="s">
        <v>460</v>
      </c>
      <c r="C9451" s="2" t="s">
        <v>16819</v>
      </c>
      <c r="D9451" s="2" t="s">
        <v>517</v>
      </c>
      <c r="E9451" s="2" t="s">
        <v>136</v>
      </c>
      <c r="F9451" s="2">
        <v>7.0</v>
      </c>
      <c r="G9451" s="2">
        <v>500.0</v>
      </c>
      <c r="H9451" s="3" t="str">
        <f>HYPERLINK("http://www.linkedin.com/in/johnwolpert","http://www.linkedin.com/in/johnwolpert")</f>
        <v>http://www.linkedin.com/in/johnwolpert</v>
      </c>
      <c r="I9451" s="2" t="s">
        <v>48</v>
      </c>
      <c r="J9451" s="2" t="s">
        <v>102</v>
      </c>
      <c r="K9451" s="2" t="s">
        <v>14071</v>
      </c>
    </row>
    <row r="9452" ht="15.75" customHeight="1">
      <c r="A9452" s="2">
        <v>211564.0</v>
      </c>
      <c r="B9452" s="2" t="s">
        <v>1593</v>
      </c>
      <c r="C9452" s="2" t="s">
        <v>2740</v>
      </c>
      <c r="D9452" s="2" t="s">
        <v>16820</v>
      </c>
      <c r="E9452" s="2" t="s">
        <v>2058</v>
      </c>
      <c r="F9452" s="2">
        <v>0.0</v>
      </c>
      <c r="G9452" s="2">
        <v>472.0</v>
      </c>
      <c r="H9452" s="3" t="str">
        <f>HYPERLINK("http://www.linkedin.com/pub/adam-stewart/4/883/AA7","http://www.linkedin.com/pub/adam-stewart/4/883/AA7")</f>
        <v>http://www.linkedin.com/pub/adam-stewart/4/883/AA7</v>
      </c>
      <c r="I9452" s="2" t="s">
        <v>69</v>
      </c>
      <c r="J9452" s="2" t="s">
        <v>102</v>
      </c>
      <c r="K9452" s="2" t="s">
        <v>14125</v>
      </c>
    </row>
    <row r="9453" ht="15.75" customHeight="1">
      <c r="A9453" s="2">
        <v>211569.0</v>
      </c>
      <c r="B9453" s="2" t="s">
        <v>2280</v>
      </c>
      <c r="C9453" s="2" t="s">
        <v>1153</v>
      </c>
      <c r="D9453" s="2" t="s">
        <v>16821</v>
      </c>
      <c r="E9453" s="2" t="s">
        <v>914</v>
      </c>
      <c r="F9453" s="2">
        <v>4.0</v>
      </c>
      <c r="G9453" s="2">
        <v>500.0</v>
      </c>
      <c r="H9453" s="3" t="str">
        <f>HYPERLINK("http://www.linkedin.com/in/andersbrown","http://www.linkedin.com/in/andersbrown")</f>
        <v>http://www.linkedin.com/in/andersbrown</v>
      </c>
      <c r="I9453" s="2" t="s">
        <v>48</v>
      </c>
      <c r="J9453" s="2" t="s">
        <v>102</v>
      </c>
      <c r="K9453" s="2" t="s">
        <v>14080</v>
      </c>
    </row>
    <row r="9454" ht="15.75" customHeight="1">
      <c r="A9454" s="2">
        <v>211641.0</v>
      </c>
      <c r="B9454" s="2" t="s">
        <v>940</v>
      </c>
      <c r="C9454" s="2" t="s">
        <v>59</v>
      </c>
      <c r="D9454" s="2" t="s">
        <v>47</v>
      </c>
      <c r="E9454" s="2" t="s">
        <v>971</v>
      </c>
      <c r="F9454" s="2">
        <v>5.0</v>
      </c>
      <c r="G9454" s="2">
        <v>500.0</v>
      </c>
      <c r="H9454" s="3" t="str">
        <f>HYPERLINK("http://www.linkedin.com/in/bobmartintexas","http://www.linkedin.com/in/bobmartintexas")</f>
        <v>http://www.linkedin.com/in/bobmartintexas</v>
      </c>
      <c r="I9454" s="2" t="s">
        <v>326</v>
      </c>
      <c r="J9454" s="2" t="s">
        <v>102</v>
      </c>
      <c r="K9454" s="2" t="s">
        <v>14204</v>
      </c>
    </row>
    <row r="9455" ht="15.75" customHeight="1">
      <c r="A9455" s="2">
        <v>211687.0</v>
      </c>
      <c r="B9455" s="2" t="s">
        <v>12188</v>
      </c>
      <c r="C9455" s="2" t="s">
        <v>16540</v>
      </c>
      <c r="D9455" s="2" t="s">
        <v>16682</v>
      </c>
      <c r="E9455" s="2" t="s">
        <v>15324</v>
      </c>
      <c r="F9455" s="2" t="s">
        <v>13</v>
      </c>
      <c r="G9455" s="2">
        <v>500.0</v>
      </c>
      <c r="H9455" s="3" t="str">
        <f>HYPERLINK("http://www.linkedin.com/pub/allison-schultz/0/416/112","http://www.linkedin.com/pub/allison-schultz/0/416/112")</f>
        <v>http://www.linkedin.com/pub/allison-schultz/0/416/112</v>
      </c>
      <c r="I9455" s="2" t="s">
        <v>15</v>
      </c>
      <c r="J9455" s="2" t="s">
        <v>102</v>
      </c>
      <c r="K9455" s="2" t="s">
        <v>14088</v>
      </c>
    </row>
    <row r="9456" ht="15.75" customHeight="1">
      <c r="A9456" s="2">
        <v>211727.0</v>
      </c>
      <c r="B9456" s="2" t="s">
        <v>460</v>
      </c>
      <c r="C9456" s="2" t="s">
        <v>16822</v>
      </c>
      <c r="D9456" s="2" t="s">
        <v>16823</v>
      </c>
      <c r="E9456" s="2" t="s">
        <v>101</v>
      </c>
      <c r="F9456" s="2">
        <v>19.0</v>
      </c>
      <c r="G9456" s="2">
        <v>500.0</v>
      </c>
      <c r="H9456" s="3" t="str">
        <f>HYPERLINK("http://www.linkedin.com/pub/john-kwarsick/0/2A4/144","http://www.linkedin.com/pub/john-kwarsick/0/2A4/144")</f>
        <v>http://www.linkedin.com/pub/john-kwarsick/0/2A4/144</v>
      </c>
      <c r="I9456" s="2" t="s">
        <v>48</v>
      </c>
      <c r="J9456" s="2" t="s">
        <v>102</v>
      </c>
      <c r="K9456" s="2" t="s">
        <v>14082</v>
      </c>
    </row>
    <row r="9457" ht="15.75" customHeight="1">
      <c r="A9457" s="2">
        <v>211742.0</v>
      </c>
      <c r="B9457" s="2" t="s">
        <v>625</v>
      </c>
      <c r="C9457" s="2" t="s">
        <v>5335</v>
      </c>
      <c r="D9457" s="2" t="s">
        <v>16824</v>
      </c>
      <c r="E9457" s="2" t="s">
        <v>136</v>
      </c>
      <c r="F9457" s="2">
        <v>1.0</v>
      </c>
      <c r="G9457" s="2">
        <v>500.0</v>
      </c>
      <c r="H9457" s="3" t="str">
        <f>HYPERLINK("http://www.linkedin.com/pub/tim-harris/0/66/A58","http://www.linkedin.com/pub/tim-harris/0/66/A58")</f>
        <v>http://www.linkedin.com/pub/tim-harris/0/66/A58</v>
      </c>
      <c r="I9457" s="2" t="s">
        <v>48</v>
      </c>
      <c r="J9457" s="2" t="s">
        <v>102</v>
      </c>
      <c r="K9457" s="2" t="s">
        <v>14197</v>
      </c>
    </row>
    <row r="9458" ht="15.75" customHeight="1">
      <c r="A9458" s="2">
        <v>211789.0</v>
      </c>
      <c r="B9458" s="2" t="s">
        <v>3955</v>
      </c>
      <c r="C9458" s="2" t="s">
        <v>12585</v>
      </c>
      <c r="D9458" s="2" t="s">
        <v>16825</v>
      </c>
      <c r="E9458" s="2" t="s">
        <v>136</v>
      </c>
      <c r="F9458" s="2">
        <v>23.0</v>
      </c>
      <c r="G9458" s="2">
        <v>500.0</v>
      </c>
      <c r="H9458" s="3" t="str">
        <f>HYPERLINK("http://www.linkedin.com/in/shawchuang","http://www.linkedin.com/in/shawchuang")</f>
        <v>http://www.linkedin.com/in/shawchuang</v>
      </c>
      <c r="I9458" s="2" t="s">
        <v>48</v>
      </c>
      <c r="J9458" s="2" t="s">
        <v>102</v>
      </c>
      <c r="K9458" s="2" t="s">
        <v>14080</v>
      </c>
    </row>
    <row r="9459" ht="15.75" customHeight="1">
      <c r="A9459" s="2">
        <v>211850.0</v>
      </c>
      <c r="B9459" s="2" t="s">
        <v>245</v>
      </c>
      <c r="C9459" s="2" t="s">
        <v>16826</v>
      </c>
      <c r="D9459" s="2" t="s">
        <v>16827</v>
      </c>
      <c r="E9459" s="2" t="s">
        <v>971</v>
      </c>
      <c r="F9459" s="2">
        <v>6.0</v>
      </c>
      <c r="G9459" s="2">
        <v>500.0</v>
      </c>
      <c r="H9459" s="3" t="str">
        <f>HYPERLINK("http://www.linkedin.com/in/gerhardt","http://www.linkedin.com/in/gerhardt")</f>
        <v>http://www.linkedin.com/in/gerhardt</v>
      </c>
      <c r="I9459" s="2" t="s">
        <v>48</v>
      </c>
      <c r="J9459" s="2" t="s">
        <v>102</v>
      </c>
      <c r="K9459" s="2" t="s">
        <v>14073</v>
      </c>
    </row>
    <row r="9460" ht="15.75" customHeight="1">
      <c r="A9460" s="2">
        <v>211854.0</v>
      </c>
      <c r="B9460" s="2" t="s">
        <v>1366</v>
      </c>
      <c r="C9460" s="2" t="s">
        <v>16828</v>
      </c>
      <c r="D9460" s="2" t="s">
        <v>16829</v>
      </c>
      <c r="E9460" s="2" t="s">
        <v>15403</v>
      </c>
      <c r="F9460" s="2">
        <v>1.0</v>
      </c>
      <c r="G9460" s="2">
        <v>421.0</v>
      </c>
      <c r="H9460" s="3" t="str">
        <f>HYPERLINK("http://www.linkedin.com/in/peterhoopes","http://www.linkedin.com/in/peterhoopes")</f>
        <v>http://www.linkedin.com/in/peterhoopes</v>
      </c>
      <c r="I9460" s="2" t="s">
        <v>48</v>
      </c>
      <c r="J9460" s="2" t="s">
        <v>102</v>
      </c>
      <c r="K9460" s="2" t="s">
        <v>14088</v>
      </c>
    </row>
    <row r="9461" ht="15.75" customHeight="1">
      <c r="A9461" s="2">
        <v>211944.0</v>
      </c>
      <c r="B9461" s="2" t="s">
        <v>839</v>
      </c>
      <c r="C9461" s="2" t="s">
        <v>16830</v>
      </c>
      <c r="D9461" s="2" t="s">
        <v>114</v>
      </c>
      <c r="E9461" s="2" t="s">
        <v>989</v>
      </c>
      <c r="F9461" s="2" t="s">
        <v>13</v>
      </c>
      <c r="G9461" s="2">
        <v>500.0</v>
      </c>
      <c r="H9461" s="3" t="str">
        <f>HYPERLINK("http://www.linkedin.com/in/davehartig","http://www.linkedin.com/in/davehartig")</f>
        <v>http://www.linkedin.com/in/davehartig</v>
      </c>
      <c r="I9461" s="2" t="s">
        <v>248</v>
      </c>
      <c r="J9461" s="2" t="s">
        <v>102</v>
      </c>
      <c r="K9461" s="2" t="s">
        <v>14140</v>
      </c>
    </row>
    <row r="9462" ht="15.75" customHeight="1">
      <c r="A9462" s="2">
        <v>211955.0</v>
      </c>
      <c r="B9462" s="2" t="s">
        <v>845</v>
      </c>
      <c r="C9462" s="2" t="s">
        <v>3844</v>
      </c>
      <c r="D9462" s="2" t="s">
        <v>15306</v>
      </c>
      <c r="E9462" s="2" t="s">
        <v>136</v>
      </c>
      <c r="F9462" s="2">
        <v>3.0</v>
      </c>
      <c r="G9462" s="2">
        <v>500.0</v>
      </c>
      <c r="H9462" s="3" t="str">
        <f>HYPERLINK("http://www.linkedin.com/in/davidgreenbaum","http://www.linkedin.com/in/davidgreenbaum")</f>
        <v>http://www.linkedin.com/in/davidgreenbaum</v>
      </c>
      <c r="I9462" s="2" t="s">
        <v>105</v>
      </c>
      <c r="J9462" s="2" t="s">
        <v>102</v>
      </c>
      <c r="K9462" s="2" t="s">
        <v>14074</v>
      </c>
    </row>
    <row r="9463" ht="15.75" customHeight="1">
      <c r="A9463" s="2">
        <v>211997.0</v>
      </c>
      <c r="B9463" s="2" t="s">
        <v>412</v>
      </c>
      <c r="C9463" s="2" t="s">
        <v>1295</v>
      </c>
      <c r="D9463" s="2" t="s">
        <v>47</v>
      </c>
      <c r="E9463" s="2" t="s">
        <v>101</v>
      </c>
      <c r="F9463" s="2">
        <v>3.0</v>
      </c>
      <c r="G9463" s="2">
        <v>500.0</v>
      </c>
      <c r="H9463" s="3" t="str">
        <f>HYPERLINK("http://www.linkedin.com/pub/robert-jansen/0/41A/877","http://www.linkedin.com/pub/robert-jansen/0/41A/877")</f>
        <v>http://www.linkedin.com/pub/robert-jansen/0/41A/877</v>
      </c>
      <c r="I9463" s="2" t="s">
        <v>15</v>
      </c>
      <c r="J9463" s="2" t="s">
        <v>102</v>
      </c>
      <c r="K9463" s="2" t="s">
        <v>14073</v>
      </c>
    </row>
    <row r="9464" ht="15.75" customHeight="1">
      <c r="A9464" s="2">
        <v>212011.0</v>
      </c>
      <c r="B9464" s="2" t="s">
        <v>16831</v>
      </c>
      <c r="C9464" s="2" t="s">
        <v>313</v>
      </c>
      <c r="D9464" s="2" t="s">
        <v>536</v>
      </c>
      <c r="E9464" s="2" t="s">
        <v>251</v>
      </c>
      <c r="F9464" s="2" t="s">
        <v>13</v>
      </c>
      <c r="G9464" s="2">
        <v>500.0</v>
      </c>
      <c r="H9464" s="3" t="str">
        <f>HYPERLINK("http://www.linkedin.com/in/warburglee","http://www.linkedin.com/in/warburglee")</f>
        <v>http://www.linkedin.com/in/warburglee</v>
      </c>
      <c r="I9464" s="2" t="s">
        <v>612</v>
      </c>
      <c r="J9464" s="2" t="s">
        <v>102</v>
      </c>
      <c r="K9464" s="2" t="s">
        <v>14055</v>
      </c>
    </row>
    <row r="9465" ht="15.75" customHeight="1">
      <c r="A9465" s="2">
        <v>212040.0</v>
      </c>
      <c r="B9465" s="2" t="s">
        <v>752</v>
      </c>
      <c r="C9465" s="2" t="s">
        <v>548</v>
      </c>
      <c r="D9465" s="2" t="s">
        <v>410</v>
      </c>
      <c r="E9465" s="2" t="s">
        <v>989</v>
      </c>
      <c r="F9465" s="2">
        <v>3.0</v>
      </c>
      <c r="G9465" s="2">
        <v>500.0</v>
      </c>
      <c r="H9465" s="3" t="str">
        <f>HYPERLINK("http://www.linkedin.com/in/cookjr","http://www.linkedin.com/in/cookjr")</f>
        <v>http://www.linkedin.com/in/cookjr</v>
      </c>
      <c r="I9465" s="2" t="s">
        <v>696</v>
      </c>
      <c r="J9465" s="2" t="s">
        <v>102</v>
      </c>
      <c r="K9465" s="2" t="s">
        <v>14055</v>
      </c>
    </row>
    <row r="9466" ht="15.75" customHeight="1">
      <c r="A9466" s="2">
        <v>212052.0</v>
      </c>
      <c r="B9466" s="2" t="s">
        <v>784</v>
      </c>
      <c r="C9466" s="2" t="s">
        <v>16832</v>
      </c>
      <c r="D9466" s="2" t="s">
        <v>47</v>
      </c>
      <c r="E9466" s="2" t="s">
        <v>720</v>
      </c>
      <c r="F9466" s="2">
        <v>7.0</v>
      </c>
      <c r="G9466" s="2">
        <v>500.0</v>
      </c>
      <c r="H9466" s="3" t="str">
        <f>HYPERLINK("http://www.linkedin.com/pub/jeff-leist/0/541/5BB","http://www.linkedin.com/pub/jeff-leist/0/541/5BB")</f>
        <v>http://www.linkedin.com/pub/jeff-leist/0/541/5BB</v>
      </c>
      <c r="I9466" s="2" t="s">
        <v>160</v>
      </c>
      <c r="J9466" s="2" t="s">
        <v>102</v>
      </c>
      <c r="K9466" s="2" t="s">
        <v>14092</v>
      </c>
    </row>
    <row r="9467" ht="15.75" customHeight="1">
      <c r="A9467" s="2">
        <v>212056.0</v>
      </c>
      <c r="B9467" s="2" t="s">
        <v>16833</v>
      </c>
      <c r="C9467" s="2" t="s">
        <v>16834</v>
      </c>
      <c r="D9467" s="2" t="s">
        <v>1320</v>
      </c>
      <c r="E9467" s="2" t="s">
        <v>628</v>
      </c>
      <c r="F9467" s="2">
        <v>1.0</v>
      </c>
      <c r="G9467" s="2">
        <v>457.0</v>
      </c>
      <c r="H9467" s="3" t="str">
        <f>HYPERLINK("http://www.linkedin.com/in/huguesdelannoy","http://www.linkedin.com/in/huguesdelannoy")</f>
        <v>http://www.linkedin.com/in/huguesdelannoy</v>
      </c>
      <c r="I9467" s="2" t="s">
        <v>15</v>
      </c>
      <c r="J9467" s="2" t="s">
        <v>102</v>
      </c>
      <c r="K9467" s="2" t="s">
        <v>14242</v>
      </c>
    </row>
    <row r="9468" ht="15.75" customHeight="1">
      <c r="A9468" s="2">
        <v>212072.0</v>
      </c>
      <c r="B9468" s="2" t="s">
        <v>1173</v>
      </c>
      <c r="C9468" s="2" t="s">
        <v>16835</v>
      </c>
      <c r="D9468" s="2" t="s">
        <v>2274</v>
      </c>
      <c r="E9468" s="2" t="s">
        <v>10885</v>
      </c>
      <c r="F9468" s="2">
        <v>22.0</v>
      </c>
      <c r="G9468" s="2">
        <v>500.0</v>
      </c>
      <c r="H9468" s="3" t="str">
        <f>HYPERLINK("http://www.linkedin.com/in/stevegehlen","http://www.linkedin.com/in/stevegehlen")</f>
        <v>http://www.linkedin.com/in/stevegehlen</v>
      </c>
      <c r="I9468" s="2" t="s">
        <v>69</v>
      </c>
      <c r="J9468" s="2" t="s">
        <v>102</v>
      </c>
      <c r="K9468" s="2" t="s">
        <v>14080</v>
      </c>
    </row>
    <row r="9469" ht="15.75" customHeight="1">
      <c r="A9469" s="2">
        <v>212078.0</v>
      </c>
      <c r="B9469" s="2" t="s">
        <v>1004</v>
      </c>
      <c r="C9469" s="2" t="s">
        <v>14289</v>
      </c>
      <c r="D9469" s="2" t="s">
        <v>1216</v>
      </c>
      <c r="E9469" s="2" t="s">
        <v>7844</v>
      </c>
      <c r="F9469" s="2">
        <v>3.0</v>
      </c>
      <c r="G9469" s="2">
        <v>500.0</v>
      </c>
      <c r="H9469" s="3" t="str">
        <f>HYPERLINK("http://www.linkedin.com/in/scottathiele","http://www.linkedin.com/in/scottathiele")</f>
        <v>http://www.linkedin.com/in/scottathiele</v>
      </c>
      <c r="I9469" s="2" t="s">
        <v>48</v>
      </c>
      <c r="J9469" s="2" t="s">
        <v>102</v>
      </c>
      <c r="K9469" s="2" t="s">
        <v>14057</v>
      </c>
    </row>
    <row r="9470" ht="15.75" customHeight="1">
      <c r="A9470" s="2">
        <v>212080.0</v>
      </c>
      <c r="B9470" s="2" t="s">
        <v>12386</v>
      </c>
      <c r="C9470" s="2" t="s">
        <v>16836</v>
      </c>
      <c r="D9470" s="2" t="s">
        <v>309</v>
      </c>
      <c r="E9470" s="2" t="s">
        <v>914</v>
      </c>
      <c r="F9470" s="2">
        <v>0.0</v>
      </c>
      <c r="G9470" s="2">
        <v>500.0</v>
      </c>
      <c r="H9470" s="3" t="str">
        <f>HYPERLINK("http://www.linkedin.com/pub/michele-bourdon-keeffe/0/98/B94","http://www.linkedin.com/pub/michele-bourdon-keeffe/0/98/B94")</f>
        <v>http://www.linkedin.com/pub/michele-bourdon-keeffe/0/98/B94</v>
      </c>
      <c r="I9470" s="2" t="s">
        <v>844</v>
      </c>
      <c r="J9470" s="2" t="s">
        <v>102</v>
      </c>
      <c r="K9470" s="2" t="s">
        <v>14074</v>
      </c>
    </row>
    <row r="9471" ht="15.75" customHeight="1">
      <c r="A9471" s="2">
        <v>212110.0</v>
      </c>
      <c r="B9471" s="2" t="s">
        <v>412</v>
      </c>
      <c r="C9471" s="2" t="s">
        <v>16837</v>
      </c>
      <c r="D9471" s="2"/>
      <c r="E9471" s="2" t="s">
        <v>2343</v>
      </c>
      <c r="F9471" s="2">
        <v>1.0</v>
      </c>
      <c r="G9471" s="2">
        <v>500.0</v>
      </c>
      <c r="H9471" s="3" t="str">
        <f>HYPERLINK("http://www.linkedin.com/pub/robert-beatty/0/725/60","http://www.linkedin.com/pub/robert-beatty/0/725/60")</f>
        <v>http://www.linkedin.com/pub/robert-beatty/0/725/60</v>
      </c>
      <c r="I9471" s="2" t="s">
        <v>48</v>
      </c>
      <c r="J9471" s="2" t="s">
        <v>102</v>
      </c>
      <c r="K9471" s="2" t="s">
        <v>14095</v>
      </c>
    </row>
    <row r="9472" ht="15.75" customHeight="1">
      <c r="A9472" s="2">
        <v>212131.0</v>
      </c>
      <c r="B9472" s="2" t="s">
        <v>414</v>
      </c>
      <c r="C9472" s="2" t="s">
        <v>16838</v>
      </c>
      <c r="D9472" s="2" t="s">
        <v>47</v>
      </c>
      <c r="E9472" s="2" t="s">
        <v>1317</v>
      </c>
      <c r="F9472" s="2">
        <v>7.0</v>
      </c>
      <c r="G9472" s="2">
        <v>500.0</v>
      </c>
      <c r="H9472" s="3" t="str">
        <f>HYPERLINK("http://www.linkedin.com/in/tomparish","http://www.linkedin.com/in/tomparish")</f>
        <v>http://www.linkedin.com/in/tomparish</v>
      </c>
      <c r="I9472" s="2" t="s">
        <v>48</v>
      </c>
      <c r="J9472" s="2" t="s">
        <v>102</v>
      </c>
      <c r="K9472" s="2" t="s">
        <v>14142</v>
      </c>
    </row>
    <row r="9473" ht="15.75" customHeight="1">
      <c r="A9473" s="2">
        <v>212193.0</v>
      </c>
      <c r="B9473" s="2" t="s">
        <v>275</v>
      </c>
      <c r="C9473" s="2" t="s">
        <v>16839</v>
      </c>
      <c r="D9473" s="2" t="s">
        <v>108</v>
      </c>
      <c r="E9473" s="2" t="s">
        <v>728</v>
      </c>
      <c r="F9473" s="2">
        <v>18.0</v>
      </c>
      <c r="G9473" s="2">
        <v>500.0</v>
      </c>
      <c r="H9473" s="3" t="str">
        <f>HYPERLINK("http://www.linkedin.com/in/markeagle","http://www.linkedin.com/in/markeagle")</f>
        <v>http://www.linkedin.com/in/markeagle</v>
      </c>
      <c r="I9473" s="2" t="s">
        <v>48</v>
      </c>
      <c r="J9473" s="2" t="s">
        <v>102</v>
      </c>
      <c r="K9473" s="2" t="s">
        <v>14339</v>
      </c>
    </row>
    <row r="9474" ht="15.75" customHeight="1">
      <c r="A9474" s="2">
        <v>212205.0</v>
      </c>
      <c r="B9474" s="2" t="s">
        <v>1260</v>
      </c>
      <c r="C9474" s="2" t="s">
        <v>1585</v>
      </c>
      <c r="D9474" s="2" t="s">
        <v>16840</v>
      </c>
      <c r="E9474" s="2" t="s">
        <v>762</v>
      </c>
      <c r="F9474" s="2">
        <v>0.0</v>
      </c>
      <c r="G9474" s="2">
        <v>500.0</v>
      </c>
      <c r="H9474" s="3" t="str">
        <f>HYPERLINK("http://www.linkedin.com/pub/darren-thomas/6/853/B3","http://www.linkedin.com/pub/darren-thomas/6/853/B3")</f>
        <v>http://www.linkedin.com/pub/darren-thomas/6/853/B3</v>
      </c>
      <c r="I9474" s="2" t="s">
        <v>160</v>
      </c>
      <c r="J9474" s="2" t="s">
        <v>102</v>
      </c>
      <c r="K9474" s="2" t="s">
        <v>16841</v>
      </c>
    </row>
    <row r="9475" ht="15.75" customHeight="1">
      <c r="A9475" s="2">
        <v>212208.0</v>
      </c>
      <c r="B9475" s="2" t="s">
        <v>534</v>
      </c>
      <c r="C9475" s="2" t="s">
        <v>16842</v>
      </c>
      <c r="D9475" s="2" t="s">
        <v>16843</v>
      </c>
      <c r="E9475" s="2" t="s">
        <v>14560</v>
      </c>
      <c r="F9475" s="2">
        <v>9.0</v>
      </c>
      <c r="G9475" s="2">
        <v>500.0</v>
      </c>
      <c r="H9475" s="3" t="str">
        <f>HYPERLINK("http://www.linkedin.com/in/matthewnordby","http://www.linkedin.com/in/matthewnordby")</f>
        <v>http://www.linkedin.com/in/matthewnordby</v>
      </c>
      <c r="I9475" s="2" t="s">
        <v>910</v>
      </c>
      <c r="J9475" s="2" t="s">
        <v>102</v>
      </c>
      <c r="K9475" s="2" t="s">
        <v>14055</v>
      </c>
    </row>
    <row r="9476" ht="15.75" customHeight="1">
      <c r="A9476" s="2">
        <v>212213.0</v>
      </c>
      <c r="B9476" s="2" t="s">
        <v>16844</v>
      </c>
      <c r="C9476" s="2" t="s">
        <v>10248</v>
      </c>
      <c r="D9476" s="2" t="s">
        <v>47</v>
      </c>
      <c r="E9476" s="2" t="s">
        <v>808</v>
      </c>
      <c r="F9476" s="2">
        <v>4.0</v>
      </c>
      <c r="G9476" s="2">
        <v>361.0</v>
      </c>
      <c r="H9476" s="3" t="str">
        <f>HYPERLINK("http://www.linkedin.com/pub/jonno-wells/0/1B/A87","http://www.linkedin.com/pub/jonno-wells/0/1B/A87")</f>
        <v>http://www.linkedin.com/pub/jonno-wells/0/1B/A87</v>
      </c>
      <c r="I9476" s="2" t="s">
        <v>69</v>
      </c>
      <c r="J9476" s="2" t="s">
        <v>102</v>
      </c>
      <c r="K9476" s="2" t="s">
        <v>14073</v>
      </c>
    </row>
    <row r="9477" ht="15.75" customHeight="1">
      <c r="A9477" s="2">
        <v>212232.0</v>
      </c>
      <c r="B9477" s="2" t="s">
        <v>1173</v>
      </c>
      <c r="C9477" s="2" t="s">
        <v>16845</v>
      </c>
      <c r="D9477" s="2" t="s">
        <v>16846</v>
      </c>
      <c r="E9477" s="2" t="s">
        <v>762</v>
      </c>
      <c r="F9477" s="2">
        <v>3.0</v>
      </c>
      <c r="G9477" s="2">
        <v>500.0</v>
      </c>
      <c r="H9477" s="3" t="str">
        <f>HYPERLINK("http://www.linkedin.com/in/stevevandegrift","http://www.linkedin.com/in/stevevandegrift")</f>
        <v>http://www.linkedin.com/in/stevevandegrift</v>
      </c>
      <c r="I9477" s="2" t="s">
        <v>709</v>
      </c>
      <c r="J9477" s="2" t="s">
        <v>102</v>
      </c>
      <c r="K9477" s="2" t="s">
        <v>14073</v>
      </c>
    </row>
    <row r="9478" ht="15.75" customHeight="1">
      <c r="A9478" s="2">
        <v>212261.0</v>
      </c>
      <c r="B9478" s="2" t="s">
        <v>16847</v>
      </c>
      <c r="C9478" s="2" t="s">
        <v>12963</v>
      </c>
      <c r="D9478" s="2" t="s">
        <v>959</v>
      </c>
      <c r="E9478" s="2" t="s">
        <v>235</v>
      </c>
      <c r="F9478" s="2">
        <v>0.0</v>
      </c>
      <c r="G9478" s="2">
        <v>500.0</v>
      </c>
      <c r="H9478" s="3" t="str">
        <f>HYPERLINK("http://www.linkedin.com/in/ashbanerjee","http://www.linkedin.com/in/ashbanerjee")</f>
        <v>http://www.linkedin.com/in/ashbanerjee</v>
      </c>
      <c r="I9478" s="2" t="s">
        <v>182</v>
      </c>
      <c r="J9478" s="2" t="s">
        <v>102</v>
      </c>
      <c r="K9478" s="2" t="s">
        <v>14207</v>
      </c>
    </row>
    <row r="9479" ht="15.75" customHeight="1">
      <c r="A9479" s="2">
        <v>212313.0</v>
      </c>
      <c r="B9479" s="2" t="s">
        <v>721</v>
      </c>
      <c r="C9479" s="2" t="s">
        <v>16848</v>
      </c>
      <c r="D9479" s="2" t="s">
        <v>16849</v>
      </c>
      <c r="E9479" s="2" t="s">
        <v>11025</v>
      </c>
      <c r="F9479" s="2" t="s">
        <v>13</v>
      </c>
      <c r="G9479" s="2">
        <v>500.0</v>
      </c>
      <c r="H9479" s="3" t="str">
        <f>HYPERLINK("http://www.linkedin.com/in/andrewruse","http://www.linkedin.com/in/andrewruse")</f>
        <v>http://www.linkedin.com/in/andrewruse</v>
      </c>
      <c r="I9479" s="2" t="s">
        <v>48</v>
      </c>
      <c r="J9479" s="2" t="s">
        <v>102</v>
      </c>
      <c r="K9479" s="2" t="s">
        <v>14095</v>
      </c>
    </row>
    <row r="9480" ht="15.75" customHeight="1">
      <c r="A9480" s="2">
        <v>212322.0</v>
      </c>
      <c r="B9480" s="2" t="s">
        <v>16850</v>
      </c>
      <c r="C9480" s="2" t="s">
        <v>16851</v>
      </c>
      <c r="D9480" s="2" t="s">
        <v>6567</v>
      </c>
      <c r="E9480" s="2" t="s">
        <v>1407</v>
      </c>
      <c r="F9480" s="2">
        <v>8.0</v>
      </c>
      <c r="G9480" s="2">
        <v>500.0</v>
      </c>
      <c r="H9480" s="3" t="str">
        <f>HYPERLINK("http://www.linkedin.com/in/connietwynham","http://www.linkedin.com/in/connietwynham")</f>
        <v>http://www.linkedin.com/in/connietwynham</v>
      </c>
      <c r="I9480" s="2" t="s">
        <v>15</v>
      </c>
      <c r="J9480" s="2" t="s">
        <v>102</v>
      </c>
      <c r="K9480" s="2" t="s">
        <v>15107</v>
      </c>
    </row>
    <row r="9481" ht="15.75" customHeight="1">
      <c r="A9481" s="2">
        <v>212340.0</v>
      </c>
      <c r="B9481" s="2" t="s">
        <v>133</v>
      </c>
      <c r="C9481" s="2" t="s">
        <v>16852</v>
      </c>
      <c r="D9481" s="2" t="s">
        <v>13</v>
      </c>
      <c r="E9481" s="2" t="s">
        <v>13454</v>
      </c>
      <c r="F9481" s="2">
        <v>0.0</v>
      </c>
      <c r="G9481" s="2">
        <v>500.0</v>
      </c>
      <c r="H9481" s="3" t="str">
        <f>HYPERLINK("https://www.linkedin.com/in/msklar","https://www.linkedin.com/in/msklar")</f>
        <v>https://www.linkedin.com/in/msklar</v>
      </c>
      <c r="I9481" s="2" t="s">
        <v>48</v>
      </c>
      <c r="J9481" s="2" t="s">
        <v>102</v>
      </c>
      <c r="K9481" s="2" t="s">
        <v>14142</v>
      </c>
    </row>
    <row r="9482" ht="15.75" customHeight="1">
      <c r="A9482" s="2">
        <v>212349.0</v>
      </c>
      <c r="B9482" s="2" t="s">
        <v>16853</v>
      </c>
      <c r="C9482" s="2" t="s">
        <v>16854</v>
      </c>
      <c r="D9482" s="2" t="s">
        <v>100</v>
      </c>
      <c r="E9482" s="2" t="s">
        <v>914</v>
      </c>
      <c r="F9482" s="2">
        <v>5.0</v>
      </c>
      <c r="G9482" s="2">
        <v>500.0</v>
      </c>
      <c r="H9482" s="3" t="str">
        <f>HYPERLINK("http://www.linkedin.com/in/farshid","http://www.linkedin.com/in/farshid")</f>
        <v>http://www.linkedin.com/in/farshid</v>
      </c>
      <c r="I9482" s="2" t="s">
        <v>48</v>
      </c>
      <c r="J9482" s="2" t="s">
        <v>102</v>
      </c>
      <c r="K9482" s="2" t="s">
        <v>14074</v>
      </c>
    </row>
    <row r="9483" ht="15.75" customHeight="1">
      <c r="A9483" s="2">
        <v>212383.0</v>
      </c>
      <c r="B9483" s="2" t="s">
        <v>15602</v>
      </c>
      <c r="C9483" s="2" t="s">
        <v>16855</v>
      </c>
      <c r="D9483" s="2" t="s">
        <v>16856</v>
      </c>
      <c r="E9483" s="2" t="s">
        <v>762</v>
      </c>
      <c r="F9483" s="2">
        <v>9.0</v>
      </c>
      <c r="G9483" s="2">
        <v>435.0</v>
      </c>
      <c r="H9483" s="3" t="str">
        <f>HYPERLINK("http://www.linkedin.com/in/leaderxy","http://www.linkedin.com/in/leaderxy")</f>
        <v>http://www.linkedin.com/in/leaderxy</v>
      </c>
      <c r="I9483" s="2" t="s">
        <v>1390</v>
      </c>
      <c r="J9483" s="2" t="s">
        <v>102</v>
      </c>
      <c r="K9483" s="2" t="s">
        <v>14074</v>
      </c>
    </row>
    <row r="9484" ht="15.75" customHeight="1">
      <c r="A9484" s="2">
        <v>212441.0</v>
      </c>
      <c r="B9484" s="2" t="s">
        <v>1015</v>
      </c>
      <c r="C9484" s="2" t="s">
        <v>15465</v>
      </c>
      <c r="D9484" s="2" t="s">
        <v>47</v>
      </c>
      <c r="E9484" s="2" t="s">
        <v>1317</v>
      </c>
      <c r="F9484" s="2">
        <v>11.0</v>
      </c>
      <c r="G9484" s="2">
        <v>500.0</v>
      </c>
      <c r="H9484" s="3" t="str">
        <f>HYPERLINK("http://www.linkedin.com/in/brianpcombs","http://www.linkedin.com/in/brianpcombs")</f>
        <v>http://www.linkedin.com/in/brianpcombs</v>
      </c>
      <c r="I9484" s="2" t="s">
        <v>105</v>
      </c>
      <c r="J9484" s="2" t="s">
        <v>102</v>
      </c>
      <c r="K9484" s="2" t="s">
        <v>14092</v>
      </c>
    </row>
    <row r="9485" ht="15.75" customHeight="1">
      <c r="A9485" s="2">
        <v>212469.0</v>
      </c>
      <c r="B9485" s="2" t="s">
        <v>534</v>
      </c>
      <c r="C9485" s="2" t="s">
        <v>1593</v>
      </c>
      <c r="D9485" s="2" t="s">
        <v>16857</v>
      </c>
      <c r="E9485" s="2" t="s">
        <v>15950</v>
      </c>
      <c r="F9485" s="2">
        <v>3.0</v>
      </c>
      <c r="G9485" s="2">
        <v>500.0</v>
      </c>
      <c r="H9485" s="3" t="str">
        <f>HYPERLINK("http://www.linkedin.com/in/matthewadam","http://www.linkedin.com/in/matthewadam")</f>
        <v>http://www.linkedin.com/in/matthewadam</v>
      </c>
      <c r="I9485" s="2" t="s">
        <v>105</v>
      </c>
      <c r="J9485" s="2" t="s">
        <v>102</v>
      </c>
      <c r="K9485" s="2" t="s">
        <v>14055</v>
      </c>
    </row>
    <row r="9486" ht="15.75" customHeight="1">
      <c r="A9486" s="2">
        <v>212481.0</v>
      </c>
      <c r="B9486" s="2" t="s">
        <v>1454</v>
      </c>
      <c r="C9486" s="2" t="s">
        <v>16858</v>
      </c>
      <c r="D9486" s="2" t="s">
        <v>114</v>
      </c>
      <c r="E9486" s="2" t="s">
        <v>305</v>
      </c>
      <c r="F9486" s="2">
        <v>2.0</v>
      </c>
      <c r="G9486" s="2">
        <v>500.0</v>
      </c>
      <c r="H9486" s="3" t="str">
        <f>HYPERLINK("http://www.linkedin.com/in/alanweinkrantz","http://www.linkedin.com/in/alanweinkrantz")</f>
        <v>http://www.linkedin.com/in/alanweinkrantz</v>
      </c>
      <c r="I9486" s="2" t="s">
        <v>844</v>
      </c>
      <c r="J9486" s="2" t="s">
        <v>102</v>
      </c>
      <c r="K9486" s="2" t="s">
        <v>14055</v>
      </c>
    </row>
    <row r="9487" ht="15.75" customHeight="1">
      <c r="A9487" s="2">
        <v>212647.0</v>
      </c>
      <c r="B9487" s="2" t="s">
        <v>12025</v>
      </c>
      <c r="C9487" s="2" t="s">
        <v>1144</v>
      </c>
      <c r="D9487" s="2" t="s">
        <v>517</v>
      </c>
      <c r="E9487" s="2" t="s">
        <v>101</v>
      </c>
      <c r="F9487" s="2">
        <v>22.0</v>
      </c>
      <c r="G9487" s="2">
        <v>397.0</v>
      </c>
      <c r="H9487" s="3" t="str">
        <f>HYPERLINK("http://www.linkedin.com/in/burkeallen","http://www.linkedin.com/in/burkeallen")</f>
        <v>http://www.linkedin.com/in/burkeallen</v>
      </c>
      <c r="I9487" s="2" t="s">
        <v>105</v>
      </c>
      <c r="J9487" s="2" t="s">
        <v>102</v>
      </c>
      <c r="K9487" s="2" t="s">
        <v>14085</v>
      </c>
    </row>
    <row r="9488" ht="15.75" customHeight="1">
      <c r="A9488" s="2">
        <v>212660.0</v>
      </c>
      <c r="B9488" s="2" t="s">
        <v>16859</v>
      </c>
      <c r="C9488" s="2" t="s">
        <v>16860</v>
      </c>
      <c r="D9488" s="2" t="s">
        <v>16861</v>
      </c>
      <c r="E9488" s="2" t="s">
        <v>136</v>
      </c>
      <c r="F9488" s="2">
        <v>27.0</v>
      </c>
      <c r="G9488" s="2">
        <v>500.0</v>
      </c>
      <c r="H9488" s="3" t="str">
        <f>HYPERLINK("http://www.linkedin.com/in/smthatcher","http://www.linkedin.com/in/smthatcher")</f>
        <v>http://www.linkedin.com/in/smthatcher</v>
      </c>
      <c r="I9488" s="2" t="s">
        <v>48</v>
      </c>
      <c r="J9488" s="2" t="s">
        <v>102</v>
      </c>
      <c r="K9488" s="2" t="s">
        <v>14088</v>
      </c>
    </row>
    <row r="9489" ht="15.75" customHeight="1">
      <c r="A9489" s="2">
        <v>212748.0</v>
      </c>
      <c r="B9489" s="2" t="s">
        <v>287</v>
      </c>
      <c r="C9489" s="2" t="s">
        <v>16862</v>
      </c>
      <c r="D9489" s="2" t="s">
        <v>47</v>
      </c>
      <c r="E9489" s="2" t="s">
        <v>762</v>
      </c>
      <c r="F9489" s="2">
        <v>3.0</v>
      </c>
      <c r="G9489" s="2">
        <v>500.0</v>
      </c>
      <c r="H9489" s="3" t="str">
        <f>HYPERLINK("http://www.linkedin.com/in/paultoprac","http://www.linkedin.com/in/paultoprac")</f>
        <v>http://www.linkedin.com/in/paultoprac</v>
      </c>
      <c r="I9489" s="2" t="s">
        <v>440</v>
      </c>
      <c r="J9489" s="2" t="s">
        <v>102</v>
      </c>
      <c r="K9489" s="2" t="s">
        <v>14055</v>
      </c>
    </row>
    <row r="9490" ht="15.75" customHeight="1">
      <c r="A9490" s="2">
        <v>212830.0</v>
      </c>
      <c r="B9490" s="2" t="s">
        <v>15231</v>
      </c>
      <c r="C9490" s="2" t="s">
        <v>14110</v>
      </c>
      <c r="D9490" s="2" t="s">
        <v>884</v>
      </c>
      <c r="E9490" s="2" t="s">
        <v>713</v>
      </c>
      <c r="F9490" s="2">
        <v>22.0</v>
      </c>
      <c r="G9490" s="2">
        <v>500.0</v>
      </c>
      <c r="H9490" s="3" t="str">
        <f>HYPERLINK("http://www.linkedin.com/pub/ali-bliss/0/B16/77","http://www.linkedin.com/pub/ali-bliss/0/B16/77")</f>
        <v>http://www.linkedin.com/pub/ali-bliss/0/B16/77</v>
      </c>
      <c r="I9490" s="2" t="s">
        <v>15</v>
      </c>
      <c r="J9490" s="2" t="s">
        <v>102</v>
      </c>
      <c r="K9490" s="2" t="s">
        <v>14092</v>
      </c>
    </row>
    <row r="9491" ht="15.75" customHeight="1">
      <c r="A9491" s="2">
        <v>212879.0</v>
      </c>
      <c r="B9491" s="2" t="s">
        <v>897</v>
      </c>
      <c r="C9491" s="2" t="s">
        <v>15706</v>
      </c>
      <c r="D9491" s="2"/>
      <c r="E9491" s="2" t="s">
        <v>16863</v>
      </c>
      <c r="F9491" s="2">
        <v>1.0</v>
      </c>
      <c r="G9491" s="2">
        <v>500.0</v>
      </c>
      <c r="H9491" s="3" t="str">
        <f>HYPERLINK("http://www.linkedin.com/pub/jamie-shepard/0/B28/A58","http://www.linkedin.com/pub/jamie-shepard/0/B28/A58")</f>
        <v>http://www.linkedin.com/pub/jamie-shepard/0/B28/A58</v>
      </c>
      <c r="I9491" s="2" t="s">
        <v>15</v>
      </c>
      <c r="J9491" s="2" t="s">
        <v>102</v>
      </c>
      <c r="K9491" s="2" t="s">
        <v>14142</v>
      </c>
    </row>
    <row r="9492" ht="15.75" customHeight="1">
      <c r="A9492" s="2">
        <v>212901.0</v>
      </c>
      <c r="B9492" s="2" t="s">
        <v>285</v>
      </c>
      <c r="C9492" s="2" t="s">
        <v>16864</v>
      </c>
      <c r="D9492" s="2" t="s">
        <v>16865</v>
      </c>
      <c r="E9492" s="2" t="s">
        <v>762</v>
      </c>
      <c r="F9492" s="2">
        <v>17.0</v>
      </c>
      <c r="G9492" s="2">
        <v>500.0</v>
      </c>
      <c r="H9492" s="3" t="str">
        <f>HYPERLINK("http://www.linkedin.com/in/marchafner","http://www.linkedin.com/in/marchafner")</f>
        <v>http://www.linkedin.com/in/marchafner</v>
      </c>
      <c r="I9492" s="2" t="s">
        <v>48</v>
      </c>
      <c r="J9492" s="2" t="s">
        <v>102</v>
      </c>
      <c r="K9492" s="2" t="s">
        <v>14080</v>
      </c>
    </row>
    <row r="9493" ht="15.75" customHeight="1">
      <c r="A9493" s="2">
        <v>212936.0</v>
      </c>
      <c r="B9493" s="2" t="s">
        <v>3763</v>
      </c>
      <c r="C9493" s="2" t="s">
        <v>16866</v>
      </c>
      <c r="D9493" s="2" t="s">
        <v>1098</v>
      </c>
      <c r="E9493" s="2" t="s">
        <v>325</v>
      </c>
      <c r="F9493" s="2">
        <v>2.0</v>
      </c>
      <c r="G9493" s="2">
        <v>500.0</v>
      </c>
      <c r="H9493" s="3" t="str">
        <f>HYPERLINK("http://www.linkedin.com/in/dirkwyckoff","http://www.linkedin.com/in/dirkwyckoff")</f>
        <v>http://www.linkedin.com/in/dirkwyckoff</v>
      </c>
      <c r="I9493" s="2" t="s">
        <v>1452</v>
      </c>
      <c r="J9493" s="2" t="s">
        <v>102</v>
      </c>
      <c r="K9493" s="2" t="s">
        <v>14140</v>
      </c>
    </row>
    <row r="9494" ht="15.75" customHeight="1">
      <c r="A9494" s="2">
        <v>212939.0</v>
      </c>
      <c r="B9494" s="2" t="s">
        <v>302</v>
      </c>
      <c r="C9494" s="2" t="s">
        <v>16867</v>
      </c>
      <c r="D9494" s="2" t="s">
        <v>536</v>
      </c>
      <c r="E9494" s="2" t="s">
        <v>914</v>
      </c>
      <c r="F9494" s="2">
        <v>0.0</v>
      </c>
      <c r="G9494" s="2">
        <v>500.0</v>
      </c>
      <c r="H9494" s="3" t="str">
        <f>HYPERLINK("http://www.linkedin.com/in/billpredmore","http://www.linkedin.com/in/billpredmore")</f>
        <v>http://www.linkedin.com/in/billpredmore</v>
      </c>
      <c r="I9494" s="2" t="s">
        <v>105</v>
      </c>
      <c r="J9494" s="2" t="s">
        <v>102</v>
      </c>
      <c r="K9494" s="2" t="s">
        <v>14092</v>
      </c>
    </row>
    <row r="9495" ht="15.75" customHeight="1">
      <c r="A9495" s="2">
        <v>212941.0</v>
      </c>
      <c r="B9495" s="2" t="s">
        <v>133</v>
      </c>
      <c r="C9495" s="2" t="s">
        <v>16868</v>
      </c>
      <c r="D9495" s="2" t="s">
        <v>16869</v>
      </c>
      <c r="E9495" s="2" t="s">
        <v>762</v>
      </c>
      <c r="F9495" s="2">
        <v>0.0</v>
      </c>
      <c r="G9495" s="2">
        <v>414.0</v>
      </c>
      <c r="H9495" s="3" t="str">
        <f>HYPERLINK("http://www.linkedin.com/in/michaelcation","http://www.linkedin.com/in/michaelcation")</f>
        <v>http://www.linkedin.com/in/michaelcation</v>
      </c>
      <c r="I9495" s="2" t="s">
        <v>15</v>
      </c>
      <c r="J9495" s="2" t="s">
        <v>102</v>
      </c>
      <c r="K9495" s="2" t="s">
        <v>14080</v>
      </c>
    </row>
    <row r="9496" ht="15.75" customHeight="1">
      <c r="A9496" s="2">
        <v>212953.0</v>
      </c>
      <c r="B9496" s="2" t="s">
        <v>238</v>
      </c>
      <c r="C9496" s="2" t="s">
        <v>16870</v>
      </c>
      <c r="D9496" s="2" t="s">
        <v>1017</v>
      </c>
      <c r="E9496" s="2" t="s">
        <v>1190</v>
      </c>
      <c r="F9496" s="2">
        <v>0.0</v>
      </c>
      <c r="G9496" s="2">
        <v>243.0</v>
      </c>
      <c r="H9496" s="3" t="str">
        <f>HYPERLINK("http://www.linkedin.com/pub/juan-camprubi/11/763/762","http://www.linkedin.com/pub/juan-camprubi/11/763/762")</f>
        <v>http://www.linkedin.com/pub/juan-camprubi/11/763/762</v>
      </c>
      <c r="I9496" s="2" t="s">
        <v>15</v>
      </c>
      <c r="J9496" s="2" t="s">
        <v>102</v>
      </c>
      <c r="K9496" s="2" t="s">
        <v>14095</v>
      </c>
    </row>
    <row r="9497" ht="15.75" customHeight="1">
      <c r="A9497" s="2">
        <v>212978.0</v>
      </c>
      <c r="B9497" s="2" t="s">
        <v>1364</v>
      </c>
      <c r="C9497" s="2" t="s">
        <v>16871</v>
      </c>
      <c r="D9497" s="2" t="s">
        <v>42</v>
      </c>
      <c r="E9497" s="2" t="s">
        <v>4951</v>
      </c>
      <c r="F9497" s="2">
        <v>14.0</v>
      </c>
      <c r="G9497" s="2">
        <v>323.0</v>
      </c>
      <c r="H9497" s="3" t="str">
        <f>HYPERLINK("http://www.linkedin.com/in/dennismoxley","http://www.linkedin.com/in/dennismoxley")</f>
        <v>http://www.linkedin.com/in/dennismoxley</v>
      </c>
      <c r="I9497" s="2" t="s">
        <v>15</v>
      </c>
      <c r="J9497" s="2" t="s">
        <v>102</v>
      </c>
      <c r="K9497" s="2" t="s">
        <v>14074</v>
      </c>
    </row>
    <row r="9498" ht="15.75" customHeight="1">
      <c r="A9498" s="2">
        <v>213008.0</v>
      </c>
      <c r="B9498" s="2" t="s">
        <v>784</v>
      </c>
      <c r="C9498" s="2" t="s">
        <v>15081</v>
      </c>
      <c r="D9498" s="2" t="s">
        <v>42</v>
      </c>
      <c r="E9498" s="2" t="s">
        <v>914</v>
      </c>
      <c r="F9498" s="2">
        <v>6.0</v>
      </c>
      <c r="G9498" s="2">
        <v>500.0</v>
      </c>
      <c r="H9498" s="3" t="str">
        <f>HYPERLINK("http://www.linkedin.com/in/jefftreed","http://www.linkedin.com/in/jefftreed")</f>
        <v>http://www.linkedin.com/in/jefftreed</v>
      </c>
      <c r="I9498" s="2" t="s">
        <v>15</v>
      </c>
      <c r="J9498" s="2" t="s">
        <v>102</v>
      </c>
      <c r="K9498" s="2" t="s">
        <v>14422</v>
      </c>
    </row>
    <row r="9499" ht="15.75" customHeight="1">
      <c r="A9499" s="2">
        <v>213026.0</v>
      </c>
      <c r="B9499" s="2" t="s">
        <v>16872</v>
      </c>
      <c r="C9499" s="2" t="s">
        <v>16873</v>
      </c>
      <c r="D9499" s="2" t="s">
        <v>47</v>
      </c>
      <c r="E9499" s="2" t="s">
        <v>20</v>
      </c>
      <c r="F9499" s="2">
        <v>0.0</v>
      </c>
      <c r="G9499" s="2">
        <v>250.0</v>
      </c>
      <c r="H9499" s="3" t="str">
        <f>HYPERLINK("http://ar.linkedin.com/pub/junior-mackinlay/12/B7B/7A3","http://ar.linkedin.com/pub/junior-mackinlay/12/B7B/7A3")</f>
        <v>http://ar.linkedin.com/pub/junior-mackinlay/12/B7B/7A3</v>
      </c>
      <c r="I9499" s="2" t="s">
        <v>15</v>
      </c>
      <c r="J9499" s="2" t="s">
        <v>21</v>
      </c>
      <c r="K9499" s="2" t="s">
        <v>14074</v>
      </c>
    </row>
    <row r="9500" ht="15.75" customHeight="1">
      <c r="A9500" s="2">
        <v>213083.0</v>
      </c>
      <c r="B9500" s="2" t="s">
        <v>460</v>
      </c>
      <c r="C9500" s="2" t="s">
        <v>16558</v>
      </c>
      <c r="D9500" s="2" t="s">
        <v>400</v>
      </c>
      <c r="E9500" s="2" t="s">
        <v>301</v>
      </c>
      <c r="F9500" s="2">
        <v>11.0</v>
      </c>
      <c r="G9500" s="2">
        <v>500.0</v>
      </c>
      <c r="H9500" s="3" t="str">
        <f>HYPERLINK("http://www.linkedin.com/in/jtbuckley","http://www.linkedin.com/in/jtbuckley")</f>
        <v>http://www.linkedin.com/in/jtbuckley</v>
      </c>
      <c r="I9500" s="2" t="s">
        <v>1237</v>
      </c>
      <c r="J9500" s="2" t="s">
        <v>102</v>
      </c>
      <c r="K9500" s="2" t="s">
        <v>14105</v>
      </c>
    </row>
    <row r="9501" ht="15.75" customHeight="1">
      <c r="A9501" s="2">
        <v>213102.0</v>
      </c>
      <c r="B9501" s="2" t="s">
        <v>285</v>
      </c>
      <c r="C9501" s="2" t="s">
        <v>1325</v>
      </c>
      <c r="D9501" s="2" t="s">
        <v>100</v>
      </c>
      <c r="E9501" s="2" t="s">
        <v>713</v>
      </c>
      <c r="F9501" s="2">
        <v>4.0</v>
      </c>
      <c r="G9501" s="2">
        <v>500.0</v>
      </c>
      <c r="H9501" s="3" t="str">
        <f>HYPERLINK("http://www.linkedin.com/in/marcmiller1","http://www.linkedin.com/in/marcmiller1")</f>
        <v>http://www.linkedin.com/in/marcmiller1</v>
      </c>
      <c r="I9501" s="2" t="s">
        <v>15</v>
      </c>
      <c r="J9501" s="2" t="s">
        <v>102</v>
      </c>
      <c r="K9501" s="2" t="s">
        <v>14204</v>
      </c>
    </row>
    <row r="9502" ht="15.75" customHeight="1">
      <c r="A9502" s="2">
        <v>213122.0</v>
      </c>
      <c r="B9502" s="2" t="s">
        <v>16874</v>
      </c>
      <c r="C9502" s="2" t="s">
        <v>16875</v>
      </c>
      <c r="D9502" s="2" t="s">
        <v>16876</v>
      </c>
      <c r="E9502" s="2" t="s">
        <v>713</v>
      </c>
      <c r="F9502" s="2">
        <v>0.0</v>
      </c>
      <c r="G9502" s="2">
        <v>500.0</v>
      </c>
      <c r="H9502" s="3" t="str">
        <f>HYPERLINK("http://www.linkedin.com/pub/dipankar-choudhury/16/527/434","http://www.linkedin.com/pub/dipankar-choudhury/16/527/434")</f>
        <v>http://www.linkedin.com/pub/dipankar-choudhury/16/527/434</v>
      </c>
      <c r="I9502" s="2" t="s">
        <v>48</v>
      </c>
      <c r="J9502" s="2" t="s">
        <v>102</v>
      </c>
      <c r="K9502" s="2" t="s">
        <v>15759</v>
      </c>
    </row>
    <row r="9503" ht="15.75" customHeight="1">
      <c r="A9503" s="2">
        <v>213138.0</v>
      </c>
      <c r="B9503" s="2" t="s">
        <v>1458</v>
      </c>
      <c r="C9503" s="2" t="s">
        <v>12276</v>
      </c>
      <c r="D9503" s="2" t="s">
        <v>16877</v>
      </c>
      <c r="E9503" s="2" t="s">
        <v>713</v>
      </c>
      <c r="F9503" s="2">
        <v>0.0</v>
      </c>
      <c r="G9503" s="2">
        <v>500.0</v>
      </c>
      <c r="H9503" s="3" t="str">
        <f>HYPERLINK("http://www.linkedin.com/pub/todd-foley/1/51/794","http://www.linkedin.com/pub/todd-foley/1/51/794")</f>
        <v>http://www.linkedin.com/pub/todd-foley/1/51/794</v>
      </c>
      <c r="I9503" s="2" t="s">
        <v>15</v>
      </c>
      <c r="J9503" s="2" t="s">
        <v>102</v>
      </c>
      <c r="K9503" s="2" t="s">
        <v>14339</v>
      </c>
    </row>
    <row r="9504" ht="15.75" customHeight="1">
      <c r="A9504" s="2">
        <v>213188.0</v>
      </c>
      <c r="B9504" s="2" t="s">
        <v>2856</v>
      </c>
      <c r="C9504" s="2" t="s">
        <v>16878</v>
      </c>
      <c r="D9504" s="2" t="s">
        <v>309</v>
      </c>
      <c r="E9504" s="2" t="s">
        <v>136</v>
      </c>
      <c r="F9504" s="2">
        <v>2.0</v>
      </c>
      <c r="G9504" s="2">
        <v>500.0</v>
      </c>
      <c r="H9504" s="3" t="str">
        <f>HYPERLINK("http://www.linkedin.com/in/derekcollison","http://www.linkedin.com/in/derekcollison")</f>
        <v>http://www.linkedin.com/in/derekcollison</v>
      </c>
      <c r="I9504" s="2" t="s">
        <v>48</v>
      </c>
      <c r="J9504" s="2" t="s">
        <v>102</v>
      </c>
      <c r="K9504" s="2" t="s">
        <v>14073</v>
      </c>
    </row>
    <row r="9505" ht="15.75" customHeight="1">
      <c r="A9505" s="2">
        <v>213189.0</v>
      </c>
      <c r="B9505" s="2" t="s">
        <v>133</v>
      </c>
      <c r="C9505" s="2" t="s">
        <v>16879</v>
      </c>
      <c r="D9505" s="2" t="s">
        <v>16880</v>
      </c>
      <c r="E9505" s="2" t="s">
        <v>713</v>
      </c>
      <c r="F9505" s="2">
        <v>0.0</v>
      </c>
      <c r="G9505" s="2">
        <v>500.0</v>
      </c>
      <c r="H9505" s="3" t="str">
        <f>HYPERLINK("http://www.linkedin.com/pub/michael-margolis/16/9B6/226","http://www.linkedin.com/pub/michael-margolis/16/9B6/226")</f>
        <v>http://www.linkedin.com/pub/michael-margolis/16/9B6/226</v>
      </c>
      <c r="I9505" s="2" t="s">
        <v>77</v>
      </c>
      <c r="J9505" s="2" t="s">
        <v>102</v>
      </c>
      <c r="K9505" s="2" t="s">
        <v>15140</v>
      </c>
    </row>
    <row r="9506" ht="15.75" customHeight="1">
      <c r="A9506" s="2">
        <v>213235.0</v>
      </c>
      <c r="B9506" s="2" t="s">
        <v>412</v>
      </c>
      <c r="C9506" s="2" t="s">
        <v>5208</v>
      </c>
      <c r="D9506" s="2" t="s">
        <v>100</v>
      </c>
      <c r="E9506" s="2" t="s">
        <v>989</v>
      </c>
      <c r="F9506" s="2">
        <v>11.0</v>
      </c>
      <c r="G9506" s="2">
        <v>500.0</v>
      </c>
      <c r="H9506" s="3" t="str">
        <f>HYPERLINK("http://www.linkedin.com/pub/robert-steele/0/8B5/62","http://www.linkedin.com/pub/robert-steele/0/8B5/62")</f>
        <v>http://www.linkedin.com/pub/robert-steele/0/8B5/62</v>
      </c>
      <c r="I9506" s="2" t="s">
        <v>15</v>
      </c>
      <c r="J9506" s="2" t="s">
        <v>102</v>
      </c>
      <c r="K9506" s="2" t="s">
        <v>14242</v>
      </c>
    </row>
    <row r="9507" ht="15.75" customHeight="1">
      <c r="A9507" s="2">
        <v>213277.0</v>
      </c>
      <c r="B9507" s="2" t="s">
        <v>16881</v>
      </c>
      <c r="C9507" s="2" t="s">
        <v>16882</v>
      </c>
      <c r="D9507" s="2" t="s">
        <v>47</v>
      </c>
      <c r="E9507" s="2" t="s">
        <v>301</v>
      </c>
      <c r="F9507" s="2" t="s">
        <v>13</v>
      </c>
      <c r="G9507" s="2">
        <v>143.0</v>
      </c>
      <c r="H9507" s="3" t="str">
        <f>HYPERLINK("http://www.linkedin.com/pub/gita-jagarnauth/4/B1A/945","http://www.linkedin.com/pub/gita-jagarnauth/4/B1A/945")</f>
        <v>http://www.linkedin.com/pub/gita-jagarnauth/4/B1A/945</v>
      </c>
      <c r="I9507" s="2" t="s">
        <v>105</v>
      </c>
      <c r="J9507" s="2" t="s">
        <v>102</v>
      </c>
      <c r="K9507" s="2" t="s">
        <v>14092</v>
      </c>
    </row>
    <row r="9508" ht="15.75" customHeight="1">
      <c r="A9508" s="2">
        <v>213296.0</v>
      </c>
      <c r="B9508" s="2" t="s">
        <v>511</v>
      </c>
      <c r="C9508" s="2" t="s">
        <v>16883</v>
      </c>
      <c r="D9508" s="2" t="s">
        <v>47</v>
      </c>
      <c r="E9508" s="2" t="s">
        <v>16884</v>
      </c>
      <c r="F9508" s="2">
        <v>21.0</v>
      </c>
      <c r="G9508" s="2">
        <v>500.0</v>
      </c>
      <c r="H9508" s="3" t="str">
        <f>HYPERLINK("http://www.linkedin.com/in/mikecheves","http://www.linkedin.com/in/mikecheves")</f>
        <v>http://www.linkedin.com/in/mikecheves</v>
      </c>
      <c r="I9508" s="2" t="s">
        <v>57</v>
      </c>
      <c r="J9508" s="2" t="s">
        <v>102</v>
      </c>
      <c r="K9508" s="2" t="s">
        <v>14074</v>
      </c>
    </row>
    <row r="9509" ht="15.75" customHeight="1">
      <c r="A9509" s="2">
        <v>213323.0</v>
      </c>
      <c r="B9509" s="2" t="s">
        <v>2286</v>
      </c>
      <c r="C9509" s="2" t="s">
        <v>9870</v>
      </c>
      <c r="D9509" s="2" t="s">
        <v>4080</v>
      </c>
      <c r="E9509" s="2" t="s">
        <v>136</v>
      </c>
      <c r="F9509" s="2">
        <v>29.0</v>
      </c>
      <c r="G9509" s="2">
        <v>500.0</v>
      </c>
      <c r="H9509" s="3" t="str">
        <f>HYPERLINK("http://www.linkedin.com/pub/amy-guarino/0/996/939","http://www.linkedin.com/pub/amy-guarino/0/996/939")</f>
        <v>http://www.linkedin.com/pub/amy-guarino/0/996/939</v>
      </c>
      <c r="I9509" s="2" t="s">
        <v>48</v>
      </c>
      <c r="J9509" s="2" t="s">
        <v>102</v>
      </c>
      <c r="K9509" s="2" t="s">
        <v>14080</v>
      </c>
    </row>
    <row r="9510" ht="15.75" customHeight="1">
      <c r="A9510" s="2">
        <v>213328.0</v>
      </c>
      <c r="B9510" s="2" t="s">
        <v>245</v>
      </c>
      <c r="C9510" s="2" t="s">
        <v>16885</v>
      </c>
      <c r="D9510" s="2" t="s">
        <v>13</v>
      </c>
      <c r="E9510" s="2" t="s">
        <v>14934</v>
      </c>
      <c r="F9510" s="2">
        <v>0.0</v>
      </c>
      <c r="G9510" s="2">
        <v>500.0</v>
      </c>
      <c r="H9510" s="3" t="str">
        <f>HYPERLINK("http://www.linkedin.com/in/sjacobson","http://www.linkedin.com/in/sjacobson")</f>
        <v>http://www.linkedin.com/in/sjacobson</v>
      </c>
      <c r="I9510" s="2" t="s">
        <v>48</v>
      </c>
      <c r="J9510" s="2" t="s">
        <v>102</v>
      </c>
      <c r="K9510" s="2" t="s">
        <v>14080</v>
      </c>
    </row>
    <row r="9511" ht="15.75" customHeight="1">
      <c r="A9511" s="2">
        <v>213425.0</v>
      </c>
      <c r="B9511" s="2" t="s">
        <v>1752</v>
      </c>
      <c r="C9511" s="2" t="s">
        <v>16886</v>
      </c>
      <c r="D9511" s="2" t="s">
        <v>13</v>
      </c>
      <c r="E9511" s="2" t="s">
        <v>1317</v>
      </c>
      <c r="F9511" s="2">
        <v>0.0</v>
      </c>
      <c r="G9511" s="2">
        <v>500.0</v>
      </c>
      <c r="H9511" s="3" t="str">
        <f>HYPERLINK("http://www.linkedin.com/in/darrellwoelk","http://www.linkedin.com/in/darrellwoelk")</f>
        <v>http://www.linkedin.com/in/darrellwoelk</v>
      </c>
      <c r="I9511" s="2" t="s">
        <v>48</v>
      </c>
      <c r="J9511" s="2" t="s">
        <v>102</v>
      </c>
      <c r="K9511" s="2" t="s">
        <v>14078</v>
      </c>
    </row>
    <row r="9512" ht="15.75" customHeight="1">
      <c r="A9512" s="2">
        <v>213431.0</v>
      </c>
      <c r="B9512" s="2" t="s">
        <v>8565</v>
      </c>
      <c r="C9512" s="2" t="s">
        <v>16887</v>
      </c>
      <c r="D9512" s="2" t="s">
        <v>13</v>
      </c>
      <c r="E9512" s="2" t="s">
        <v>136</v>
      </c>
      <c r="F9512" s="2">
        <v>2.0</v>
      </c>
      <c r="G9512" s="2">
        <v>500.0</v>
      </c>
      <c r="H9512" s="3" t="str">
        <f>HYPERLINK("http://www.linkedin.com/in/budko","http://www.linkedin.com/in/budko")</f>
        <v>http://www.linkedin.com/in/budko</v>
      </c>
      <c r="I9512" s="2" t="s">
        <v>48</v>
      </c>
      <c r="J9512" s="2" t="s">
        <v>102</v>
      </c>
      <c r="K9512" s="2" t="s">
        <v>14092</v>
      </c>
    </row>
    <row r="9513" ht="15.75" customHeight="1">
      <c r="A9513" s="2">
        <v>213451.0</v>
      </c>
      <c r="B9513" s="2" t="s">
        <v>16888</v>
      </c>
      <c r="C9513" s="2" t="s">
        <v>2314</v>
      </c>
      <c r="D9513" s="2" t="s">
        <v>309</v>
      </c>
      <c r="E9513" s="2" t="s">
        <v>882</v>
      </c>
      <c r="F9513" s="2" t="s">
        <v>13</v>
      </c>
      <c r="G9513" s="2">
        <v>500.0</v>
      </c>
      <c r="H9513" s="3" t="str">
        <f>HYPERLINK("http://www.linkedin.com/in/stephenamiles","http://www.linkedin.com/in/stephenamiles")</f>
        <v>http://www.linkedin.com/in/stephenamiles</v>
      </c>
      <c r="I9513" s="2" t="s">
        <v>57</v>
      </c>
      <c r="J9513" s="2" t="s">
        <v>102</v>
      </c>
      <c r="K9513" s="2" t="s">
        <v>14055</v>
      </c>
    </row>
    <row r="9514" ht="15.75" customHeight="1">
      <c r="A9514" s="2">
        <v>213478.0</v>
      </c>
      <c r="B9514" s="2" t="s">
        <v>189</v>
      </c>
      <c r="C9514" s="2" t="s">
        <v>16889</v>
      </c>
      <c r="D9514" s="2" t="s">
        <v>47</v>
      </c>
      <c r="E9514" s="2" t="s">
        <v>305</v>
      </c>
      <c r="F9514" s="2">
        <v>13.0</v>
      </c>
      <c r="G9514" s="2">
        <v>500.0</v>
      </c>
      <c r="H9514" s="3" t="str">
        <f>HYPERLINK("http://www.linkedin.com/in/deanmccall","http://www.linkedin.com/in/deanmccall")</f>
        <v>http://www.linkedin.com/in/deanmccall</v>
      </c>
      <c r="I9514" s="2" t="s">
        <v>48</v>
      </c>
      <c r="J9514" s="2" t="s">
        <v>102</v>
      </c>
      <c r="K9514" s="2" t="s">
        <v>14073</v>
      </c>
    </row>
    <row r="9515" ht="15.75" customHeight="1">
      <c r="A9515" s="2">
        <v>213510.0</v>
      </c>
      <c r="B9515" s="2" t="s">
        <v>5476</v>
      </c>
      <c r="C9515" s="2" t="s">
        <v>16890</v>
      </c>
      <c r="D9515" s="2" t="s">
        <v>47</v>
      </c>
      <c r="E9515" s="2" t="s">
        <v>301</v>
      </c>
      <c r="F9515" s="2">
        <v>2.0</v>
      </c>
      <c r="G9515" s="2">
        <v>500.0</v>
      </c>
      <c r="H9515" s="3" t="str">
        <f>HYPERLINK("http://www.linkedin.com/in/carolschwam","http://www.linkedin.com/in/carolschwam")</f>
        <v>http://www.linkedin.com/in/carolschwam</v>
      </c>
      <c r="I9515" s="2" t="s">
        <v>248</v>
      </c>
      <c r="J9515" s="2" t="s">
        <v>102</v>
      </c>
      <c r="K9515" s="2" t="s">
        <v>14105</v>
      </c>
    </row>
    <row r="9516" ht="15.75" customHeight="1">
      <c r="A9516" s="2">
        <v>213531.0</v>
      </c>
      <c r="B9516" s="2" t="s">
        <v>16891</v>
      </c>
      <c r="C9516" s="2" t="s">
        <v>1934</v>
      </c>
      <c r="D9516" s="2" t="s">
        <v>13</v>
      </c>
      <c r="E9516" s="2" t="s">
        <v>713</v>
      </c>
      <c r="F9516" s="2">
        <v>0.0</v>
      </c>
      <c r="G9516" s="2">
        <v>500.0</v>
      </c>
      <c r="H9516" s="3" t="str">
        <f>HYPERLINK("http://www.linkedin.com/pub/nataly-kelly/0/417/170?trk=pub-pbmap","http://www.linkedin.com/pub/nataly-kelly/0/417/170?trk=pub-pbmap")</f>
        <v>http://www.linkedin.com/pub/nataly-kelly/0/417/170?trk=pub-pbmap</v>
      </c>
      <c r="I9516" s="2" t="s">
        <v>105</v>
      </c>
      <c r="J9516" s="2" t="s">
        <v>102</v>
      </c>
      <c r="K9516" s="2" t="s">
        <v>14204</v>
      </c>
    </row>
    <row r="9517" ht="15.75" customHeight="1">
      <c r="A9517" s="2">
        <v>213558.0</v>
      </c>
      <c r="B9517" s="2" t="s">
        <v>16892</v>
      </c>
      <c r="C9517" s="2" t="s">
        <v>3943</v>
      </c>
      <c r="D9517" s="2" t="s">
        <v>16893</v>
      </c>
      <c r="E9517" s="2" t="s">
        <v>301</v>
      </c>
      <c r="F9517" s="2">
        <v>1.0</v>
      </c>
      <c r="G9517" s="2">
        <v>500.0</v>
      </c>
      <c r="H9517" s="3" t="str">
        <f>HYPERLINK("http://www.linkedin.com/pub/enrique-quique-rodriguez/2/46B/5A6","http://www.linkedin.com/pub/enrique-quique-rodriguez/2/46B/5A6")</f>
        <v>http://www.linkedin.com/pub/enrique-quique-rodriguez/2/46B/5A6</v>
      </c>
      <c r="I9517" s="2" t="s">
        <v>15</v>
      </c>
      <c r="J9517" s="2" t="s">
        <v>102</v>
      </c>
      <c r="K9517" s="2" t="s">
        <v>14565</v>
      </c>
    </row>
    <row r="9518" ht="15.75" customHeight="1">
      <c r="A9518" s="2">
        <v>213677.0</v>
      </c>
      <c r="B9518" s="2" t="s">
        <v>302</v>
      </c>
      <c r="C9518" s="2" t="s">
        <v>1299</v>
      </c>
      <c r="D9518" s="2" t="s">
        <v>517</v>
      </c>
      <c r="E9518" s="2" t="s">
        <v>989</v>
      </c>
      <c r="F9518" s="2">
        <v>2.0</v>
      </c>
      <c r="G9518" s="2">
        <v>322.0</v>
      </c>
      <c r="H9518" s="3" t="str">
        <f>HYPERLINK("http://www.linkedin.com/in/wmbarnett","http://www.linkedin.com/in/wmbarnett")</f>
        <v>http://www.linkedin.com/in/wmbarnett</v>
      </c>
      <c r="I9518" s="2" t="s">
        <v>15</v>
      </c>
      <c r="J9518" s="2" t="s">
        <v>102</v>
      </c>
      <c r="K9518" s="2" t="s">
        <v>14073</v>
      </c>
    </row>
    <row r="9519" ht="15.75" customHeight="1">
      <c r="A9519" s="2">
        <v>213704.0</v>
      </c>
      <c r="B9519" s="2" t="s">
        <v>534</v>
      </c>
      <c r="C9519" s="2" t="s">
        <v>16894</v>
      </c>
      <c r="D9519" s="2" t="s">
        <v>13</v>
      </c>
      <c r="E9519" s="2" t="s">
        <v>914</v>
      </c>
      <c r="F9519" s="2">
        <v>0.0</v>
      </c>
      <c r="G9519" s="2">
        <v>500.0</v>
      </c>
      <c r="H9519" s="3" t="str">
        <f>HYPERLINK("http://www.linkedin.com/in/matthewloysduncan/","http://www.linkedin.com/in/matthewloysduncan/")</f>
        <v>http://www.linkedin.com/in/matthewloysduncan/</v>
      </c>
      <c r="I9519" s="2" t="s">
        <v>69</v>
      </c>
      <c r="J9519" s="2" t="s">
        <v>102</v>
      </c>
      <c r="K9519" s="2" t="s">
        <v>14052</v>
      </c>
    </row>
    <row r="9520" ht="15.75" customHeight="1">
      <c r="A9520" s="2">
        <v>213755.0</v>
      </c>
      <c r="B9520" s="2" t="s">
        <v>45</v>
      </c>
      <c r="C9520" s="2" t="s">
        <v>7018</v>
      </c>
      <c r="D9520" s="2" t="s">
        <v>114</v>
      </c>
      <c r="E9520" s="2" t="s">
        <v>1190</v>
      </c>
      <c r="F9520" s="2">
        <v>4.0</v>
      </c>
      <c r="G9520" s="2">
        <v>500.0</v>
      </c>
      <c r="H9520" s="3" t="str">
        <f>HYPERLINK("http://www.linkedin.com/in/carlos75","http://www.linkedin.com/in/carlos75")</f>
        <v>http://www.linkedin.com/in/carlos75</v>
      </c>
      <c r="I9520" s="2" t="s">
        <v>105</v>
      </c>
      <c r="J9520" s="2" t="s">
        <v>102</v>
      </c>
      <c r="K9520" s="2" t="s">
        <v>14105</v>
      </c>
    </row>
    <row r="9521" ht="15.75" customHeight="1">
      <c r="A9521" s="2">
        <v>213786.0</v>
      </c>
      <c r="B9521" s="2" t="s">
        <v>677</v>
      </c>
      <c r="C9521" s="2" t="s">
        <v>16895</v>
      </c>
      <c r="D9521" s="2" t="s">
        <v>1145</v>
      </c>
      <c r="E9521" s="2" t="s">
        <v>762</v>
      </c>
      <c r="F9521" s="2">
        <v>86.0</v>
      </c>
      <c r="G9521" s="2">
        <v>500.0</v>
      </c>
      <c r="H9521" s="3" t="str">
        <f>HYPERLINK("http://www.linkedin.com/in/solidexecutive","http://www.linkedin.com/in/solidexecutive")</f>
        <v>http://www.linkedin.com/in/solidexecutive</v>
      </c>
      <c r="I9521" s="2" t="s">
        <v>57</v>
      </c>
      <c r="J9521" s="2" t="s">
        <v>102</v>
      </c>
      <c r="K9521" s="2" t="s">
        <v>14074</v>
      </c>
    </row>
    <row r="9522" ht="15.75" customHeight="1">
      <c r="A9522" s="2">
        <v>213798.0</v>
      </c>
      <c r="B9522" s="2" t="s">
        <v>5408</v>
      </c>
      <c r="C9522" s="2" t="s">
        <v>16896</v>
      </c>
      <c r="D9522" s="2" t="s">
        <v>47</v>
      </c>
      <c r="E9522" s="2" t="s">
        <v>136</v>
      </c>
      <c r="F9522" s="2" t="s">
        <v>13</v>
      </c>
      <c r="G9522" s="2">
        <v>500.0</v>
      </c>
      <c r="H9522" s="3" t="str">
        <f>HYPERLINK("http://www.linkedin.com/in/boxaaron","http://www.linkedin.com/in/boxaaron")</f>
        <v>http://www.linkedin.com/in/boxaaron</v>
      </c>
      <c r="I9522" s="2" t="s">
        <v>69</v>
      </c>
      <c r="J9522" s="2" t="s">
        <v>102</v>
      </c>
      <c r="K9522" s="2" t="s">
        <v>14080</v>
      </c>
    </row>
    <row r="9523" ht="15.75" customHeight="1">
      <c r="A9523" s="2">
        <v>213859.0</v>
      </c>
      <c r="B9523" s="2" t="s">
        <v>511</v>
      </c>
      <c r="C9523" s="2" t="s">
        <v>15351</v>
      </c>
      <c r="D9523" s="2" t="s">
        <v>16897</v>
      </c>
      <c r="E9523" s="2" t="s">
        <v>11902</v>
      </c>
      <c r="F9523" s="2">
        <v>4.0</v>
      </c>
      <c r="G9523" s="2">
        <v>500.0</v>
      </c>
      <c r="H9523" s="3" t="str">
        <f>HYPERLINK("http://www.linkedin.com/in/mikemcmurray","http://www.linkedin.com/in/mikemcmurray")</f>
        <v>http://www.linkedin.com/in/mikemcmurray</v>
      </c>
      <c r="I9523" s="2" t="s">
        <v>48</v>
      </c>
      <c r="J9523" s="2" t="s">
        <v>102</v>
      </c>
      <c r="K9523" s="2" t="s">
        <v>14422</v>
      </c>
    </row>
    <row r="9524" ht="15.75" customHeight="1">
      <c r="A9524" s="2">
        <v>213867.0</v>
      </c>
      <c r="B9524" s="2" t="s">
        <v>3184</v>
      </c>
      <c r="C9524" s="2" t="s">
        <v>177</v>
      </c>
      <c r="D9524" s="2" t="s">
        <v>15731</v>
      </c>
      <c r="E9524" s="2" t="s">
        <v>136</v>
      </c>
      <c r="F9524" s="2">
        <v>0.0</v>
      </c>
      <c r="G9524" s="2">
        <v>500.0</v>
      </c>
      <c r="H9524" s="3" t="str">
        <f>HYPERLINK("http://www.linkedin.com/pub/ilya-asnis/0/59B/729","http://www.linkedin.com/pub/ilya-asnis/0/59B/729")</f>
        <v>http://www.linkedin.com/pub/ilya-asnis/0/59B/729</v>
      </c>
      <c r="I9524" s="2" t="s">
        <v>1452</v>
      </c>
      <c r="J9524" s="2" t="s">
        <v>102</v>
      </c>
      <c r="K9524" s="2" t="s">
        <v>14617</v>
      </c>
    </row>
    <row r="9525" ht="15.75" customHeight="1">
      <c r="A9525" s="2">
        <v>213873.0</v>
      </c>
      <c r="B9525" s="2" t="s">
        <v>879</v>
      </c>
      <c r="C9525" s="2" t="s">
        <v>4365</v>
      </c>
      <c r="D9525" s="2" t="s">
        <v>16898</v>
      </c>
      <c r="E9525" s="2" t="s">
        <v>136</v>
      </c>
      <c r="F9525" s="2">
        <v>2.0</v>
      </c>
      <c r="G9525" s="2">
        <v>500.0</v>
      </c>
      <c r="H9525" s="3" t="str">
        <f>HYPERLINK("http://www.linkedin.com/pub/richard-stark/0/1BB/935","http://www.linkedin.com/pub/richard-stark/0/1BB/935")</f>
        <v>http://www.linkedin.com/pub/richard-stark/0/1BB/935</v>
      </c>
      <c r="I9525" s="2" t="s">
        <v>1452</v>
      </c>
      <c r="J9525" s="2" t="s">
        <v>102</v>
      </c>
      <c r="K9525" s="2" t="s">
        <v>14495</v>
      </c>
    </row>
    <row r="9526" ht="15.75" customHeight="1">
      <c r="A9526" s="2">
        <v>213894.0</v>
      </c>
      <c r="B9526" s="2" t="s">
        <v>2567</v>
      </c>
      <c r="C9526" s="2" t="s">
        <v>59</v>
      </c>
      <c r="D9526" s="2" t="s">
        <v>410</v>
      </c>
      <c r="E9526" s="2" t="s">
        <v>301</v>
      </c>
      <c r="F9526" s="2">
        <v>0.0</v>
      </c>
      <c r="G9526" s="2">
        <v>226.0</v>
      </c>
      <c r="H9526" s="3" t="str">
        <f>HYPERLINK("http://www.linkedin.com/pub/christopher-martin/5/30/714","http://www.linkedin.com/pub/christopher-martin/5/30/714")</f>
        <v>http://www.linkedin.com/pub/christopher-martin/5/30/714</v>
      </c>
      <c r="I9526" s="2" t="s">
        <v>279</v>
      </c>
      <c r="J9526" s="2" t="s">
        <v>102</v>
      </c>
      <c r="K9526" s="2" t="s">
        <v>14197</v>
      </c>
    </row>
    <row r="9527" ht="15.75" customHeight="1">
      <c r="A9527" s="2">
        <v>213898.0</v>
      </c>
      <c r="B9527" s="2" t="s">
        <v>784</v>
      </c>
      <c r="C9527" s="2" t="s">
        <v>16899</v>
      </c>
      <c r="D9527" s="2" t="s">
        <v>16900</v>
      </c>
      <c r="E9527" s="2" t="s">
        <v>713</v>
      </c>
      <c r="F9527" s="2">
        <v>18.0</v>
      </c>
      <c r="G9527" s="2">
        <v>500.0</v>
      </c>
      <c r="H9527" s="3" t="str">
        <f>HYPERLINK("http://www.linkedin.com/in/jeffbelanger","http://www.linkedin.com/in/jeffbelanger")</f>
        <v>http://www.linkedin.com/in/jeffbelanger</v>
      </c>
      <c r="I9527" s="2" t="s">
        <v>105</v>
      </c>
      <c r="J9527" s="2" t="s">
        <v>102</v>
      </c>
      <c r="K9527" s="2" t="s">
        <v>14102</v>
      </c>
    </row>
    <row r="9528" ht="15.75" customHeight="1">
      <c r="A9528" s="2">
        <v>213899.0</v>
      </c>
      <c r="B9528" s="2" t="s">
        <v>1004</v>
      </c>
      <c r="C9528" s="2" t="s">
        <v>16901</v>
      </c>
      <c r="D9528" s="2" t="s">
        <v>13</v>
      </c>
      <c r="E9528" s="2" t="s">
        <v>136</v>
      </c>
      <c r="F9528" s="2">
        <v>0.0</v>
      </c>
      <c r="G9528" s="2">
        <v>113.0</v>
      </c>
      <c r="H9528" s="3" t="str">
        <f>HYPERLINK("http://www.linkedin.com/in/scottclawson","http://www.linkedin.com/in/scottclawson")</f>
        <v>http://www.linkedin.com/in/scottclawson</v>
      </c>
      <c r="I9528" s="2" t="s">
        <v>48</v>
      </c>
      <c r="J9528" s="2" t="s">
        <v>102</v>
      </c>
      <c r="K9528" s="2" t="s">
        <v>14080</v>
      </c>
    </row>
    <row r="9529" ht="15.75" customHeight="1">
      <c r="A9529" s="2">
        <v>213909.0</v>
      </c>
      <c r="B9529" s="2" t="s">
        <v>710</v>
      </c>
      <c r="C9529" s="2" t="s">
        <v>16902</v>
      </c>
      <c r="D9529" s="2" t="s">
        <v>47</v>
      </c>
      <c r="E9529" s="2" t="s">
        <v>301</v>
      </c>
      <c r="F9529" s="2">
        <v>20.0</v>
      </c>
      <c r="G9529" s="2">
        <v>500.0</v>
      </c>
      <c r="H9529" s="3" t="str">
        <f>HYPERLINK("http://www.linkedin.com/in/jasonkeath","http://www.linkedin.com/in/jasonkeath")</f>
        <v>http://www.linkedin.com/in/jasonkeath</v>
      </c>
      <c r="I9529" s="2" t="s">
        <v>105</v>
      </c>
      <c r="J9529" s="2" t="s">
        <v>102</v>
      </c>
      <c r="K9529" s="2" t="s">
        <v>14074</v>
      </c>
    </row>
    <row r="9530" ht="15.75" customHeight="1">
      <c r="A9530" s="2">
        <v>213913.0</v>
      </c>
      <c r="B9530" s="2" t="s">
        <v>10862</v>
      </c>
      <c r="C9530" s="2" t="s">
        <v>16903</v>
      </c>
      <c r="D9530" s="2" t="s">
        <v>16904</v>
      </c>
      <c r="E9530" s="2" t="s">
        <v>136</v>
      </c>
      <c r="F9530" s="2">
        <v>15.0</v>
      </c>
      <c r="G9530" s="2">
        <v>500.0</v>
      </c>
      <c r="H9530" s="3" t="str">
        <f>HYPERLINK("http://www.linkedin.com/in/clairedarling","http://www.linkedin.com/in/clairedarling")</f>
        <v>http://www.linkedin.com/in/clairedarling</v>
      </c>
      <c r="I9530" s="2" t="s">
        <v>48</v>
      </c>
      <c r="J9530" s="2" t="s">
        <v>102</v>
      </c>
      <c r="K9530" s="2" t="s">
        <v>14088</v>
      </c>
    </row>
    <row r="9531" ht="15.75" customHeight="1">
      <c r="A9531" s="2">
        <v>213935.0</v>
      </c>
      <c r="B9531" s="2" t="s">
        <v>1751</v>
      </c>
      <c r="C9531" s="2" t="s">
        <v>16905</v>
      </c>
      <c r="D9531" s="2" t="s">
        <v>16906</v>
      </c>
      <c r="E9531" s="2" t="s">
        <v>301</v>
      </c>
      <c r="F9531" s="2">
        <v>2.0</v>
      </c>
      <c r="G9531" s="2">
        <v>500.0</v>
      </c>
      <c r="H9531" s="3" t="str">
        <f>HYPERLINK("http://www.linkedin.com/in/elliotteasterling","http://www.linkedin.com/in/elliotteasterling")</f>
        <v>http://www.linkedin.com/in/elliotteasterling</v>
      </c>
      <c r="I9531" s="2" t="s">
        <v>105</v>
      </c>
      <c r="J9531" s="2" t="s">
        <v>102</v>
      </c>
      <c r="K9531" s="2" t="s">
        <v>14074</v>
      </c>
    </row>
    <row r="9532" ht="15.75" customHeight="1">
      <c r="A9532" s="2">
        <v>213988.0</v>
      </c>
      <c r="B9532" s="2" t="s">
        <v>302</v>
      </c>
      <c r="C9532" s="2" t="s">
        <v>16907</v>
      </c>
      <c r="D9532" s="2" t="s">
        <v>114</v>
      </c>
      <c r="E9532" s="2" t="s">
        <v>3005</v>
      </c>
      <c r="F9532" s="2">
        <v>1.0</v>
      </c>
      <c r="G9532" s="2">
        <v>500.0</v>
      </c>
      <c r="H9532" s="3" t="str">
        <f>HYPERLINK("http://www.linkedin.com/pub/bill-geist/0/14B/288","http://www.linkedin.com/pub/bill-geist/0/14B/288")</f>
        <v>http://www.linkedin.com/pub/bill-geist/0/14B/288</v>
      </c>
      <c r="I9532" s="2" t="s">
        <v>57</v>
      </c>
      <c r="J9532" s="2" t="s">
        <v>102</v>
      </c>
      <c r="K9532" s="2" t="s">
        <v>14105</v>
      </c>
    </row>
    <row r="9533" ht="15.75" customHeight="1">
      <c r="A9533" s="2">
        <v>214050.0</v>
      </c>
      <c r="B9533" s="2" t="s">
        <v>12998</v>
      </c>
      <c r="C9533" s="2" t="s">
        <v>206</v>
      </c>
      <c r="D9533" s="2" t="s">
        <v>114</v>
      </c>
      <c r="E9533" s="2" t="s">
        <v>136</v>
      </c>
      <c r="F9533" s="2" t="s">
        <v>13</v>
      </c>
      <c r="G9533" s="2">
        <v>413.0</v>
      </c>
      <c r="H9533" s="3" t="str">
        <f>HYPERLINK("http://www.linkedin.com/pub/jp-garcia/0/5A5/A4","http://www.linkedin.com/pub/jp-garcia/0/5A5/A4")</f>
        <v>http://www.linkedin.com/pub/jp-garcia/0/5A5/A4</v>
      </c>
      <c r="I9533" s="2" t="s">
        <v>48</v>
      </c>
      <c r="J9533" s="2" t="s">
        <v>102</v>
      </c>
      <c r="K9533" s="2" t="s">
        <v>14088</v>
      </c>
    </row>
    <row r="9534" ht="15.75" customHeight="1">
      <c r="A9534" s="2">
        <v>214117.0</v>
      </c>
      <c r="B9534" s="2" t="s">
        <v>839</v>
      </c>
      <c r="C9534" s="2" t="s">
        <v>3484</v>
      </c>
      <c r="D9534" s="2" t="s">
        <v>47</v>
      </c>
      <c r="E9534" s="2" t="s">
        <v>235</v>
      </c>
      <c r="F9534" s="2">
        <v>7.0</v>
      </c>
      <c r="G9534" s="2">
        <v>500.0</v>
      </c>
      <c r="H9534" s="3" t="str">
        <f>HYPERLINK("http://www.linkedin.com/in/davegarrett","http://www.linkedin.com/in/davegarrett")</f>
        <v>http://www.linkedin.com/in/davegarrett</v>
      </c>
      <c r="I9534" s="2" t="s">
        <v>69</v>
      </c>
      <c r="J9534" s="2" t="s">
        <v>102</v>
      </c>
      <c r="K9534" s="2" t="s">
        <v>14073</v>
      </c>
    </row>
    <row r="9535" ht="15.75" customHeight="1">
      <c r="A9535" s="2">
        <v>214131.0</v>
      </c>
      <c r="B9535" s="2" t="s">
        <v>1391</v>
      </c>
      <c r="C9535" s="2" t="s">
        <v>16908</v>
      </c>
      <c r="D9535" s="2" t="s">
        <v>13</v>
      </c>
      <c r="E9535" s="2" t="s">
        <v>713</v>
      </c>
      <c r="F9535" s="2">
        <v>6.0</v>
      </c>
      <c r="G9535" s="2">
        <v>500.0</v>
      </c>
      <c r="H9535" s="3" t="str">
        <f>HYPERLINK("http://www.linkedin.com/in/santanuroymoulik","http://www.linkedin.com/in/santanuroymoulik")</f>
        <v>http://www.linkedin.com/in/santanuroymoulik</v>
      </c>
      <c r="I9535" s="2" t="s">
        <v>48</v>
      </c>
      <c r="J9535" s="2" t="s">
        <v>102</v>
      </c>
      <c r="K9535" s="2" t="s">
        <v>14197</v>
      </c>
    </row>
    <row r="9536" ht="15.75" customHeight="1">
      <c r="A9536" s="2">
        <v>214145.0</v>
      </c>
      <c r="B9536" s="2" t="s">
        <v>1260</v>
      </c>
      <c r="C9536" s="2" t="s">
        <v>16909</v>
      </c>
      <c r="D9536" s="2" t="s">
        <v>13</v>
      </c>
      <c r="E9536" s="2" t="s">
        <v>181</v>
      </c>
      <c r="F9536" s="2">
        <v>6.0</v>
      </c>
      <c r="G9536" s="2">
        <v>500.0</v>
      </c>
      <c r="H9536" s="3" t="str">
        <f>HYPERLINK("http://www.linkedin.com/pub/darren-sumter/0/17A/153","http://www.linkedin.com/pub/darren-sumter/0/17A/153")</f>
        <v>http://www.linkedin.com/pub/darren-sumter/0/17A/153</v>
      </c>
      <c r="I9536" s="2" t="s">
        <v>15</v>
      </c>
      <c r="J9536" s="2" t="s">
        <v>102</v>
      </c>
      <c r="K9536" s="2" t="s">
        <v>14080</v>
      </c>
    </row>
    <row r="9537" ht="15.75" customHeight="1">
      <c r="A9537" s="2">
        <v>214205.0</v>
      </c>
      <c r="B9537" s="2" t="s">
        <v>2457</v>
      </c>
      <c r="C9537" s="2" t="s">
        <v>16910</v>
      </c>
      <c r="D9537" s="2" t="s">
        <v>16911</v>
      </c>
      <c r="E9537" s="2" t="s">
        <v>2058</v>
      </c>
      <c r="F9537" s="2">
        <v>1.0</v>
      </c>
      <c r="G9537" s="2">
        <v>500.0</v>
      </c>
      <c r="H9537" s="3" t="str">
        <f>HYPERLINK("http://www.linkedin.com/in/sboyle","http://www.linkedin.com/in/sboyle")</f>
        <v>http://www.linkedin.com/in/sboyle</v>
      </c>
      <c r="I9537" s="2" t="s">
        <v>15</v>
      </c>
      <c r="J9537" s="2" t="s">
        <v>102</v>
      </c>
      <c r="K9537" s="2" t="s">
        <v>14495</v>
      </c>
    </row>
    <row r="9538" ht="15.75" customHeight="1">
      <c r="A9538" s="2">
        <v>214243.0</v>
      </c>
      <c r="B9538" s="2" t="s">
        <v>839</v>
      </c>
      <c r="C9538" s="2" t="s">
        <v>4012</v>
      </c>
      <c r="D9538" s="2" t="s">
        <v>16912</v>
      </c>
      <c r="E9538" s="2" t="s">
        <v>762</v>
      </c>
      <c r="F9538" s="2">
        <v>17.0</v>
      </c>
      <c r="G9538" s="2">
        <v>500.0</v>
      </c>
      <c r="H9538" s="3" t="str">
        <f>HYPERLINK("http://www.linkedin.com/in/evansdave","http://www.linkedin.com/in/evansdave")</f>
        <v>http://www.linkedin.com/in/evansdave</v>
      </c>
      <c r="I9538" s="2" t="s">
        <v>48</v>
      </c>
      <c r="J9538" s="2" t="s">
        <v>102</v>
      </c>
      <c r="K9538" s="2" t="s">
        <v>14088</v>
      </c>
    </row>
    <row r="9539" ht="15.75" customHeight="1">
      <c r="A9539" s="2">
        <v>214367.0</v>
      </c>
      <c r="B9539" s="2" t="s">
        <v>4067</v>
      </c>
      <c r="C9539" s="2" t="s">
        <v>3247</v>
      </c>
      <c r="D9539" s="2" t="s">
        <v>5237</v>
      </c>
      <c r="E9539" s="2" t="s">
        <v>2090</v>
      </c>
      <c r="F9539" s="2">
        <v>2.0</v>
      </c>
      <c r="G9539" s="2">
        <v>500.0</v>
      </c>
      <c r="H9539" s="3" t="str">
        <f>HYPERLINK("http://ca.linkedin.com/in/jeremyigoldberg","http://ca.linkedin.com/in/jeremyigoldberg")</f>
        <v>http://ca.linkedin.com/in/jeremyigoldberg</v>
      </c>
      <c r="I9539" s="2" t="s">
        <v>458</v>
      </c>
      <c r="J9539" s="2" t="s">
        <v>44</v>
      </c>
      <c r="K9539" s="2" t="s">
        <v>14092</v>
      </c>
    </row>
    <row r="9540" ht="15.75" customHeight="1">
      <c r="A9540" s="2">
        <v>214384.0</v>
      </c>
      <c r="B9540" s="2" t="s">
        <v>824</v>
      </c>
      <c r="C9540" s="2" t="s">
        <v>16913</v>
      </c>
      <c r="D9540" s="2" t="s">
        <v>16914</v>
      </c>
      <c r="E9540" s="2" t="s">
        <v>301</v>
      </c>
      <c r="F9540" s="2">
        <v>0.0</v>
      </c>
      <c r="G9540" s="2">
        <v>500.0</v>
      </c>
      <c r="H9540" s="3" t="str">
        <f>HYPERLINK("http://www.linkedin.com/in/pearson125","http://www.linkedin.com/in/pearson125")</f>
        <v>http://www.linkedin.com/in/pearson125</v>
      </c>
      <c r="I9540" s="2" t="s">
        <v>15</v>
      </c>
      <c r="J9540" s="2" t="s">
        <v>102</v>
      </c>
      <c r="K9540" s="2" t="s">
        <v>14088</v>
      </c>
    </row>
    <row r="9541" ht="15.75" customHeight="1">
      <c r="A9541" s="2">
        <v>214485.0</v>
      </c>
      <c r="B9541" s="2" t="s">
        <v>5301</v>
      </c>
      <c r="C9541" s="2" t="s">
        <v>16915</v>
      </c>
      <c r="D9541" s="2" t="s">
        <v>16916</v>
      </c>
      <c r="E9541" s="2" t="s">
        <v>713</v>
      </c>
      <c r="F9541" s="2">
        <v>0.0</v>
      </c>
      <c r="G9541" s="2">
        <v>500.0</v>
      </c>
      <c r="H9541" s="3" t="str">
        <f>HYPERLINK("http://www.linkedin.com/pub/raphael-meyerowitz/1/70A/654","http://www.linkedin.com/pub/raphael-meyerowitz/1/70A/654")</f>
        <v>http://www.linkedin.com/pub/raphael-meyerowitz/1/70A/654</v>
      </c>
      <c r="I9541" s="2" t="s">
        <v>15</v>
      </c>
      <c r="J9541" s="2" t="s">
        <v>102</v>
      </c>
      <c r="K9541" s="2" t="s">
        <v>16917</v>
      </c>
    </row>
    <row r="9542" ht="15.75" customHeight="1">
      <c r="A9542" s="2">
        <v>214518.0</v>
      </c>
      <c r="B9542" s="2" t="s">
        <v>2752</v>
      </c>
      <c r="C9542" s="2" t="s">
        <v>2528</v>
      </c>
      <c r="D9542" s="2" t="s">
        <v>16918</v>
      </c>
      <c r="E9542" s="2" t="s">
        <v>808</v>
      </c>
      <c r="F9542" s="2">
        <v>1.0</v>
      </c>
      <c r="G9542" s="2">
        <v>500.0</v>
      </c>
      <c r="H9542" s="3" t="str">
        <f>HYPERLINK("http://www.linkedin.com/pub/craig-harper/1/720/74A","http://www.linkedin.com/pub/craig-harper/1/720/74A")</f>
        <v>http://www.linkedin.com/pub/craig-harper/1/720/74A</v>
      </c>
      <c r="I9542" s="2" t="s">
        <v>48</v>
      </c>
      <c r="J9542" s="2" t="s">
        <v>102</v>
      </c>
      <c r="K9542" s="2" t="s">
        <v>14088</v>
      </c>
    </row>
    <row r="9543" ht="15.75" customHeight="1">
      <c r="A9543" s="2">
        <v>214558.0</v>
      </c>
      <c r="B9543" s="2" t="s">
        <v>991</v>
      </c>
      <c r="C9543" s="2" t="s">
        <v>16919</v>
      </c>
      <c r="D9543" s="2" t="s">
        <v>943</v>
      </c>
      <c r="E9543" s="2" t="s">
        <v>3709</v>
      </c>
      <c r="F9543" s="2">
        <v>2.0</v>
      </c>
      <c r="G9543" s="2">
        <v>500.0</v>
      </c>
      <c r="H9543" s="3" t="str">
        <f>HYPERLINK("http://uk.linkedin.com/pub/graham-curme/0/264/449","http://uk.linkedin.com/pub/graham-curme/0/264/449")</f>
        <v>http://uk.linkedin.com/pub/graham-curme/0/264/449</v>
      </c>
      <c r="I9543" s="2" t="s">
        <v>15</v>
      </c>
      <c r="J9543" s="2" t="s">
        <v>53</v>
      </c>
      <c r="K9543" s="2" t="s">
        <v>14242</v>
      </c>
    </row>
    <row r="9544" ht="15.75" customHeight="1">
      <c r="A9544" s="2">
        <v>214650.0</v>
      </c>
      <c r="B9544" s="2" t="s">
        <v>774</v>
      </c>
      <c r="C9544" s="2" t="s">
        <v>16920</v>
      </c>
      <c r="D9544" s="2" t="s">
        <v>16921</v>
      </c>
      <c r="E9544" s="2" t="s">
        <v>301</v>
      </c>
      <c r="F9544" s="2" t="s">
        <v>13</v>
      </c>
      <c r="G9544" s="2">
        <v>342.0</v>
      </c>
      <c r="H9544" s="3" t="str">
        <f>HYPERLINK("http://www.linkedin.com/in/bburdumy","http://www.linkedin.com/in/bburdumy")</f>
        <v>http://www.linkedin.com/in/bburdumy</v>
      </c>
      <c r="I9544" s="2" t="s">
        <v>15</v>
      </c>
      <c r="J9544" s="2" t="s">
        <v>102</v>
      </c>
      <c r="K9544" s="2" t="s">
        <v>14088</v>
      </c>
    </row>
    <row r="9545" ht="15.75" customHeight="1">
      <c r="A9545" s="2">
        <v>214738.0</v>
      </c>
      <c r="B9545" s="2" t="s">
        <v>511</v>
      </c>
      <c r="C9545" s="2" t="s">
        <v>820</v>
      </c>
      <c r="D9545" s="2" t="s">
        <v>16922</v>
      </c>
      <c r="E9545" s="2" t="s">
        <v>16923</v>
      </c>
      <c r="F9545" s="2">
        <v>3.0</v>
      </c>
      <c r="G9545" s="2">
        <v>500.0</v>
      </c>
      <c r="H9545" s="3" t="str">
        <f>HYPERLINK("http://uk.linkedin.com/pub/mike-moore/0/AA/719","http://uk.linkedin.com/pub/mike-moore/0/AA/719")</f>
        <v>http://uk.linkedin.com/pub/mike-moore/0/AA/719</v>
      </c>
      <c r="I9545" s="2" t="s">
        <v>326</v>
      </c>
      <c r="J9545" s="2" t="s">
        <v>102</v>
      </c>
      <c r="K9545" s="2" t="s">
        <v>16924</v>
      </c>
    </row>
    <row r="9546" ht="15.75" customHeight="1">
      <c r="A9546" s="2">
        <v>214755.0</v>
      </c>
      <c r="B9546" s="2" t="s">
        <v>839</v>
      </c>
      <c r="C9546" s="2" t="s">
        <v>1153</v>
      </c>
      <c r="D9546" s="2" t="s">
        <v>114</v>
      </c>
      <c r="E9546" s="2" t="s">
        <v>744</v>
      </c>
      <c r="F9546" s="2">
        <v>6.0</v>
      </c>
      <c r="G9546" s="2">
        <v>500.0</v>
      </c>
      <c r="H9546" s="3" t="str">
        <f>HYPERLINK("http://www.linkedin.com/in/davebrownny","http://www.linkedin.com/in/davebrownny")</f>
        <v>http://www.linkedin.com/in/davebrownny</v>
      </c>
      <c r="I9546" s="2" t="s">
        <v>15</v>
      </c>
      <c r="J9546" s="2" t="s">
        <v>102</v>
      </c>
      <c r="K9546" s="2" t="s">
        <v>14080</v>
      </c>
    </row>
    <row r="9547" ht="15.75" customHeight="1">
      <c r="A9547" s="2">
        <v>214797.0</v>
      </c>
      <c r="B9547" s="2" t="s">
        <v>16925</v>
      </c>
      <c r="C9547" s="2" t="s">
        <v>5335</v>
      </c>
      <c r="D9547" s="2" t="s">
        <v>4410</v>
      </c>
      <c r="E9547" s="2" t="s">
        <v>305</v>
      </c>
      <c r="F9547" s="2">
        <v>57.0</v>
      </c>
      <c r="G9547" s="2">
        <v>500.0</v>
      </c>
      <c r="H9547" s="3" t="str">
        <f>HYPERLINK("http://www.linkedin.com/in/shonharris","http://www.linkedin.com/in/shonharris")</f>
        <v>http://www.linkedin.com/in/shonharris</v>
      </c>
      <c r="I9547" s="2" t="s">
        <v>160</v>
      </c>
      <c r="J9547" s="2" t="s">
        <v>102</v>
      </c>
      <c r="K9547" s="2" t="s">
        <v>14211</v>
      </c>
    </row>
    <row r="9548" ht="15.75" customHeight="1">
      <c r="A9548" s="2">
        <v>214809.0</v>
      </c>
      <c r="B9548" s="2" t="s">
        <v>862</v>
      </c>
      <c r="C9548" s="2" t="s">
        <v>16926</v>
      </c>
      <c r="D9548" s="2" t="s">
        <v>16927</v>
      </c>
      <c r="E9548" s="2" t="s">
        <v>1407</v>
      </c>
      <c r="F9548" s="2">
        <v>4.0</v>
      </c>
      <c r="G9548" s="2">
        <v>500.0</v>
      </c>
      <c r="H9548" s="3" t="str">
        <f>HYPERLINK("http://www.linkedin.com/in/galcazar","http://www.linkedin.com/in/galcazar")</f>
        <v>http://www.linkedin.com/in/galcazar</v>
      </c>
      <c r="I9548" s="2" t="s">
        <v>15</v>
      </c>
      <c r="J9548" s="2" t="s">
        <v>102</v>
      </c>
      <c r="K9548" s="2" t="s">
        <v>14092</v>
      </c>
    </row>
    <row r="9549" ht="15.75" customHeight="1">
      <c r="A9549" s="2">
        <v>214814.0</v>
      </c>
      <c r="B9549" s="2" t="s">
        <v>5408</v>
      </c>
      <c r="C9549" s="2" t="s">
        <v>9579</v>
      </c>
      <c r="D9549" s="2" t="s">
        <v>13</v>
      </c>
      <c r="E9549" s="2" t="s">
        <v>914</v>
      </c>
      <c r="F9549" s="2">
        <v>0.0</v>
      </c>
      <c r="G9549" s="2">
        <v>500.0</v>
      </c>
      <c r="H9549" s="3" t="str">
        <f>HYPERLINK("https://www.linkedin.com/in/aaronsweeney","https://www.linkedin.com/in/aaronsweeney")</f>
        <v>https://www.linkedin.com/in/aaronsweeney</v>
      </c>
      <c r="I9549" s="2" t="s">
        <v>15</v>
      </c>
      <c r="J9549" s="2" t="s">
        <v>102</v>
      </c>
      <c r="K9549" s="2" t="s">
        <v>14074</v>
      </c>
    </row>
    <row r="9550" ht="15.75" customHeight="1">
      <c r="A9550" s="2">
        <v>214847.0</v>
      </c>
      <c r="B9550" s="2" t="s">
        <v>1019</v>
      </c>
      <c r="C9550" s="2" t="s">
        <v>16928</v>
      </c>
      <c r="D9550" s="2" t="s">
        <v>2224</v>
      </c>
      <c r="E9550" s="2" t="s">
        <v>989</v>
      </c>
      <c r="F9550" s="2">
        <v>14.0</v>
      </c>
      <c r="G9550" s="2">
        <v>500.0</v>
      </c>
      <c r="H9550" s="3" t="str">
        <f>HYPERLINK("http://www.linkedin.com/in/mattmountain","http://www.linkedin.com/in/mattmountain")</f>
        <v>http://www.linkedin.com/in/mattmountain</v>
      </c>
      <c r="I9550" s="2" t="s">
        <v>15</v>
      </c>
      <c r="J9550" s="2" t="s">
        <v>102</v>
      </c>
      <c r="K9550" s="2" t="s">
        <v>14197</v>
      </c>
    </row>
    <row r="9551" ht="15.75" customHeight="1">
      <c r="A9551" s="2">
        <v>214870.0</v>
      </c>
      <c r="B9551" s="2" t="s">
        <v>291</v>
      </c>
      <c r="C9551" s="2" t="s">
        <v>16929</v>
      </c>
      <c r="D9551" s="2" t="s">
        <v>16930</v>
      </c>
      <c r="E9551" s="2" t="s">
        <v>713</v>
      </c>
      <c r="F9551" s="2">
        <v>0.0</v>
      </c>
      <c r="G9551" s="2">
        <v>500.0</v>
      </c>
      <c r="H9551" s="3" t="str">
        <f>HYPERLINK("http://www.linkedin.com/pub/gary-reardon/1/89B/3B4","http://www.linkedin.com/pub/gary-reardon/1/89B/3B4")</f>
        <v>http://www.linkedin.com/pub/gary-reardon/1/89B/3B4</v>
      </c>
      <c r="I9551" s="2" t="s">
        <v>15</v>
      </c>
      <c r="J9551" s="2" t="s">
        <v>102</v>
      </c>
      <c r="K9551" s="2" t="s">
        <v>14339</v>
      </c>
    </row>
    <row r="9552" ht="15.75" customHeight="1">
      <c r="A9552" s="2">
        <v>214933.0</v>
      </c>
      <c r="B9552" s="2" t="s">
        <v>1751</v>
      </c>
      <c r="C9552" s="2" t="s">
        <v>1986</v>
      </c>
      <c r="D9552" s="2" t="s">
        <v>13</v>
      </c>
      <c r="E9552" s="2" t="s">
        <v>713</v>
      </c>
      <c r="F9552" s="2">
        <v>1.0</v>
      </c>
      <c r="G9552" s="2">
        <v>500.0</v>
      </c>
      <c r="H9552" s="3" t="str">
        <f>HYPERLINK("http://www.linkedin.com/in/elliottparker","http://www.linkedin.com/in/elliottparker")</f>
        <v>http://www.linkedin.com/in/elliottparker</v>
      </c>
      <c r="I9552" s="2" t="s">
        <v>57</v>
      </c>
      <c r="J9552" s="2" t="s">
        <v>102</v>
      </c>
      <c r="K9552" s="2" t="s">
        <v>14092</v>
      </c>
    </row>
    <row r="9553" ht="15.75" customHeight="1">
      <c r="A9553" s="2">
        <v>214988.0</v>
      </c>
      <c r="B9553" s="2" t="s">
        <v>845</v>
      </c>
      <c r="C9553" s="2" t="s">
        <v>16931</v>
      </c>
      <c r="D9553" s="2" t="s">
        <v>15254</v>
      </c>
      <c r="E9553" s="2" t="s">
        <v>136</v>
      </c>
      <c r="F9553" s="2">
        <v>13.0</v>
      </c>
      <c r="G9553" s="2">
        <v>500.0</v>
      </c>
      <c r="H9553" s="3" t="str">
        <f>HYPERLINK("http://www.linkedin.com/in/davidcli","http://www.linkedin.com/in/davidcli")</f>
        <v>http://www.linkedin.com/in/davidcli</v>
      </c>
      <c r="I9553" s="2" t="s">
        <v>69</v>
      </c>
      <c r="J9553" s="2" t="s">
        <v>102</v>
      </c>
      <c r="K9553" s="2" t="s">
        <v>14071</v>
      </c>
    </row>
    <row r="9554" ht="15.75" customHeight="1">
      <c r="A9554" s="2">
        <v>215115.0</v>
      </c>
      <c r="B9554" s="2" t="s">
        <v>16932</v>
      </c>
      <c r="C9554" s="2" t="s">
        <v>16933</v>
      </c>
      <c r="D9554" s="2" t="s">
        <v>1062</v>
      </c>
      <c r="E9554" s="2" t="s">
        <v>11902</v>
      </c>
      <c r="F9554" s="2">
        <v>12.0</v>
      </c>
      <c r="G9554" s="2">
        <v>500.0</v>
      </c>
      <c r="H9554" s="3" t="str">
        <f>HYPERLINK("http://www.linkedin.com/in/pedroalcosta","http://www.linkedin.com/in/pedroalcosta")</f>
        <v>http://www.linkedin.com/in/pedroalcosta</v>
      </c>
      <c r="I9554" s="2" t="s">
        <v>844</v>
      </c>
      <c r="J9554" s="2" t="s">
        <v>102</v>
      </c>
      <c r="K9554" s="2" t="s">
        <v>14074</v>
      </c>
    </row>
    <row r="9555" ht="15.75" customHeight="1">
      <c r="A9555" s="2">
        <v>215130.0</v>
      </c>
      <c r="B9555" s="2" t="s">
        <v>45</v>
      </c>
      <c r="C9555" s="2" t="s">
        <v>16934</v>
      </c>
      <c r="D9555" s="2" t="s">
        <v>16810</v>
      </c>
      <c r="E9555" s="2" t="s">
        <v>1918</v>
      </c>
      <c r="F9555" s="2">
        <v>8.0</v>
      </c>
      <c r="G9555" s="2">
        <v>355.0</v>
      </c>
      <c r="H9555" s="3" t="str">
        <f>HYPERLINK("http://www.linkedin.com/in/carlosmartinezjr","http://www.linkedin.com/in/carlosmartinezjr")</f>
        <v>http://www.linkedin.com/in/carlosmartinezjr</v>
      </c>
      <c r="I9555" s="2" t="s">
        <v>15</v>
      </c>
      <c r="J9555" s="2" t="s">
        <v>102</v>
      </c>
      <c r="K9555" s="2" t="s">
        <v>14339</v>
      </c>
    </row>
    <row r="9556" ht="15.75" customHeight="1">
      <c r="A9556" s="2">
        <v>215156.0</v>
      </c>
      <c r="B9556" s="2" t="s">
        <v>1585</v>
      </c>
      <c r="C9556" s="2" t="s">
        <v>16935</v>
      </c>
      <c r="D9556" s="2" t="s">
        <v>16936</v>
      </c>
      <c r="E9556" s="2" t="s">
        <v>16937</v>
      </c>
      <c r="F9556" s="2">
        <v>24.0</v>
      </c>
      <c r="G9556" s="2">
        <v>500.0</v>
      </c>
      <c r="H9556" s="3" t="str">
        <f>HYPERLINK("http://www.linkedin.com/in/thomashobika","http://www.linkedin.com/in/thomashobika")</f>
        <v>http://www.linkedin.com/in/thomashobika</v>
      </c>
      <c r="I9556" s="2" t="s">
        <v>77</v>
      </c>
      <c r="J9556" s="2" t="s">
        <v>102</v>
      </c>
      <c r="K9556" s="2" t="s">
        <v>14102</v>
      </c>
    </row>
    <row r="9557" ht="15.75" customHeight="1">
      <c r="A9557" s="2">
        <v>215217.0</v>
      </c>
      <c r="B9557" s="2" t="s">
        <v>16938</v>
      </c>
      <c r="C9557" s="2" t="s">
        <v>3207</v>
      </c>
      <c r="D9557" s="2"/>
      <c r="E9557" s="2" t="s">
        <v>136</v>
      </c>
      <c r="F9557" s="2">
        <v>9.0</v>
      </c>
      <c r="G9557" s="2">
        <v>500.0</v>
      </c>
      <c r="H9557" s="3" t="str">
        <f>HYPERLINK("http://www.linkedin.com/pub/shabana-siraj/0/661/597","http://www.linkedin.com/pub/shabana-siraj/0/661/597")</f>
        <v>http://www.linkedin.com/pub/shabana-siraj/0/661/597</v>
      </c>
      <c r="I9557" s="2" t="s">
        <v>15</v>
      </c>
      <c r="J9557" s="2" t="s">
        <v>102</v>
      </c>
      <c r="K9557" s="2" t="s">
        <v>14080</v>
      </c>
    </row>
    <row r="9558" ht="15.75" customHeight="1">
      <c r="A9558" s="2">
        <v>215227.0</v>
      </c>
      <c r="B9558" s="2" t="s">
        <v>1380</v>
      </c>
      <c r="C9558" s="2" t="s">
        <v>16939</v>
      </c>
      <c r="D9558" s="2" t="s">
        <v>16940</v>
      </c>
      <c r="E9558" s="2" t="s">
        <v>16941</v>
      </c>
      <c r="F9558" s="2">
        <v>1.0</v>
      </c>
      <c r="G9558" s="2">
        <v>500.0</v>
      </c>
      <c r="H9558" s="3" t="str">
        <f>HYPERLINK("http://www.linkedin.com/pub/randy-seidl/1/B42/A72","http://www.linkedin.com/pub/randy-seidl/1/B42/A72")</f>
        <v>http://www.linkedin.com/pub/randy-seidl/1/B42/A72</v>
      </c>
      <c r="I9558" s="2" t="s">
        <v>15</v>
      </c>
      <c r="J9558" s="2" t="s">
        <v>102</v>
      </c>
      <c r="K9558" s="2" t="s">
        <v>14095</v>
      </c>
    </row>
    <row r="9559" ht="15.75" customHeight="1">
      <c r="A9559" s="2">
        <v>215242.0</v>
      </c>
      <c r="B9559" s="2" t="s">
        <v>1653</v>
      </c>
      <c r="C9559" s="2" t="s">
        <v>16942</v>
      </c>
      <c r="D9559" s="2" t="s">
        <v>2274</v>
      </c>
      <c r="E9559" s="2" t="s">
        <v>713</v>
      </c>
      <c r="F9559" s="2">
        <v>5.0</v>
      </c>
      <c r="G9559" s="2">
        <v>500.0</v>
      </c>
      <c r="H9559" s="3" t="str">
        <f>HYPERLINK("https://www.linkedin.com/in/memespark","https://www.linkedin.com/in/memespark")</f>
        <v>https://www.linkedin.com/in/memespark</v>
      </c>
      <c r="I9559" s="2" t="s">
        <v>440</v>
      </c>
      <c r="J9559" s="2" t="s">
        <v>102</v>
      </c>
      <c r="K9559" s="2" t="s">
        <v>14111</v>
      </c>
    </row>
    <row r="9560" ht="15.75" customHeight="1">
      <c r="A9560" s="2">
        <v>215284.0</v>
      </c>
      <c r="B9560" s="2" t="s">
        <v>879</v>
      </c>
      <c r="C9560" s="2" t="s">
        <v>16943</v>
      </c>
      <c r="D9560" s="2" t="s">
        <v>16944</v>
      </c>
      <c r="E9560" s="2" t="s">
        <v>11902</v>
      </c>
      <c r="F9560" s="2">
        <v>11.0</v>
      </c>
      <c r="G9560" s="2">
        <v>500.0</v>
      </c>
      <c r="H9560" s="3" t="str">
        <f>HYPERLINK("http://www.linkedin.com/pub/richard-vander-meer/0/472/788","http://www.linkedin.com/pub/richard-vander-meer/0/472/788")</f>
        <v>http://www.linkedin.com/pub/richard-vander-meer/0/472/788</v>
      </c>
      <c r="I9560" s="2" t="s">
        <v>69</v>
      </c>
      <c r="J9560" s="2" t="s">
        <v>102</v>
      </c>
      <c r="K9560" s="2" t="s">
        <v>14111</v>
      </c>
    </row>
    <row r="9561" ht="15.75" customHeight="1">
      <c r="A9561" s="2">
        <v>215290.0</v>
      </c>
      <c r="B9561" s="2" t="s">
        <v>287</v>
      </c>
      <c r="C9561" s="2" t="s">
        <v>16945</v>
      </c>
      <c r="D9561" s="2" t="s">
        <v>2279</v>
      </c>
      <c r="E9561" s="2" t="s">
        <v>1407</v>
      </c>
      <c r="F9561" s="2">
        <v>13.0</v>
      </c>
      <c r="G9561" s="2">
        <v>500.0</v>
      </c>
      <c r="H9561" s="3" t="str">
        <f>HYPERLINK("http://www.linkedin.com/in/paulhelmjr","http://www.linkedin.com/in/paulhelmjr")</f>
        <v>http://www.linkedin.com/in/paulhelmjr</v>
      </c>
      <c r="I9561" s="2" t="s">
        <v>248</v>
      </c>
      <c r="J9561" s="2" t="s">
        <v>102</v>
      </c>
      <c r="K9561" s="2" t="s">
        <v>14197</v>
      </c>
    </row>
    <row r="9562" ht="15.75" customHeight="1">
      <c r="A9562" s="2">
        <v>215297.0</v>
      </c>
      <c r="B9562" s="2" t="s">
        <v>932</v>
      </c>
      <c r="C9562" s="2" t="s">
        <v>16946</v>
      </c>
      <c r="D9562" s="2" t="s">
        <v>13</v>
      </c>
      <c r="E9562" s="2" t="s">
        <v>728</v>
      </c>
      <c r="F9562" s="2">
        <v>0.0</v>
      </c>
      <c r="G9562" s="2">
        <v>500.0</v>
      </c>
      <c r="H9562" s="3" t="str">
        <f>HYPERLINK("http://www.linkedin.com/in/garryseaber","http://www.linkedin.com/in/garryseaber")</f>
        <v>http://www.linkedin.com/in/garryseaber</v>
      </c>
      <c r="I9562" s="2" t="s">
        <v>119</v>
      </c>
      <c r="J9562" s="2" t="s">
        <v>102</v>
      </c>
      <c r="K9562" s="2" t="s">
        <v>14074</v>
      </c>
    </row>
    <row r="9563" ht="15.75" customHeight="1">
      <c r="A9563" s="2">
        <v>215314.0</v>
      </c>
      <c r="B9563" s="2" t="s">
        <v>133</v>
      </c>
      <c r="C9563" s="2" t="s">
        <v>16947</v>
      </c>
      <c r="D9563" s="2" t="s">
        <v>100</v>
      </c>
      <c r="E9563" s="2" t="s">
        <v>136</v>
      </c>
      <c r="F9563" s="2" t="s">
        <v>13</v>
      </c>
      <c r="G9563" s="2">
        <v>159.0</v>
      </c>
      <c r="H9563" s="3" t="str">
        <f>HYPERLINK("http://www.linkedin.com/in/michaelmoritz","http://www.linkedin.com/in/michaelmoritz")</f>
        <v>http://www.linkedin.com/in/michaelmoritz</v>
      </c>
      <c r="I9563" s="2" t="s">
        <v>709</v>
      </c>
      <c r="J9563" s="2" t="s">
        <v>102</v>
      </c>
      <c r="K9563" s="2" t="s">
        <v>14068</v>
      </c>
    </row>
    <row r="9564" ht="15.75" customHeight="1">
      <c r="A9564" s="2">
        <v>215321.0</v>
      </c>
      <c r="B9564" s="2" t="s">
        <v>1617</v>
      </c>
      <c r="C9564" s="2" t="s">
        <v>16792</v>
      </c>
      <c r="D9564" s="2" t="s">
        <v>47</v>
      </c>
      <c r="E9564" s="2" t="s">
        <v>301</v>
      </c>
      <c r="F9564" s="2">
        <v>11.0</v>
      </c>
      <c r="G9564" s="2">
        <v>500.0</v>
      </c>
      <c r="H9564" s="3" t="str">
        <f>HYPERLINK("http://www.linkedin.com/in/ryanworking","http://www.linkedin.com/in/ryanworking")</f>
        <v>http://www.linkedin.com/in/ryanworking</v>
      </c>
      <c r="I9564" s="2" t="s">
        <v>69</v>
      </c>
      <c r="J9564" s="2" t="s">
        <v>102</v>
      </c>
      <c r="K9564" s="2" t="s">
        <v>14073</v>
      </c>
    </row>
    <row r="9565" ht="15.75" customHeight="1">
      <c r="A9565" s="2">
        <v>215388.0</v>
      </c>
      <c r="B9565" s="2" t="s">
        <v>1479</v>
      </c>
      <c r="C9565" s="2" t="s">
        <v>16109</v>
      </c>
      <c r="D9565" s="2" t="s">
        <v>2802</v>
      </c>
      <c r="E9565" s="2" t="s">
        <v>7844</v>
      </c>
      <c r="F9565" s="2">
        <v>9.0</v>
      </c>
      <c r="G9565" s="2">
        <v>500.0</v>
      </c>
      <c r="H9565" s="3" t="str">
        <f>HYPERLINK("http://www.linkedin.com/in/fgustafson","http://www.linkedin.com/in/fgustafson")</f>
        <v>http://www.linkedin.com/in/fgustafson</v>
      </c>
      <c r="I9565" s="2" t="s">
        <v>365</v>
      </c>
      <c r="J9565" s="2" t="s">
        <v>102</v>
      </c>
      <c r="K9565" s="2" t="s">
        <v>14204</v>
      </c>
    </row>
    <row r="9566" ht="15.75" customHeight="1">
      <c r="A9566" s="2">
        <v>215412.0</v>
      </c>
      <c r="B9566" s="2" t="s">
        <v>16948</v>
      </c>
      <c r="C9566" s="2" t="s">
        <v>16949</v>
      </c>
      <c r="D9566" s="2" t="s">
        <v>16950</v>
      </c>
      <c r="E9566" s="2" t="s">
        <v>3902</v>
      </c>
      <c r="F9566" s="2">
        <v>9.0</v>
      </c>
      <c r="G9566" s="2">
        <v>500.0</v>
      </c>
      <c r="H9566" s="3" t="str">
        <f>HYPERLINK("http://www.linkedin.com/in/lynnewashburnkramer","http://www.linkedin.com/in/lynnewashburnkramer")</f>
        <v>http://www.linkedin.com/in/lynnewashburnkramer</v>
      </c>
      <c r="I9566" s="2" t="s">
        <v>15</v>
      </c>
      <c r="J9566" s="2" t="s">
        <v>102</v>
      </c>
      <c r="K9566" s="2" t="s">
        <v>14088</v>
      </c>
    </row>
    <row r="9567" ht="15.75" customHeight="1">
      <c r="A9567" s="2">
        <v>215413.0</v>
      </c>
      <c r="B9567" s="2" t="s">
        <v>2198</v>
      </c>
      <c r="C9567" s="2" t="s">
        <v>16951</v>
      </c>
      <c r="D9567" s="2" t="s">
        <v>13</v>
      </c>
      <c r="E9567" s="2" t="s">
        <v>914</v>
      </c>
      <c r="F9567" s="2">
        <v>0.0</v>
      </c>
      <c r="G9567" s="2">
        <v>500.0</v>
      </c>
      <c r="H9567" s="3" t="str">
        <f>HYPERLINK("http://www.linkedin.com/in/neilnylander","http://www.linkedin.com/in/neilnylander")</f>
        <v>http://www.linkedin.com/in/neilnylander</v>
      </c>
      <c r="I9567" s="2" t="s">
        <v>105</v>
      </c>
      <c r="J9567" s="2" t="s">
        <v>102</v>
      </c>
      <c r="K9567" s="2" t="s">
        <v>14074</v>
      </c>
    </row>
    <row r="9568" ht="15.75" customHeight="1">
      <c r="A9568" s="2">
        <v>215443.0</v>
      </c>
      <c r="B9568" s="2" t="s">
        <v>1617</v>
      </c>
      <c r="C9568" s="2" t="s">
        <v>16952</v>
      </c>
      <c r="D9568" s="2" t="s">
        <v>16953</v>
      </c>
      <c r="E9568" s="2" t="s">
        <v>166</v>
      </c>
      <c r="F9568" s="2">
        <v>27.0</v>
      </c>
      <c r="G9568" s="2">
        <v>500.0</v>
      </c>
      <c r="H9568" s="3" t="str">
        <f>HYPERLINK("http://www.linkedin.com/in/ryaneberhard","http://www.linkedin.com/in/ryaneberhard")</f>
        <v>http://www.linkedin.com/in/ryaneberhard</v>
      </c>
      <c r="I9568" s="2" t="s">
        <v>248</v>
      </c>
      <c r="J9568" s="2" t="s">
        <v>102</v>
      </c>
      <c r="K9568" s="2" t="s">
        <v>14115</v>
      </c>
    </row>
    <row r="9569" ht="15.75" customHeight="1">
      <c r="A9569" s="2">
        <v>215488.0</v>
      </c>
      <c r="B9569" s="2" t="s">
        <v>809</v>
      </c>
      <c r="C9569" s="2" t="s">
        <v>4446</v>
      </c>
      <c r="D9569" s="2" t="s">
        <v>1905</v>
      </c>
      <c r="E9569" s="2" t="s">
        <v>136</v>
      </c>
      <c r="F9569" s="2">
        <v>2.0</v>
      </c>
      <c r="G9569" s="2">
        <v>500.0</v>
      </c>
      <c r="H9569" s="3" t="str">
        <f>HYPERLINK("http://www.linkedin.com/in/rajil","http://www.linkedin.com/in/rajil")</f>
        <v>http://www.linkedin.com/in/rajil</v>
      </c>
      <c r="I9569" s="2" t="s">
        <v>69</v>
      </c>
      <c r="J9569" s="2" t="s">
        <v>102</v>
      </c>
      <c r="K9569" s="2" t="s">
        <v>14105</v>
      </c>
    </row>
    <row r="9570" ht="15.75" customHeight="1">
      <c r="A9570" s="2">
        <v>215612.0</v>
      </c>
      <c r="B9570" s="2" t="s">
        <v>1004</v>
      </c>
      <c r="C9570" s="2" t="s">
        <v>1233</v>
      </c>
      <c r="D9570" s="2" t="s">
        <v>16954</v>
      </c>
      <c r="E9570" s="2" t="s">
        <v>251</v>
      </c>
      <c r="F9570" s="2">
        <v>5.0</v>
      </c>
      <c r="G9570" s="2">
        <v>500.0</v>
      </c>
      <c r="H9570" s="3" t="str">
        <f>HYPERLINK("http://www.linkedin.com/in/drsfc","http://www.linkedin.com/in/drsfc")</f>
        <v>http://www.linkedin.com/in/drsfc</v>
      </c>
      <c r="I9570" s="2" t="s">
        <v>714</v>
      </c>
      <c r="J9570" s="2" t="s">
        <v>102</v>
      </c>
      <c r="K9570" s="2" t="s">
        <v>14074</v>
      </c>
    </row>
    <row r="9571" ht="15.75" customHeight="1">
      <c r="A9571" s="2">
        <v>215617.0</v>
      </c>
      <c r="B9571" s="2" t="s">
        <v>2198</v>
      </c>
      <c r="C9571" s="2" t="s">
        <v>3075</v>
      </c>
      <c r="D9571" s="2" t="s">
        <v>16955</v>
      </c>
      <c r="E9571" s="2" t="s">
        <v>2038</v>
      </c>
      <c r="F9571" s="2">
        <v>2.0</v>
      </c>
      <c r="G9571" s="2">
        <v>500.0</v>
      </c>
      <c r="H9571" s="3" t="str">
        <f>HYPERLINK("http://uk.linkedin.com/pub/neil-morgan/0/35B/741","http://uk.linkedin.com/pub/neil-morgan/0/35B/741")</f>
        <v>http://uk.linkedin.com/pub/neil-morgan/0/35B/741</v>
      </c>
      <c r="I9571" s="2" t="s">
        <v>48</v>
      </c>
      <c r="J9571" s="2" t="s">
        <v>53</v>
      </c>
      <c r="K9571" s="2" t="s">
        <v>14082</v>
      </c>
    </row>
    <row r="9572" ht="15.75" customHeight="1">
      <c r="A9572" s="2">
        <v>215625.0</v>
      </c>
      <c r="B9572" s="2" t="s">
        <v>11060</v>
      </c>
      <c r="C9572" s="2" t="s">
        <v>1695</v>
      </c>
      <c r="D9572" s="2" t="s">
        <v>16956</v>
      </c>
      <c r="E9572" s="2" t="s">
        <v>301</v>
      </c>
      <c r="F9572" s="2">
        <v>0.0</v>
      </c>
      <c r="G9572" s="2">
        <v>500.0</v>
      </c>
      <c r="H9572" s="3" t="str">
        <f>HYPERLINK("http://www.linkedin.com/in/aarora","http://www.linkedin.com/in/aarora")</f>
        <v>http://www.linkedin.com/in/aarora</v>
      </c>
      <c r="I9572" s="2" t="s">
        <v>326</v>
      </c>
      <c r="J9572" s="2" t="s">
        <v>102</v>
      </c>
      <c r="K9572" s="2" t="s">
        <v>14088</v>
      </c>
    </row>
    <row r="9573" ht="15.75" customHeight="1">
      <c r="A9573" s="2">
        <v>215626.0</v>
      </c>
      <c r="B9573" s="2" t="s">
        <v>1173</v>
      </c>
      <c r="C9573" s="2" t="s">
        <v>16957</v>
      </c>
      <c r="D9573" s="2" t="s">
        <v>416</v>
      </c>
      <c r="E9573" s="2" t="s">
        <v>301</v>
      </c>
      <c r="F9573" s="2">
        <v>26.0</v>
      </c>
      <c r="G9573" s="2">
        <v>500.0</v>
      </c>
      <c r="H9573" s="3" t="str">
        <f>HYPERLINK("http://www.linkedin.com/in/stevedellutri","http://www.linkedin.com/in/stevedellutri")</f>
        <v>http://www.linkedin.com/in/stevedellutri</v>
      </c>
      <c r="I9573" s="2" t="s">
        <v>48</v>
      </c>
      <c r="J9573" s="2" t="s">
        <v>102</v>
      </c>
      <c r="K9573" s="2" t="s">
        <v>14102</v>
      </c>
    </row>
    <row r="9574" ht="15.75" customHeight="1">
      <c r="A9574" s="2">
        <v>215643.0</v>
      </c>
      <c r="B9574" s="2" t="s">
        <v>534</v>
      </c>
      <c r="C9574" s="2" t="s">
        <v>16958</v>
      </c>
      <c r="D9574" s="2" t="s">
        <v>13</v>
      </c>
      <c r="E9574" s="2" t="s">
        <v>1918</v>
      </c>
      <c r="F9574" s="2">
        <v>0.0</v>
      </c>
      <c r="G9574" s="2">
        <v>500.0</v>
      </c>
      <c r="H9574" s="3" t="str">
        <f>HYPERLINK("https://www.linkedin.com/in/matthewhaver","https://www.linkedin.com/in/matthewhaver")</f>
        <v>https://www.linkedin.com/in/matthewhaver</v>
      </c>
      <c r="I9574" s="2" t="s">
        <v>15</v>
      </c>
      <c r="J9574" s="2" t="s">
        <v>102</v>
      </c>
      <c r="K9574" s="2" t="s">
        <v>14088</v>
      </c>
    </row>
    <row r="9575" ht="15.75" customHeight="1">
      <c r="A9575" s="2">
        <v>215727.0</v>
      </c>
      <c r="B9575" s="2" t="s">
        <v>1829</v>
      </c>
      <c r="C9575" s="2" t="s">
        <v>16959</v>
      </c>
      <c r="D9575" s="2" t="s">
        <v>47</v>
      </c>
      <c r="E9575" s="2" t="s">
        <v>762</v>
      </c>
      <c r="F9575" s="2">
        <v>8.0</v>
      </c>
      <c r="G9575" s="2">
        <v>500.0</v>
      </c>
      <c r="H9575" s="3" t="str">
        <f>HYPERLINK("http://www.linkedin.com/in/borisportman","http://www.linkedin.com/in/borisportman")</f>
        <v>http://www.linkedin.com/in/borisportman</v>
      </c>
      <c r="I9575" s="2" t="s">
        <v>15</v>
      </c>
      <c r="J9575" s="2" t="s">
        <v>102</v>
      </c>
      <c r="K9575" s="2" t="s">
        <v>14073</v>
      </c>
    </row>
    <row r="9576" ht="15.75" customHeight="1">
      <c r="A9576" s="2">
        <v>215811.0</v>
      </c>
      <c r="B9576" s="2" t="s">
        <v>3506</v>
      </c>
      <c r="C9576" s="2" t="s">
        <v>16960</v>
      </c>
      <c r="D9576" s="2"/>
      <c r="E9576" s="2" t="s">
        <v>136</v>
      </c>
      <c r="F9576" s="2">
        <v>0.0</v>
      </c>
      <c r="G9576" s="2">
        <v>500.0</v>
      </c>
      <c r="H9576" s="3" t="str">
        <f>HYPERLINK("http://www.linkedin.com/pub/curtis-cresta/0/377/577","http://www.linkedin.com/pub/curtis-cresta/0/377/577")</f>
        <v>http://www.linkedin.com/pub/curtis-cresta/0/377/577</v>
      </c>
      <c r="I9576" s="2" t="s">
        <v>48</v>
      </c>
      <c r="J9576" s="2" t="s">
        <v>102</v>
      </c>
      <c r="K9576" s="2" t="s">
        <v>14142</v>
      </c>
    </row>
    <row r="9577" ht="15.75" customHeight="1">
      <c r="A9577" s="2">
        <v>215839.0</v>
      </c>
      <c r="B9577" s="2" t="s">
        <v>16961</v>
      </c>
      <c r="C9577" s="2" t="s">
        <v>16458</v>
      </c>
      <c r="D9577" s="2" t="s">
        <v>16962</v>
      </c>
      <c r="E9577" s="2" t="s">
        <v>2058</v>
      </c>
      <c r="F9577" s="2">
        <v>45.0</v>
      </c>
      <c r="G9577" s="2">
        <v>500.0</v>
      </c>
      <c r="H9577" s="3" t="str">
        <f>HYPERLINK("http://www.linkedin.com/in/andrewchase","http://www.linkedin.com/in/andrewchase")</f>
        <v>http://www.linkedin.com/in/andrewchase</v>
      </c>
      <c r="I9577" s="2" t="s">
        <v>248</v>
      </c>
      <c r="J9577" s="2" t="s">
        <v>102</v>
      </c>
      <c r="K9577" s="2" t="s">
        <v>14105</v>
      </c>
    </row>
    <row r="9578" ht="15.75" customHeight="1">
      <c r="A9578" s="2">
        <v>215979.0</v>
      </c>
      <c r="B9578" s="2" t="s">
        <v>1087</v>
      </c>
      <c r="C9578" s="2" t="s">
        <v>16963</v>
      </c>
      <c r="D9578" s="2" t="s">
        <v>1620</v>
      </c>
      <c r="E9578" s="2" t="s">
        <v>713</v>
      </c>
      <c r="F9578" s="2">
        <v>0.0</v>
      </c>
      <c r="G9578" s="2">
        <v>500.0</v>
      </c>
      <c r="H9578" s="3" t="str">
        <f>HYPERLINK("http://www.linkedin.com/pub/james-fahey/21/958/B2B","http://www.linkedin.com/pub/james-fahey/21/958/B2B")</f>
        <v>http://www.linkedin.com/pub/james-fahey/21/958/B2B</v>
      </c>
      <c r="I9578" s="2" t="s">
        <v>15</v>
      </c>
      <c r="J9578" s="2" t="s">
        <v>102</v>
      </c>
      <c r="K9578" s="2" t="s">
        <v>14092</v>
      </c>
    </row>
    <row r="9579" ht="15.75" customHeight="1">
      <c r="A9579" s="2">
        <v>216020.0</v>
      </c>
      <c r="B9579" s="2" t="s">
        <v>592</v>
      </c>
      <c r="C9579" s="2" t="s">
        <v>16964</v>
      </c>
      <c r="D9579" s="2" t="s">
        <v>13</v>
      </c>
      <c r="E9579" s="2" t="s">
        <v>11476</v>
      </c>
      <c r="F9579" s="2">
        <v>0.0</v>
      </c>
      <c r="G9579" s="2">
        <v>500.0</v>
      </c>
      <c r="H9579" s="3" t="str">
        <f>HYPERLINK("http://www.linkedin.com/in/barryzack","http://www.linkedin.com/in/barryzack")</f>
        <v>http://www.linkedin.com/in/barryzack</v>
      </c>
      <c r="I9579" s="2" t="s">
        <v>15</v>
      </c>
      <c r="J9579" s="2" t="s">
        <v>102</v>
      </c>
      <c r="K9579" s="2" t="s">
        <v>14088</v>
      </c>
    </row>
    <row r="9580" ht="15.75" customHeight="1">
      <c r="A9580" s="2">
        <v>216040.0</v>
      </c>
      <c r="B9580" s="2" t="s">
        <v>11636</v>
      </c>
      <c r="C9580" s="2" t="s">
        <v>5026</v>
      </c>
      <c r="D9580" s="2" t="s">
        <v>13</v>
      </c>
      <c r="E9580" s="2" t="s">
        <v>2058</v>
      </c>
      <c r="F9580" s="2">
        <v>0.0</v>
      </c>
      <c r="G9580" s="2">
        <v>500.0</v>
      </c>
      <c r="H9580" s="3" t="str">
        <f>HYPERLINK("http://www.linkedin.com/pub/evan-wheeler/1/382/A9A","http://www.linkedin.com/pub/evan-wheeler/1/382/A9A")</f>
        <v>http://www.linkedin.com/pub/evan-wheeler/1/382/A9A</v>
      </c>
      <c r="I9580" s="2" t="s">
        <v>160</v>
      </c>
      <c r="J9580" s="2" t="s">
        <v>102</v>
      </c>
      <c r="K9580" s="2" t="s">
        <v>14071</v>
      </c>
    </row>
    <row r="9581" ht="15.75" customHeight="1">
      <c r="A9581" s="2">
        <v>216106.0</v>
      </c>
      <c r="B9581" s="2" t="s">
        <v>16965</v>
      </c>
      <c r="C9581" s="2" t="s">
        <v>16453</v>
      </c>
      <c r="D9581" s="2" t="s">
        <v>309</v>
      </c>
      <c r="E9581" s="2" t="s">
        <v>136</v>
      </c>
      <c r="F9581" s="2">
        <v>38.0</v>
      </c>
      <c r="G9581" s="2">
        <v>500.0</v>
      </c>
      <c r="H9581" s="3" t="str">
        <f>HYPERLINK("http://www.linkedin.com/in/recruitingdiva","http://www.linkedin.com/in/recruitingdiva")</f>
        <v>http://www.linkedin.com/in/recruitingdiva</v>
      </c>
      <c r="I9581" s="2" t="s">
        <v>69</v>
      </c>
      <c r="J9581" s="2" t="s">
        <v>102</v>
      </c>
      <c r="K9581" s="2" t="s">
        <v>14073</v>
      </c>
    </row>
    <row r="9582" ht="15.75" customHeight="1">
      <c r="A9582" s="2">
        <v>216164.0</v>
      </c>
      <c r="B9582" s="2" t="s">
        <v>1112</v>
      </c>
      <c r="C9582" s="2" t="s">
        <v>16966</v>
      </c>
      <c r="D9582" s="2" t="s">
        <v>47</v>
      </c>
      <c r="E9582" s="2" t="s">
        <v>181</v>
      </c>
      <c r="F9582" s="2">
        <v>0.0</v>
      </c>
      <c r="G9582" s="2">
        <v>500.0</v>
      </c>
      <c r="H9582" s="3" t="str">
        <f>HYPERLINK("http://www.linkedin.com/pub/benjamin-massin/4/514/A11","http://www.linkedin.com/pub/benjamin-massin/4/514/A11")</f>
        <v>http://www.linkedin.com/pub/benjamin-massin/4/514/A11</v>
      </c>
      <c r="I9582" s="2" t="s">
        <v>48</v>
      </c>
      <c r="J9582" s="2" t="s">
        <v>102</v>
      </c>
      <c r="K9582" s="2" t="s">
        <v>14080</v>
      </c>
    </row>
    <row r="9583" ht="15.75" customHeight="1">
      <c r="A9583" s="2">
        <v>216180.0</v>
      </c>
      <c r="B9583" s="2" t="s">
        <v>16967</v>
      </c>
      <c r="C9583" s="2" t="s">
        <v>4830</v>
      </c>
      <c r="D9583" s="2" t="s">
        <v>13</v>
      </c>
      <c r="E9583" s="2" t="s">
        <v>728</v>
      </c>
      <c r="F9583" s="2">
        <v>0.0</v>
      </c>
      <c r="G9583" s="2">
        <v>500.0</v>
      </c>
      <c r="H9583" s="3" t="str">
        <f>HYPERLINK("http://www.linkedin.com/pub/gary-s-stone/0/631/904","http://www.linkedin.com/pub/gary-s-stone/0/631/904")</f>
        <v>http://www.linkedin.com/pub/gary-s-stone/0/631/904</v>
      </c>
      <c r="I9583" s="2" t="s">
        <v>48</v>
      </c>
      <c r="J9583" s="2" t="s">
        <v>102</v>
      </c>
      <c r="K9583" s="2" t="s">
        <v>14197</v>
      </c>
    </row>
    <row r="9584" ht="15.75" customHeight="1">
      <c r="A9584" s="2">
        <v>216204.0</v>
      </c>
      <c r="B9584" s="2" t="s">
        <v>133</v>
      </c>
      <c r="C9584" s="2" t="s">
        <v>16968</v>
      </c>
      <c r="D9584" s="2" t="s">
        <v>2698</v>
      </c>
      <c r="E9584" s="2" t="s">
        <v>992</v>
      </c>
      <c r="F9584" s="2">
        <v>6.0</v>
      </c>
      <c r="G9584" s="2">
        <v>500.0</v>
      </c>
      <c r="H9584" s="3" t="str">
        <f>HYPERLINK("http://www.linkedin.com/pub/michael-bonamassa/0/122/678","http://www.linkedin.com/pub/michael-bonamassa/0/122/678")</f>
        <v>http://www.linkedin.com/pub/michael-bonamassa/0/122/678</v>
      </c>
      <c r="I9584" s="2" t="s">
        <v>279</v>
      </c>
      <c r="J9584" s="2" t="s">
        <v>102</v>
      </c>
      <c r="K9584" s="2" t="s">
        <v>14057</v>
      </c>
    </row>
    <row r="9585" ht="15.75" customHeight="1">
      <c r="A9585" s="2">
        <v>216214.0</v>
      </c>
      <c r="B9585" s="2" t="s">
        <v>1458</v>
      </c>
      <c r="C9585" s="2" t="s">
        <v>16969</v>
      </c>
      <c r="D9585" s="2" t="s">
        <v>16970</v>
      </c>
      <c r="E9585" s="2" t="s">
        <v>16971</v>
      </c>
      <c r="F9585" s="2" t="s">
        <v>13</v>
      </c>
      <c r="G9585" s="2">
        <v>500.0</v>
      </c>
      <c r="H9585" s="3" t="str">
        <f>HYPERLINK("http://www.linkedin.com/in/toddbursey","http://www.linkedin.com/in/toddbursey")</f>
        <v>http://www.linkedin.com/in/toddbursey</v>
      </c>
      <c r="I9585" s="2" t="s">
        <v>77</v>
      </c>
      <c r="J9585" s="2" t="s">
        <v>102</v>
      </c>
      <c r="K9585" s="2" t="s">
        <v>14125</v>
      </c>
    </row>
    <row r="9586" ht="15.75" customHeight="1">
      <c r="A9586" s="2">
        <v>216247.0</v>
      </c>
      <c r="B9586" s="2" t="s">
        <v>1752</v>
      </c>
      <c r="C9586" s="2" t="s">
        <v>4134</v>
      </c>
      <c r="D9586" s="2" t="s">
        <v>16972</v>
      </c>
      <c r="E9586" s="2" t="s">
        <v>235</v>
      </c>
      <c r="F9586" s="2">
        <v>2.0</v>
      </c>
      <c r="G9586" s="2">
        <v>500.0</v>
      </c>
      <c r="H9586" s="3" t="str">
        <f>HYPERLINK("http://www.linkedin.com/in/darrellkboyd","http://www.linkedin.com/in/darrellkboyd")</f>
        <v>http://www.linkedin.com/in/darrellkboyd</v>
      </c>
      <c r="I9586" s="2" t="s">
        <v>105</v>
      </c>
      <c r="J9586" s="2" t="s">
        <v>102</v>
      </c>
      <c r="K9586" s="2" t="s">
        <v>14092</v>
      </c>
    </row>
    <row r="9587" ht="15.75" customHeight="1">
      <c r="A9587" s="2">
        <v>216249.0</v>
      </c>
      <c r="B9587" s="2" t="s">
        <v>1032</v>
      </c>
      <c r="C9587" s="2" t="s">
        <v>14015</v>
      </c>
      <c r="D9587" s="2"/>
      <c r="E9587" s="2" t="s">
        <v>914</v>
      </c>
      <c r="F9587" s="2">
        <v>0.0</v>
      </c>
      <c r="G9587" s="2">
        <v>500.0</v>
      </c>
      <c r="H9587" s="3" t="str">
        <f>HYPERLINK("http://www.linkedin.com/pub/ravi-domingo/0/665/985","http://www.linkedin.com/pub/ravi-domingo/0/665/985")</f>
        <v>http://www.linkedin.com/pub/ravi-domingo/0/665/985</v>
      </c>
      <c r="I9587" s="2" t="s">
        <v>15</v>
      </c>
      <c r="J9587" s="2" t="s">
        <v>102</v>
      </c>
      <c r="K9587" s="2" t="s">
        <v>14142</v>
      </c>
    </row>
    <row r="9588" ht="15.75" customHeight="1">
      <c r="A9588" s="2">
        <v>216286.0</v>
      </c>
      <c r="B9588" s="2" t="s">
        <v>1015</v>
      </c>
      <c r="C9588" s="2" t="s">
        <v>16973</v>
      </c>
      <c r="D9588" s="2" t="s">
        <v>1025</v>
      </c>
      <c r="E9588" s="2" t="s">
        <v>101</v>
      </c>
      <c r="F9588" s="2">
        <v>3.0</v>
      </c>
      <c r="G9588" s="2">
        <v>500.0</v>
      </c>
      <c r="H9588" s="3" t="str">
        <f>HYPERLINK("http://www.linkedin.com/pub/brian-kilinc-mba-pmp/0/513/790","http://www.linkedin.com/pub/brian-kilinc-mba-pmp/0/513/790")</f>
        <v>http://www.linkedin.com/pub/brian-kilinc-mba-pmp/0/513/790</v>
      </c>
      <c r="I9588" s="2" t="s">
        <v>15</v>
      </c>
      <c r="J9588" s="2" t="s">
        <v>102</v>
      </c>
      <c r="K9588" s="2" t="s">
        <v>14080</v>
      </c>
    </row>
    <row r="9589" ht="15.75" customHeight="1">
      <c r="A9589" s="2">
        <v>216325.0</v>
      </c>
      <c r="B9589" s="2" t="s">
        <v>1004</v>
      </c>
      <c r="C9589" s="2" t="s">
        <v>16974</v>
      </c>
      <c r="D9589" s="2" t="s">
        <v>16975</v>
      </c>
      <c r="E9589" s="2" t="s">
        <v>713</v>
      </c>
      <c r="F9589" s="2" t="s">
        <v>13</v>
      </c>
      <c r="G9589" s="2">
        <v>500.0</v>
      </c>
      <c r="H9589" s="3" t="str">
        <f>HYPERLINK("http://www.linkedin.com/pub/scott-keaney/2/529/B84","http://www.linkedin.com/pub/scott-keaney/2/529/B84")</f>
        <v>http://www.linkedin.com/pub/scott-keaney/2/529/B84</v>
      </c>
      <c r="I9589" s="2" t="s">
        <v>15</v>
      </c>
      <c r="J9589" s="2" t="s">
        <v>102</v>
      </c>
      <c r="K9589" s="2" t="s">
        <v>14339</v>
      </c>
    </row>
    <row r="9590" ht="15.75" customHeight="1">
      <c r="A9590" s="2">
        <v>216385.0</v>
      </c>
      <c r="B9590" s="2" t="s">
        <v>625</v>
      </c>
      <c r="C9590" s="2" t="s">
        <v>16976</v>
      </c>
      <c r="D9590" s="2" t="s">
        <v>416</v>
      </c>
      <c r="E9590" s="2" t="s">
        <v>720</v>
      </c>
      <c r="F9590" s="2">
        <v>2.0</v>
      </c>
      <c r="G9590" s="2">
        <v>228.0</v>
      </c>
      <c r="H9590" s="3" t="str">
        <f>HYPERLINK("http://www.linkedin.com/in/ttrueblood","http://www.linkedin.com/in/ttrueblood")</f>
        <v>http://www.linkedin.com/in/ttrueblood</v>
      </c>
      <c r="I9590" s="2" t="s">
        <v>15</v>
      </c>
      <c r="J9590" s="2" t="s">
        <v>102</v>
      </c>
      <c r="K9590" s="2" t="s">
        <v>14052</v>
      </c>
    </row>
    <row r="9591" ht="15.75" customHeight="1">
      <c r="A9591" s="2">
        <v>216425.0</v>
      </c>
      <c r="B9591" s="2" t="s">
        <v>3477</v>
      </c>
      <c r="C9591" s="2" t="s">
        <v>15337</v>
      </c>
      <c r="D9591" s="2" t="s">
        <v>16977</v>
      </c>
      <c r="E9591" s="2" t="s">
        <v>136</v>
      </c>
      <c r="F9591" s="2">
        <v>5.0</v>
      </c>
      <c r="G9591" s="2">
        <v>500.0</v>
      </c>
      <c r="H9591" s="3" t="str">
        <f>HYPERLINK("http://www.linkedin.com/in/joshgreene","http://www.linkedin.com/in/joshgreene")</f>
        <v>http://www.linkedin.com/in/joshgreene</v>
      </c>
      <c r="I9591" s="2" t="s">
        <v>15</v>
      </c>
      <c r="J9591" s="2" t="s">
        <v>102</v>
      </c>
      <c r="K9591" s="2" t="s">
        <v>14052</v>
      </c>
    </row>
    <row r="9592" ht="15.75" customHeight="1">
      <c r="A9592" s="2">
        <v>216437.0</v>
      </c>
      <c r="B9592" s="2" t="s">
        <v>3451</v>
      </c>
      <c r="C9592" s="2" t="s">
        <v>16978</v>
      </c>
      <c r="D9592" s="2"/>
      <c r="E9592" s="2" t="s">
        <v>136</v>
      </c>
      <c r="F9592" s="2">
        <v>5.0</v>
      </c>
      <c r="G9592" s="2">
        <v>500.0</v>
      </c>
      <c r="H9592" s="3" t="str">
        <f>HYPERLINK("http://www.linkedin.com/pub/dylan-boudraa/0/406/162","http://www.linkedin.com/pub/dylan-boudraa/0/406/162")</f>
        <v>http://www.linkedin.com/pub/dylan-boudraa/0/406/162</v>
      </c>
      <c r="I9592" s="2" t="s">
        <v>48</v>
      </c>
      <c r="J9592" s="2" t="s">
        <v>102</v>
      </c>
      <c r="K9592" s="2" t="s">
        <v>15074</v>
      </c>
    </row>
    <row r="9593" ht="15.75" customHeight="1">
      <c r="A9593" s="2">
        <v>216460.0</v>
      </c>
      <c r="B9593" s="2" t="s">
        <v>845</v>
      </c>
      <c r="C9593" s="2" t="s">
        <v>12650</v>
      </c>
      <c r="D9593" s="2" t="s">
        <v>16979</v>
      </c>
      <c r="E9593" s="2" t="s">
        <v>235</v>
      </c>
      <c r="F9593" s="2">
        <v>22.0</v>
      </c>
      <c r="G9593" s="2">
        <v>500.0</v>
      </c>
      <c r="H9593" s="3" t="str">
        <f>HYPERLINK("http://www.linkedin.com/in/davesobel","http://www.linkedin.com/in/davesobel")</f>
        <v>http://www.linkedin.com/in/davesobel</v>
      </c>
      <c r="I9593" s="2" t="s">
        <v>15</v>
      </c>
      <c r="J9593" s="2" t="s">
        <v>102</v>
      </c>
      <c r="K9593" s="2" t="s">
        <v>14082</v>
      </c>
    </row>
    <row r="9594" ht="15.75" customHeight="1">
      <c r="A9594" s="2">
        <v>216590.0</v>
      </c>
      <c r="B9594" s="2" t="s">
        <v>1284</v>
      </c>
      <c r="C9594" s="2" t="s">
        <v>16980</v>
      </c>
      <c r="D9594" s="2" t="s">
        <v>309</v>
      </c>
      <c r="E9594" s="2" t="s">
        <v>914</v>
      </c>
      <c r="F9594" s="2">
        <v>23.0</v>
      </c>
      <c r="G9594" s="2">
        <v>500.0</v>
      </c>
      <c r="H9594" s="3" t="str">
        <f>HYPERLINK("http://www.linkedin.com/in/anthonybontrager","http://www.linkedin.com/in/anthonybontrager")</f>
        <v>http://www.linkedin.com/in/anthonybontrager</v>
      </c>
      <c r="I9594" s="2" t="s">
        <v>69</v>
      </c>
      <c r="J9594" s="2" t="s">
        <v>102</v>
      </c>
      <c r="K9594" s="2" t="s">
        <v>14071</v>
      </c>
    </row>
    <row r="9595" ht="15.75" customHeight="1">
      <c r="A9595" s="2">
        <v>216615.0</v>
      </c>
      <c r="B9595" s="2" t="s">
        <v>1748</v>
      </c>
      <c r="C9595" s="2" t="s">
        <v>489</v>
      </c>
      <c r="D9595" s="2" t="s">
        <v>16981</v>
      </c>
      <c r="E9595" s="2" t="s">
        <v>301</v>
      </c>
      <c r="F9595" s="2">
        <v>11.0</v>
      </c>
      <c r="G9595" s="2">
        <v>500.0</v>
      </c>
      <c r="H9595" s="3" t="str">
        <f>HYPERLINK("http://www.linkedin.com/in/sandyacarter","http://www.linkedin.com/in/sandyacarter")</f>
        <v>http://www.linkedin.com/in/sandyacarter</v>
      </c>
      <c r="I9595" s="2" t="s">
        <v>15</v>
      </c>
      <c r="J9595" s="2" t="s">
        <v>102</v>
      </c>
      <c r="K9595" s="2" t="s">
        <v>14080</v>
      </c>
    </row>
    <row r="9596" ht="15.75" customHeight="1">
      <c r="A9596" s="2">
        <v>216798.0</v>
      </c>
      <c r="B9596" s="2" t="s">
        <v>302</v>
      </c>
      <c r="C9596" s="2" t="s">
        <v>16982</v>
      </c>
      <c r="D9596" s="2" t="s">
        <v>13</v>
      </c>
      <c r="E9596" s="2" t="s">
        <v>16983</v>
      </c>
      <c r="F9596" s="2">
        <v>0.0</v>
      </c>
      <c r="G9596" s="2">
        <v>500.0</v>
      </c>
      <c r="H9596" s="3" t="str">
        <f>HYPERLINK("http://www.linkedin.com/in/billposton","http://www.linkedin.com/in/billposton")</f>
        <v>http://www.linkedin.com/in/billposton</v>
      </c>
      <c r="I9596" s="2" t="s">
        <v>57</v>
      </c>
      <c r="J9596" s="2" t="s">
        <v>102</v>
      </c>
      <c r="K9596" s="2" t="s">
        <v>14055</v>
      </c>
    </row>
    <row r="9597" ht="15.75" customHeight="1">
      <c r="A9597" s="2">
        <v>216845.0</v>
      </c>
      <c r="B9597" s="2" t="s">
        <v>16984</v>
      </c>
      <c r="C9597" s="2" t="s">
        <v>16985</v>
      </c>
      <c r="D9597" s="2" t="s">
        <v>1017</v>
      </c>
      <c r="E9597" s="2" t="s">
        <v>2463</v>
      </c>
      <c r="F9597" s="2">
        <v>1.0</v>
      </c>
      <c r="G9597" s="2">
        <v>500.0</v>
      </c>
      <c r="H9597" s="3" t="str">
        <f>HYPERLINK("http://www.linkedin.com/pub/hank-hafley/1/715/30","http://www.linkedin.com/pub/hank-hafley/1/715/30")</f>
        <v>http://www.linkedin.com/pub/hank-hafley/1/715/30</v>
      </c>
      <c r="I9597" s="2" t="s">
        <v>248</v>
      </c>
      <c r="J9597" s="2" t="s">
        <v>102</v>
      </c>
      <c r="K9597" s="2" t="s">
        <v>14197</v>
      </c>
    </row>
    <row r="9598" ht="15.75" customHeight="1">
      <c r="A9598" s="2">
        <v>216887.0</v>
      </c>
      <c r="B9598" s="2" t="s">
        <v>16986</v>
      </c>
      <c r="C9598" s="2" t="s">
        <v>16987</v>
      </c>
      <c r="D9598" s="2" t="s">
        <v>16988</v>
      </c>
      <c r="E9598" s="2" t="s">
        <v>1190</v>
      </c>
      <c r="F9598" s="2">
        <v>3.0</v>
      </c>
      <c r="G9598" s="2">
        <v>500.0</v>
      </c>
      <c r="H9598" s="3" t="str">
        <f>HYPERLINK("http://www.linkedin.com/in/landokravetz","http://www.linkedin.com/in/landokravetz")</f>
        <v>http://www.linkedin.com/in/landokravetz</v>
      </c>
      <c r="I9598" s="2" t="s">
        <v>663</v>
      </c>
      <c r="J9598" s="2" t="s">
        <v>102</v>
      </c>
      <c r="K9598" s="2" t="s">
        <v>14055</v>
      </c>
    </row>
    <row r="9599" ht="15.75" customHeight="1">
      <c r="A9599" s="2">
        <v>216916.0</v>
      </c>
      <c r="B9599" s="2" t="s">
        <v>631</v>
      </c>
      <c r="C9599" s="2" t="s">
        <v>15534</v>
      </c>
      <c r="D9599" s="2" t="s">
        <v>16989</v>
      </c>
      <c r="E9599" s="2" t="s">
        <v>15850</v>
      </c>
      <c r="F9599" s="2">
        <v>52.0</v>
      </c>
      <c r="G9599" s="2">
        <v>500.0</v>
      </c>
      <c r="H9599" s="3" t="str">
        <f>HYPERLINK("http://www.linkedin.com/in/chriscalebmay","http://www.linkedin.com/in/chriscalebmay")</f>
        <v>http://www.linkedin.com/in/chriscalebmay</v>
      </c>
      <c r="I9599" s="2" t="s">
        <v>48</v>
      </c>
      <c r="J9599" s="2" t="s">
        <v>102</v>
      </c>
      <c r="K9599" s="2" t="s">
        <v>14088</v>
      </c>
    </row>
    <row r="9600" ht="15.75" customHeight="1">
      <c r="A9600" s="2">
        <v>216937.0</v>
      </c>
      <c r="B9600" s="2" t="s">
        <v>3078</v>
      </c>
      <c r="C9600" s="2" t="s">
        <v>2009</v>
      </c>
      <c r="D9600" s="2" t="s">
        <v>410</v>
      </c>
      <c r="E9600" s="2" t="s">
        <v>2058</v>
      </c>
      <c r="F9600" s="2">
        <v>9.0</v>
      </c>
      <c r="G9600" s="2">
        <v>500.0</v>
      </c>
      <c r="H9600" s="3" t="str">
        <f>HYPERLINK("http://www.linkedin.com/pub/kent-winter/0/353/527","http://www.linkedin.com/pub/kent-winter/0/353/527")</f>
        <v>http://www.linkedin.com/pub/kent-winter/0/353/527</v>
      </c>
      <c r="I9600" s="2" t="s">
        <v>77</v>
      </c>
      <c r="J9600" s="2" t="s">
        <v>102</v>
      </c>
      <c r="K9600" s="2" t="s">
        <v>15140</v>
      </c>
    </row>
    <row r="9601" ht="15.75" customHeight="1">
      <c r="A9601" s="2">
        <v>216953.0</v>
      </c>
      <c r="B9601" s="2" t="s">
        <v>845</v>
      </c>
      <c r="C9601" s="2" t="s">
        <v>16990</v>
      </c>
      <c r="D9601" s="2" t="s">
        <v>16991</v>
      </c>
      <c r="E9601" s="2" t="s">
        <v>136</v>
      </c>
      <c r="F9601" s="2">
        <v>13.0</v>
      </c>
      <c r="G9601" s="2">
        <v>500.0</v>
      </c>
      <c r="H9601" s="3" t="str">
        <f>HYPERLINK("http://www.linkedin.com/pub/david-zirl/0/77/289","http://www.linkedin.com/pub/david-zirl/0/77/289")</f>
        <v>http://www.linkedin.com/pub/david-zirl/0/77/289</v>
      </c>
      <c r="I9601" s="2" t="s">
        <v>15</v>
      </c>
      <c r="J9601" s="2" t="s">
        <v>102</v>
      </c>
      <c r="K9601" s="2" t="s">
        <v>16992</v>
      </c>
    </row>
    <row r="9602" ht="15.75" customHeight="1">
      <c r="A9602" s="2">
        <v>217053.0</v>
      </c>
      <c r="B9602" s="2" t="s">
        <v>287</v>
      </c>
      <c r="C9602" s="2" t="s">
        <v>16993</v>
      </c>
      <c r="D9602" s="2"/>
      <c r="E9602" s="2" t="s">
        <v>14553</v>
      </c>
      <c r="F9602" s="2">
        <v>0.0</v>
      </c>
      <c r="G9602" s="2">
        <v>500.0</v>
      </c>
      <c r="H9602" s="3" t="str">
        <f>HYPERLINK("http://uk.linkedin.com/pub/paul-watson/0/450/647","http://uk.linkedin.com/pub/paul-watson/0/450/647")</f>
        <v>http://uk.linkedin.com/pub/paul-watson/0/450/647</v>
      </c>
      <c r="I9602" s="2" t="s">
        <v>15</v>
      </c>
      <c r="J9602" s="2" t="s">
        <v>53</v>
      </c>
      <c r="K9602" s="2" t="s">
        <v>14057</v>
      </c>
    </row>
    <row r="9603" ht="15.75" customHeight="1">
      <c r="A9603" s="2">
        <v>217062.0</v>
      </c>
      <c r="B9603" s="2" t="s">
        <v>3455</v>
      </c>
      <c r="C9603" s="2" t="s">
        <v>16994</v>
      </c>
      <c r="D9603" s="2" t="s">
        <v>13</v>
      </c>
      <c r="E9603" s="2" t="s">
        <v>914</v>
      </c>
      <c r="F9603" s="2">
        <v>0.0</v>
      </c>
      <c r="G9603" s="2">
        <v>500.0</v>
      </c>
      <c r="H9603" s="3" t="str">
        <f>HYPERLINK("https://www.linkedin.com/in/harryb","https://www.linkedin.com/in/harryb")</f>
        <v>https://www.linkedin.com/in/harryb</v>
      </c>
      <c r="I9603" s="2" t="s">
        <v>48</v>
      </c>
      <c r="J9603" s="2" t="s">
        <v>102</v>
      </c>
      <c r="K9603" s="2" t="s">
        <v>16351</v>
      </c>
    </row>
    <row r="9604" ht="15.75" customHeight="1">
      <c r="A9604" s="2">
        <v>217104.0</v>
      </c>
      <c r="B9604" s="2" t="s">
        <v>4922</v>
      </c>
      <c r="C9604" s="2" t="s">
        <v>16995</v>
      </c>
      <c r="D9604" s="2" t="s">
        <v>16996</v>
      </c>
      <c r="E9604" s="2" t="s">
        <v>971</v>
      </c>
      <c r="F9604" s="2">
        <v>6.0</v>
      </c>
      <c r="G9604" s="2">
        <v>500.0</v>
      </c>
      <c r="H9604" s="3" t="str">
        <f>HYPERLINK("http://www.linkedin.com/in/debrawornell","http://www.linkedin.com/in/debrawornell")</f>
        <v>http://www.linkedin.com/in/debrawornell</v>
      </c>
      <c r="I9604" s="2" t="s">
        <v>248</v>
      </c>
      <c r="J9604" s="2" t="s">
        <v>102</v>
      </c>
      <c r="K9604" s="2" t="s">
        <v>14105</v>
      </c>
    </row>
    <row r="9605" ht="15.75" customHeight="1">
      <c r="A9605" s="2">
        <v>217106.0</v>
      </c>
      <c r="B9605" s="2" t="s">
        <v>116</v>
      </c>
      <c r="C9605" s="2" t="s">
        <v>16997</v>
      </c>
      <c r="D9605" s="2" t="s">
        <v>16998</v>
      </c>
      <c r="E9605" s="2" t="s">
        <v>136</v>
      </c>
      <c r="F9605" s="2" t="s">
        <v>13</v>
      </c>
      <c r="G9605" s="2">
        <v>500.0</v>
      </c>
      <c r="H9605" s="3" t="str">
        <f>HYPERLINK("http://www.linkedin.com/in/adayon","http://www.linkedin.com/in/adayon")</f>
        <v>http://www.linkedin.com/in/adayon</v>
      </c>
      <c r="I9605" s="2" t="s">
        <v>69</v>
      </c>
      <c r="J9605" s="2" t="s">
        <v>102</v>
      </c>
      <c r="K9605" s="2" t="s">
        <v>14088</v>
      </c>
    </row>
    <row r="9606" ht="15.75" customHeight="1">
      <c r="A9606" s="2">
        <v>217160.0</v>
      </c>
      <c r="B9606" s="2" t="s">
        <v>7331</v>
      </c>
      <c r="C9606" s="2" t="s">
        <v>740</v>
      </c>
      <c r="D9606" s="2" t="s">
        <v>16999</v>
      </c>
      <c r="E9606" s="2" t="s">
        <v>1407</v>
      </c>
      <c r="F9606" s="2">
        <v>27.0</v>
      </c>
      <c r="G9606" s="2">
        <v>500.0</v>
      </c>
      <c r="H9606" s="3" t="str">
        <f>HYPERLINK("http://www.linkedin.com/in/yvonnetsilva","http://www.linkedin.com/in/yvonnetsilva")</f>
        <v>http://www.linkedin.com/in/yvonnetsilva</v>
      </c>
      <c r="I9606" s="2" t="s">
        <v>15</v>
      </c>
      <c r="J9606" s="2" t="s">
        <v>102</v>
      </c>
      <c r="K9606" s="2" t="s">
        <v>14117</v>
      </c>
    </row>
    <row r="9607" ht="15.75" customHeight="1">
      <c r="A9607" s="2">
        <v>217210.0</v>
      </c>
      <c r="B9607" s="2" t="s">
        <v>460</v>
      </c>
      <c r="C9607" s="2" t="s">
        <v>17000</v>
      </c>
      <c r="D9607" s="2" t="s">
        <v>17001</v>
      </c>
      <c r="E9607" s="2" t="s">
        <v>914</v>
      </c>
      <c r="F9607" s="2">
        <v>7.0</v>
      </c>
      <c r="G9607" s="2">
        <v>500.0</v>
      </c>
      <c r="H9607" s="3" t="str">
        <f>HYPERLINK("http://www.linkedin.com/in/johnmorrow","http://www.linkedin.com/in/johnmorrow")</f>
        <v>http://www.linkedin.com/in/johnmorrow</v>
      </c>
      <c r="I9607" s="2" t="s">
        <v>48</v>
      </c>
      <c r="J9607" s="2" t="s">
        <v>102</v>
      </c>
      <c r="K9607" s="2" t="s">
        <v>14142</v>
      </c>
    </row>
    <row r="9608" ht="15.75" customHeight="1">
      <c r="A9608" s="2">
        <v>217278.0</v>
      </c>
      <c r="B9608" s="2" t="s">
        <v>414</v>
      </c>
      <c r="C9608" s="2" t="s">
        <v>16792</v>
      </c>
      <c r="D9608" s="2" t="s">
        <v>5217</v>
      </c>
      <c r="E9608" s="2" t="s">
        <v>301</v>
      </c>
      <c r="F9608" s="2">
        <v>16.0</v>
      </c>
      <c r="G9608" s="2">
        <v>500.0</v>
      </c>
      <c r="H9608" s="3" t="str">
        <f>HYPERLINK("http://www.linkedin.com/in/tomodonnellnj","http://www.linkedin.com/in/tomodonnellnj")</f>
        <v>http://www.linkedin.com/in/tomodonnellnj</v>
      </c>
      <c r="I9608" s="2" t="s">
        <v>48</v>
      </c>
      <c r="J9608" s="2" t="s">
        <v>102</v>
      </c>
      <c r="K9608" s="2" t="s">
        <v>14142</v>
      </c>
    </row>
    <row r="9609" ht="15.75" customHeight="1">
      <c r="A9609" s="2">
        <v>217342.0</v>
      </c>
      <c r="B9609" s="2" t="s">
        <v>1254</v>
      </c>
      <c r="C9609" s="2" t="s">
        <v>17002</v>
      </c>
      <c r="D9609" s="2"/>
      <c r="E9609" s="2" t="s">
        <v>1918</v>
      </c>
      <c r="F9609" s="2">
        <v>0.0</v>
      </c>
      <c r="G9609" s="2">
        <v>500.0</v>
      </c>
      <c r="H9609" s="3" t="str">
        <f>HYPERLINK("http://www.linkedin.com/pub/rick-pedigo/0/854/290","http://www.linkedin.com/pub/rick-pedigo/0/854/290")</f>
        <v>http://www.linkedin.com/pub/rick-pedigo/0/854/290</v>
      </c>
      <c r="I9609" s="2" t="s">
        <v>48</v>
      </c>
      <c r="J9609" s="2" t="s">
        <v>102</v>
      </c>
      <c r="K9609" s="2" t="s">
        <v>14142</v>
      </c>
    </row>
    <row r="9610" ht="15.75" customHeight="1">
      <c r="A9610" s="2">
        <v>217378.0</v>
      </c>
      <c r="B9610" s="2" t="s">
        <v>534</v>
      </c>
      <c r="C9610" s="2" t="s">
        <v>17003</v>
      </c>
      <c r="D9610" s="2" t="s">
        <v>17004</v>
      </c>
      <c r="E9610" s="2" t="s">
        <v>914</v>
      </c>
      <c r="F9610" s="2">
        <v>4.0</v>
      </c>
      <c r="G9610" s="2">
        <v>309.0</v>
      </c>
      <c r="H9610" s="3" t="str">
        <f>HYPERLINK("http://www.linkedin.com/in/matthewrowley","http://www.linkedin.com/in/matthewrowley")</f>
        <v>http://www.linkedin.com/in/matthewrowley</v>
      </c>
      <c r="I9610" s="2" t="s">
        <v>15</v>
      </c>
      <c r="J9610" s="2" t="s">
        <v>102</v>
      </c>
      <c r="K9610" s="2" t="s">
        <v>17005</v>
      </c>
    </row>
    <row r="9611" ht="15.75" customHeight="1">
      <c r="A9611" s="2">
        <v>217432.0</v>
      </c>
      <c r="B9611" s="2" t="s">
        <v>1015</v>
      </c>
      <c r="C9611" s="2" t="s">
        <v>1005</v>
      </c>
      <c r="D9611" s="2" t="s">
        <v>47</v>
      </c>
      <c r="E9611" s="2" t="s">
        <v>713</v>
      </c>
      <c r="F9611" s="2" t="s">
        <v>13</v>
      </c>
      <c r="G9611" s="2">
        <v>500.0</v>
      </c>
      <c r="H9611" s="3" t="str">
        <f>HYPERLINK("http://www.linkedin.com/in/brianconnell","http://www.linkedin.com/in/brianconnell")</f>
        <v>http://www.linkedin.com/in/brianconnell</v>
      </c>
      <c r="I9611" s="2" t="s">
        <v>15</v>
      </c>
      <c r="J9611" s="2" t="s">
        <v>102</v>
      </c>
      <c r="K9611" s="2" t="s">
        <v>14080</v>
      </c>
    </row>
    <row r="9612" ht="15.75" customHeight="1">
      <c r="A9612" s="2">
        <v>217438.0</v>
      </c>
      <c r="B9612" s="2" t="s">
        <v>845</v>
      </c>
      <c r="C9612" s="2" t="s">
        <v>292</v>
      </c>
      <c r="D9612" s="2" t="s">
        <v>17006</v>
      </c>
      <c r="E9612" s="2" t="s">
        <v>136</v>
      </c>
      <c r="F9612" s="2">
        <v>3.0</v>
      </c>
      <c r="G9612" s="2">
        <v>466.0</v>
      </c>
      <c r="H9612" s="3" t="str">
        <f>HYPERLINK("http://www.linkedin.com/in/dmsmith","http://www.linkedin.com/in/dmsmith")</f>
        <v>http://www.linkedin.com/in/dmsmith</v>
      </c>
      <c r="I9612" s="2" t="s">
        <v>48</v>
      </c>
      <c r="J9612" s="2" t="s">
        <v>102</v>
      </c>
      <c r="K9612" s="2" t="s">
        <v>14080</v>
      </c>
    </row>
    <row r="9613" ht="15.75" customHeight="1">
      <c r="A9613" s="2">
        <v>217558.0</v>
      </c>
      <c r="B9613" s="2" t="s">
        <v>540</v>
      </c>
      <c r="C9613" s="2" t="s">
        <v>17007</v>
      </c>
      <c r="D9613" s="2" t="s">
        <v>47</v>
      </c>
      <c r="E9613" s="2" t="s">
        <v>914</v>
      </c>
      <c r="F9613" s="2">
        <v>4.0</v>
      </c>
      <c r="G9613" s="2">
        <v>500.0</v>
      </c>
      <c r="H9613" s="3" t="str">
        <f>HYPERLINK("http://www.linkedin.com/in/christianomeara","http://www.linkedin.com/in/christianomeara")</f>
        <v>http://www.linkedin.com/in/christianomeara</v>
      </c>
      <c r="I9613" s="2" t="s">
        <v>57</v>
      </c>
      <c r="J9613" s="2" t="s">
        <v>102</v>
      </c>
      <c r="K9613" s="2" t="s">
        <v>14092</v>
      </c>
    </row>
    <row r="9614" ht="15.75" customHeight="1">
      <c r="A9614" s="2">
        <v>217618.0</v>
      </c>
      <c r="B9614" s="2" t="s">
        <v>5105</v>
      </c>
      <c r="C9614" s="2" t="s">
        <v>17008</v>
      </c>
      <c r="D9614" s="2" t="s">
        <v>13</v>
      </c>
      <c r="E9614" s="2" t="s">
        <v>1317</v>
      </c>
      <c r="F9614" s="2">
        <v>33.0</v>
      </c>
      <c r="G9614" s="2">
        <v>500.0</v>
      </c>
      <c r="H9614" s="2" t="s">
        <v>17009</v>
      </c>
      <c r="I9614" s="2" t="s">
        <v>48</v>
      </c>
      <c r="J9614" s="2" t="s">
        <v>102</v>
      </c>
      <c r="K9614" s="2" t="s">
        <v>14055</v>
      </c>
    </row>
    <row r="9615" ht="15.75" customHeight="1">
      <c r="A9615" s="2">
        <v>217620.0</v>
      </c>
      <c r="B9615" s="2" t="s">
        <v>275</v>
      </c>
      <c r="C9615" s="2" t="s">
        <v>17010</v>
      </c>
      <c r="D9615" s="2" t="s">
        <v>13</v>
      </c>
      <c r="E9615" s="2" t="s">
        <v>136</v>
      </c>
      <c r="F9615" s="2">
        <v>0.0</v>
      </c>
      <c r="G9615" s="2">
        <v>500.0</v>
      </c>
      <c r="H9615" s="3" t="str">
        <f>HYPERLINK("https://www.linkedin.com/in/markwillaman","https://www.linkedin.com/in/markwillaman")</f>
        <v>https://www.linkedin.com/in/markwillaman</v>
      </c>
      <c r="I9615" s="2" t="s">
        <v>69</v>
      </c>
      <c r="J9615" s="2" t="s">
        <v>102</v>
      </c>
      <c r="K9615" s="2" t="s">
        <v>14074</v>
      </c>
    </row>
    <row r="9616" ht="15.75" customHeight="1">
      <c r="A9616" s="2">
        <v>217713.0</v>
      </c>
      <c r="B9616" s="2" t="s">
        <v>1004</v>
      </c>
      <c r="C9616" s="2" t="s">
        <v>17011</v>
      </c>
      <c r="D9616" s="2" t="s">
        <v>13</v>
      </c>
      <c r="E9616" s="2" t="s">
        <v>136</v>
      </c>
      <c r="F9616" s="2">
        <v>0.0</v>
      </c>
      <c r="G9616" s="2">
        <v>500.0</v>
      </c>
      <c r="H9616" s="3" t="str">
        <f>HYPERLINK("https://www.linkedin.com/in/shaus","https://www.linkedin.com/in/shaus")</f>
        <v>https://www.linkedin.com/in/shaus</v>
      </c>
      <c r="I9616" s="2" t="s">
        <v>69</v>
      </c>
      <c r="J9616" s="2" t="s">
        <v>102</v>
      </c>
      <c r="K9616" s="2" t="s">
        <v>14088</v>
      </c>
    </row>
    <row r="9617" ht="15.75" customHeight="1">
      <c r="A9617" s="2">
        <v>217718.0</v>
      </c>
      <c r="B9617" s="2" t="s">
        <v>17012</v>
      </c>
      <c r="C9617" s="2" t="s">
        <v>17013</v>
      </c>
      <c r="D9617" s="2" t="s">
        <v>108</v>
      </c>
      <c r="E9617" s="2" t="s">
        <v>136</v>
      </c>
      <c r="F9617" s="2">
        <v>2.0</v>
      </c>
      <c r="G9617" s="2">
        <v>500.0</v>
      </c>
      <c r="H9617" s="3" t="str">
        <f>HYPERLINK("http://www.linkedin.com/in/janmaartenvandongen","http://www.linkedin.com/in/janmaartenvandongen")</f>
        <v>http://www.linkedin.com/in/janmaartenvandongen</v>
      </c>
      <c r="I9617" s="2" t="s">
        <v>48</v>
      </c>
      <c r="J9617" s="2" t="s">
        <v>102</v>
      </c>
      <c r="K9617" s="2" t="s">
        <v>14651</v>
      </c>
    </row>
    <row r="9618" ht="15.75" customHeight="1">
      <c r="A9618" s="2">
        <v>217756.0</v>
      </c>
      <c r="B9618" s="2" t="s">
        <v>17014</v>
      </c>
      <c r="C9618" s="2" t="s">
        <v>17015</v>
      </c>
      <c r="D9618" s="2"/>
      <c r="E9618" s="2" t="s">
        <v>1190</v>
      </c>
      <c r="F9618" s="2">
        <v>8.0</v>
      </c>
      <c r="G9618" s="2">
        <v>500.0</v>
      </c>
      <c r="H9618" s="3" t="str">
        <f>HYPERLINK("http://www.linkedin.com/in/bennysterental","http://www.linkedin.com/in/bennysterental")</f>
        <v>http://www.linkedin.com/in/bennysterental</v>
      </c>
      <c r="I9618" s="2" t="s">
        <v>15</v>
      </c>
      <c r="J9618" s="2" t="s">
        <v>102</v>
      </c>
      <c r="K9618" s="2" t="s">
        <v>14197</v>
      </c>
    </row>
    <row r="9619" ht="15.75" customHeight="1">
      <c r="A9619" s="2">
        <v>217772.0</v>
      </c>
      <c r="B9619" s="2" t="s">
        <v>1004</v>
      </c>
      <c r="C9619" s="2" t="s">
        <v>17016</v>
      </c>
      <c r="D9619" s="2" t="s">
        <v>11860</v>
      </c>
      <c r="E9619" s="2" t="s">
        <v>1321</v>
      </c>
      <c r="F9619" s="2">
        <v>6.0</v>
      </c>
      <c r="G9619" s="2">
        <v>500.0</v>
      </c>
      <c r="H9619" s="3" t="str">
        <f>HYPERLINK("http://www.linkedin.com/in/scotthaavisto","http://www.linkedin.com/in/scotthaavisto")</f>
        <v>http://www.linkedin.com/in/scotthaavisto</v>
      </c>
      <c r="I9619" s="2" t="s">
        <v>15</v>
      </c>
      <c r="J9619" s="2" t="s">
        <v>102</v>
      </c>
      <c r="K9619" s="2" t="s">
        <v>14197</v>
      </c>
    </row>
    <row r="9620" ht="15.75" customHeight="1">
      <c r="A9620" s="2">
        <v>217885.0</v>
      </c>
      <c r="B9620" s="2" t="s">
        <v>1730</v>
      </c>
      <c r="C9620" s="2" t="s">
        <v>17017</v>
      </c>
      <c r="D9620" s="2" t="s">
        <v>15731</v>
      </c>
      <c r="E9620" s="2" t="s">
        <v>914</v>
      </c>
      <c r="F9620" s="2">
        <v>2.0</v>
      </c>
      <c r="G9620" s="2">
        <v>399.0</v>
      </c>
      <c r="H9620" s="3" t="str">
        <f>HYPERLINK("http://www.linkedin.com/in/lkeele","http://www.linkedin.com/in/lkeele")</f>
        <v>http://www.linkedin.com/in/lkeele</v>
      </c>
      <c r="I9620" s="2" t="s">
        <v>48</v>
      </c>
      <c r="J9620" s="2" t="s">
        <v>102</v>
      </c>
      <c r="K9620" s="2" t="s">
        <v>14092</v>
      </c>
    </row>
    <row r="9621" ht="15.75" customHeight="1">
      <c r="A9621" s="2">
        <v>217888.0</v>
      </c>
      <c r="B9621" s="2" t="s">
        <v>291</v>
      </c>
      <c r="C9621" s="2" t="s">
        <v>17018</v>
      </c>
      <c r="D9621" s="2" t="s">
        <v>517</v>
      </c>
      <c r="E9621" s="2" t="s">
        <v>101</v>
      </c>
      <c r="F9621" s="2">
        <v>20.0</v>
      </c>
      <c r="G9621" s="2">
        <v>500.0</v>
      </c>
      <c r="H9621" s="3" t="str">
        <f>HYPERLINK("http://www.linkedin.com/in/garysonnier","http://www.linkedin.com/in/garysonnier")</f>
        <v>http://www.linkedin.com/in/garysonnier</v>
      </c>
      <c r="I9621" s="2" t="s">
        <v>69</v>
      </c>
      <c r="J9621" s="2" t="s">
        <v>102</v>
      </c>
      <c r="K9621" s="2" t="s">
        <v>14218</v>
      </c>
    </row>
    <row r="9622" ht="15.75" customHeight="1">
      <c r="A9622" s="2">
        <v>217894.0</v>
      </c>
      <c r="B9622" s="2" t="s">
        <v>302</v>
      </c>
      <c r="C9622" s="2" t="s">
        <v>17019</v>
      </c>
      <c r="D9622" s="2" t="s">
        <v>17020</v>
      </c>
      <c r="E9622" s="2" t="s">
        <v>989</v>
      </c>
      <c r="F9622" s="2">
        <v>11.0</v>
      </c>
      <c r="G9622" s="2">
        <v>500.0</v>
      </c>
      <c r="H9622" s="3" t="str">
        <f>HYPERLINK("http://www.linkedin.com/in/billlaverty","http://www.linkedin.com/in/billlaverty")</f>
        <v>http://www.linkedin.com/in/billlaverty</v>
      </c>
      <c r="I9622" s="2" t="s">
        <v>248</v>
      </c>
      <c r="J9622" s="2" t="s">
        <v>102</v>
      </c>
      <c r="K9622" s="2" t="s">
        <v>14115</v>
      </c>
    </row>
    <row r="9623" ht="15.75" customHeight="1">
      <c r="A9623" s="2">
        <v>217900.0</v>
      </c>
      <c r="B9623" s="2" t="s">
        <v>3477</v>
      </c>
      <c r="C9623" s="2" t="s">
        <v>17021</v>
      </c>
      <c r="D9623" s="2" t="s">
        <v>1145</v>
      </c>
      <c r="E9623" s="2" t="s">
        <v>713</v>
      </c>
      <c r="F9623" s="2">
        <v>0.0</v>
      </c>
      <c r="G9623" s="2">
        <v>500.0</v>
      </c>
      <c r="H9623" s="3" t="str">
        <f>HYPERLINK("http://www.linkedin.com/in/joshbresette","http://www.linkedin.com/in/joshbresette")</f>
        <v>http://www.linkedin.com/in/joshbresette</v>
      </c>
      <c r="I9623" s="2" t="s">
        <v>105</v>
      </c>
      <c r="J9623" s="2" t="s">
        <v>102</v>
      </c>
      <c r="K9623" s="2" t="s">
        <v>14071</v>
      </c>
    </row>
    <row r="9624" ht="15.75" customHeight="1">
      <c r="A9624" s="2">
        <v>217939.0</v>
      </c>
      <c r="B9624" s="2" t="s">
        <v>511</v>
      </c>
      <c r="C9624" s="2" t="s">
        <v>17022</v>
      </c>
      <c r="D9624" s="2" t="s">
        <v>42</v>
      </c>
      <c r="E9624" s="2" t="s">
        <v>5256</v>
      </c>
      <c r="F9624" s="2">
        <v>0.0</v>
      </c>
      <c r="G9624" s="2">
        <v>424.0</v>
      </c>
      <c r="H9624" s="3" t="str">
        <f>HYPERLINK("http://www.linkedin.com/pub/mike-bridges/3/966/394","http://www.linkedin.com/pub/mike-bridges/3/966/394")</f>
        <v>http://www.linkedin.com/pub/mike-bridges/3/966/394</v>
      </c>
      <c r="I9624" s="2" t="s">
        <v>48</v>
      </c>
      <c r="J9624" s="2" t="s">
        <v>102</v>
      </c>
      <c r="K9624" s="2" t="s">
        <v>14088</v>
      </c>
    </row>
    <row r="9625" ht="15.75" customHeight="1">
      <c r="A9625" s="2">
        <v>217959.0</v>
      </c>
      <c r="B9625" s="2" t="s">
        <v>17023</v>
      </c>
      <c r="C9625" s="2" t="s">
        <v>12716</v>
      </c>
      <c r="D9625" s="2" t="s">
        <v>13</v>
      </c>
      <c r="E9625" s="2" t="s">
        <v>17024</v>
      </c>
      <c r="F9625" s="2">
        <v>0.0</v>
      </c>
      <c r="G9625" s="2">
        <v>500.0</v>
      </c>
      <c r="H9625" s="3" t="str">
        <f>HYPERLINK("http://www.linkedin.com/in/sheriatwood","http://www.linkedin.com/in/sheriatwood")</f>
        <v>http://www.linkedin.com/in/sheriatwood</v>
      </c>
      <c r="I9625" s="2" t="s">
        <v>48</v>
      </c>
      <c r="J9625" s="2" t="s">
        <v>102</v>
      </c>
      <c r="K9625" s="2" t="s">
        <v>14071</v>
      </c>
    </row>
    <row r="9626" ht="15.75" customHeight="1">
      <c r="A9626" s="2">
        <v>218058.0</v>
      </c>
      <c r="B9626" s="2" t="s">
        <v>2457</v>
      </c>
      <c r="C9626" s="2" t="s">
        <v>17025</v>
      </c>
      <c r="D9626" s="2" t="s">
        <v>17026</v>
      </c>
      <c r="E9626" s="2" t="s">
        <v>713</v>
      </c>
      <c r="F9626" s="2">
        <v>0.0</v>
      </c>
      <c r="G9626" s="2">
        <v>500.0</v>
      </c>
      <c r="H9626" s="3" t="str">
        <f>HYPERLINK("http://www.linkedin.com/in/stephenengdahl","http://www.linkedin.com/in/stephenengdahl")</f>
        <v>http://www.linkedin.com/in/stephenengdahl</v>
      </c>
      <c r="I9626" s="2" t="s">
        <v>48</v>
      </c>
      <c r="J9626" s="2" t="s">
        <v>102</v>
      </c>
      <c r="K9626" s="2" t="s">
        <v>14092</v>
      </c>
    </row>
    <row r="9627" ht="15.75" customHeight="1">
      <c r="A9627" s="2">
        <v>218063.0</v>
      </c>
      <c r="B9627" s="2" t="s">
        <v>2877</v>
      </c>
      <c r="C9627" s="2" t="s">
        <v>3152</v>
      </c>
      <c r="D9627" s="2" t="s">
        <v>17027</v>
      </c>
      <c r="E9627" s="2" t="s">
        <v>235</v>
      </c>
      <c r="F9627" s="2">
        <v>24.0</v>
      </c>
      <c r="G9627" s="2">
        <v>500.0</v>
      </c>
      <c r="H9627" s="3" t="str">
        <f>HYPERLINK("http://www.linkedin.com/in/chuckbrooks","http://www.linkedin.com/in/chuckbrooks")</f>
        <v>http://www.linkedin.com/in/chuckbrooks</v>
      </c>
      <c r="I9627" s="2" t="s">
        <v>15</v>
      </c>
      <c r="J9627" s="2" t="s">
        <v>102</v>
      </c>
      <c r="K9627" s="2" t="s">
        <v>14080</v>
      </c>
    </row>
    <row r="9628" ht="15.75" customHeight="1">
      <c r="A9628" s="2">
        <v>218072.0</v>
      </c>
      <c r="B9628" s="2" t="s">
        <v>5494</v>
      </c>
      <c r="C9628" s="2" t="s">
        <v>17028</v>
      </c>
      <c r="D9628" s="2" t="s">
        <v>1320</v>
      </c>
      <c r="E9628" s="2" t="s">
        <v>101</v>
      </c>
      <c r="F9628" s="2">
        <v>7.0</v>
      </c>
      <c r="G9628" s="2">
        <v>500.0</v>
      </c>
      <c r="H9628" s="3" t="str">
        <f>HYPERLINK("http://www.linkedin.com/in/noahmcneely","http://www.linkedin.com/in/noahmcneely")</f>
        <v>http://www.linkedin.com/in/noahmcneely</v>
      </c>
      <c r="I9628" s="2" t="s">
        <v>2268</v>
      </c>
      <c r="J9628" s="2" t="s">
        <v>102</v>
      </c>
      <c r="K9628" s="2" t="s">
        <v>14074</v>
      </c>
    </row>
    <row r="9629" ht="15.75" customHeight="1">
      <c r="A9629" s="2">
        <v>218246.0</v>
      </c>
      <c r="B9629" s="2" t="s">
        <v>17029</v>
      </c>
      <c r="C9629" s="2" t="s">
        <v>4134</v>
      </c>
      <c r="D9629" s="2" t="s">
        <v>17030</v>
      </c>
      <c r="E9629" s="2" t="s">
        <v>914</v>
      </c>
      <c r="F9629" s="2">
        <v>1.0</v>
      </c>
      <c r="G9629" s="2">
        <v>432.0</v>
      </c>
      <c r="H9629" s="3" t="str">
        <f>HYPERLINK("http://www.linkedin.com/pub/shayne-boyd/0/9B1/A2A","http://www.linkedin.com/pub/shayne-boyd/0/9B1/A2A")</f>
        <v>http://www.linkedin.com/pub/shayne-boyd/0/9B1/A2A</v>
      </c>
      <c r="I9629" s="2" t="s">
        <v>15</v>
      </c>
      <c r="J9629" s="2" t="s">
        <v>102</v>
      </c>
      <c r="K9629" s="2" t="s">
        <v>14117</v>
      </c>
    </row>
    <row r="9630" ht="15.75" customHeight="1">
      <c r="A9630" s="2">
        <v>218298.0</v>
      </c>
      <c r="B9630" s="2" t="s">
        <v>2805</v>
      </c>
      <c r="C9630" s="2" t="s">
        <v>17031</v>
      </c>
      <c r="D9630" s="2" t="s">
        <v>304</v>
      </c>
      <c r="E9630" s="2" t="s">
        <v>914</v>
      </c>
      <c r="F9630" s="2">
        <v>3.0</v>
      </c>
      <c r="G9630" s="2">
        <v>500.0</v>
      </c>
      <c r="H9630" s="3" t="str">
        <f>HYPERLINK("http://www.linkedin.com/in/claymcdaniel","http://www.linkedin.com/in/claymcdaniel")</f>
        <v>http://www.linkedin.com/in/claymcdaniel</v>
      </c>
      <c r="I9630" s="2" t="s">
        <v>105</v>
      </c>
      <c r="J9630" s="2" t="s">
        <v>102</v>
      </c>
      <c r="K9630" s="2" t="s">
        <v>17032</v>
      </c>
    </row>
    <row r="9631" ht="15.75" customHeight="1">
      <c r="A9631" s="2">
        <v>218317.0</v>
      </c>
      <c r="B9631" s="2" t="s">
        <v>460</v>
      </c>
      <c r="C9631" s="2" t="s">
        <v>17033</v>
      </c>
      <c r="D9631" s="2" t="s">
        <v>1320</v>
      </c>
      <c r="E9631" s="2" t="s">
        <v>713</v>
      </c>
      <c r="F9631" s="2" t="s">
        <v>13</v>
      </c>
      <c r="G9631" s="2">
        <v>426.0</v>
      </c>
      <c r="H9631" s="3" t="str">
        <f>HYPERLINK("http://www.linkedin.com/in/johnkowaloneksorrisotech","http://www.linkedin.com/in/johnkowaloneksorrisotech")</f>
        <v>http://www.linkedin.com/in/johnkowaloneksorrisotech</v>
      </c>
      <c r="I9631" s="2" t="s">
        <v>48</v>
      </c>
      <c r="J9631" s="2" t="s">
        <v>102</v>
      </c>
      <c r="K9631" s="2" t="s">
        <v>14080</v>
      </c>
    </row>
    <row r="9632" ht="15.75" customHeight="1">
      <c r="A9632" s="2">
        <v>218359.0</v>
      </c>
      <c r="B9632" s="2" t="s">
        <v>1969</v>
      </c>
      <c r="C9632" s="2" t="s">
        <v>14692</v>
      </c>
      <c r="D9632" s="2" t="s">
        <v>13</v>
      </c>
      <c r="E9632" s="2" t="s">
        <v>181</v>
      </c>
      <c r="F9632" s="2">
        <v>9.0</v>
      </c>
      <c r="G9632" s="2">
        <v>445.0</v>
      </c>
      <c r="H9632" s="3" t="str">
        <f>HYPERLINK("http://www.linkedin.com/pub/vince-cahill/0/367/AB4","http://www.linkedin.com/pub/vince-cahill/0/367/AB4")</f>
        <v>http://www.linkedin.com/pub/vince-cahill/0/367/AB4</v>
      </c>
      <c r="I9632" s="2" t="s">
        <v>77</v>
      </c>
      <c r="J9632" s="2" t="s">
        <v>102</v>
      </c>
      <c r="K9632" s="2" t="s">
        <v>14105</v>
      </c>
    </row>
    <row r="9633" ht="15.75" customHeight="1">
      <c r="A9633" s="2">
        <v>218448.0</v>
      </c>
      <c r="B9633" s="2" t="s">
        <v>341</v>
      </c>
      <c r="C9633" s="2" t="s">
        <v>4608</v>
      </c>
      <c r="D9633" s="2" t="s">
        <v>47</v>
      </c>
      <c r="E9633" s="2" t="s">
        <v>713</v>
      </c>
      <c r="F9633" s="2" t="s">
        <v>13</v>
      </c>
      <c r="G9633" s="2">
        <v>500.0</v>
      </c>
      <c r="H9633" s="3" t="str">
        <f>HYPERLINK("http://www.linkedin.com/pub/kevin-west/5/348/9A2","http://www.linkedin.com/pub/kevin-west/5/348/9A2")</f>
        <v>http://www.linkedin.com/pub/kevin-west/5/348/9A2</v>
      </c>
      <c r="I9633" s="2" t="s">
        <v>160</v>
      </c>
      <c r="J9633" s="2" t="s">
        <v>102</v>
      </c>
      <c r="K9633" s="2" t="s">
        <v>14142</v>
      </c>
    </row>
    <row r="9634" ht="15.75" customHeight="1">
      <c r="A9634" s="2">
        <v>218477.0</v>
      </c>
      <c r="B9634" s="2" t="s">
        <v>15898</v>
      </c>
      <c r="C9634" s="2" t="s">
        <v>17034</v>
      </c>
      <c r="D9634" s="2" t="s">
        <v>17035</v>
      </c>
      <c r="E9634" s="2" t="s">
        <v>2058</v>
      </c>
      <c r="F9634" s="2">
        <v>11.0</v>
      </c>
      <c r="G9634" s="2">
        <v>500.0</v>
      </c>
      <c r="H9634" s="3" t="str">
        <f>HYPERLINK("http://www.linkedin.com/in/minhqle","http://www.linkedin.com/in/minhqle")</f>
        <v>http://www.linkedin.com/in/minhqle</v>
      </c>
      <c r="I9634" s="2" t="s">
        <v>105</v>
      </c>
      <c r="J9634" s="2" t="s">
        <v>102</v>
      </c>
      <c r="K9634" s="2" t="s">
        <v>14074</v>
      </c>
    </row>
    <row r="9635" ht="15.75" customHeight="1">
      <c r="A9635" s="2">
        <v>218495.0</v>
      </c>
      <c r="B9635" s="2" t="s">
        <v>17036</v>
      </c>
      <c r="C9635" s="2" t="s">
        <v>17037</v>
      </c>
      <c r="D9635" s="2" t="s">
        <v>1320</v>
      </c>
      <c r="E9635" s="2" t="s">
        <v>301</v>
      </c>
      <c r="F9635" s="2">
        <v>15.0</v>
      </c>
      <c r="G9635" s="2">
        <v>500.0</v>
      </c>
      <c r="H9635" s="3" t="str">
        <f>HYPERLINK("http://www.linkedin.com/in/getinterviews","http://www.linkedin.com/in/getinterviews")</f>
        <v>http://www.linkedin.com/in/getinterviews</v>
      </c>
      <c r="I9635" s="2" t="s">
        <v>458</v>
      </c>
      <c r="J9635" s="2" t="s">
        <v>102</v>
      </c>
      <c r="K9635" s="2" t="s">
        <v>14074</v>
      </c>
    </row>
    <row r="9636" ht="15.75" customHeight="1">
      <c r="A9636" s="2">
        <v>218518.0</v>
      </c>
      <c r="B9636" s="2" t="s">
        <v>4118</v>
      </c>
      <c r="C9636" s="2" t="s">
        <v>16100</v>
      </c>
      <c r="D9636" s="2" t="s">
        <v>15254</v>
      </c>
      <c r="E9636" s="2" t="s">
        <v>2058</v>
      </c>
      <c r="F9636" s="2">
        <v>10.0</v>
      </c>
      <c r="G9636" s="2">
        <v>500.0</v>
      </c>
      <c r="H9636" s="3" t="str">
        <f>HYPERLINK("http://www.linkedin.com/in/wanichols","http://www.linkedin.com/in/wanichols")</f>
        <v>http://www.linkedin.com/in/wanichols</v>
      </c>
      <c r="I9636" s="2" t="s">
        <v>15</v>
      </c>
      <c r="J9636" s="2" t="s">
        <v>102</v>
      </c>
      <c r="K9636" s="2" t="s">
        <v>14242</v>
      </c>
    </row>
    <row r="9637" ht="15.75" customHeight="1">
      <c r="A9637" s="2">
        <v>218549.0</v>
      </c>
      <c r="B9637" s="2" t="s">
        <v>5337</v>
      </c>
      <c r="C9637" s="2" t="s">
        <v>15327</v>
      </c>
      <c r="D9637" s="2" t="s">
        <v>536</v>
      </c>
      <c r="E9637" s="2" t="s">
        <v>14648</v>
      </c>
      <c r="F9637" s="2">
        <v>2.0</v>
      </c>
      <c r="G9637" s="2">
        <v>226.0</v>
      </c>
      <c r="H9637" s="3" t="str">
        <f>HYPERLINK("http://www.linkedin.com/pub/brent-friedman/2/289/947","http://www.linkedin.com/pub/brent-friedman/2/289/947")</f>
        <v>http://www.linkedin.com/pub/brent-friedman/2/289/947</v>
      </c>
      <c r="I9637" s="2" t="s">
        <v>15</v>
      </c>
      <c r="J9637" s="2" t="s">
        <v>102</v>
      </c>
      <c r="K9637" s="2" t="s">
        <v>14071</v>
      </c>
    </row>
    <row r="9638" ht="15.75" customHeight="1">
      <c r="A9638" s="2">
        <v>218550.0</v>
      </c>
      <c r="B9638" s="2" t="s">
        <v>17038</v>
      </c>
      <c r="C9638" s="2" t="s">
        <v>17039</v>
      </c>
      <c r="D9638" s="2" t="s">
        <v>17040</v>
      </c>
      <c r="E9638" s="2" t="s">
        <v>4010</v>
      </c>
      <c r="F9638" s="2" t="s">
        <v>13</v>
      </c>
      <c r="G9638" s="2">
        <v>469.0</v>
      </c>
      <c r="H9638" s="3" t="str">
        <f>HYPERLINK("http://www.linkedin.com/pub/fumbi-chima/0/577/252","http://www.linkedin.com/pub/fumbi-chima/0/577/252")</f>
        <v>http://www.linkedin.com/pub/fumbi-chima/0/577/252</v>
      </c>
      <c r="I9638" s="2" t="s">
        <v>96</v>
      </c>
      <c r="J9638" s="2" t="s">
        <v>102</v>
      </c>
      <c r="K9638" s="2" t="s">
        <v>14057</v>
      </c>
    </row>
    <row r="9639" ht="15.75" customHeight="1">
      <c r="A9639" s="2">
        <v>218656.0</v>
      </c>
      <c r="B9639" s="2" t="s">
        <v>3643</v>
      </c>
      <c r="C9639" s="2" t="s">
        <v>17041</v>
      </c>
      <c r="D9639" s="2" t="s">
        <v>47</v>
      </c>
      <c r="E9639" s="2" t="s">
        <v>728</v>
      </c>
      <c r="F9639" s="2">
        <v>7.0</v>
      </c>
      <c r="G9639" s="2">
        <v>500.0</v>
      </c>
      <c r="H9639" s="3" t="str">
        <f>HYPERLINK("http://www.linkedin.com/in/leighfatzinger","http://www.linkedin.com/in/leighfatzinger")</f>
        <v>http://www.linkedin.com/in/leighfatzinger</v>
      </c>
      <c r="I9639" s="2" t="s">
        <v>48</v>
      </c>
      <c r="J9639" s="2" t="s">
        <v>102</v>
      </c>
      <c r="K9639" s="2" t="s">
        <v>14197</v>
      </c>
    </row>
    <row r="9640" ht="15.75" customHeight="1">
      <c r="A9640" s="2">
        <v>218794.0</v>
      </c>
      <c r="B9640" s="2" t="s">
        <v>17042</v>
      </c>
      <c r="C9640" s="2" t="s">
        <v>17043</v>
      </c>
      <c r="D9640" s="2" t="s">
        <v>100</v>
      </c>
      <c r="E9640" s="2" t="s">
        <v>914</v>
      </c>
      <c r="F9640" s="2">
        <v>13.0</v>
      </c>
      <c r="G9640" s="2">
        <v>500.0</v>
      </c>
      <c r="H9640" s="3" t="str">
        <f>HYPERLINK("http://www.linkedin.com/in/leahac","http://www.linkedin.com/in/leahac")</f>
        <v>http://www.linkedin.com/in/leahac</v>
      </c>
      <c r="I9640" s="2" t="s">
        <v>48</v>
      </c>
      <c r="J9640" s="2" t="s">
        <v>102</v>
      </c>
      <c r="K9640" s="2" t="s">
        <v>14204</v>
      </c>
    </row>
    <row r="9641" ht="15.75" customHeight="1">
      <c r="A9641" s="2">
        <v>218990.0</v>
      </c>
      <c r="B9641" s="2" t="s">
        <v>1104</v>
      </c>
      <c r="C9641" s="2" t="s">
        <v>17044</v>
      </c>
      <c r="D9641" s="2" t="s">
        <v>13</v>
      </c>
      <c r="E9641" s="2" t="s">
        <v>136</v>
      </c>
      <c r="F9641" s="2">
        <v>0.0</v>
      </c>
      <c r="G9641" s="2">
        <v>500.0</v>
      </c>
      <c r="H9641" s="3" t="str">
        <f>HYPERLINK("http://www.linkedin.com/in/jayzaveri","http://www.linkedin.com/in/jayzaveri")</f>
        <v>http://www.linkedin.com/in/jayzaveri</v>
      </c>
      <c r="I9641" s="2" t="s">
        <v>69</v>
      </c>
      <c r="J9641" s="2" t="s">
        <v>102</v>
      </c>
      <c r="K9641" s="2" t="s">
        <v>14088</v>
      </c>
    </row>
    <row r="9642" ht="15.75" customHeight="1">
      <c r="A9642" s="2">
        <v>219051.0</v>
      </c>
      <c r="B9642" s="2" t="s">
        <v>460</v>
      </c>
      <c r="C9642" s="2" t="s">
        <v>4081</v>
      </c>
      <c r="D9642" s="2" t="s">
        <v>410</v>
      </c>
      <c r="E9642" s="2" t="s">
        <v>17045</v>
      </c>
      <c r="F9642" s="2">
        <v>6.0</v>
      </c>
      <c r="G9642" s="2">
        <v>500.0</v>
      </c>
      <c r="H9642" s="3" t="str">
        <f>HYPERLINK("http://www.linkedin.com/in/johnbutlerrecruiter","http://www.linkedin.com/in/johnbutlerrecruiter")</f>
        <v>http://www.linkedin.com/in/johnbutlerrecruiter</v>
      </c>
      <c r="I9642" s="2" t="s">
        <v>248</v>
      </c>
      <c r="J9642" s="2" t="s">
        <v>102</v>
      </c>
      <c r="K9642" s="2" t="s">
        <v>14115</v>
      </c>
    </row>
    <row r="9643" ht="15.75" customHeight="1">
      <c r="A9643" s="2">
        <v>219060.0</v>
      </c>
      <c r="B9643" s="2" t="s">
        <v>721</v>
      </c>
      <c r="C9643" s="2" t="s">
        <v>5082</v>
      </c>
      <c r="D9643" s="2" t="s">
        <v>13</v>
      </c>
      <c r="E9643" s="2" t="s">
        <v>713</v>
      </c>
      <c r="F9643" s="2">
        <v>0.0</v>
      </c>
      <c r="G9643" s="2">
        <v>500.0</v>
      </c>
      <c r="H9643" s="3" t="str">
        <f>HYPERLINK("http://www.linkedin.com/pub/andrew-rosenthal/5/653/353","http://www.linkedin.com/pub/andrew-rosenthal/5/653/353")</f>
        <v>http://www.linkedin.com/pub/andrew-rosenthal/5/653/353</v>
      </c>
      <c r="I9643" s="2" t="s">
        <v>15</v>
      </c>
      <c r="J9643" s="2" t="s">
        <v>102</v>
      </c>
      <c r="K9643" s="2" t="s">
        <v>14080</v>
      </c>
    </row>
    <row r="9644" ht="15.75" customHeight="1">
      <c r="A9644" s="2">
        <v>219126.0</v>
      </c>
      <c r="B9644" s="2" t="s">
        <v>17046</v>
      </c>
      <c r="C9644" s="2" t="s">
        <v>17047</v>
      </c>
      <c r="D9644" s="2" t="s">
        <v>304</v>
      </c>
      <c r="E9644" s="2" t="s">
        <v>628</v>
      </c>
      <c r="F9644" s="2">
        <v>6.0</v>
      </c>
      <c r="G9644" s="2">
        <v>500.0</v>
      </c>
      <c r="H9644" s="3" t="str">
        <f>HYPERLINK("http://www.linkedin.com/in/mikicostello","http://www.linkedin.com/in/mikicostello")</f>
        <v>http://www.linkedin.com/in/mikicostello</v>
      </c>
      <c r="I9644" s="2" t="s">
        <v>248</v>
      </c>
      <c r="J9644" s="2" t="s">
        <v>102</v>
      </c>
      <c r="K9644" s="2" t="s">
        <v>14105</v>
      </c>
    </row>
    <row r="9645" ht="15.75" customHeight="1">
      <c r="A9645" s="2">
        <v>219191.0</v>
      </c>
      <c r="B9645" s="2" t="s">
        <v>1653</v>
      </c>
      <c r="C9645" s="2" t="s">
        <v>17048</v>
      </c>
      <c r="D9645" s="2" t="s">
        <v>17049</v>
      </c>
      <c r="E9645" s="2" t="s">
        <v>166</v>
      </c>
      <c r="F9645" s="2">
        <v>114.0</v>
      </c>
      <c r="G9645" s="2">
        <v>500.0</v>
      </c>
      <c r="H9645" s="3" t="str">
        <f>HYPERLINK("http://www.linkedin.com/in/dougbruhnke","http://www.linkedin.com/in/dougbruhnke")</f>
        <v>http://www.linkedin.com/in/dougbruhnke</v>
      </c>
      <c r="I9645" s="2" t="s">
        <v>105</v>
      </c>
      <c r="J9645" s="2" t="s">
        <v>102</v>
      </c>
      <c r="K9645" s="2" t="s">
        <v>14074</v>
      </c>
    </row>
    <row r="9646" ht="15.75" customHeight="1">
      <c r="A9646" s="2">
        <v>219227.0</v>
      </c>
      <c r="B9646" s="2" t="s">
        <v>133</v>
      </c>
      <c r="C9646" s="2" t="s">
        <v>3152</v>
      </c>
      <c r="D9646" s="2" t="s">
        <v>13</v>
      </c>
      <c r="E9646" s="2" t="s">
        <v>989</v>
      </c>
      <c r="F9646" s="2">
        <v>6.0</v>
      </c>
      <c r="G9646" s="2">
        <v>500.0</v>
      </c>
      <c r="H9646" s="3" t="str">
        <f>HYPERLINK("http://www.linkedin.com/in/robertmichaelbrooks","http://www.linkedin.com/in/robertmichaelbrooks")</f>
        <v>http://www.linkedin.com/in/robertmichaelbrooks</v>
      </c>
      <c r="I9646" s="2" t="s">
        <v>279</v>
      </c>
      <c r="J9646" s="2" t="s">
        <v>102</v>
      </c>
      <c r="K9646" s="2" t="s">
        <v>14080</v>
      </c>
    </row>
    <row r="9647" ht="15.75" customHeight="1">
      <c r="A9647" s="2">
        <v>219281.0</v>
      </c>
      <c r="B9647" s="2" t="s">
        <v>3250</v>
      </c>
      <c r="C9647" s="2" t="s">
        <v>17050</v>
      </c>
      <c r="D9647" s="2" t="s">
        <v>17051</v>
      </c>
      <c r="E9647" s="2" t="s">
        <v>2730</v>
      </c>
      <c r="F9647" s="2">
        <v>21.0</v>
      </c>
      <c r="G9647" s="2">
        <v>445.0</v>
      </c>
      <c r="H9647" s="3" t="str">
        <f>HYPERLINK("http://www.linkedin.com/in/bfuhr","http://www.linkedin.com/in/bfuhr")</f>
        <v>http://www.linkedin.com/in/bfuhr</v>
      </c>
      <c r="I9647" s="2" t="s">
        <v>77</v>
      </c>
      <c r="J9647" s="2" t="s">
        <v>102</v>
      </c>
      <c r="K9647" s="2" t="s">
        <v>17052</v>
      </c>
    </row>
    <row r="9648" ht="15.75" customHeight="1">
      <c r="A9648" s="2">
        <v>219325.0</v>
      </c>
      <c r="B9648" s="2" t="s">
        <v>1617</v>
      </c>
      <c r="C9648" s="2" t="s">
        <v>17053</v>
      </c>
      <c r="D9648" s="2" t="s">
        <v>835</v>
      </c>
      <c r="E9648" s="2" t="s">
        <v>457</v>
      </c>
      <c r="F9648" s="2">
        <v>14.0</v>
      </c>
      <c r="G9648" s="2">
        <v>500.0</v>
      </c>
      <c r="H9648" s="3" t="str">
        <f>HYPERLINK("http://www.linkedin.com/in/ryanleary","http://www.linkedin.com/in/ryanleary")</f>
        <v>http://www.linkedin.com/in/ryanleary</v>
      </c>
      <c r="I9648" s="2" t="s">
        <v>248</v>
      </c>
      <c r="J9648" s="2" t="s">
        <v>102</v>
      </c>
      <c r="K9648" s="2" t="s">
        <v>14055</v>
      </c>
    </row>
    <row r="9649" ht="15.75" customHeight="1">
      <c r="A9649" s="2">
        <v>219360.0</v>
      </c>
      <c r="B9649" s="2" t="s">
        <v>1019</v>
      </c>
      <c r="C9649" s="2" t="s">
        <v>2165</v>
      </c>
      <c r="D9649" s="2" t="s">
        <v>47</v>
      </c>
      <c r="E9649" s="2" t="s">
        <v>914</v>
      </c>
      <c r="F9649" s="2">
        <v>3.0</v>
      </c>
      <c r="G9649" s="2">
        <v>500.0</v>
      </c>
      <c r="H9649" s="3" t="str">
        <f>HYPERLINK("http://www.linkedin.com/in/mattshaffer","http://www.linkedin.com/in/mattshaffer")</f>
        <v>http://www.linkedin.com/in/mattshaffer</v>
      </c>
      <c r="I9649" s="2" t="s">
        <v>15</v>
      </c>
      <c r="J9649" s="2" t="s">
        <v>102</v>
      </c>
      <c r="K9649" s="2" t="s">
        <v>14080</v>
      </c>
    </row>
    <row r="9650" ht="15.75" customHeight="1">
      <c r="A9650" s="2">
        <v>219635.0</v>
      </c>
      <c r="B9650" s="2" t="s">
        <v>460</v>
      </c>
      <c r="C9650" s="2" t="s">
        <v>17054</v>
      </c>
      <c r="D9650" s="2" t="s">
        <v>17055</v>
      </c>
      <c r="E9650" s="2" t="s">
        <v>713</v>
      </c>
      <c r="F9650" s="2">
        <v>0.0</v>
      </c>
      <c r="G9650" s="2">
        <v>500.0</v>
      </c>
      <c r="H9650" s="3" t="str">
        <f>HYPERLINK("http://www.linkedin.com/pub/john-foristall/5/85/B44","http://www.linkedin.com/pub/john-foristall/5/85/B44")</f>
        <v>http://www.linkedin.com/pub/john-foristall/5/85/B44</v>
      </c>
      <c r="I9650" s="2" t="s">
        <v>69</v>
      </c>
      <c r="J9650" s="2" t="s">
        <v>102</v>
      </c>
      <c r="K9650" s="2" t="s">
        <v>14088</v>
      </c>
    </row>
    <row r="9651" ht="15.75" customHeight="1">
      <c r="A9651" s="2">
        <v>219746.0</v>
      </c>
      <c r="B9651" s="2" t="s">
        <v>2300</v>
      </c>
      <c r="C9651" s="2" t="s">
        <v>17056</v>
      </c>
      <c r="D9651" s="2" t="s">
        <v>47</v>
      </c>
      <c r="E9651" s="2" t="s">
        <v>713</v>
      </c>
      <c r="F9651" s="2">
        <v>17.0</v>
      </c>
      <c r="G9651" s="2">
        <v>500.0</v>
      </c>
      <c r="H9651" s="3" t="str">
        <f>HYPERLINK("http://www.linkedin.com/in/careyvazzara","http://www.linkedin.com/in/careyvazzara")</f>
        <v>http://www.linkedin.com/in/careyvazzara</v>
      </c>
      <c r="I9651" s="2" t="s">
        <v>105</v>
      </c>
      <c r="J9651" s="2" t="s">
        <v>102</v>
      </c>
      <c r="K9651" s="2" t="s">
        <v>14092</v>
      </c>
    </row>
    <row r="9652" ht="15.75" customHeight="1">
      <c r="A9652" s="2">
        <v>219769.0</v>
      </c>
      <c r="B9652" s="2" t="s">
        <v>5405</v>
      </c>
      <c r="C9652" s="2" t="s">
        <v>12391</v>
      </c>
      <c r="D9652" s="2" t="s">
        <v>6567</v>
      </c>
      <c r="E9652" s="2" t="s">
        <v>1041</v>
      </c>
      <c r="F9652" s="2">
        <v>22.0</v>
      </c>
      <c r="G9652" s="2">
        <v>500.0</v>
      </c>
      <c r="H9652" s="3" t="str">
        <f>HYPERLINK("http://www.linkedin.com/in/bartb","http://www.linkedin.com/in/bartb")</f>
        <v>http://www.linkedin.com/in/bartb</v>
      </c>
      <c r="I9652" s="2" t="s">
        <v>48</v>
      </c>
      <c r="J9652" s="2" t="s">
        <v>102</v>
      </c>
      <c r="K9652" s="2" t="s">
        <v>14088</v>
      </c>
    </row>
    <row r="9653" ht="15.75" customHeight="1">
      <c r="A9653" s="2">
        <v>219783.0</v>
      </c>
      <c r="B9653" s="2" t="s">
        <v>1486</v>
      </c>
      <c r="C9653" s="2" t="s">
        <v>17057</v>
      </c>
      <c r="D9653" s="2" t="s">
        <v>47</v>
      </c>
      <c r="E9653" s="2" t="s">
        <v>136</v>
      </c>
      <c r="F9653" s="2">
        <v>1.0</v>
      </c>
      <c r="G9653" s="2">
        <v>398.0</v>
      </c>
      <c r="H9653" s="3" t="str">
        <f>HYPERLINK("http://www.linkedin.com/pub/amit-goswamy/0/2/8A","http://www.linkedin.com/pub/amit-goswamy/0/2/8A")</f>
        <v>http://www.linkedin.com/pub/amit-goswamy/0/2/8A</v>
      </c>
      <c r="I9653" s="2" t="s">
        <v>374</v>
      </c>
      <c r="J9653" s="2" t="s">
        <v>102</v>
      </c>
      <c r="K9653" s="2" t="s">
        <v>14055</v>
      </c>
    </row>
    <row r="9654" ht="15.75" customHeight="1">
      <c r="A9654" s="2">
        <v>219787.0</v>
      </c>
      <c r="B9654" s="2" t="s">
        <v>17058</v>
      </c>
      <c r="C9654" s="2" t="s">
        <v>1843</v>
      </c>
      <c r="D9654" s="2" t="s">
        <v>517</v>
      </c>
      <c r="E9654" s="2" t="s">
        <v>136</v>
      </c>
      <c r="F9654" s="2" t="s">
        <v>13</v>
      </c>
      <c r="G9654" s="2">
        <v>500.0</v>
      </c>
      <c r="H9654" s="3" t="str">
        <f>HYPERLINK("http://www.linkedin.com/pub/birju-shah/1/223/49B","http://www.linkedin.com/pub/birju-shah/1/223/49B")</f>
        <v>http://www.linkedin.com/pub/birju-shah/1/223/49B</v>
      </c>
      <c r="I9654" s="2" t="s">
        <v>69</v>
      </c>
      <c r="J9654" s="2" t="s">
        <v>102</v>
      </c>
      <c r="K9654" s="2" t="s">
        <v>14074</v>
      </c>
    </row>
    <row r="9655" ht="15.75" customHeight="1">
      <c r="A9655" s="2">
        <v>219844.0</v>
      </c>
      <c r="B9655" s="2" t="s">
        <v>1868</v>
      </c>
      <c r="C9655" s="2" t="s">
        <v>399</v>
      </c>
      <c r="D9655" s="2" t="s">
        <v>17059</v>
      </c>
      <c r="E9655" s="2" t="s">
        <v>728</v>
      </c>
      <c r="F9655" s="2">
        <v>28.0</v>
      </c>
      <c r="G9655" s="2">
        <v>500.0</v>
      </c>
      <c r="H9655" s="3" t="str">
        <f>HYPERLINK("http://www.linkedin.com/in/jackdjohnson","http://www.linkedin.com/in/jackdjohnson")</f>
        <v>http://www.linkedin.com/in/jackdjohnson</v>
      </c>
      <c r="I9655" s="2" t="s">
        <v>252</v>
      </c>
      <c r="J9655" s="2" t="s">
        <v>102</v>
      </c>
      <c r="K9655" s="2" t="s">
        <v>14055</v>
      </c>
    </row>
    <row r="9656" ht="15.75" customHeight="1">
      <c r="A9656" s="2">
        <v>219849.0</v>
      </c>
      <c r="B9656" s="2" t="s">
        <v>5265</v>
      </c>
      <c r="C9656" s="2" t="s">
        <v>3869</v>
      </c>
      <c r="D9656" s="2" t="s">
        <v>17060</v>
      </c>
      <c r="E9656" s="2" t="s">
        <v>914</v>
      </c>
      <c r="F9656" s="2">
        <v>19.0</v>
      </c>
      <c r="G9656" s="2">
        <v>500.0</v>
      </c>
      <c r="H9656" s="3" t="str">
        <f>HYPERLINK("http://www.linkedin.com/in/lancewilliams1","http://www.linkedin.com/in/lancewilliams1")</f>
        <v>http://www.linkedin.com/in/lancewilliams1</v>
      </c>
      <c r="I9656" s="2" t="s">
        <v>105</v>
      </c>
      <c r="J9656" s="2" t="s">
        <v>102</v>
      </c>
      <c r="K9656" s="2" t="s">
        <v>14074</v>
      </c>
    </row>
    <row r="9657" ht="15.75" customHeight="1">
      <c r="A9657" s="2">
        <v>220037.0</v>
      </c>
      <c r="B9657" s="2" t="s">
        <v>845</v>
      </c>
      <c r="C9657" s="2" t="s">
        <v>3249</v>
      </c>
      <c r="D9657" s="2" t="s">
        <v>17061</v>
      </c>
      <c r="E9657" s="2" t="s">
        <v>2454</v>
      </c>
      <c r="F9657" s="2">
        <v>18.0</v>
      </c>
      <c r="G9657" s="2">
        <v>500.0</v>
      </c>
      <c r="H9657" s="3" t="str">
        <f>HYPERLINK("http://www.linkedin.com/in/walkers","http://www.linkedin.com/in/walkers")</f>
        <v>http://www.linkedin.com/in/walkers</v>
      </c>
      <c r="I9657" s="2" t="s">
        <v>48</v>
      </c>
      <c r="J9657" s="2" t="s">
        <v>102</v>
      </c>
      <c r="K9657" s="2" t="s">
        <v>14088</v>
      </c>
    </row>
    <row r="9658" ht="15.75" customHeight="1">
      <c r="A9658" s="2">
        <v>220065.0</v>
      </c>
      <c r="B9658" s="2" t="s">
        <v>1167</v>
      </c>
      <c r="C9658" s="2" t="s">
        <v>17062</v>
      </c>
      <c r="D9658" s="2" t="s">
        <v>17063</v>
      </c>
      <c r="E9658" s="2" t="s">
        <v>136</v>
      </c>
      <c r="F9658" s="2">
        <v>26.0</v>
      </c>
      <c r="G9658" s="2">
        <v>500.0</v>
      </c>
      <c r="H9658" s="3" t="str">
        <f>HYPERLINK("http://www.linkedin.com/in/bsabrin","http://www.linkedin.com/in/bsabrin")</f>
        <v>http://www.linkedin.com/in/bsabrin</v>
      </c>
      <c r="I9658" s="2" t="s">
        <v>48</v>
      </c>
      <c r="J9658" s="2" t="s">
        <v>102</v>
      </c>
      <c r="K9658" s="2" t="s">
        <v>14080</v>
      </c>
    </row>
    <row r="9659" ht="15.75" customHeight="1">
      <c r="A9659" s="2">
        <v>220066.0</v>
      </c>
      <c r="B9659" s="2" t="s">
        <v>14573</v>
      </c>
      <c r="C9659" s="2" t="s">
        <v>17064</v>
      </c>
      <c r="D9659" s="2" t="s">
        <v>10222</v>
      </c>
      <c r="E9659" s="2" t="s">
        <v>235</v>
      </c>
      <c r="F9659" s="2">
        <v>4.0</v>
      </c>
      <c r="G9659" s="2">
        <v>500.0</v>
      </c>
      <c r="H9659" s="3" t="str">
        <f>HYPERLINK("http://www.linkedin.com/in/noamrathaus","http://www.linkedin.com/in/noamrathaus")</f>
        <v>http://www.linkedin.com/in/noamrathaus</v>
      </c>
      <c r="I9659" s="2" t="s">
        <v>160</v>
      </c>
      <c r="J9659" s="2" t="s">
        <v>102</v>
      </c>
      <c r="K9659" s="2" t="s">
        <v>14085</v>
      </c>
    </row>
    <row r="9660" ht="15.75" customHeight="1">
      <c r="A9660" s="2">
        <v>220071.0</v>
      </c>
      <c r="B9660" s="2" t="s">
        <v>17065</v>
      </c>
      <c r="C9660" s="2" t="s">
        <v>17066</v>
      </c>
      <c r="D9660" s="2" t="s">
        <v>13</v>
      </c>
      <c r="E9660" s="2" t="s">
        <v>136</v>
      </c>
      <c r="F9660" s="2">
        <v>0.0</v>
      </c>
      <c r="G9660" s="2">
        <v>500.0</v>
      </c>
      <c r="H9660" s="3" t="str">
        <f>HYPERLINK("https://www.linkedin.com/in/narenpatil","https://www.linkedin.com/in/narenpatil")</f>
        <v>https://www.linkedin.com/in/narenpatil</v>
      </c>
      <c r="I9660" s="2" t="s">
        <v>48</v>
      </c>
      <c r="J9660" s="2" t="s">
        <v>102</v>
      </c>
      <c r="K9660" s="2" t="s">
        <v>14088</v>
      </c>
    </row>
    <row r="9661" ht="15.75" customHeight="1">
      <c r="A9661" s="2">
        <v>220097.0</v>
      </c>
      <c r="B9661" s="2" t="s">
        <v>408</v>
      </c>
      <c r="C9661" s="2" t="s">
        <v>17067</v>
      </c>
      <c r="D9661" s="2" t="s">
        <v>42</v>
      </c>
      <c r="E9661" s="2" t="s">
        <v>4121</v>
      </c>
      <c r="F9661" s="2">
        <v>9.0</v>
      </c>
      <c r="G9661" s="2">
        <v>500.0</v>
      </c>
      <c r="H9661" s="3" t="str">
        <f>HYPERLINK("http://www.linkedin.com/in/branley","http://www.linkedin.com/in/branley")</f>
        <v>http://www.linkedin.com/in/branley</v>
      </c>
      <c r="I9661" s="2" t="s">
        <v>15</v>
      </c>
      <c r="J9661" s="2" t="s">
        <v>102</v>
      </c>
      <c r="K9661" s="2" t="s">
        <v>14204</v>
      </c>
    </row>
    <row r="9662" ht="15.75" customHeight="1">
      <c r="A9662" s="2">
        <v>220100.0</v>
      </c>
      <c r="B9662" s="2" t="s">
        <v>1173</v>
      </c>
      <c r="C9662" s="2" t="s">
        <v>17068</v>
      </c>
      <c r="D9662" s="2" t="s">
        <v>1017</v>
      </c>
      <c r="E9662" s="2" t="s">
        <v>457</v>
      </c>
      <c r="F9662" s="2">
        <v>0.0</v>
      </c>
      <c r="G9662" s="2">
        <v>500.0</v>
      </c>
      <c r="H9662" s="3" t="str">
        <f>HYPERLINK("http://www.linkedin.com/in/shollander","http://www.linkedin.com/in/shollander")</f>
        <v>http://www.linkedin.com/in/shollander</v>
      </c>
      <c r="I9662" s="2" t="s">
        <v>48</v>
      </c>
      <c r="J9662" s="2" t="s">
        <v>102</v>
      </c>
      <c r="K9662" s="2" t="s">
        <v>14095</v>
      </c>
    </row>
    <row r="9663" ht="15.75" customHeight="1">
      <c r="A9663" s="2">
        <v>220128.0</v>
      </c>
      <c r="B9663" s="2" t="s">
        <v>17069</v>
      </c>
      <c r="C9663" s="2" t="s">
        <v>17070</v>
      </c>
      <c r="D9663" s="2" t="s">
        <v>13</v>
      </c>
      <c r="E9663" s="2" t="s">
        <v>713</v>
      </c>
      <c r="F9663" s="2">
        <v>0.0</v>
      </c>
      <c r="G9663" s="2">
        <v>465.0</v>
      </c>
      <c r="H9663" s="3" t="str">
        <f>HYPERLINK("http://www.linkedin.com/pub/chiara-sarata/5/B8A/87A","http://www.linkedin.com/pub/chiara-sarata/5/B8A/87A")</f>
        <v>http://www.linkedin.com/pub/chiara-sarata/5/B8A/87A</v>
      </c>
      <c r="I9663" s="2" t="s">
        <v>279</v>
      </c>
      <c r="J9663" s="2" t="s">
        <v>102</v>
      </c>
      <c r="K9663" s="2" t="s">
        <v>16351</v>
      </c>
    </row>
    <row r="9664" ht="15.75" customHeight="1">
      <c r="A9664" s="2">
        <v>220166.0</v>
      </c>
      <c r="B9664" s="2" t="s">
        <v>17071</v>
      </c>
      <c r="C9664" s="2" t="s">
        <v>17072</v>
      </c>
      <c r="D9664" s="2" t="s">
        <v>2802</v>
      </c>
      <c r="E9664" s="2" t="s">
        <v>1234</v>
      </c>
      <c r="F9664" s="2">
        <v>16.0</v>
      </c>
      <c r="G9664" s="2">
        <v>500.0</v>
      </c>
      <c r="H9664" s="3" t="str">
        <f>HYPERLINK("http://www.linkedin.com/in/jaywilliams","http://www.linkedin.com/in/jaywilliams")</f>
        <v>http://www.linkedin.com/in/jaywilliams</v>
      </c>
      <c r="I9664" s="2" t="s">
        <v>105</v>
      </c>
      <c r="J9664" s="2" t="s">
        <v>102</v>
      </c>
      <c r="K9664" s="2" t="s">
        <v>14074</v>
      </c>
    </row>
    <row r="9665" ht="15.75" customHeight="1">
      <c r="A9665" s="2">
        <v>220233.0</v>
      </c>
      <c r="B9665" s="2" t="s">
        <v>3036</v>
      </c>
      <c r="C9665" s="2" t="s">
        <v>17073</v>
      </c>
      <c r="D9665" s="2" t="s">
        <v>17074</v>
      </c>
      <c r="E9665" s="2" t="s">
        <v>628</v>
      </c>
      <c r="F9665" s="2">
        <v>47.0</v>
      </c>
      <c r="G9665" s="2">
        <v>500.0</v>
      </c>
      <c r="H9665" s="3" t="str">
        <f>HYPERLINK("http://www.linkedin.com/in/saraelkins","http://www.linkedin.com/in/saraelkins")</f>
        <v>http://www.linkedin.com/in/saraelkins</v>
      </c>
      <c r="I9665" s="2" t="s">
        <v>105</v>
      </c>
      <c r="J9665" s="2" t="s">
        <v>102</v>
      </c>
      <c r="K9665" s="2" t="s">
        <v>14071</v>
      </c>
    </row>
    <row r="9666" ht="15.75" customHeight="1">
      <c r="A9666" s="2">
        <v>220253.0</v>
      </c>
      <c r="B9666" s="2" t="s">
        <v>6134</v>
      </c>
      <c r="C9666" s="2" t="s">
        <v>17075</v>
      </c>
      <c r="D9666" s="2" t="s">
        <v>14587</v>
      </c>
      <c r="E9666" s="2" t="s">
        <v>457</v>
      </c>
      <c r="F9666" s="2">
        <v>18.0</v>
      </c>
      <c r="G9666" s="2">
        <v>500.0</v>
      </c>
      <c r="H9666" s="3" t="str">
        <f>HYPERLINK("http://www.linkedin.com/pub/erica-voll/0/AB4/AAB","http://www.linkedin.com/pub/erica-voll/0/AB4/AAB")</f>
        <v>http://www.linkedin.com/pub/erica-voll/0/AB4/AAB</v>
      </c>
      <c r="I9666" s="2" t="s">
        <v>105</v>
      </c>
      <c r="J9666" s="2" t="s">
        <v>102</v>
      </c>
      <c r="K9666" s="2" t="s">
        <v>14074</v>
      </c>
    </row>
    <row r="9667" ht="15.75" customHeight="1">
      <c r="A9667" s="2">
        <v>220370.0</v>
      </c>
      <c r="B9667" s="2" t="s">
        <v>1173</v>
      </c>
      <c r="C9667" s="2" t="s">
        <v>296</v>
      </c>
      <c r="D9667" s="2" t="s">
        <v>3799</v>
      </c>
      <c r="E9667" s="2" t="s">
        <v>181</v>
      </c>
      <c r="F9667" s="2">
        <v>0.0</v>
      </c>
      <c r="G9667" s="2">
        <v>179.0</v>
      </c>
      <c r="H9667" s="3" t="str">
        <f>HYPERLINK("http://www.linkedin.com/pub/steve-delaney/5/852/849","http://www.linkedin.com/pub/steve-delaney/5/852/849")</f>
        <v>http://www.linkedin.com/pub/steve-delaney/5/852/849</v>
      </c>
      <c r="I9667" s="2" t="s">
        <v>2443</v>
      </c>
      <c r="J9667" s="2" t="s">
        <v>102</v>
      </c>
      <c r="K9667" s="2" t="s">
        <v>14092</v>
      </c>
    </row>
    <row r="9668" ht="15.75" customHeight="1">
      <c r="A9668" s="2">
        <v>220385.0</v>
      </c>
      <c r="B9668" s="2" t="s">
        <v>1015</v>
      </c>
      <c r="C9668" s="2" t="s">
        <v>11408</v>
      </c>
      <c r="D9668" s="2" t="s">
        <v>17076</v>
      </c>
      <c r="E9668" s="2" t="s">
        <v>2058</v>
      </c>
      <c r="F9668" s="2">
        <v>0.0</v>
      </c>
      <c r="G9668" s="2">
        <v>500.0</v>
      </c>
      <c r="H9668" s="3" t="str">
        <f>HYPERLINK("http://www.linkedin.com/pub/brian-raposo/5/868/313","http://www.linkedin.com/pub/brian-raposo/5/868/313")</f>
        <v>http://www.linkedin.com/pub/brian-raposo/5/868/313</v>
      </c>
      <c r="I9668" s="2" t="s">
        <v>15</v>
      </c>
      <c r="J9668" s="2" t="s">
        <v>102</v>
      </c>
      <c r="K9668" s="2" t="s">
        <v>14095</v>
      </c>
    </row>
    <row r="9669" ht="15.75" customHeight="1">
      <c r="A9669" s="2">
        <v>220410.0</v>
      </c>
      <c r="B9669" s="2" t="s">
        <v>1019</v>
      </c>
      <c r="C9669" s="2" t="s">
        <v>17077</v>
      </c>
      <c r="D9669" s="2" t="s">
        <v>17078</v>
      </c>
      <c r="E9669" s="2" t="s">
        <v>713</v>
      </c>
      <c r="F9669" s="2" t="s">
        <v>13</v>
      </c>
      <c r="G9669" s="2">
        <v>500.0</v>
      </c>
      <c r="H9669" s="3" t="str">
        <f>HYPERLINK("http://www.linkedin.com/in/mattgambino","http://www.linkedin.com/in/mattgambino")</f>
        <v>http://www.linkedin.com/in/mattgambino</v>
      </c>
      <c r="I9669" s="2" t="s">
        <v>1094</v>
      </c>
      <c r="J9669" s="2" t="s">
        <v>102</v>
      </c>
      <c r="K9669" s="2" t="s">
        <v>14068</v>
      </c>
    </row>
    <row r="9670" ht="15.75" customHeight="1">
      <c r="A9670" s="2">
        <v>220466.0</v>
      </c>
      <c r="B9670" s="2" t="s">
        <v>839</v>
      </c>
      <c r="C9670" s="2" t="s">
        <v>17079</v>
      </c>
      <c r="D9670" s="2" t="s">
        <v>100</v>
      </c>
      <c r="E9670" s="2" t="s">
        <v>914</v>
      </c>
      <c r="F9670" s="2">
        <v>2.0</v>
      </c>
      <c r="G9670" s="2">
        <v>500.0</v>
      </c>
      <c r="H9670" s="3" t="str">
        <f>HYPERLINK("http://www.linkedin.com/in/dhealey","http://www.linkedin.com/in/dhealey")</f>
        <v>http://www.linkedin.com/in/dhealey</v>
      </c>
      <c r="I9670" s="2" t="s">
        <v>15</v>
      </c>
      <c r="J9670" s="2" t="s">
        <v>102</v>
      </c>
      <c r="K9670" s="2" t="s">
        <v>14074</v>
      </c>
    </row>
    <row r="9671" ht="15.75" customHeight="1">
      <c r="A9671" s="2">
        <v>220497.0</v>
      </c>
      <c r="B9671" s="2" t="s">
        <v>1007</v>
      </c>
      <c r="C9671" s="2" t="s">
        <v>17080</v>
      </c>
      <c r="D9671" s="2" t="s">
        <v>17081</v>
      </c>
      <c r="E9671" s="2" t="s">
        <v>914</v>
      </c>
      <c r="F9671" s="2">
        <v>16.0</v>
      </c>
      <c r="G9671" s="2">
        <v>500.0</v>
      </c>
      <c r="H9671" s="3" t="str">
        <f>HYPERLINK("http://www.linkedin.com/in/karinkoonings","http://www.linkedin.com/in/karinkoonings")</f>
        <v>http://www.linkedin.com/in/karinkoonings</v>
      </c>
      <c r="I9671" s="2" t="s">
        <v>172</v>
      </c>
      <c r="J9671" s="2" t="s">
        <v>102</v>
      </c>
      <c r="K9671" s="2" t="s">
        <v>14055</v>
      </c>
    </row>
    <row r="9672" ht="15.75" customHeight="1">
      <c r="A9672" s="2">
        <v>220560.0</v>
      </c>
      <c r="B9672" s="2" t="s">
        <v>17082</v>
      </c>
      <c r="C9672" s="2" t="s">
        <v>17083</v>
      </c>
      <c r="D9672" s="2" t="s">
        <v>47</v>
      </c>
      <c r="E9672" s="2" t="s">
        <v>17084</v>
      </c>
      <c r="F9672" s="2">
        <v>1.0</v>
      </c>
      <c r="G9672" s="2">
        <v>500.0</v>
      </c>
      <c r="H9672" s="3" t="str">
        <f>HYPERLINK("http://www.linkedin.com/in/johnespriggs","http://www.linkedin.com/in/johnespriggs")</f>
        <v>http://www.linkedin.com/in/johnespriggs</v>
      </c>
      <c r="I9672" s="2" t="s">
        <v>15</v>
      </c>
      <c r="J9672" s="2" t="s">
        <v>102</v>
      </c>
      <c r="K9672" s="2" t="s">
        <v>14080</v>
      </c>
    </row>
    <row r="9673" ht="15.75" customHeight="1">
      <c r="A9673" s="2">
        <v>220567.0</v>
      </c>
      <c r="B9673" s="2" t="s">
        <v>1834</v>
      </c>
      <c r="C9673" s="2" t="s">
        <v>4608</v>
      </c>
      <c r="D9673" s="2" t="s">
        <v>13</v>
      </c>
      <c r="E9673" s="2" t="s">
        <v>628</v>
      </c>
      <c r="F9673" s="2">
        <v>0.0</v>
      </c>
      <c r="G9673" s="2">
        <v>500.0</v>
      </c>
      <c r="H9673" s="3" t="str">
        <f>HYPERLINK("https://www.linkedin.com/in/christinawestsalesexecutive","https://www.linkedin.com/in/christinawestsalesexecutive")</f>
        <v>https://www.linkedin.com/in/christinawestsalesexecutive</v>
      </c>
      <c r="I9673" s="2" t="s">
        <v>48</v>
      </c>
      <c r="J9673" s="2" t="s">
        <v>102</v>
      </c>
      <c r="K9673" s="2" t="s">
        <v>14092</v>
      </c>
    </row>
    <row r="9674" ht="15.75" customHeight="1">
      <c r="A9674" s="2">
        <v>220638.0</v>
      </c>
      <c r="B9674" s="2" t="s">
        <v>17085</v>
      </c>
      <c r="C9674" s="2" t="s">
        <v>17086</v>
      </c>
      <c r="D9674" s="2" t="s">
        <v>114</v>
      </c>
      <c r="E9674" s="2" t="s">
        <v>101</v>
      </c>
      <c r="F9674" s="2">
        <v>10.0</v>
      </c>
      <c r="G9674" s="2">
        <v>500.0</v>
      </c>
      <c r="H9674" s="3" t="str">
        <f>HYPERLINK("http://www.linkedin.com/in/guscawley","http://www.linkedin.com/in/guscawley")</f>
        <v>http://www.linkedin.com/in/guscawley</v>
      </c>
      <c r="I9674" s="2" t="s">
        <v>248</v>
      </c>
      <c r="J9674" s="2" t="s">
        <v>102</v>
      </c>
      <c r="K9674" s="2" t="s">
        <v>14115</v>
      </c>
    </row>
    <row r="9675" ht="15.75" customHeight="1">
      <c r="A9675" s="2">
        <v>220664.0</v>
      </c>
      <c r="B9675" s="2" t="s">
        <v>3233</v>
      </c>
      <c r="C9675" s="2" t="s">
        <v>17087</v>
      </c>
      <c r="D9675" s="2" t="s">
        <v>114</v>
      </c>
      <c r="E9675" s="2" t="s">
        <v>166</v>
      </c>
      <c r="F9675" s="2">
        <v>7.0</v>
      </c>
      <c r="G9675" s="2">
        <v>500.0</v>
      </c>
      <c r="H9675" s="3" t="str">
        <f>HYPERLINK("http://www.linkedin.com/in/narenjauhal","http://www.linkedin.com/in/narenjauhal")</f>
        <v>http://www.linkedin.com/in/narenjauhal</v>
      </c>
      <c r="I9675" s="2" t="s">
        <v>57</v>
      </c>
      <c r="J9675" s="2" t="s">
        <v>102</v>
      </c>
      <c r="K9675" s="2" t="s">
        <v>14055</v>
      </c>
    </row>
    <row r="9676" ht="15.75" customHeight="1">
      <c r="A9676" s="2">
        <v>220794.0</v>
      </c>
      <c r="B9676" s="2" t="s">
        <v>592</v>
      </c>
      <c r="C9676" s="2" t="s">
        <v>17088</v>
      </c>
      <c r="D9676" s="2" t="s">
        <v>154</v>
      </c>
      <c r="E9676" s="2" t="s">
        <v>136</v>
      </c>
      <c r="F9676" s="2">
        <v>0.0</v>
      </c>
      <c r="G9676" s="2">
        <v>500.0</v>
      </c>
      <c r="H9676" s="3" t="str">
        <f>HYPERLINK("http://www.linkedin.com/in/barryjcooks","http://www.linkedin.com/in/barryjcooks")</f>
        <v>http://www.linkedin.com/in/barryjcooks</v>
      </c>
      <c r="I9676" s="2" t="s">
        <v>48</v>
      </c>
      <c r="J9676" s="2" t="s">
        <v>102</v>
      </c>
      <c r="K9676" s="2" t="s">
        <v>14088</v>
      </c>
    </row>
    <row r="9677" ht="15.75" customHeight="1">
      <c r="A9677" s="2">
        <v>220828.0</v>
      </c>
      <c r="B9677" s="2" t="s">
        <v>5366</v>
      </c>
      <c r="C9677" s="2" t="s">
        <v>17089</v>
      </c>
      <c r="D9677" s="2" t="s">
        <v>13</v>
      </c>
      <c r="E9677" s="2" t="s">
        <v>9164</v>
      </c>
      <c r="F9677" s="2">
        <v>0.0</v>
      </c>
      <c r="G9677" s="2">
        <v>500.0</v>
      </c>
      <c r="H9677" s="3" t="str">
        <f>HYPERLINK("http://www.linkedin.com/in/johngeder","http://www.linkedin.com/in/johngeder")</f>
        <v>http://www.linkedin.com/in/johngeder</v>
      </c>
      <c r="I9677" s="2" t="s">
        <v>440</v>
      </c>
      <c r="J9677" s="2" t="s">
        <v>3505</v>
      </c>
      <c r="K9677" s="2" t="s">
        <v>14142</v>
      </c>
    </row>
    <row r="9678" ht="15.75" customHeight="1">
      <c r="A9678" s="2">
        <v>220882.0</v>
      </c>
      <c r="B9678" s="2" t="s">
        <v>1653</v>
      </c>
      <c r="C9678" s="2" t="s">
        <v>1364</v>
      </c>
      <c r="D9678" s="2" t="s">
        <v>17090</v>
      </c>
      <c r="E9678" s="2" t="s">
        <v>989</v>
      </c>
      <c r="F9678" s="2">
        <v>2.0</v>
      </c>
      <c r="G9678" s="2">
        <v>242.0</v>
      </c>
      <c r="H9678" s="3" t="str">
        <f>HYPERLINK("http://www.linkedin.com/in/dougdennis","http://www.linkedin.com/in/dougdennis")</f>
        <v>http://www.linkedin.com/in/dougdennis</v>
      </c>
      <c r="I9678" s="2" t="s">
        <v>48</v>
      </c>
      <c r="J9678" s="2" t="s">
        <v>102</v>
      </c>
      <c r="K9678" s="2" t="s">
        <v>14088</v>
      </c>
    </row>
    <row r="9679" ht="15.75" customHeight="1">
      <c r="A9679" s="2">
        <v>220963.0</v>
      </c>
      <c r="B9679" s="2" t="s">
        <v>793</v>
      </c>
      <c r="C9679" s="2" t="s">
        <v>17091</v>
      </c>
      <c r="D9679" s="2" t="s">
        <v>17092</v>
      </c>
      <c r="E9679" s="2" t="s">
        <v>101</v>
      </c>
      <c r="F9679" s="2">
        <v>20.0</v>
      </c>
      <c r="G9679" s="2">
        <v>500.0</v>
      </c>
      <c r="H9679" s="3" t="str">
        <f>HYPERLINK("http://www.linkedin.com/in/raykillebrew","http://www.linkedin.com/in/raykillebrew")</f>
        <v>http://www.linkedin.com/in/raykillebrew</v>
      </c>
      <c r="I9679" s="2" t="s">
        <v>69</v>
      </c>
      <c r="J9679" s="2" t="s">
        <v>102</v>
      </c>
      <c r="K9679" s="2" t="s">
        <v>14078</v>
      </c>
    </row>
    <row r="9680" ht="15.75" customHeight="1">
      <c r="A9680" s="2">
        <v>220980.0</v>
      </c>
      <c r="B9680" s="2" t="s">
        <v>845</v>
      </c>
      <c r="C9680" s="2" t="s">
        <v>4019</v>
      </c>
      <c r="D9680" s="2" t="s">
        <v>13</v>
      </c>
      <c r="E9680" s="2" t="s">
        <v>136</v>
      </c>
      <c r="F9680" s="2">
        <v>0.0</v>
      </c>
      <c r="G9680" s="2">
        <v>500.0</v>
      </c>
      <c r="H9680" s="3" t="str">
        <f>HYPERLINK("http://www.linkedin.com/in/hunterdp","http://www.linkedin.com/in/hunterdp")</f>
        <v>http://www.linkedin.com/in/hunterdp</v>
      </c>
      <c r="I9680" s="2" t="s">
        <v>48</v>
      </c>
      <c r="J9680" s="2" t="s">
        <v>102</v>
      </c>
      <c r="K9680" s="2" t="s">
        <v>14095</v>
      </c>
    </row>
    <row r="9681" ht="15.75" customHeight="1">
      <c r="A9681" s="2">
        <v>220999.0</v>
      </c>
      <c r="B9681" s="2" t="s">
        <v>17093</v>
      </c>
      <c r="C9681" s="2" t="s">
        <v>17094</v>
      </c>
      <c r="D9681" s="2" t="s">
        <v>309</v>
      </c>
      <c r="E9681" s="2" t="s">
        <v>1147</v>
      </c>
      <c r="F9681" s="2">
        <v>28.0</v>
      </c>
      <c r="G9681" s="2">
        <v>500.0</v>
      </c>
      <c r="H9681" s="3" t="str">
        <f>HYPERLINK("http://www.linkedin.com/in/lovendahl","http://www.linkedin.com/in/lovendahl")</f>
        <v>http://www.linkedin.com/in/lovendahl</v>
      </c>
      <c r="I9681" s="2" t="s">
        <v>279</v>
      </c>
      <c r="J9681" s="2" t="s">
        <v>102</v>
      </c>
      <c r="K9681" s="2" t="s">
        <v>14074</v>
      </c>
    </row>
    <row r="9682" ht="15.75" customHeight="1">
      <c r="A9682" s="2">
        <v>221022.0</v>
      </c>
      <c r="B9682" s="2" t="s">
        <v>8390</v>
      </c>
      <c r="C9682" s="2" t="s">
        <v>17095</v>
      </c>
      <c r="D9682" s="2" t="s">
        <v>114</v>
      </c>
      <c r="E9682" s="2" t="s">
        <v>101</v>
      </c>
      <c r="F9682" s="2">
        <v>3.0</v>
      </c>
      <c r="G9682" s="2">
        <v>500.0</v>
      </c>
      <c r="H9682" s="3" t="str">
        <f>HYPERLINK("http://www.linkedin.com/pub/marisol-wesson/0/71B/947","http://www.linkedin.com/pub/marisol-wesson/0/71B/947")</f>
        <v>http://www.linkedin.com/pub/marisol-wesson/0/71B/947</v>
      </c>
      <c r="I9682" s="2" t="s">
        <v>2725</v>
      </c>
      <c r="J9682" s="2" t="s">
        <v>102</v>
      </c>
      <c r="K9682" s="2" t="s">
        <v>14055</v>
      </c>
    </row>
    <row r="9683" ht="15.75" customHeight="1">
      <c r="A9683" s="2">
        <v>221039.0</v>
      </c>
      <c r="B9683" s="2" t="s">
        <v>275</v>
      </c>
      <c r="C9683" s="2" t="s">
        <v>994</v>
      </c>
      <c r="D9683" s="2" t="s">
        <v>416</v>
      </c>
      <c r="E9683" s="2" t="s">
        <v>1041</v>
      </c>
      <c r="F9683" s="2">
        <v>10.0</v>
      </c>
      <c r="G9683" s="2">
        <v>500.0</v>
      </c>
      <c r="H9683" s="3" t="str">
        <f>HYPERLINK("http://www.linkedin.com/in/mlloyd","http://www.linkedin.com/in/mlloyd")</f>
        <v>http://www.linkedin.com/in/mlloyd</v>
      </c>
      <c r="I9683" s="2" t="s">
        <v>1496</v>
      </c>
      <c r="J9683" s="2" t="s">
        <v>102</v>
      </c>
      <c r="K9683" s="2" t="s">
        <v>14071</v>
      </c>
    </row>
    <row r="9684" ht="15.75" customHeight="1">
      <c r="A9684" s="2">
        <v>221059.0</v>
      </c>
      <c r="B9684" s="2" t="s">
        <v>471</v>
      </c>
      <c r="C9684" s="2" t="s">
        <v>17096</v>
      </c>
      <c r="D9684" s="2" t="s">
        <v>410</v>
      </c>
      <c r="E9684" s="2" t="s">
        <v>14180</v>
      </c>
      <c r="F9684" s="2">
        <v>4.0</v>
      </c>
      <c r="G9684" s="2">
        <v>500.0</v>
      </c>
      <c r="H9684" s="3" t="str">
        <f>HYPERLINK("http://www.linkedin.com/pub/dan-fukushima/0/11/496","http://www.linkedin.com/pub/dan-fukushima/0/11/496")</f>
        <v>http://www.linkedin.com/pub/dan-fukushima/0/11/496</v>
      </c>
      <c r="I9684" s="2" t="s">
        <v>57</v>
      </c>
      <c r="J9684" s="2" t="s">
        <v>102</v>
      </c>
      <c r="K9684" s="2" t="s">
        <v>14055</v>
      </c>
    </row>
    <row r="9685" ht="15.75" customHeight="1">
      <c r="A9685" s="2">
        <v>221077.0</v>
      </c>
      <c r="B9685" s="2" t="s">
        <v>1458</v>
      </c>
      <c r="C9685" s="2" t="s">
        <v>17097</v>
      </c>
      <c r="D9685" s="2" t="s">
        <v>17098</v>
      </c>
      <c r="E9685" s="2" t="s">
        <v>808</v>
      </c>
      <c r="F9685" s="2">
        <v>6.0</v>
      </c>
      <c r="G9685" s="2">
        <v>500.0</v>
      </c>
      <c r="H9685" s="3" t="str">
        <f>HYPERLINK("http://www.linkedin.com/in/woodstra","http://www.linkedin.com/in/woodstra")</f>
        <v>http://www.linkedin.com/in/woodstra</v>
      </c>
      <c r="I9685" s="2" t="s">
        <v>48</v>
      </c>
      <c r="J9685" s="2" t="s">
        <v>102</v>
      </c>
      <c r="K9685" s="2" t="s">
        <v>14080</v>
      </c>
    </row>
    <row r="9686" ht="15.75" customHeight="1">
      <c r="A9686" s="2">
        <v>221078.0</v>
      </c>
      <c r="B9686" s="2" t="s">
        <v>2109</v>
      </c>
      <c r="C9686" s="2" t="s">
        <v>15327</v>
      </c>
      <c r="D9686" s="2" t="s">
        <v>3989</v>
      </c>
      <c r="E9686" s="2" t="s">
        <v>101</v>
      </c>
      <c r="F9686" s="2">
        <v>13.0</v>
      </c>
      <c r="G9686" s="2">
        <v>500.0</v>
      </c>
      <c r="H9686" s="3" t="str">
        <f>HYPERLINK("http://www.linkedin.com/pub/rob-friedman/0/7/A7A","http://www.linkedin.com/pub/rob-friedman/0/7/A7A")</f>
        <v>http://www.linkedin.com/pub/rob-friedman/0/7/A7A</v>
      </c>
      <c r="I9686" s="2" t="s">
        <v>69</v>
      </c>
      <c r="J9686" s="2" t="s">
        <v>102</v>
      </c>
      <c r="K9686" s="2" t="s">
        <v>14052</v>
      </c>
    </row>
    <row r="9687" ht="15.75" customHeight="1">
      <c r="A9687" s="2">
        <v>221193.0</v>
      </c>
      <c r="B9687" s="2" t="s">
        <v>879</v>
      </c>
      <c r="C9687" s="2" t="s">
        <v>12091</v>
      </c>
      <c r="D9687" s="2" t="s">
        <v>17099</v>
      </c>
      <c r="E9687" s="2" t="s">
        <v>808</v>
      </c>
      <c r="F9687" s="2">
        <v>4.0</v>
      </c>
      <c r="G9687" s="2">
        <v>500.0</v>
      </c>
      <c r="H9687" s="3" t="str">
        <f>HYPERLINK("http://www.linkedin.com/pub/richard-weaver/0/725/679","http://www.linkedin.com/pub/richard-weaver/0/725/679")</f>
        <v>http://www.linkedin.com/pub/richard-weaver/0/725/679</v>
      </c>
      <c r="I9687" s="2" t="s">
        <v>48</v>
      </c>
      <c r="J9687" s="2" t="s">
        <v>102</v>
      </c>
      <c r="K9687" s="2" t="s">
        <v>14080</v>
      </c>
    </row>
    <row r="9688" ht="15.75" customHeight="1">
      <c r="A9688" s="2">
        <v>221225.0</v>
      </c>
      <c r="B9688" s="2" t="s">
        <v>133</v>
      </c>
      <c r="C9688" s="2" t="s">
        <v>1087</v>
      </c>
      <c r="D9688" s="2" t="s">
        <v>2048</v>
      </c>
      <c r="E9688" s="2" t="s">
        <v>4060</v>
      </c>
      <c r="F9688" s="2">
        <v>25.0</v>
      </c>
      <c r="G9688" s="2">
        <v>496.0</v>
      </c>
      <c r="H9688" s="3" t="str">
        <f>HYPERLINK("http://www.linkedin.com/in/michaeljamesdayton","http://www.linkedin.com/in/michaeljamesdayton")</f>
        <v>http://www.linkedin.com/in/michaeljamesdayton</v>
      </c>
      <c r="I9688" s="2" t="s">
        <v>15</v>
      </c>
      <c r="J9688" s="2" t="s">
        <v>102</v>
      </c>
      <c r="K9688" s="2" t="s">
        <v>14197</v>
      </c>
    </row>
    <row r="9689" ht="15.75" customHeight="1">
      <c r="A9689" s="2">
        <v>221267.0</v>
      </c>
      <c r="B9689" s="2" t="s">
        <v>721</v>
      </c>
      <c r="C9689" s="2" t="s">
        <v>17100</v>
      </c>
      <c r="D9689" s="2" t="s">
        <v>17101</v>
      </c>
      <c r="E9689" s="2" t="s">
        <v>181</v>
      </c>
      <c r="F9689" s="2">
        <v>1.0</v>
      </c>
      <c r="G9689" s="2">
        <v>500.0</v>
      </c>
      <c r="H9689" s="3" t="str">
        <f>HYPERLINK("http://www.linkedin.com/in/andrewkoch","http://www.linkedin.com/in/andrewkoch")</f>
        <v>http://www.linkedin.com/in/andrewkoch</v>
      </c>
      <c r="I9689" s="2" t="s">
        <v>69</v>
      </c>
      <c r="J9689" s="2" t="s">
        <v>102</v>
      </c>
      <c r="K9689" s="2" t="s">
        <v>14071</v>
      </c>
    </row>
    <row r="9690" ht="15.75" customHeight="1">
      <c r="A9690" s="2">
        <v>221301.0</v>
      </c>
      <c r="B9690" s="2" t="s">
        <v>3948</v>
      </c>
      <c r="C9690" s="2" t="s">
        <v>2239</v>
      </c>
      <c r="D9690" s="2" t="s">
        <v>1098</v>
      </c>
      <c r="E9690" s="2" t="s">
        <v>992</v>
      </c>
      <c r="F9690" s="2">
        <v>2.0</v>
      </c>
      <c r="G9690" s="2">
        <v>500.0</v>
      </c>
      <c r="H9690" s="3" t="str">
        <f>HYPERLINK("http://www.linkedin.com/pub/les-russell/0/3A3/554","http://www.linkedin.com/pub/les-russell/0/3A3/554")</f>
        <v>http://www.linkedin.com/pub/les-russell/0/3A3/554</v>
      </c>
      <c r="I9690" s="2" t="s">
        <v>15</v>
      </c>
      <c r="J9690" s="2" t="s">
        <v>102</v>
      </c>
      <c r="K9690" s="2" t="s">
        <v>14142</v>
      </c>
    </row>
    <row r="9691" ht="15.75" customHeight="1">
      <c r="A9691" s="2">
        <v>221324.0</v>
      </c>
      <c r="B9691" s="2" t="s">
        <v>17102</v>
      </c>
      <c r="C9691" s="2" t="s">
        <v>2721</v>
      </c>
      <c r="D9691" s="2"/>
      <c r="E9691" s="2" t="s">
        <v>1190</v>
      </c>
      <c r="F9691" s="2">
        <v>0.0</v>
      </c>
      <c r="G9691" s="2">
        <v>426.0</v>
      </c>
      <c r="H9691" s="3" t="str">
        <f>HYPERLINK("http://www.linkedin.com/pub/audrey-levi/0/4B1/A32","http://www.linkedin.com/pub/audrey-levi/0/4B1/A32")</f>
        <v>http://www.linkedin.com/pub/audrey-levi/0/4B1/A32</v>
      </c>
      <c r="I9691" s="2" t="s">
        <v>15</v>
      </c>
      <c r="J9691" s="2" t="s">
        <v>102</v>
      </c>
      <c r="K9691" s="2" t="s">
        <v>14142</v>
      </c>
    </row>
    <row r="9692" ht="15.75" customHeight="1">
      <c r="A9692" s="2">
        <v>221493.0</v>
      </c>
      <c r="B9692" s="2" t="s">
        <v>17103</v>
      </c>
      <c r="C9692" s="2" t="s">
        <v>4729</v>
      </c>
      <c r="D9692" s="2" t="s">
        <v>17104</v>
      </c>
      <c r="E9692" s="2" t="s">
        <v>301</v>
      </c>
      <c r="F9692" s="2">
        <v>8.0</v>
      </c>
      <c r="G9692" s="2">
        <v>500.0</v>
      </c>
      <c r="H9692" s="3" t="str">
        <f>HYPERLINK("http://www.linkedin.com/pub/joao-perez/0/4B5/A33","http://www.linkedin.com/pub/joao-perez/0/4B5/A33")</f>
        <v>http://www.linkedin.com/pub/joao-perez/0/4B5/A33</v>
      </c>
      <c r="I9692" s="2" t="s">
        <v>15</v>
      </c>
      <c r="J9692" s="2" t="s">
        <v>102</v>
      </c>
      <c r="K9692" s="2" t="s">
        <v>14080</v>
      </c>
    </row>
    <row r="9693" ht="15.75" customHeight="1">
      <c r="A9693" s="2">
        <v>221585.0</v>
      </c>
      <c r="B9693" s="2" t="s">
        <v>1173</v>
      </c>
      <c r="C9693" s="2" t="s">
        <v>17105</v>
      </c>
      <c r="D9693" s="2" t="s">
        <v>17106</v>
      </c>
      <c r="E9693" s="2" t="s">
        <v>628</v>
      </c>
      <c r="F9693" s="2">
        <v>16.0</v>
      </c>
      <c r="G9693" s="2">
        <v>500.0</v>
      </c>
      <c r="H9693" s="3" t="str">
        <f>HYPERLINK("http://www.linkedin.com/in/stevenhamburg","http://www.linkedin.com/in/stevenhamburg")</f>
        <v>http://www.linkedin.com/in/stevenhamburg</v>
      </c>
      <c r="I9693" s="2" t="s">
        <v>160</v>
      </c>
      <c r="J9693" s="2" t="s">
        <v>102</v>
      </c>
      <c r="K9693" s="2" t="s">
        <v>14074</v>
      </c>
    </row>
    <row r="9694" ht="15.75" customHeight="1">
      <c r="A9694" s="2">
        <v>221702.0</v>
      </c>
      <c r="B9694" s="2" t="s">
        <v>2902</v>
      </c>
      <c r="C9694" s="2" t="s">
        <v>965</v>
      </c>
      <c r="D9694" s="2" t="s">
        <v>42</v>
      </c>
      <c r="E9694" s="2" t="s">
        <v>2463</v>
      </c>
      <c r="F9694" s="2">
        <v>24.0</v>
      </c>
      <c r="G9694" s="2">
        <v>500.0</v>
      </c>
      <c r="H9694" s="3" t="str">
        <f>HYPERLINK("http://www.linkedin.com/in/kathrynjordan","http://www.linkedin.com/in/kathrynjordan")</f>
        <v>http://www.linkedin.com/in/kathrynjordan</v>
      </c>
      <c r="I9694" s="2" t="s">
        <v>1698</v>
      </c>
      <c r="J9694" s="2" t="s">
        <v>102</v>
      </c>
      <c r="K9694" s="2" t="s">
        <v>14074</v>
      </c>
    </row>
    <row r="9695" ht="15.75" customHeight="1">
      <c r="A9695" s="2">
        <v>221796.0</v>
      </c>
      <c r="B9695" s="2" t="s">
        <v>17107</v>
      </c>
      <c r="C9695" s="2" t="s">
        <v>17108</v>
      </c>
      <c r="D9695" s="2" t="s">
        <v>17109</v>
      </c>
      <c r="E9695" s="2" t="s">
        <v>791</v>
      </c>
      <c r="F9695" s="2">
        <v>8.0</v>
      </c>
      <c r="G9695" s="2">
        <v>500.0</v>
      </c>
      <c r="H9695" s="3" t="str">
        <f>HYPERLINK("http://www.linkedin.com/in/simonatkinsafc","http://www.linkedin.com/in/simonatkinsafc")</f>
        <v>http://www.linkedin.com/in/simonatkinsafc</v>
      </c>
      <c r="I9695" s="2" t="s">
        <v>57</v>
      </c>
      <c r="J9695" s="2" t="s">
        <v>575</v>
      </c>
      <c r="K9695" s="2" t="s">
        <v>14074</v>
      </c>
    </row>
    <row r="9696" ht="15.75" customHeight="1">
      <c r="A9696" s="2">
        <v>221862.0</v>
      </c>
      <c r="B9696" s="2" t="s">
        <v>845</v>
      </c>
      <c r="C9696" s="2" t="s">
        <v>17110</v>
      </c>
      <c r="D9696" s="2" t="s">
        <v>13</v>
      </c>
      <c r="E9696" s="2" t="s">
        <v>992</v>
      </c>
      <c r="F9696" s="2">
        <v>0.0</v>
      </c>
      <c r="G9696" s="2">
        <v>500.0</v>
      </c>
      <c r="H9696" s="3" t="str">
        <f>HYPERLINK("https://www.linkedin.com/in/davidcarrithers","https://www.linkedin.com/in/davidcarrithers")</f>
        <v>https://www.linkedin.com/in/davidcarrithers</v>
      </c>
      <c r="I9696" s="2" t="s">
        <v>57</v>
      </c>
      <c r="J9696" s="2" t="s">
        <v>102</v>
      </c>
      <c r="K9696" s="2" t="s">
        <v>14055</v>
      </c>
    </row>
    <row r="9697" ht="15.75" customHeight="1">
      <c r="A9697" s="2">
        <v>221868.0</v>
      </c>
      <c r="B9697" s="2" t="s">
        <v>287</v>
      </c>
      <c r="C9697" s="2" t="s">
        <v>1029</v>
      </c>
      <c r="D9697" s="2" t="s">
        <v>1145</v>
      </c>
      <c r="E9697" s="2" t="s">
        <v>235</v>
      </c>
      <c r="F9697" s="2">
        <v>13.0</v>
      </c>
      <c r="G9697" s="2">
        <v>500.0</v>
      </c>
      <c r="H9697" s="3" t="str">
        <f>HYPERLINK("http://www.linkedin.com/pub/paul-logan/0/3AA/379","http://www.linkedin.com/pub/paul-logan/0/3AA/379")</f>
        <v>http://www.linkedin.com/pub/paul-logan/0/3AA/379</v>
      </c>
      <c r="I9697" s="2" t="s">
        <v>77</v>
      </c>
      <c r="J9697" s="2" t="s">
        <v>102</v>
      </c>
      <c r="K9697" s="2" t="s">
        <v>14422</v>
      </c>
    </row>
    <row r="9698" ht="15.75" customHeight="1">
      <c r="A9698" s="2">
        <v>221929.0</v>
      </c>
      <c r="B9698" s="2" t="s">
        <v>492</v>
      </c>
      <c r="C9698" s="2" t="s">
        <v>17111</v>
      </c>
      <c r="D9698" s="2" t="s">
        <v>416</v>
      </c>
      <c r="E9698" s="2" t="s">
        <v>136</v>
      </c>
      <c r="F9698" s="2">
        <v>0.0</v>
      </c>
      <c r="G9698" s="2">
        <v>201.0</v>
      </c>
      <c r="H9698" s="3" t="str">
        <f>HYPERLINK("http://www.linkedin.com/pub/sergio-barcelos/0/342/9AA","http://www.linkedin.com/pub/sergio-barcelos/0/342/9AA")</f>
        <v>http://www.linkedin.com/pub/sergio-barcelos/0/342/9AA</v>
      </c>
      <c r="I9698" s="2" t="s">
        <v>77</v>
      </c>
      <c r="J9698" s="2" t="s">
        <v>102</v>
      </c>
      <c r="K9698" s="2" t="s">
        <v>14460</v>
      </c>
    </row>
    <row r="9699" ht="15.75" customHeight="1">
      <c r="A9699" s="2">
        <v>222070.0</v>
      </c>
      <c r="B9699" s="2" t="s">
        <v>2457</v>
      </c>
      <c r="C9699" s="2" t="s">
        <v>4600</v>
      </c>
      <c r="D9699" s="2" t="s">
        <v>17112</v>
      </c>
      <c r="E9699" s="2" t="s">
        <v>301</v>
      </c>
      <c r="F9699" s="2">
        <v>29.0</v>
      </c>
      <c r="G9699" s="2">
        <v>500.0</v>
      </c>
      <c r="H9699" s="3" t="str">
        <f>HYPERLINK("http://www.linkedin.com/in/sflynn","http://www.linkedin.com/in/sflynn")</f>
        <v>http://www.linkedin.com/in/sflynn</v>
      </c>
      <c r="I9699" s="2" t="s">
        <v>15</v>
      </c>
      <c r="J9699" s="2" t="s">
        <v>102</v>
      </c>
      <c r="K9699" s="2" t="s">
        <v>17113</v>
      </c>
    </row>
    <row r="9700" ht="15.75" customHeight="1">
      <c r="A9700" s="2">
        <v>222076.0</v>
      </c>
      <c r="B9700" s="2" t="s">
        <v>302</v>
      </c>
      <c r="C9700" s="2" t="s">
        <v>17114</v>
      </c>
      <c r="D9700" s="2" t="s">
        <v>17115</v>
      </c>
      <c r="E9700" s="2" t="s">
        <v>166</v>
      </c>
      <c r="F9700" s="2">
        <v>23.0</v>
      </c>
      <c r="G9700" s="2">
        <v>500.0</v>
      </c>
      <c r="H9700" s="3" t="str">
        <f>HYPERLINK("http://www.linkedin.com/in/vittib","http://www.linkedin.com/in/vittib")</f>
        <v>http://www.linkedin.com/in/vittib</v>
      </c>
      <c r="I9700" s="2" t="s">
        <v>446</v>
      </c>
      <c r="J9700" s="2" t="s">
        <v>102</v>
      </c>
      <c r="K9700" s="2" t="s">
        <v>14211</v>
      </c>
    </row>
    <row r="9701" ht="15.75" customHeight="1">
      <c r="A9701" s="2">
        <v>222159.0</v>
      </c>
      <c r="B9701" s="2" t="s">
        <v>133</v>
      </c>
      <c r="C9701" s="2" t="s">
        <v>17116</v>
      </c>
      <c r="D9701" s="2" t="s">
        <v>13</v>
      </c>
      <c r="E9701" s="2" t="s">
        <v>17117</v>
      </c>
      <c r="F9701" s="2">
        <v>0.0</v>
      </c>
      <c r="G9701" s="2">
        <v>500.0</v>
      </c>
      <c r="H9701" s="3" t="str">
        <f>HYPERLINK("http://www.linkedin.com/in/mcmanamon/","http://www.linkedin.com/in/mcmanamon/")</f>
        <v>http://www.linkedin.com/in/mcmanamon/</v>
      </c>
      <c r="I9701" s="2" t="s">
        <v>15</v>
      </c>
      <c r="J9701" s="2" t="s">
        <v>102</v>
      </c>
      <c r="K9701" s="2" t="s">
        <v>14055</v>
      </c>
    </row>
    <row r="9702" ht="15.75" customHeight="1">
      <c r="A9702" s="2">
        <v>222228.0</v>
      </c>
      <c r="B9702" s="2" t="s">
        <v>17118</v>
      </c>
      <c r="C9702" s="2" t="s">
        <v>10964</v>
      </c>
      <c r="D9702" s="2" t="s">
        <v>11774</v>
      </c>
      <c r="E9702" s="2" t="s">
        <v>3829</v>
      </c>
      <c r="F9702" s="2">
        <v>31.0</v>
      </c>
      <c r="G9702" s="2">
        <v>500.0</v>
      </c>
      <c r="H9702" s="3" t="str">
        <f>HYPERLINK("http://www.linkedin.com/in/thomaswparry","http://www.linkedin.com/in/thomaswparry")</f>
        <v>http://www.linkedin.com/in/thomaswparry</v>
      </c>
      <c r="I9702" s="2" t="s">
        <v>172</v>
      </c>
      <c r="J9702" s="2" t="s">
        <v>102</v>
      </c>
      <c r="K9702" s="2" t="s">
        <v>14078</v>
      </c>
    </row>
    <row r="9703" ht="15.75" customHeight="1">
      <c r="A9703" s="2">
        <v>222260.0</v>
      </c>
      <c r="B9703" s="2" t="s">
        <v>534</v>
      </c>
      <c r="C9703" s="2" t="s">
        <v>17119</v>
      </c>
      <c r="D9703" s="2" t="s">
        <v>17120</v>
      </c>
      <c r="E9703" s="2" t="s">
        <v>11025</v>
      </c>
      <c r="F9703" s="2">
        <v>2.0</v>
      </c>
      <c r="G9703" s="2">
        <v>500.0</v>
      </c>
      <c r="H9703" s="3" t="str">
        <f>HYPERLINK("http://www.linkedin.com/in/mattbaros","http://www.linkedin.com/in/mattbaros")</f>
        <v>http://www.linkedin.com/in/mattbaros</v>
      </c>
      <c r="I9703" s="2" t="s">
        <v>15</v>
      </c>
      <c r="J9703" s="2" t="s">
        <v>102</v>
      </c>
      <c r="K9703" s="2" t="s">
        <v>14074</v>
      </c>
    </row>
    <row r="9704" ht="15.75" customHeight="1">
      <c r="A9704" s="2">
        <v>222437.0</v>
      </c>
      <c r="B9704" s="2" t="s">
        <v>11</v>
      </c>
      <c r="C9704" s="2" t="s">
        <v>17121</v>
      </c>
      <c r="D9704" s="2" t="s">
        <v>17122</v>
      </c>
      <c r="E9704" s="2" t="s">
        <v>713</v>
      </c>
      <c r="F9704" s="2">
        <v>24.0</v>
      </c>
      <c r="G9704" s="2">
        <v>500.0</v>
      </c>
      <c r="H9704" s="3" t="str">
        <f>HYPERLINK("http://www.linkedin.com/in/edparolisi","http://www.linkedin.com/in/edparolisi")</f>
        <v>http://www.linkedin.com/in/edparolisi</v>
      </c>
      <c r="I9704" s="2" t="s">
        <v>15</v>
      </c>
      <c r="J9704" s="2" t="s">
        <v>102</v>
      </c>
      <c r="K9704" s="2" t="s">
        <v>14095</v>
      </c>
    </row>
    <row r="9705" ht="15.75" customHeight="1">
      <c r="A9705" s="2">
        <v>222527.0</v>
      </c>
      <c r="B9705" s="2" t="s">
        <v>133</v>
      </c>
      <c r="C9705" s="2" t="s">
        <v>17123</v>
      </c>
      <c r="D9705" s="2" t="s">
        <v>17124</v>
      </c>
      <c r="E9705" s="2" t="s">
        <v>628</v>
      </c>
      <c r="F9705" s="2">
        <v>5.0</v>
      </c>
      <c r="G9705" s="2">
        <v>500.0</v>
      </c>
      <c r="H9705" s="3" t="str">
        <f>HYPERLINK("http://www.linkedin.com/pub/michael-glefke/4/836/B87","http://www.linkedin.com/pub/michael-glefke/4/836/B87")</f>
        <v>http://www.linkedin.com/pub/michael-glefke/4/836/B87</v>
      </c>
      <c r="I9705" s="2" t="s">
        <v>105</v>
      </c>
      <c r="J9705" s="2" t="s">
        <v>102</v>
      </c>
      <c r="K9705" s="2" t="s">
        <v>14071</v>
      </c>
    </row>
    <row r="9706" ht="15.75" customHeight="1">
      <c r="A9706" s="2">
        <v>222531.0</v>
      </c>
      <c r="B9706" s="2" t="s">
        <v>15668</v>
      </c>
      <c r="C9706" s="2" t="s">
        <v>17125</v>
      </c>
      <c r="D9706" s="2" t="s">
        <v>14128</v>
      </c>
      <c r="E9706" s="2" t="s">
        <v>301</v>
      </c>
      <c r="F9706" s="2">
        <v>5.0</v>
      </c>
      <c r="G9706" s="2">
        <v>500.0</v>
      </c>
      <c r="H9706" s="3" t="str">
        <f>HYPERLINK("http://www.linkedin.com/in/brookins","http://www.linkedin.com/in/brookins")</f>
        <v>http://www.linkedin.com/in/brookins</v>
      </c>
      <c r="I9706" s="2" t="s">
        <v>69</v>
      </c>
      <c r="J9706" s="2" t="s">
        <v>102</v>
      </c>
      <c r="K9706" s="2" t="s">
        <v>14088</v>
      </c>
    </row>
    <row r="9707" ht="15.75" customHeight="1">
      <c r="A9707" s="2">
        <v>222535.0</v>
      </c>
      <c r="B9707" s="2" t="s">
        <v>287</v>
      </c>
      <c r="C9707" s="2" t="s">
        <v>17126</v>
      </c>
      <c r="D9707" s="2" t="s">
        <v>17127</v>
      </c>
      <c r="E9707" s="2" t="s">
        <v>136</v>
      </c>
      <c r="F9707" s="2">
        <v>13.0</v>
      </c>
      <c r="G9707" s="2">
        <v>500.0</v>
      </c>
      <c r="H9707" s="3" t="str">
        <f>HYPERLINK("http://www.linkedin.com/pub/paul-muller/0/400/903","http://www.linkedin.com/pub/paul-muller/0/400/903")</f>
        <v>http://www.linkedin.com/pub/paul-muller/0/400/903</v>
      </c>
      <c r="I9707" s="2" t="s">
        <v>48</v>
      </c>
      <c r="J9707" s="2" t="s">
        <v>102</v>
      </c>
      <c r="K9707" s="2" t="s">
        <v>14088</v>
      </c>
    </row>
    <row r="9708" ht="15.75" customHeight="1">
      <c r="A9708" s="2">
        <v>222614.0</v>
      </c>
      <c r="B9708" s="2" t="s">
        <v>133</v>
      </c>
      <c r="C9708" s="2" t="s">
        <v>4785</v>
      </c>
      <c r="D9708" s="2" t="s">
        <v>17128</v>
      </c>
      <c r="E9708" s="2" t="s">
        <v>1407</v>
      </c>
      <c r="F9708" s="2">
        <v>3.0</v>
      </c>
      <c r="G9708" s="2">
        <v>500.0</v>
      </c>
      <c r="H9708" s="3" t="str">
        <f>HYPERLINK("http://www.linkedin.com/in/michaelcamp","http://www.linkedin.com/in/michaelcamp")</f>
        <v>http://www.linkedin.com/in/michaelcamp</v>
      </c>
      <c r="I9708" s="2" t="s">
        <v>669</v>
      </c>
      <c r="J9708" s="2" t="s">
        <v>102</v>
      </c>
      <c r="K9708" s="2" t="s">
        <v>14074</v>
      </c>
    </row>
    <row r="9709" ht="15.75" customHeight="1">
      <c r="A9709" s="2">
        <v>222656.0</v>
      </c>
      <c r="B9709" s="2" t="s">
        <v>133</v>
      </c>
      <c r="C9709" s="2" t="s">
        <v>10742</v>
      </c>
      <c r="D9709" s="2"/>
      <c r="E9709" s="2" t="s">
        <v>136</v>
      </c>
      <c r="F9709" s="2">
        <v>9.0</v>
      </c>
      <c r="G9709" s="2">
        <v>500.0</v>
      </c>
      <c r="H9709" s="3" t="str">
        <f>HYPERLINK("http://www.linkedin.com/pub/michael-barrett/0/1B/749","http://www.linkedin.com/pub/michael-barrett/0/1B/749")</f>
        <v>http://www.linkedin.com/pub/michael-barrett/0/1B/749</v>
      </c>
      <c r="I9709" s="2" t="s">
        <v>48</v>
      </c>
      <c r="J9709" s="2" t="s">
        <v>102</v>
      </c>
      <c r="K9709" s="2" t="s">
        <v>14460</v>
      </c>
    </row>
    <row r="9710" ht="15.75" customHeight="1">
      <c r="A9710" s="2">
        <v>222673.0</v>
      </c>
      <c r="B9710" s="2" t="s">
        <v>11</v>
      </c>
      <c r="C9710" s="2" t="s">
        <v>559</v>
      </c>
      <c r="D9710" s="2" t="s">
        <v>1145</v>
      </c>
      <c r="E9710" s="2" t="s">
        <v>713</v>
      </c>
      <c r="F9710" s="2">
        <v>44.0</v>
      </c>
      <c r="G9710" s="2">
        <v>500.0</v>
      </c>
      <c r="H9710" s="3" t="str">
        <f>HYPERLINK("http://www.linkedin.com/in/edadamsboston","http://www.linkedin.com/in/edadamsboston")</f>
        <v>http://www.linkedin.com/in/edadamsboston</v>
      </c>
      <c r="I9710" s="2" t="s">
        <v>48</v>
      </c>
      <c r="J9710" s="2" t="s">
        <v>102</v>
      </c>
      <c r="K9710" s="2" t="s">
        <v>14080</v>
      </c>
    </row>
    <row r="9711" ht="15.75" customHeight="1">
      <c r="A9711" s="2">
        <v>222742.0</v>
      </c>
      <c r="B9711" s="2" t="s">
        <v>178</v>
      </c>
      <c r="C9711" s="2" t="s">
        <v>17129</v>
      </c>
      <c r="D9711" s="2" t="s">
        <v>3118</v>
      </c>
      <c r="E9711" s="2" t="s">
        <v>11025</v>
      </c>
      <c r="F9711" s="2">
        <v>6.0</v>
      </c>
      <c r="G9711" s="2">
        <v>500.0</v>
      </c>
      <c r="H9711" s="3" t="str">
        <f>HYPERLINK("http://www.linkedin.com/pub/joe-lowry/0/511/680","http://www.linkedin.com/pub/joe-lowry/0/511/680")</f>
        <v>http://www.linkedin.com/pub/joe-lowry/0/511/680</v>
      </c>
      <c r="I9711" s="2" t="s">
        <v>15</v>
      </c>
      <c r="J9711" s="2" t="s">
        <v>102</v>
      </c>
      <c r="K9711" s="2" t="s">
        <v>17130</v>
      </c>
    </row>
    <row r="9712" ht="15.75" customHeight="1">
      <c r="A9712" s="2">
        <v>222751.0</v>
      </c>
      <c r="B9712" s="2" t="s">
        <v>13778</v>
      </c>
      <c r="C9712" s="2" t="s">
        <v>17131</v>
      </c>
      <c r="D9712" s="2" t="s">
        <v>114</v>
      </c>
      <c r="E9712" s="2" t="s">
        <v>214</v>
      </c>
      <c r="F9712" s="2">
        <v>10.0</v>
      </c>
      <c r="G9712" s="2">
        <v>500.0</v>
      </c>
      <c r="H9712" s="3" t="str">
        <f>HYPERLINK("http://www.linkedin.com/in/angelomazzocco","http://www.linkedin.com/in/angelomazzocco")</f>
        <v>http://www.linkedin.com/in/angelomazzocco</v>
      </c>
      <c r="I9712" s="2" t="s">
        <v>15</v>
      </c>
      <c r="J9712" s="2" t="s">
        <v>102</v>
      </c>
      <c r="K9712" s="2" t="s">
        <v>14117</v>
      </c>
    </row>
    <row r="9713" ht="15.75" customHeight="1">
      <c r="A9713" s="2">
        <v>222770.0</v>
      </c>
      <c r="B9713" s="2" t="s">
        <v>940</v>
      </c>
      <c r="C9713" s="2" t="s">
        <v>14414</v>
      </c>
      <c r="D9713" s="2"/>
      <c r="E9713" s="2" t="s">
        <v>713</v>
      </c>
      <c r="F9713" s="2">
        <v>7.0</v>
      </c>
      <c r="G9713" s="2">
        <v>500.0</v>
      </c>
      <c r="H9713" s="3" t="str">
        <f>HYPERLINK("http://www.linkedin.com/pub/bob-stack/0/144/B78","http://www.linkedin.com/pub/bob-stack/0/144/B78")</f>
        <v>http://www.linkedin.com/pub/bob-stack/0/144/B78</v>
      </c>
      <c r="I9713" s="2" t="s">
        <v>15</v>
      </c>
      <c r="J9713" s="2" t="s">
        <v>102</v>
      </c>
      <c r="K9713" s="2" t="s">
        <v>14117</v>
      </c>
    </row>
    <row r="9714" ht="15.75" customHeight="1">
      <c r="A9714" s="2">
        <v>222803.0</v>
      </c>
      <c r="B9714" s="2" t="s">
        <v>2020</v>
      </c>
      <c r="C9714" s="2" t="s">
        <v>17132</v>
      </c>
      <c r="D9714" s="2" t="s">
        <v>17133</v>
      </c>
      <c r="E9714" s="2" t="s">
        <v>1190</v>
      </c>
      <c r="F9714" s="2">
        <v>6.0</v>
      </c>
      <c r="G9714" s="2">
        <v>500.0</v>
      </c>
      <c r="H9714" s="3" t="str">
        <f>HYPERLINK("http://www.linkedin.com/pub/monte-cahn/0/50/72B","http://www.linkedin.com/pub/monte-cahn/0/50/72B")</f>
        <v>http://www.linkedin.com/pub/monte-cahn/0/50/72B</v>
      </c>
      <c r="I9714" s="2" t="s">
        <v>69</v>
      </c>
      <c r="J9714" s="2" t="s">
        <v>102</v>
      </c>
      <c r="K9714" s="2" t="s">
        <v>14088</v>
      </c>
    </row>
    <row r="9715" ht="15.75" customHeight="1">
      <c r="A9715" s="2">
        <v>222837.0</v>
      </c>
      <c r="B9715" s="2" t="s">
        <v>1015</v>
      </c>
      <c r="C9715" s="2" t="s">
        <v>15007</v>
      </c>
      <c r="D9715" s="2" t="s">
        <v>17134</v>
      </c>
      <c r="E9715" s="2" t="s">
        <v>713</v>
      </c>
      <c r="F9715" s="2">
        <v>1.0</v>
      </c>
      <c r="G9715" s="2">
        <v>500.0</v>
      </c>
      <c r="H9715" s="3" t="str">
        <f>HYPERLINK("http://www.linkedin.com/pub/brian-carr/0/72/881","http://www.linkedin.com/pub/brian-carr/0/72/881")</f>
        <v>http://www.linkedin.com/pub/brian-carr/0/72/881</v>
      </c>
      <c r="I9715" s="2" t="s">
        <v>69</v>
      </c>
      <c r="J9715" s="2" t="s">
        <v>102</v>
      </c>
      <c r="K9715" s="2" t="s">
        <v>14088</v>
      </c>
    </row>
    <row r="9716" ht="15.75" customHeight="1">
      <c r="A9716" s="2">
        <v>222845.0</v>
      </c>
      <c r="B9716" s="2" t="s">
        <v>14606</v>
      </c>
      <c r="C9716" s="2" t="s">
        <v>17135</v>
      </c>
      <c r="D9716" s="2" t="s">
        <v>14883</v>
      </c>
      <c r="E9716" s="2" t="s">
        <v>101</v>
      </c>
      <c r="F9716" s="2">
        <v>11.0</v>
      </c>
      <c r="G9716" s="2">
        <v>500.0</v>
      </c>
      <c r="H9716" s="3" t="str">
        <f>HYPERLINK("http://www.linkedin.com/in/melcampbell","http://www.linkedin.com/in/melcampbell")</f>
        <v>http://www.linkedin.com/in/melcampbell</v>
      </c>
      <c r="I9716" s="2" t="s">
        <v>1390</v>
      </c>
      <c r="J9716" s="2" t="s">
        <v>102</v>
      </c>
      <c r="K9716" s="2" t="s">
        <v>14074</v>
      </c>
    </row>
    <row r="9717" ht="15.75" customHeight="1">
      <c r="A9717" s="2">
        <v>222847.0</v>
      </c>
      <c r="B9717" s="2" t="s">
        <v>3754</v>
      </c>
      <c r="C9717" s="2" t="s">
        <v>17136</v>
      </c>
      <c r="D9717" s="2" t="s">
        <v>47</v>
      </c>
      <c r="E9717" s="2" t="s">
        <v>192</v>
      </c>
      <c r="F9717" s="2">
        <v>1.0</v>
      </c>
      <c r="G9717" s="2">
        <v>500.0</v>
      </c>
      <c r="H9717" s="3" t="str">
        <f>HYPERLINK("http://www.linkedin.com/in/lizeversoll","http://www.linkedin.com/in/lizeversoll")</f>
        <v>http://www.linkedin.com/in/lizeversoll</v>
      </c>
      <c r="I9717" s="2" t="s">
        <v>15</v>
      </c>
      <c r="J9717" s="2" t="s">
        <v>102</v>
      </c>
      <c r="K9717" s="2" t="s">
        <v>14080</v>
      </c>
    </row>
    <row r="9718" ht="15.75" customHeight="1">
      <c r="A9718" s="2">
        <v>222866.0</v>
      </c>
      <c r="B9718" s="2" t="s">
        <v>511</v>
      </c>
      <c r="C9718" s="2" t="s">
        <v>17137</v>
      </c>
      <c r="D9718" s="2" t="s">
        <v>47</v>
      </c>
      <c r="E9718" s="2" t="s">
        <v>2058</v>
      </c>
      <c r="F9718" s="2">
        <v>0.0</v>
      </c>
      <c r="G9718" s="2">
        <v>500.0</v>
      </c>
      <c r="H9718" s="3" t="str">
        <f>HYPERLINK("http://www.linkedin.com/in/mikecorbera","http://www.linkedin.com/in/mikecorbera")</f>
        <v>http://www.linkedin.com/in/mikecorbera</v>
      </c>
      <c r="I9718" s="2" t="s">
        <v>279</v>
      </c>
      <c r="J9718" s="2" t="s">
        <v>102</v>
      </c>
      <c r="K9718" s="2" t="s">
        <v>14242</v>
      </c>
    </row>
    <row r="9719" ht="15.75" customHeight="1">
      <c r="A9719" s="2">
        <v>222888.0</v>
      </c>
      <c r="B9719" s="2" t="s">
        <v>460</v>
      </c>
      <c r="C9719" s="2" t="s">
        <v>17138</v>
      </c>
      <c r="D9719" s="2" t="s">
        <v>15876</v>
      </c>
      <c r="E9719" s="2" t="s">
        <v>1407</v>
      </c>
      <c r="F9719" s="2">
        <v>40.0</v>
      </c>
      <c r="G9719" s="2">
        <v>500.0</v>
      </c>
      <c r="H9719" s="3" t="str">
        <f>HYPERLINK("http://www.linkedin.com/in/johndilley","http://www.linkedin.com/in/johndilley")</f>
        <v>http://www.linkedin.com/in/johndilley</v>
      </c>
      <c r="I9719" s="2" t="s">
        <v>77</v>
      </c>
      <c r="J9719" s="2" t="s">
        <v>102</v>
      </c>
      <c r="K9719" s="2" t="s">
        <v>15140</v>
      </c>
    </row>
    <row r="9720" ht="15.75" customHeight="1">
      <c r="A9720" s="2">
        <v>222920.0</v>
      </c>
      <c r="B9720" s="2" t="s">
        <v>1104</v>
      </c>
      <c r="C9720" s="2" t="s">
        <v>17139</v>
      </c>
      <c r="D9720" s="2" t="s">
        <v>17140</v>
      </c>
      <c r="E9720" s="2" t="s">
        <v>136</v>
      </c>
      <c r="F9720" s="2">
        <v>11.0</v>
      </c>
      <c r="G9720" s="2">
        <v>500.0</v>
      </c>
      <c r="H9720" s="3" t="str">
        <f>HYPERLINK("http://www.linkedin.com/in/jayhemmady","http://www.linkedin.com/in/jayhemmady")</f>
        <v>http://www.linkedin.com/in/jayhemmady</v>
      </c>
      <c r="I9720" s="2" t="s">
        <v>15</v>
      </c>
      <c r="J9720" s="2" t="s">
        <v>102</v>
      </c>
      <c r="K9720" s="2" t="s">
        <v>14055</v>
      </c>
    </row>
    <row r="9721" ht="15.75" customHeight="1">
      <c r="A9721" s="2">
        <v>222960.0</v>
      </c>
      <c r="B9721" s="2" t="s">
        <v>940</v>
      </c>
      <c r="C9721" s="2" t="s">
        <v>2860</v>
      </c>
      <c r="D9721" s="2" t="s">
        <v>5217</v>
      </c>
      <c r="E9721" s="2" t="s">
        <v>713</v>
      </c>
      <c r="F9721" s="2">
        <v>6.0</v>
      </c>
      <c r="G9721" s="2">
        <v>320.0</v>
      </c>
      <c r="H9721" s="3" t="str">
        <f>HYPERLINK("http://www.linkedin.com/pub/bob-albanese/0/AB4/A17","http://www.linkedin.com/pub/bob-albanese/0/AB4/A17")</f>
        <v>http://www.linkedin.com/pub/bob-albanese/0/AB4/A17</v>
      </c>
      <c r="I9721" s="2" t="s">
        <v>15</v>
      </c>
      <c r="J9721" s="2" t="s">
        <v>102</v>
      </c>
      <c r="K9721" s="2" t="s">
        <v>14092</v>
      </c>
    </row>
    <row r="9722" ht="15.75" customHeight="1">
      <c r="A9722" s="2">
        <v>222963.0</v>
      </c>
      <c r="B9722" s="2" t="s">
        <v>855</v>
      </c>
      <c r="C9722" s="2" t="s">
        <v>17141</v>
      </c>
      <c r="D9722" s="2" t="s">
        <v>16164</v>
      </c>
      <c r="E9722" s="2" t="s">
        <v>2058</v>
      </c>
      <c r="F9722" s="2">
        <v>10.0</v>
      </c>
      <c r="G9722" s="2">
        <v>500.0</v>
      </c>
      <c r="H9722" s="3" t="str">
        <f>HYPERLINK("http://www.linkedin.com/pub/cal-morrell/0/111/435","http://www.linkedin.com/pub/cal-morrell/0/111/435")</f>
        <v>http://www.linkedin.com/pub/cal-morrell/0/111/435</v>
      </c>
      <c r="I9722" s="2" t="s">
        <v>48</v>
      </c>
      <c r="J9722" s="2" t="s">
        <v>102</v>
      </c>
      <c r="K9722" s="2" t="s">
        <v>14095</v>
      </c>
    </row>
    <row r="9723" ht="15.75" customHeight="1">
      <c r="A9723" s="2">
        <v>222967.0</v>
      </c>
      <c r="B9723" s="2" t="s">
        <v>4677</v>
      </c>
      <c r="C9723" s="2" t="s">
        <v>3386</v>
      </c>
      <c r="D9723" s="2" t="s">
        <v>17142</v>
      </c>
      <c r="E9723" s="2" t="s">
        <v>713</v>
      </c>
      <c r="F9723" s="2">
        <v>6.0</v>
      </c>
      <c r="G9723" s="2">
        <v>500.0</v>
      </c>
      <c r="H9723" s="3" t="str">
        <f>HYPERLINK("http://www.linkedin.com/in/petelamson","http://www.linkedin.com/in/petelamson")</f>
        <v>http://www.linkedin.com/in/petelamson</v>
      </c>
      <c r="I9723" s="2" t="s">
        <v>48</v>
      </c>
      <c r="J9723" s="2" t="s">
        <v>102</v>
      </c>
      <c r="K9723" s="2" t="s">
        <v>14565</v>
      </c>
    </row>
    <row r="9724" ht="15.75" customHeight="1">
      <c r="A9724" s="2">
        <v>222976.0</v>
      </c>
      <c r="B9724" s="2" t="s">
        <v>1479</v>
      </c>
      <c r="C9724" s="2" t="s">
        <v>2045</v>
      </c>
      <c r="D9724" s="2" t="s">
        <v>47</v>
      </c>
      <c r="E9724" s="2" t="s">
        <v>12649</v>
      </c>
      <c r="F9724" s="2">
        <v>5.0</v>
      </c>
      <c r="G9724" s="2">
        <v>500.0</v>
      </c>
      <c r="H9724" s="3" t="str">
        <f>HYPERLINK("http://www.linkedin.com/in/frankeaton","http://www.linkedin.com/in/frankeaton")</f>
        <v>http://www.linkedin.com/in/frankeaton</v>
      </c>
      <c r="I9724" s="2" t="s">
        <v>15</v>
      </c>
      <c r="J9724" s="2" t="s">
        <v>102</v>
      </c>
      <c r="K9724" s="2" t="s">
        <v>14073</v>
      </c>
    </row>
    <row r="9725" ht="15.75" customHeight="1">
      <c r="A9725" s="2">
        <v>222978.0</v>
      </c>
      <c r="B9725" s="2" t="s">
        <v>17143</v>
      </c>
      <c r="C9725" s="2" t="s">
        <v>3780</v>
      </c>
      <c r="D9725" s="2" t="s">
        <v>17144</v>
      </c>
      <c r="E9725" s="2" t="s">
        <v>914</v>
      </c>
      <c r="F9725" s="2">
        <v>15.0</v>
      </c>
      <c r="G9725" s="2">
        <v>500.0</v>
      </c>
      <c r="H9725" s="3" t="str">
        <f>HYPERLINK("http://www.linkedin.com/pub/aditya-mohan/0/289/978","http://www.linkedin.com/pub/aditya-mohan/0/289/978")</f>
        <v>http://www.linkedin.com/pub/aditya-mohan/0/289/978</v>
      </c>
      <c r="I9725" s="2" t="s">
        <v>48</v>
      </c>
      <c r="J9725" s="2" t="s">
        <v>102</v>
      </c>
      <c r="K9725" s="2" t="s">
        <v>14095</v>
      </c>
    </row>
    <row r="9726" ht="15.75" customHeight="1">
      <c r="A9726" s="2">
        <v>223015.0</v>
      </c>
      <c r="B9726" s="2" t="s">
        <v>17145</v>
      </c>
      <c r="C9726" s="2" t="s">
        <v>17146</v>
      </c>
      <c r="D9726" s="2" t="s">
        <v>13</v>
      </c>
      <c r="E9726" s="2" t="s">
        <v>14702</v>
      </c>
      <c r="F9726" s="2">
        <v>0.0</v>
      </c>
      <c r="G9726" s="2">
        <v>500.0</v>
      </c>
      <c r="H9726" s="3" t="str">
        <f>HYPERLINK("http://www.linkedin.com/in/globalmediamanagementllc","http://www.linkedin.com/in/globalmediamanagementllc")</f>
        <v>http://www.linkedin.com/in/globalmediamanagementllc</v>
      </c>
      <c r="I9726" s="2" t="s">
        <v>105</v>
      </c>
      <c r="J9726" s="2" t="s">
        <v>102</v>
      </c>
      <c r="K9726" s="2" t="s">
        <v>14074</v>
      </c>
    </row>
    <row r="9727" ht="15.75" customHeight="1">
      <c r="A9727" s="2">
        <v>223095.0</v>
      </c>
      <c r="B9727" s="2" t="s">
        <v>460</v>
      </c>
      <c r="C9727" s="2" t="s">
        <v>14416</v>
      </c>
      <c r="D9727" s="2" t="s">
        <v>1320</v>
      </c>
      <c r="E9727" s="2" t="s">
        <v>235</v>
      </c>
      <c r="F9727" s="2">
        <v>7.0</v>
      </c>
      <c r="G9727" s="2">
        <v>500.0</v>
      </c>
      <c r="H9727" s="3" t="str">
        <f>HYPERLINK("http://www.linkedin.com/in/jcurran","http://www.linkedin.com/in/jcurran")</f>
        <v>http://www.linkedin.com/in/jcurran</v>
      </c>
      <c r="I9727" s="2" t="s">
        <v>69</v>
      </c>
      <c r="J9727" s="2" t="s">
        <v>102</v>
      </c>
      <c r="K9727" s="2" t="s">
        <v>14073</v>
      </c>
    </row>
    <row r="9728" ht="15.75" customHeight="1">
      <c r="A9728" s="2">
        <v>223100.0</v>
      </c>
      <c r="B9728" s="2" t="s">
        <v>178</v>
      </c>
      <c r="C9728" s="2" t="s">
        <v>1325</v>
      </c>
      <c r="D9728" s="2" t="s">
        <v>17147</v>
      </c>
      <c r="E9728" s="2" t="s">
        <v>136</v>
      </c>
      <c r="F9728" s="2">
        <v>1.0</v>
      </c>
      <c r="G9728" s="2">
        <v>500.0</v>
      </c>
      <c r="H9728" s="3" t="str">
        <f>HYPERLINK("http://www.linkedin.com/pub/joe-miller/0/A8/1B2","http://www.linkedin.com/pub/joe-miller/0/A8/1B2")</f>
        <v>http://www.linkedin.com/pub/joe-miller/0/A8/1B2</v>
      </c>
      <c r="I9728" s="2" t="s">
        <v>48</v>
      </c>
      <c r="J9728" s="2" t="s">
        <v>102</v>
      </c>
      <c r="K9728" s="2" t="s">
        <v>14617</v>
      </c>
    </row>
    <row r="9729" ht="15.75" customHeight="1">
      <c r="A9729" s="2">
        <v>223257.0</v>
      </c>
      <c r="B9729" s="2" t="s">
        <v>1004</v>
      </c>
      <c r="C9729" s="2" t="s">
        <v>17148</v>
      </c>
      <c r="D9729" s="2" t="s">
        <v>3118</v>
      </c>
      <c r="E9729" s="2" t="s">
        <v>713</v>
      </c>
      <c r="F9729" s="2">
        <v>48.0</v>
      </c>
      <c r="G9729" s="2">
        <v>500.0</v>
      </c>
      <c r="H9729" s="3" t="str">
        <f>HYPERLINK("http://www.linkedin.com/in/scottjbarlow","http://www.linkedin.com/in/scottjbarlow")</f>
        <v>http://www.linkedin.com/in/scottjbarlow</v>
      </c>
      <c r="I9729" s="2" t="s">
        <v>160</v>
      </c>
      <c r="J9729" s="2" t="s">
        <v>102</v>
      </c>
      <c r="K9729" s="2" t="s">
        <v>14071</v>
      </c>
    </row>
    <row r="9730" ht="15.75" customHeight="1">
      <c r="A9730" s="2">
        <v>223297.0</v>
      </c>
      <c r="B9730" s="2" t="s">
        <v>17149</v>
      </c>
      <c r="C9730" s="2" t="s">
        <v>17150</v>
      </c>
      <c r="D9730" s="2" t="s">
        <v>17151</v>
      </c>
      <c r="E9730" s="2" t="s">
        <v>301</v>
      </c>
      <c r="F9730" s="2">
        <v>2.0</v>
      </c>
      <c r="G9730" s="2">
        <v>500.0</v>
      </c>
      <c r="H9730" s="3" t="str">
        <f>HYPERLINK("http://www.linkedin.com/in/corneliuseconomou","http://www.linkedin.com/in/corneliuseconomou")</f>
        <v>http://www.linkedin.com/in/corneliuseconomou</v>
      </c>
      <c r="I9730" s="2" t="s">
        <v>15</v>
      </c>
      <c r="J9730" s="2" t="s">
        <v>102</v>
      </c>
      <c r="K9730" s="2" t="s">
        <v>14080</v>
      </c>
    </row>
    <row r="9731" ht="15.75" customHeight="1">
      <c r="A9731" s="2">
        <v>223318.0</v>
      </c>
      <c r="B9731" s="2" t="s">
        <v>414</v>
      </c>
      <c r="C9731" s="2" t="s">
        <v>10818</v>
      </c>
      <c r="D9731" s="2" t="s">
        <v>309</v>
      </c>
      <c r="E9731" s="2" t="s">
        <v>14180</v>
      </c>
      <c r="F9731" s="2">
        <v>2.0</v>
      </c>
      <c r="G9731" s="2">
        <v>500.0</v>
      </c>
      <c r="H9731" s="3" t="str">
        <f>HYPERLINK("http://www.linkedin.com/in/thomasfdaly","http://www.linkedin.com/in/thomasfdaly")</f>
        <v>http://www.linkedin.com/in/thomasfdaly</v>
      </c>
      <c r="I9731" s="2" t="s">
        <v>69</v>
      </c>
      <c r="J9731" s="2" t="s">
        <v>102</v>
      </c>
      <c r="K9731" s="2" t="s">
        <v>14073</v>
      </c>
    </row>
    <row r="9732" ht="15.75" customHeight="1">
      <c r="A9732" s="2">
        <v>223328.0</v>
      </c>
      <c r="B9732" s="2" t="s">
        <v>4954</v>
      </c>
      <c r="C9732" s="2" t="s">
        <v>17152</v>
      </c>
      <c r="D9732" s="2" t="s">
        <v>17153</v>
      </c>
      <c r="E9732" s="2" t="s">
        <v>5396</v>
      </c>
      <c r="F9732" s="2">
        <v>2.0</v>
      </c>
      <c r="G9732" s="2">
        <v>500.0</v>
      </c>
      <c r="H9732" s="3" t="str">
        <f>HYPERLINK("http://www.linkedin.com/in/carolynfullerton","http://www.linkedin.com/in/carolynfullerton")</f>
        <v>http://www.linkedin.com/in/carolynfullerton</v>
      </c>
      <c r="I9732" s="2" t="s">
        <v>248</v>
      </c>
      <c r="J9732" s="2" t="s">
        <v>102</v>
      </c>
      <c r="K9732" s="2" t="s">
        <v>14140</v>
      </c>
    </row>
    <row r="9733" ht="15.75" customHeight="1">
      <c r="A9733" s="2">
        <v>223373.0</v>
      </c>
      <c r="B9733" s="2" t="s">
        <v>2186</v>
      </c>
      <c r="C9733" s="2" t="s">
        <v>1144</v>
      </c>
      <c r="D9733" s="2" t="s">
        <v>410</v>
      </c>
      <c r="E9733" s="2" t="s">
        <v>713</v>
      </c>
      <c r="F9733" s="2">
        <v>4.0</v>
      </c>
      <c r="G9733" s="2">
        <v>447.0</v>
      </c>
      <c r="H9733" s="3" t="str">
        <f>HYPERLINK("http://www.linkedin.com/in/julianaallen","http://www.linkedin.com/in/julianaallen")</f>
        <v>http://www.linkedin.com/in/julianaallen</v>
      </c>
      <c r="I9733" s="2" t="s">
        <v>844</v>
      </c>
      <c r="J9733" s="2" t="s">
        <v>102</v>
      </c>
      <c r="K9733" s="2" t="s">
        <v>14078</v>
      </c>
    </row>
    <row r="9734" ht="15.75" customHeight="1">
      <c r="A9734" s="2">
        <v>223387.0</v>
      </c>
      <c r="B9734" s="2" t="s">
        <v>17154</v>
      </c>
      <c r="C9734" s="2" t="s">
        <v>17155</v>
      </c>
      <c r="D9734" s="2" t="s">
        <v>17156</v>
      </c>
      <c r="E9734" s="2" t="s">
        <v>457</v>
      </c>
      <c r="F9734" s="2">
        <v>11.0</v>
      </c>
      <c r="G9734" s="2">
        <v>500.0</v>
      </c>
      <c r="H9734" s="3" t="str">
        <f>HYPERLINK("http://www.linkedin.com/in/donatadavenport","http://www.linkedin.com/in/donatadavenport")</f>
        <v>http://www.linkedin.com/in/donatadavenport</v>
      </c>
      <c r="I9734" s="2" t="s">
        <v>15</v>
      </c>
      <c r="J9734" s="2" t="s">
        <v>102</v>
      </c>
      <c r="K9734" s="2" t="s">
        <v>14142</v>
      </c>
    </row>
    <row r="9735" ht="15.75" customHeight="1">
      <c r="A9735" s="2">
        <v>223438.0</v>
      </c>
      <c r="B9735" s="2" t="s">
        <v>4183</v>
      </c>
      <c r="C9735" s="2" t="s">
        <v>17157</v>
      </c>
      <c r="D9735" s="2" t="s">
        <v>13</v>
      </c>
      <c r="E9735" s="2" t="s">
        <v>542</v>
      </c>
      <c r="F9735" s="2">
        <v>0.0</v>
      </c>
      <c r="G9735" s="2">
        <v>500.0</v>
      </c>
      <c r="H9735" s="3" t="str">
        <f>HYPERLINK("http://www.linkedin.com/in/kennethjakobsen/en","http://www.linkedin.com/in/kennethjakobsen/en")</f>
        <v>http://www.linkedin.com/in/kennethjakobsen/en</v>
      </c>
      <c r="I9735" s="2" t="s">
        <v>15</v>
      </c>
      <c r="J9735" s="2" t="s">
        <v>102</v>
      </c>
      <c r="K9735" s="2" t="s">
        <v>14088</v>
      </c>
    </row>
    <row r="9736" ht="15.75" customHeight="1">
      <c r="A9736" s="2">
        <v>223487.0</v>
      </c>
      <c r="B9736" s="2" t="s">
        <v>1798</v>
      </c>
      <c r="C9736" s="2" t="s">
        <v>4597</v>
      </c>
      <c r="D9736" s="2" t="s">
        <v>17158</v>
      </c>
      <c r="E9736" s="2" t="s">
        <v>301</v>
      </c>
      <c r="F9736" s="2">
        <v>1.0</v>
      </c>
      <c r="G9736" s="2">
        <v>500.0</v>
      </c>
      <c r="H9736" s="3" t="str">
        <f>HYPERLINK("http://www.linkedin.com/in/sethweingarten","http://www.linkedin.com/in/sethweingarten")</f>
        <v>http://www.linkedin.com/in/sethweingarten</v>
      </c>
      <c r="I9736" s="2" t="s">
        <v>15</v>
      </c>
      <c r="J9736" s="2" t="s">
        <v>102</v>
      </c>
      <c r="K9736" s="2" t="s">
        <v>14142</v>
      </c>
    </row>
    <row r="9737" ht="15.75" customHeight="1">
      <c r="A9737" s="2">
        <v>223521.0</v>
      </c>
      <c r="B9737" s="2" t="s">
        <v>2335</v>
      </c>
      <c r="C9737" s="2" t="s">
        <v>3392</v>
      </c>
      <c r="D9737" s="2" t="s">
        <v>17159</v>
      </c>
      <c r="E9737" s="2" t="s">
        <v>1190</v>
      </c>
      <c r="F9737" s="2">
        <v>14.0</v>
      </c>
      <c r="G9737" s="2">
        <v>500.0</v>
      </c>
      <c r="H9737" s="3" t="str">
        <f>HYPERLINK("http://www.linkedin.com/in/brunolopez","http://www.linkedin.com/in/brunolopez")</f>
        <v>http://www.linkedin.com/in/brunolopez</v>
      </c>
      <c r="I9737" s="2" t="s">
        <v>69</v>
      </c>
      <c r="J9737" s="2" t="s">
        <v>102</v>
      </c>
      <c r="K9737" s="2" t="s">
        <v>14078</v>
      </c>
    </row>
    <row r="9738" ht="15.75" customHeight="1">
      <c r="A9738" s="2">
        <v>223529.0</v>
      </c>
      <c r="B9738" s="2" t="s">
        <v>17160</v>
      </c>
      <c r="C9738" s="2" t="s">
        <v>1157</v>
      </c>
      <c r="D9738" s="2" t="s">
        <v>17161</v>
      </c>
      <c r="E9738" s="2" t="s">
        <v>101</v>
      </c>
      <c r="F9738" s="2">
        <v>11.0</v>
      </c>
      <c r="G9738" s="2">
        <v>500.0</v>
      </c>
      <c r="H9738" s="3" t="str">
        <f>HYPERLINK("http://www.linkedin.com/in/stevenmhoward","http://www.linkedin.com/in/stevenmhoward")</f>
        <v>http://www.linkedin.com/in/stevenmhoward</v>
      </c>
      <c r="I9738" s="2" t="s">
        <v>57</v>
      </c>
      <c r="J9738" s="2" t="s">
        <v>102</v>
      </c>
      <c r="K9738" s="2" t="s">
        <v>14055</v>
      </c>
    </row>
    <row r="9739" ht="15.75" customHeight="1">
      <c r="A9739" s="2">
        <v>223596.0</v>
      </c>
      <c r="B9739" s="2" t="s">
        <v>1545</v>
      </c>
      <c r="C9739" s="2" t="s">
        <v>17162</v>
      </c>
      <c r="D9739" s="2" t="s">
        <v>1297</v>
      </c>
      <c r="E9739" s="2" t="s">
        <v>914</v>
      </c>
      <c r="F9739" s="2">
        <v>5.0</v>
      </c>
      <c r="G9739" s="2">
        <v>500.0</v>
      </c>
      <c r="H9739" s="3" t="str">
        <f>HYPERLINK("http://www.linkedin.com/in/husting","http://www.linkedin.com/in/husting")</f>
        <v>http://www.linkedin.com/in/husting</v>
      </c>
      <c r="I9739" s="2" t="s">
        <v>15</v>
      </c>
      <c r="J9739" s="2" t="s">
        <v>102</v>
      </c>
      <c r="K9739" s="2" t="s">
        <v>14080</v>
      </c>
    </row>
    <row r="9740" ht="15.75" customHeight="1">
      <c r="A9740" s="2">
        <v>223638.0</v>
      </c>
      <c r="B9740" s="2" t="s">
        <v>845</v>
      </c>
      <c r="C9740" s="2" t="s">
        <v>17163</v>
      </c>
      <c r="D9740" s="2" t="s">
        <v>17164</v>
      </c>
      <c r="E9740" s="2" t="s">
        <v>181</v>
      </c>
      <c r="F9740" s="2">
        <v>0.0</v>
      </c>
      <c r="G9740" s="2">
        <v>500.0</v>
      </c>
      <c r="H9740" s="3" t="str">
        <f>HYPERLINK("http://www.linkedin.com/pub/david-harron/0/202/135","http://www.linkedin.com/pub/david-harron/0/202/135")</f>
        <v>http://www.linkedin.com/pub/david-harron/0/202/135</v>
      </c>
      <c r="I9740" s="2" t="s">
        <v>15</v>
      </c>
      <c r="J9740" s="2" t="s">
        <v>102</v>
      </c>
      <c r="K9740" s="2" t="s">
        <v>14142</v>
      </c>
    </row>
    <row r="9741" ht="15.75" customHeight="1">
      <c r="A9741" s="2">
        <v>223711.0</v>
      </c>
      <c r="B9741" s="2" t="s">
        <v>368</v>
      </c>
      <c r="C9741" s="2" t="s">
        <v>17165</v>
      </c>
      <c r="D9741" s="2" t="s">
        <v>410</v>
      </c>
      <c r="E9741" s="2" t="s">
        <v>301</v>
      </c>
      <c r="F9741" s="2">
        <v>5.0</v>
      </c>
      <c r="G9741" s="2">
        <v>302.0</v>
      </c>
      <c r="H9741" s="3" t="str">
        <f>HYPERLINK("http://www.linkedin.com/in/achoksi","http://www.linkedin.com/in/achoksi")</f>
        <v>http://www.linkedin.com/in/achoksi</v>
      </c>
      <c r="I9741" s="2" t="s">
        <v>279</v>
      </c>
      <c r="J9741" s="2" t="s">
        <v>102</v>
      </c>
      <c r="K9741" s="2" t="s">
        <v>14055</v>
      </c>
    </row>
    <row r="9742" ht="15.75" customHeight="1">
      <c r="A9742" s="2">
        <v>223742.0</v>
      </c>
      <c r="B9742" s="2" t="s">
        <v>4390</v>
      </c>
      <c r="C9742" s="2" t="s">
        <v>17166</v>
      </c>
      <c r="D9742" s="2" t="s">
        <v>17167</v>
      </c>
      <c r="E9742" s="2" t="s">
        <v>914</v>
      </c>
      <c r="F9742" s="2">
        <v>6.0</v>
      </c>
      <c r="G9742" s="2">
        <v>426.0</v>
      </c>
      <c r="H9742" s="3" t="str">
        <f>HYPERLINK("http://www.linkedin.com/in/jakemannix","http://www.linkedin.com/in/jakemannix")</f>
        <v>http://www.linkedin.com/in/jakemannix</v>
      </c>
      <c r="I9742" s="2" t="s">
        <v>69</v>
      </c>
      <c r="J9742" s="2" t="s">
        <v>102</v>
      </c>
      <c r="K9742" s="2" t="s">
        <v>14204</v>
      </c>
    </row>
    <row r="9743" ht="15.75" customHeight="1">
      <c r="A9743" s="2">
        <v>223749.0</v>
      </c>
      <c r="B9743" s="2" t="s">
        <v>1523</v>
      </c>
      <c r="C9743" s="2" t="s">
        <v>17168</v>
      </c>
      <c r="D9743" s="2" t="s">
        <v>1145</v>
      </c>
      <c r="E9743" s="2" t="s">
        <v>713</v>
      </c>
      <c r="F9743" s="2">
        <v>4.0</v>
      </c>
      <c r="G9743" s="2">
        <v>500.0</v>
      </c>
      <c r="H9743" s="3" t="str">
        <f>HYPERLINK("http://www.linkedin.com/in/holberton","http://www.linkedin.com/in/holberton")</f>
        <v>http://www.linkedin.com/in/holberton</v>
      </c>
      <c r="I9743" s="2" t="s">
        <v>57</v>
      </c>
      <c r="J9743" s="2" t="s">
        <v>102</v>
      </c>
      <c r="K9743" s="2" t="s">
        <v>14092</v>
      </c>
    </row>
    <row r="9744" ht="15.75" customHeight="1">
      <c r="A9744" s="2">
        <v>223799.0</v>
      </c>
      <c r="B9744" s="2" t="s">
        <v>17169</v>
      </c>
      <c r="C9744" s="2" t="s">
        <v>17170</v>
      </c>
      <c r="D9744" s="2" t="s">
        <v>2491</v>
      </c>
      <c r="E9744" s="2" t="s">
        <v>136</v>
      </c>
      <c r="F9744" s="2">
        <v>7.0</v>
      </c>
      <c r="G9744" s="2">
        <v>500.0</v>
      </c>
      <c r="H9744" s="3" t="str">
        <f>HYPERLINK("http://www.linkedin.com/in/heman","http://www.linkedin.com/in/heman")</f>
        <v>http://www.linkedin.com/in/heman</v>
      </c>
      <c r="I9744" s="2" t="s">
        <v>105</v>
      </c>
      <c r="J9744" s="2" t="s">
        <v>102</v>
      </c>
      <c r="K9744" s="2" t="s">
        <v>14074</v>
      </c>
    </row>
    <row r="9745" ht="15.75" customHeight="1">
      <c r="A9745" s="2">
        <v>223835.0</v>
      </c>
      <c r="B9745" s="2" t="s">
        <v>1071</v>
      </c>
      <c r="C9745" s="2" t="s">
        <v>17171</v>
      </c>
      <c r="D9745" s="2" t="s">
        <v>47</v>
      </c>
      <c r="E9745" s="2" t="s">
        <v>136</v>
      </c>
      <c r="F9745" s="2">
        <v>0.0</v>
      </c>
      <c r="G9745" s="2">
        <v>500.0</v>
      </c>
      <c r="H9745" s="3" t="str">
        <f>HYPERLINK("http://www.linkedin.com/pub/eric-barbier/0/418/B74","http://www.linkedin.com/pub/eric-barbier/0/418/B74")</f>
        <v>http://www.linkedin.com/pub/eric-barbier/0/418/B74</v>
      </c>
      <c r="I9745" s="2" t="s">
        <v>77</v>
      </c>
      <c r="J9745" s="2" t="s">
        <v>102</v>
      </c>
      <c r="K9745" s="2" t="s">
        <v>14211</v>
      </c>
    </row>
    <row r="9746" ht="15.75" customHeight="1">
      <c r="A9746" s="2">
        <v>223918.0</v>
      </c>
      <c r="B9746" s="2" t="s">
        <v>17172</v>
      </c>
      <c r="C9746" s="2" t="s">
        <v>17173</v>
      </c>
      <c r="D9746" s="2" t="s">
        <v>17174</v>
      </c>
      <c r="E9746" s="2" t="s">
        <v>3148</v>
      </c>
      <c r="F9746" s="2" t="s">
        <v>13</v>
      </c>
      <c r="G9746" s="2">
        <v>500.0</v>
      </c>
      <c r="H9746" s="3" t="str">
        <f>HYPERLINK("http://www.linkedin.com/pub/assaf-halevy/0/28B/4A6","http://www.linkedin.com/pub/assaf-halevy/0/28B/4A6")</f>
        <v>http://www.linkedin.com/pub/assaf-halevy/0/28B/4A6</v>
      </c>
      <c r="I9746" s="2" t="s">
        <v>48</v>
      </c>
      <c r="J9746" s="2" t="s">
        <v>102</v>
      </c>
      <c r="K9746" s="2" t="s">
        <v>14142</v>
      </c>
    </row>
    <row r="9747" ht="15.75" customHeight="1">
      <c r="A9747" s="2">
        <v>223934.0</v>
      </c>
      <c r="B9747" s="2" t="s">
        <v>3462</v>
      </c>
      <c r="C9747" s="2" t="s">
        <v>2344</v>
      </c>
      <c r="D9747" s="2" t="s">
        <v>17175</v>
      </c>
      <c r="E9747" s="2" t="s">
        <v>214</v>
      </c>
      <c r="F9747" s="2">
        <v>2.0</v>
      </c>
      <c r="G9747" s="2">
        <v>500.0</v>
      </c>
      <c r="H9747" s="3" t="str">
        <f>HYPERLINK("http://www.linkedin.com/pub/troy-gibson/0/25A/B92","http://www.linkedin.com/pub/troy-gibson/0/25A/B92")</f>
        <v>http://www.linkedin.com/pub/troy-gibson/0/25A/B92</v>
      </c>
      <c r="I9747" s="2" t="s">
        <v>48</v>
      </c>
      <c r="J9747" s="2" t="s">
        <v>102</v>
      </c>
      <c r="K9747" s="2" t="s">
        <v>14085</v>
      </c>
    </row>
    <row r="9748" ht="15.75" customHeight="1">
      <c r="A9748" s="2">
        <v>224050.0</v>
      </c>
      <c r="B9748" s="2" t="s">
        <v>2457</v>
      </c>
      <c r="C9748" s="2" t="s">
        <v>17176</v>
      </c>
      <c r="D9748" s="2" t="s">
        <v>5166</v>
      </c>
      <c r="E9748" s="2" t="s">
        <v>136</v>
      </c>
      <c r="F9748" s="2">
        <v>8.0</v>
      </c>
      <c r="G9748" s="2">
        <v>500.0</v>
      </c>
      <c r="H9748" s="3" t="str">
        <f>HYPERLINK("http://www.linkedin.com/in/stephenayers","http://www.linkedin.com/in/stephenayers")</f>
        <v>http://www.linkedin.com/in/stephenayers</v>
      </c>
      <c r="I9748" s="2" t="s">
        <v>15</v>
      </c>
      <c r="J9748" s="2" t="s">
        <v>102</v>
      </c>
      <c r="K9748" s="2" t="s">
        <v>14082</v>
      </c>
    </row>
    <row r="9749" ht="15.75" customHeight="1">
      <c r="A9749" s="2">
        <v>224071.0</v>
      </c>
      <c r="B9749" s="2" t="s">
        <v>460</v>
      </c>
      <c r="C9749" s="2" t="s">
        <v>17177</v>
      </c>
      <c r="D9749" s="2" t="s">
        <v>400</v>
      </c>
      <c r="E9749" s="2" t="s">
        <v>136</v>
      </c>
      <c r="F9749" s="2">
        <v>3.0</v>
      </c>
      <c r="G9749" s="2">
        <v>500.0</v>
      </c>
      <c r="H9749" s="3" t="str">
        <f>HYPERLINK("http://www.linkedin.com/in/johnhartnett","http://www.linkedin.com/in/johnhartnett")</f>
        <v>http://www.linkedin.com/in/johnhartnett</v>
      </c>
      <c r="I9749" s="2" t="s">
        <v>57</v>
      </c>
      <c r="J9749" s="2" t="s">
        <v>102</v>
      </c>
      <c r="K9749" s="2" t="s">
        <v>14062</v>
      </c>
    </row>
    <row r="9750" ht="15.75" customHeight="1">
      <c r="A9750" s="2">
        <v>224152.0</v>
      </c>
      <c r="B9750" s="2" t="s">
        <v>1483</v>
      </c>
      <c r="C9750" s="2" t="s">
        <v>9531</v>
      </c>
      <c r="D9750" s="2" t="s">
        <v>13</v>
      </c>
      <c r="E9750" s="2" t="s">
        <v>101</v>
      </c>
      <c r="F9750" s="2">
        <v>0.0</v>
      </c>
      <c r="G9750" s="2">
        <v>500.0</v>
      </c>
      <c r="H9750" s="3" t="str">
        <f>HYPERLINK("http://www.linkedin.com/in/trevormaurer","http://www.linkedin.com/in/trevormaurer")</f>
        <v>http://www.linkedin.com/in/trevormaurer</v>
      </c>
      <c r="I9750" s="2" t="s">
        <v>865</v>
      </c>
      <c r="J9750" s="2" t="s">
        <v>102</v>
      </c>
      <c r="K9750" s="2" t="s">
        <v>14055</v>
      </c>
    </row>
    <row r="9751" ht="15.75" customHeight="1">
      <c r="A9751" s="2">
        <v>224157.0</v>
      </c>
      <c r="B9751" s="2" t="s">
        <v>341</v>
      </c>
      <c r="C9751" s="2" t="s">
        <v>3869</v>
      </c>
      <c r="D9751" s="2"/>
      <c r="E9751" s="2" t="s">
        <v>992</v>
      </c>
      <c r="F9751" s="2">
        <v>38.0</v>
      </c>
      <c r="G9751" s="2">
        <v>500.0</v>
      </c>
      <c r="H9751" s="3" t="str">
        <f>HYPERLINK("http://www.linkedin.com/pub/kevin-williams/0/423/592","http://www.linkedin.com/pub/kevin-williams/0/423/592")</f>
        <v>http://www.linkedin.com/pub/kevin-williams/0/423/592</v>
      </c>
      <c r="I9751" s="2" t="s">
        <v>15</v>
      </c>
      <c r="J9751" s="2" t="s">
        <v>102</v>
      </c>
      <c r="K9751" s="2" t="s">
        <v>14105</v>
      </c>
    </row>
    <row r="9752" ht="15.75" customHeight="1">
      <c r="A9752" s="2">
        <v>224168.0</v>
      </c>
      <c r="B9752" s="2" t="s">
        <v>4488</v>
      </c>
      <c r="C9752" s="2" t="s">
        <v>17178</v>
      </c>
      <c r="D9752" s="2" t="s">
        <v>517</v>
      </c>
      <c r="E9752" s="2" t="s">
        <v>762</v>
      </c>
      <c r="F9752" s="2">
        <v>6.0</v>
      </c>
      <c r="G9752" s="2">
        <v>500.0</v>
      </c>
      <c r="H9752" s="3" t="str">
        <f>HYPERLINK("http://www.linkedin.com/pub/heather-mckissick/0/423/AA9","http://www.linkedin.com/pub/heather-mckissick/0/423/AA9")</f>
        <v>http://www.linkedin.com/pub/heather-mckissick/0/423/AA9</v>
      </c>
      <c r="I9752" s="2" t="s">
        <v>458</v>
      </c>
      <c r="J9752" s="2" t="s">
        <v>102</v>
      </c>
      <c r="K9752" s="2" t="s">
        <v>14078</v>
      </c>
    </row>
    <row r="9753" ht="15.75" customHeight="1">
      <c r="A9753" s="2">
        <v>224196.0</v>
      </c>
      <c r="B9753" s="2" t="s">
        <v>14870</v>
      </c>
      <c r="C9753" s="2" t="s">
        <v>17179</v>
      </c>
      <c r="D9753" s="2" t="s">
        <v>17180</v>
      </c>
      <c r="E9753" s="2" t="s">
        <v>713</v>
      </c>
      <c r="F9753" s="2">
        <v>3.0</v>
      </c>
      <c r="G9753" s="2">
        <v>500.0</v>
      </c>
      <c r="H9753" s="3" t="str">
        <f>HYPERLINK("http://www.linkedin.com/in/amehra","http://www.linkedin.com/in/amehra")</f>
        <v>http://www.linkedin.com/in/amehra</v>
      </c>
      <c r="I9753" s="2" t="s">
        <v>279</v>
      </c>
      <c r="J9753" s="2" t="s">
        <v>102</v>
      </c>
      <c r="K9753" s="2" t="s">
        <v>14197</v>
      </c>
    </row>
    <row r="9754" ht="15.75" customHeight="1">
      <c r="A9754" s="2">
        <v>224200.0</v>
      </c>
      <c r="B9754" s="2" t="s">
        <v>1004</v>
      </c>
      <c r="C9754" s="2" t="s">
        <v>17181</v>
      </c>
      <c r="D9754" s="2" t="s">
        <v>17182</v>
      </c>
      <c r="E9754" s="2" t="s">
        <v>989</v>
      </c>
      <c r="F9754" s="2">
        <v>0.0</v>
      </c>
      <c r="G9754" s="2">
        <v>366.0</v>
      </c>
      <c r="H9754" s="3" t="str">
        <f>HYPERLINK("http://www.linkedin.com/pub/scott-felten/4/29A/675","http://www.linkedin.com/pub/scott-felten/4/29A/675")</f>
        <v>http://www.linkedin.com/pub/scott-felten/4/29A/675</v>
      </c>
      <c r="I9754" s="2" t="s">
        <v>15</v>
      </c>
      <c r="J9754" s="2" t="s">
        <v>102</v>
      </c>
      <c r="K9754" s="2" t="s">
        <v>14117</v>
      </c>
    </row>
    <row r="9755" ht="15.75" customHeight="1">
      <c r="A9755" s="2">
        <v>224267.0</v>
      </c>
      <c r="B9755" s="2" t="s">
        <v>408</v>
      </c>
      <c r="C9755" s="2" t="s">
        <v>867</v>
      </c>
      <c r="D9755" s="2" t="s">
        <v>17183</v>
      </c>
      <c r="E9755" s="2" t="s">
        <v>1407</v>
      </c>
      <c r="F9755" s="2">
        <v>9.0</v>
      </c>
      <c r="G9755" s="2">
        <v>500.0</v>
      </c>
      <c r="H9755" s="3" t="str">
        <f>HYPERLINK("http://www.linkedin.com/in/edwardjdonnelly","http://www.linkedin.com/in/edwardjdonnelly")</f>
        <v>http://www.linkedin.com/in/edwardjdonnelly</v>
      </c>
      <c r="I9755" s="2" t="s">
        <v>15</v>
      </c>
      <c r="J9755" s="2" t="s">
        <v>102</v>
      </c>
      <c r="K9755" s="2" t="s">
        <v>14074</v>
      </c>
    </row>
    <row r="9756" ht="15.75" customHeight="1">
      <c r="A9756" s="2">
        <v>224290.0</v>
      </c>
      <c r="B9756" s="2" t="s">
        <v>17184</v>
      </c>
      <c r="C9756" s="2" t="s">
        <v>17172</v>
      </c>
      <c r="D9756" s="2" t="s">
        <v>1765</v>
      </c>
      <c r="E9756" s="2" t="s">
        <v>181</v>
      </c>
      <c r="F9756" s="2">
        <v>3.0</v>
      </c>
      <c r="G9756" s="2">
        <v>500.0</v>
      </c>
      <c r="H9756" s="3" t="str">
        <f>HYPERLINK("https://www.linkedin.com/in/ranassaf","https://www.linkedin.com/in/ranassaf")</f>
        <v>https://www.linkedin.com/in/ranassaf</v>
      </c>
      <c r="I9756" s="2" t="s">
        <v>1183</v>
      </c>
      <c r="J9756" s="2" t="s">
        <v>102</v>
      </c>
      <c r="K9756" s="2" t="s">
        <v>17185</v>
      </c>
    </row>
    <row r="9757" ht="15.75" customHeight="1">
      <c r="A9757" s="2">
        <v>224411.0</v>
      </c>
      <c r="B9757" s="2" t="s">
        <v>784</v>
      </c>
      <c r="C9757" s="2" t="s">
        <v>17186</v>
      </c>
      <c r="D9757" s="2" t="s">
        <v>17187</v>
      </c>
      <c r="E9757" s="2" t="s">
        <v>101</v>
      </c>
      <c r="F9757" s="2">
        <v>1.0</v>
      </c>
      <c r="G9757" s="2">
        <v>500.0</v>
      </c>
      <c r="H9757" s="3" t="str">
        <f>HYPERLINK("http://www.linkedin.com/in/jbrathall","http://www.linkedin.com/in/jbrathall")</f>
        <v>http://www.linkedin.com/in/jbrathall</v>
      </c>
      <c r="I9757" s="2" t="s">
        <v>15</v>
      </c>
      <c r="J9757" s="2" t="s">
        <v>102</v>
      </c>
      <c r="K9757" s="2" t="s">
        <v>14092</v>
      </c>
    </row>
    <row r="9758" ht="15.75" customHeight="1">
      <c r="A9758" s="2">
        <v>224416.0</v>
      </c>
      <c r="B9758" s="2" t="s">
        <v>2014</v>
      </c>
      <c r="C9758" s="2" t="s">
        <v>1162</v>
      </c>
      <c r="D9758" s="2" t="s">
        <v>114</v>
      </c>
      <c r="E9758" s="2" t="s">
        <v>989</v>
      </c>
      <c r="F9758" s="2">
        <v>0.0</v>
      </c>
      <c r="G9758" s="2">
        <v>500.0</v>
      </c>
      <c r="H9758" s="3" t="str">
        <f>HYPERLINK("http://www.linkedin.com/in/kensaunders1","http://www.linkedin.com/in/kensaunders1")</f>
        <v>http://www.linkedin.com/in/kensaunders1</v>
      </c>
      <c r="I9758" s="2" t="s">
        <v>69</v>
      </c>
      <c r="J9758" s="2" t="s">
        <v>102</v>
      </c>
      <c r="K9758" s="2" t="s">
        <v>14088</v>
      </c>
    </row>
    <row r="9759" ht="15.75" customHeight="1">
      <c r="A9759" s="2">
        <v>224517.0</v>
      </c>
      <c r="B9759" s="2" t="s">
        <v>1096</v>
      </c>
      <c r="C9759" s="2" t="s">
        <v>17188</v>
      </c>
      <c r="D9759" s="2" t="s">
        <v>13</v>
      </c>
      <c r="E9759" s="2" t="s">
        <v>17189</v>
      </c>
      <c r="F9759" s="2">
        <v>0.0</v>
      </c>
      <c r="G9759" s="2">
        <v>500.0</v>
      </c>
      <c r="H9759" s="3" t="str">
        <f>HYPERLINK("http://www.linkedin.com/pub/tony-mcclelland/0/518/A2","http://www.linkedin.com/pub/tony-mcclelland/0/518/A2")</f>
        <v>http://www.linkedin.com/pub/tony-mcclelland/0/518/A2</v>
      </c>
      <c r="I9759" s="2" t="s">
        <v>15</v>
      </c>
      <c r="J9759" s="2" t="s">
        <v>53</v>
      </c>
      <c r="K9759" s="2" t="s">
        <v>14088</v>
      </c>
    </row>
    <row r="9760" ht="15.75" customHeight="1">
      <c r="A9760" s="2">
        <v>224548.0</v>
      </c>
      <c r="B9760" s="2" t="s">
        <v>879</v>
      </c>
      <c r="C9760" s="2" t="s">
        <v>17190</v>
      </c>
      <c r="D9760" s="2" t="s">
        <v>114</v>
      </c>
      <c r="E9760" s="2" t="s">
        <v>101</v>
      </c>
      <c r="F9760" s="2">
        <v>7.0</v>
      </c>
      <c r="G9760" s="2">
        <v>500.0</v>
      </c>
      <c r="H9760" s="3" t="str">
        <f>HYPERLINK("http://www.linkedin.com/in/rdesarmes","http://www.linkedin.com/in/rdesarmes")</f>
        <v>http://www.linkedin.com/in/rdesarmes</v>
      </c>
      <c r="I9760" s="2" t="s">
        <v>15</v>
      </c>
      <c r="J9760" s="2" t="s">
        <v>102</v>
      </c>
      <c r="K9760" s="2" t="s">
        <v>14242</v>
      </c>
    </row>
    <row r="9761" ht="15.75" customHeight="1">
      <c r="A9761" s="2">
        <v>224884.0</v>
      </c>
      <c r="B9761" s="2" t="s">
        <v>879</v>
      </c>
      <c r="C9761" s="2" t="s">
        <v>14414</v>
      </c>
      <c r="D9761" s="2" t="s">
        <v>410</v>
      </c>
      <c r="E9761" s="2" t="s">
        <v>628</v>
      </c>
      <c r="F9761" s="2">
        <v>37.0</v>
      </c>
      <c r="G9761" s="2">
        <v>500.0</v>
      </c>
      <c r="H9761" s="3" t="str">
        <f>HYPERLINK("http://www.linkedin.com/in/richardtstack","http://www.linkedin.com/in/richardtstack")</f>
        <v>http://www.linkedin.com/in/richardtstack</v>
      </c>
      <c r="I9761" s="2" t="s">
        <v>15</v>
      </c>
      <c r="J9761" s="2" t="s">
        <v>102</v>
      </c>
      <c r="K9761" s="2" t="s">
        <v>14095</v>
      </c>
    </row>
    <row r="9762" ht="15.75" customHeight="1">
      <c r="A9762" s="2">
        <v>224897.0</v>
      </c>
      <c r="B9762" s="2" t="s">
        <v>5695</v>
      </c>
      <c r="C9762" s="2" t="s">
        <v>17191</v>
      </c>
      <c r="D9762" s="2" t="s">
        <v>410</v>
      </c>
      <c r="E9762" s="2" t="s">
        <v>914</v>
      </c>
      <c r="F9762" s="2" t="s">
        <v>13</v>
      </c>
      <c r="G9762" s="2">
        <v>318.0</v>
      </c>
      <c r="H9762" s="3" t="str">
        <f>HYPERLINK("http://www.linkedin.com/pub/phillip-esparza/0/549/A50","http://www.linkedin.com/pub/phillip-esparza/0/549/A50")</f>
        <v>http://www.linkedin.com/pub/phillip-esparza/0/549/A50</v>
      </c>
      <c r="I9762" s="2" t="s">
        <v>48</v>
      </c>
      <c r="J9762" s="2" t="s">
        <v>102</v>
      </c>
      <c r="K9762" s="2" t="s">
        <v>14095</v>
      </c>
    </row>
    <row r="9763" ht="15.75" customHeight="1">
      <c r="A9763" s="2">
        <v>224923.0</v>
      </c>
      <c r="B9763" s="2" t="s">
        <v>1479</v>
      </c>
      <c r="C9763" s="2" t="s">
        <v>17192</v>
      </c>
      <c r="D9763" s="2"/>
      <c r="E9763" s="2" t="s">
        <v>181</v>
      </c>
      <c r="F9763" s="2">
        <v>0.0</v>
      </c>
      <c r="G9763" s="2">
        <v>500.0</v>
      </c>
      <c r="H9763" s="3" t="str">
        <f>HYPERLINK("http://www.linkedin.com/in/frankscozzari","http://www.linkedin.com/in/frankscozzari")</f>
        <v>http://www.linkedin.com/in/frankscozzari</v>
      </c>
      <c r="I9763" s="2" t="s">
        <v>15</v>
      </c>
      <c r="J9763" s="2" t="s">
        <v>102</v>
      </c>
      <c r="K9763" s="2" t="s">
        <v>14095</v>
      </c>
    </row>
    <row r="9764" ht="15.75" customHeight="1">
      <c r="A9764" s="2">
        <v>225120.0</v>
      </c>
      <c r="B9764" s="2" t="s">
        <v>4665</v>
      </c>
      <c r="C9764" s="2" t="s">
        <v>2740</v>
      </c>
      <c r="D9764" s="2" t="s">
        <v>17193</v>
      </c>
      <c r="E9764" s="2" t="s">
        <v>301</v>
      </c>
      <c r="F9764" s="2">
        <v>13.0</v>
      </c>
      <c r="G9764" s="2">
        <v>500.0</v>
      </c>
      <c r="H9764" s="3" t="str">
        <f>HYPERLINK("http://www.linkedin.com/in/greggstewart","http://www.linkedin.com/in/greggstewart")</f>
        <v>http://www.linkedin.com/in/greggstewart</v>
      </c>
      <c r="I9764" s="2" t="s">
        <v>105</v>
      </c>
      <c r="J9764" s="2" t="s">
        <v>102</v>
      </c>
      <c r="K9764" s="2" t="s">
        <v>14055</v>
      </c>
    </row>
    <row r="9765" ht="15.75" customHeight="1">
      <c r="A9765" s="2">
        <v>225175.0</v>
      </c>
      <c r="B9765" s="2" t="s">
        <v>2014</v>
      </c>
      <c r="C9765" s="2" t="s">
        <v>2610</v>
      </c>
      <c r="D9765" s="2" t="s">
        <v>114</v>
      </c>
      <c r="E9765" s="2" t="s">
        <v>101</v>
      </c>
      <c r="F9765" s="2">
        <v>10.0</v>
      </c>
      <c r="G9765" s="2">
        <v>320.0</v>
      </c>
      <c r="H9765" s="3" t="str">
        <f>HYPERLINK("http://www.linkedin.com/in/kenhall08","http://www.linkedin.com/in/kenhall08")</f>
        <v>http://www.linkedin.com/in/kenhall08</v>
      </c>
      <c r="I9765" s="2" t="s">
        <v>77</v>
      </c>
      <c r="J9765" s="2" t="s">
        <v>102</v>
      </c>
      <c r="K9765" s="2" t="s">
        <v>14105</v>
      </c>
    </row>
    <row r="9766" ht="15.75" customHeight="1">
      <c r="A9766" s="2">
        <v>225215.0</v>
      </c>
      <c r="B9766" s="2" t="s">
        <v>2622</v>
      </c>
      <c r="C9766" s="2" t="s">
        <v>17194</v>
      </c>
      <c r="D9766" s="2" t="s">
        <v>13</v>
      </c>
      <c r="E9766" s="2" t="s">
        <v>5213</v>
      </c>
      <c r="F9766" s="2">
        <v>0.0</v>
      </c>
      <c r="G9766" s="2">
        <v>500.0</v>
      </c>
      <c r="H9766" s="3" t="str">
        <f>HYPERLINK("http://www.linkedin.com/in/jchilton","http://www.linkedin.com/in/jchilton")</f>
        <v>http://www.linkedin.com/in/jchilton</v>
      </c>
      <c r="I9766" s="2" t="s">
        <v>714</v>
      </c>
      <c r="J9766" s="2" t="s">
        <v>102</v>
      </c>
      <c r="K9766" s="2" t="s">
        <v>14055</v>
      </c>
    </row>
    <row r="9767" ht="15.75" customHeight="1">
      <c r="A9767" s="2">
        <v>225276.0</v>
      </c>
      <c r="B9767" s="2" t="s">
        <v>17195</v>
      </c>
      <c r="C9767" s="2" t="s">
        <v>17196</v>
      </c>
      <c r="D9767" s="2" t="s">
        <v>17197</v>
      </c>
      <c r="E9767" s="2" t="s">
        <v>882</v>
      </c>
      <c r="F9767" s="2">
        <v>12.0</v>
      </c>
      <c r="G9767" s="2">
        <v>500.0</v>
      </c>
      <c r="H9767" s="3" t="str">
        <f>HYPERLINK("http://www.linkedin.com/in/tongucyaman","http://www.linkedin.com/in/tongucyaman")</f>
        <v>http://www.linkedin.com/in/tongucyaman</v>
      </c>
      <c r="I9767" s="2" t="s">
        <v>172</v>
      </c>
      <c r="J9767" s="2" t="s">
        <v>102</v>
      </c>
      <c r="K9767" s="2" t="s">
        <v>14078</v>
      </c>
    </row>
    <row r="9768" ht="15.75" customHeight="1">
      <c r="A9768" s="2">
        <v>225281.0</v>
      </c>
      <c r="B9768" s="2" t="s">
        <v>275</v>
      </c>
      <c r="C9768" s="2" t="s">
        <v>17198</v>
      </c>
      <c r="D9768" s="2" t="s">
        <v>47</v>
      </c>
      <c r="E9768" s="2" t="s">
        <v>2058</v>
      </c>
      <c r="F9768" s="2">
        <v>57.0</v>
      </c>
      <c r="G9768" s="2">
        <v>500.0</v>
      </c>
      <c r="H9768" s="3" t="str">
        <f>HYPERLINK("http://www.linkedin.com/in/markbilfield","http://www.linkedin.com/in/markbilfield")</f>
        <v>http://www.linkedin.com/in/markbilfield</v>
      </c>
      <c r="I9768" s="2" t="s">
        <v>105</v>
      </c>
      <c r="J9768" s="2" t="s">
        <v>102</v>
      </c>
      <c r="K9768" s="2" t="s">
        <v>14092</v>
      </c>
    </row>
    <row r="9769" ht="15.75" customHeight="1">
      <c r="A9769" s="2">
        <v>225346.0</v>
      </c>
      <c r="B9769" s="2" t="s">
        <v>752</v>
      </c>
      <c r="C9769" s="2" t="s">
        <v>17199</v>
      </c>
      <c r="D9769" s="2" t="s">
        <v>17200</v>
      </c>
      <c r="E9769" s="2" t="s">
        <v>136</v>
      </c>
      <c r="F9769" s="2">
        <v>2.0</v>
      </c>
      <c r="G9769" s="2">
        <v>459.0</v>
      </c>
      <c r="H9769" s="3" t="str">
        <f>HYPERLINK("http://www.linkedin.com/pub/jim-cowing/0/856/74B","http://www.linkedin.com/pub/jim-cowing/0/856/74B")</f>
        <v>http://www.linkedin.com/pub/jim-cowing/0/856/74B</v>
      </c>
      <c r="I9769" s="2" t="s">
        <v>160</v>
      </c>
      <c r="J9769" s="2" t="s">
        <v>102</v>
      </c>
      <c r="K9769" s="2" t="s">
        <v>14085</v>
      </c>
    </row>
    <row r="9770" ht="15.75" customHeight="1">
      <c r="A9770" s="2">
        <v>225396.0</v>
      </c>
      <c r="B9770" s="2" t="s">
        <v>471</v>
      </c>
      <c r="C9770" s="2" t="s">
        <v>3663</v>
      </c>
      <c r="D9770" s="2" t="s">
        <v>17201</v>
      </c>
      <c r="E9770" s="2" t="s">
        <v>101</v>
      </c>
      <c r="F9770" s="2">
        <v>1.0</v>
      </c>
      <c r="G9770" s="2">
        <v>500.0</v>
      </c>
      <c r="H9770" s="3" t="str">
        <f>HYPERLINK("http://www.linkedin.com/in/dohara","http://www.linkedin.com/in/dohara")</f>
        <v>http://www.linkedin.com/in/dohara</v>
      </c>
      <c r="I9770" s="2" t="s">
        <v>48</v>
      </c>
      <c r="J9770" s="2" t="s">
        <v>102</v>
      </c>
      <c r="K9770" s="2" t="s">
        <v>14142</v>
      </c>
    </row>
    <row r="9771" ht="15.75" customHeight="1">
      <c r="A9771" s="2">
        <v>225481.0</v>
      </c>
      <c r="B9771" s="2" t="s">
        <v>534</v>
      </c>
      <c r="C9771" s="2" t="s">
        <v>17202</v>
      </c>
      <c r="D9771" s="2" t="s">
        <v>2802</v>
      </c>
      <c r="E9771" s="2" t="s">
        <v>235</v>
      </c>
      <c r="F9771" s="2">
        <v>66.0</v>
      </c>
      <c r="G9771" s="2">
        <v>500.0</v>
      </c>
      <c r="H9771" s="3" t="str">
        <f>HYPERLINK("http://www.linkedin.com/in/matthewjweaverpmp","http://www.linkedin.com/in/matthewjweaverpmp")</f>
        <v>http://www.linkedin.com/in/matthewjweaverpmp</v>
      </c>
      <c r="I9771" s="2" t="s">
        <v>1390</v>
      </c>
      <c r="J9771" s="2" t="s">
        <v>102</v>
      </c>
      <c r="K9771" s="2" t="s">
        <v>14074</v>
      </c>
    </row>
    <row r="9772" ht="15.75" customHeight="1">
      <c r="A9772" s="2">
        <v>225504.0</v>
      </c>
      <c r="B9772" s="2" t="s">
        <v>940</v>
      </c>
      <c r="C9772" s="2" t="s">
        <v>15555</v>
      </c>
      <c r="D9772" s="2" t="s">
        <v>17203</v>
      </c>
      <c r="E9772" s="2" t="s">
        <v>15919</v>
      </c>
      <c r="F9772" s="2">
        <v>5.0</v>
      </c>
      <c r="G9772" s="2">
        <v>500.0</v>
      </c>
      <c r="H9772" s="3" t="str">
        <f>HYPERLINK("http://www.linkedin.com/pub/bob-reeves/0/8A7/4A","http://www.linkedin.com/pub/bob-reeves/0/8A7/4A")</f>
        <v>http://www.linkedin.com/pub/bob-reeves/0/8A7/4A</v>
      </c>
      <c r="I9772" s="2" t="s">
        <v>69</v>
      </c>
      <c r="J9772" s="2" t="s">
        <v>102</v>
      </c>
      <c r="K9772" s="2" t="s">
        <v>14078</v>
      </c>
    </row>
    <row r="9773" ht="15.75" customHeight="1">
      <c r="A9773" s="2">
        <v>225514.0</v>
      </c>
      <c r="B9773" s="2" t="s">
        <v>12368</v>
      </c>
      <c r="C9773" s="2" t="s">
        <v>17204</v>
      </c>
      <c r="D9773" s="2" t="s">
        <v>3087</v>
      </c>
      <c r="E9773" s="2" t="s">
        <v>17205</v>
      </c>
      <c r="F9773" s="2">
        <v>12.0</v>
      </c>
      <c r="G9773" s="2">
        <v>500.0</v>
      </c>
      <c r="H9773" s="3" t="str">
        <f>HYPERLINK("http://www.linkedin.com/in/kristenbloslong","http://www.linkedin.com/in/kristenbloslong")</f>
        <v>http://www.linkedin.com/in/kristenbloslong</v>
      </c>
      <c r="I9773" s="2" t="s">
        <v>15</v>
      </c>
      <c r="J9773" s="2" t="s">
        <v>102</v>
      </c>
      <c r="K9773" s="2" t="s">
        <v>14080</v>
      </c>
    </row>
    <row r="9774" ht="15.75" customHeight="1">
      <c r="A9774" s="2">
        <v>225549.0</v>
      </c>
      <c r="B9774" s="2" t="s">
        <v>5551</v>
      </c>
      <c r="C9774" s="2" t="s">
        <v>17206</v>
      </c>
      <c r="D9774" s="2" t="s">
        <v>347</v>
      </c>
      <c r="E9774" s="2" t="s">
        <v>1213</v>
      </c>
      <c r="F9774" s="2">
        <v>1.0</v>
      </c>
      <c r="G9774" s="2">
        <v>216.0</v>
      </c>
      <c r="H9774" s="3" t="str">
        <f>HYPERLINK("http://www.linkedin.com/in/rameshnarayanan1","http://www.linkedin.com/in/rameshnarayanan1")</f>
        <v>http://www.linkedin.com/in/rameshnarayanan1</v>
      </c>
      <c r="I9774" s="2" t="s">
        <v>15</v>
      </c>
      <c r="J9774" s="2" t="s">
        <v>102</v>
      </c>
      <c r="K9774" s="2" t="s">
        <v>14092</v>
      </c>
    </row>
    <row r="9775" ht="15.75" customHeight="1">
      <c r="A9775" s="2">
        <v>225581.0</v>
      </c>
      <c r="B9775" s="2" t="s">
        <v>12630</v>
      </c>
      <c r="C9775" s="2" t="s">
        <v>17207</v>
      </c>
      <c r="D9775" s="2" t="s">
        <v>410</v>
      </c>
      <c r="E9775" s="2" t="s">
        <v>181</v>
      </c>
      <c r="F9775" s="2">
        <v>2.0</v>
      </c>
      <c r="G9775" s="2">
        <v>500.0</v>
      </c>
      <c r="H9775" s="3" t="str">
        <f>HYPERLINK("http://www.linkedin.com/pub/vipul-adlakha/0/934/8AB","http://www.linkedin.com/pub/vipul-adlakha/0/934/8AB")</f>
        <v>http://www.linkedin.com/pub/vipul-adlakha/0/934/8AB</v>
      </c>
      <c r="I9775" s="2" t="s">
        <v>57</v>
      </c>
      <c r="J9775" s="2" t="s">
        <v>102</v>
      </c>
      <c r="K9775" s="2" t="s">
        <v>14092</v>
      </c>
    </row>
    <row r="9776" ht="15.75" customHeight="1">
      <c r="A9776" s="2">
        <v>225623.0</v>
      </c>
      <c r="B9776" s="2" t="s">
        <v>2567</v>
      </c>
      <c r="C9776" s="2" t="s">
        <v>14436</v>
      </c>
      <c r="D9776" s="2" t="s">
        <v>47</v>
      </c>
      <c r="E9776" s="2" t="s">
        <v>17208</v>
      </c>
      <c r="F9776" s="2">
        <v>3.0</v>
      </c>
      <c r="G9776" s="2">
        <v>500.0</v>
      </c>
      <c r="H9776" s="3" t="str">
        <f>HYPERLINK("http://www.linkedin.com/in/alaskawebdesigner","http://www.linkedin.com/in/alaskawebdesigner")</f>
        <v>http://www.linkedin.com/in/alaskawebdesigner</v>
      </c>
      <c r="I9776" s="2" t="s">
        <v>48</v>
      </c>
      <c r="J9776" s="2" t="s">
        <v>102</v>
      </c>
      <c r="K9776" s="2" t="s">
        <v>14073</v>
      </c>
    </row>
    <row r="9777" ht="15.75" customHeight="1">
      <c r="A9777" s="2">
        <v>225643.0</v>
      </c>
      <c r="B9777" s="2" t="s">
        <v>5173</v>
      </c>
      <c r="C9777" s="2" t="s">
        <v>9417</v>
      </c>
      <c r="D9777" s="2" t="s">
        <v>13</v>
      </c>
      <c r="E9777" s="2" t="s">
        <v>457</v>
      </c>
      <c r="F9777" s="2">
        <v>0.0</v>
      </c>
      <c r="G9777" s="2">
        <v>500.0</v>
      </c>
      <c r="H9777" s="3" t="str">
        <f>HYPERLINK("http://www.linkedin.com/in/richkahn","http://www.linkedin.com/in/richkahn")</f>
        <v>http://www.linkedin.com/in/richkahn</v>
      </c>
      <c r="I9777" s="2" t="s">
        <v>69</v>
      </c>
      <c r="J9777" s="2" t="s">
        <v>102</v>
      </c>
      <c r="K9777" s="2" t="s">
        <v>14073</v>
      </c>
    </row>
    <row r="9778" ht="15.75" customHeight="1">
      <c r="A9778" s="2">
        <v>225663.0</v>
      </c>
      <c r="B9778" s="2" t="s">
        <v>1173</v>
      </c>
      <c r="C9778" s="2" t="s">
        <v>16642</v>
      </c>
      <c r="D9778" s="2" t="s">
        <v>2560</v>
      </c>
      <c r="E9778" s="2" t="s">
        <v>5471</v>
      </c>
      <c r="F9778" s="2">
        <v>10.0</v>
      </c>
      <c r="G9778" s="2">
        <v>500.0</v>
      </c>
      <c r="H9778" s="3" t="str">
        <f>HYPERLINK("http://www.linkedin.com/pub/steve-piper/0/370/16B","http://www.linkedin.com/pub/steve-piper/0/370/16B")</f>
        <v>http://www.linkedin.com/pub/steve-piper/0/370/16B</v>
      </c>
      <c r="I9778" s="2" t="s">
        <v>105</v>
      </c>
      <c r="J9778" s="2" t="s">
        <v>102</v>
      </c>
      <c r="K9778" s="2" t="s">
        <v>14074</v>
      </c>
    </row>
    <row r="9779" ht="15.75" customHeight="1">
      <c r="A9779" s="2">
        <v>225687.0</v>
      </c>
      <c r="B9779" s="2" t="s">
        <v>1362</v>
      </c>
      <c r="C9779" s="2" t="s">
        <v>17209</v>
      </c>
      <c r="D9779" s="2" t="s">
        <v>17134</v>
      </c>
      <c r="E9779" s="2" t="s">
        <v>713</v>
      </c>
      <c r="F9779" s="2">
        <v>17.0</v>
      </c>
      <c r="G9779" s="2">
        <v>500.0</v>
      </c>
      <c r="H9779" s="3" t="str">
        <f>HYPERLINK("http://www.linkedin.com/in/williamtoll","http://www.linkedin.com/in/williamtoll")</f>
        <v>http://www.linkedin.com/in/williamtoll</v>
      </c>
      <c r="I9779" s="2" t="s">
        <v>873</v>
      </c>
      <c r="J9779" s="2" t="s">
        <v>102</v>
      </c>
      <c r="K9779" s="2" t="s">
        <v>14082</v>
      </c>
    </row>
    <row r="9780" ht="15.75" customHeight="1">
      <c r="A9780" s="2">
        <v>225692.0</v>
      </c>
      <c r="B9780" s="2" t="s">
        <v>10781</v>
      </c>
      <c r="C9780" s="2" t="s">
        <v>17210</v>
      </c>
      <c r="D9780" s="2" t="s">
        <v>1098</v>
      </c>
      <c r="E9780" s="2" t="s">
        <v>301</v>
      </c>
      <c r="F9780" s="2">
        <v>19.0</v>
      </c>
      <c r="G9780" s="2">
        <v>500.0</v>
      </c>
      <c r="H9780" s="3" t="str">
        <f>HYPERLINK("http://www.linkedin.com/pub/daniel-gothelf/4/226/75A","http://www.linkedin.com/pub/daniel-gothelf/4/226/75A")</f>
        <v>http://www.linkedin.com/pub/daniel-gothelf/4/226/75A</v>
      </c>
      <c r="I9780" s="2" t="s">
        <v>69</v>
      </c>
      <c r="J9780" s="2" t="s">
        <v>102</v>
      </c>
      <c r="K9780" s="2" t="s">
        <v>14082</v>
      </c>
    </row>
    <row r="9781" ht="15.75" customHeight="1">
      <c r="A9781" s="2">
        <v>225743.0</v>
      </c>
      <c r="B9781" s="2" t="s">
        <v>341</v>
      </c>
      <c r="C9781" s="2" t="s">
        <v>17211</v>
      </c>
      <c r="D9781" s="2" t="s">
        <v>17212</v>
      </c>
      <c r="E9781" s="2" t="s">
        <v>4060</v>
      </c>
      <c r="F9781" s="2">
        <v>9.0</v>
      </c>
      <c r="G9781" s="2">
        <v>500.0</v>
      </c>
      <c r="H9781" s="3" t="str">
        <f>HYPERLINK("http://www.linkedin.com/in/kekline","http://www.linkedin.com/in/kekline")</f>
        <v>http://www.linkedin.com/in/kekline</v>
      </c>
      <c r="I9781" s="2" t="s">
        <v>48</v>
      </c>
      <c r="J9781" s="2" t="s">
        <v>102</v>
      </c>
      <c r="K9781" s="2" t="s">
        <v>14142</v>
      </c>
    </row>
    <row r="9782" ht="15.75" customHeight="1">
      <c r="A9782" s="2">
        <v>225776.0</v>
      </c>
      <c r="B9782" s="2" t="s">
        <v>17213</v>
      </c>
      <c r="C9782" s="2" t="s">
        <v>17214</v>
      </c>
      <c r="D9782" s="2" t="s">
        <v>17215</v>
      </c>
      <c r="E9782" s="2" t="s">
        <v>17216</v>
      </c>
      <c r="F9782" s="2">
        <v>5.0</v>
      </c>
      <c r="G9782" s="2">
        <v>157.0</v>
      </c>
      <c r="H9782" s="3" t="str">
        <f>HYPERLINK("http://www.linkedin.com/in/codylerum","http://www.linkedin.com/in/codylerum")</f>
        <v>http://www.linkedin.com/in/codylerum</v>
      </c>
      <c r="I9782" s="2" t="s">
        <v>77</v>
      </c>
      <c r="J9782" s="2" t="s">
        <v>102</v>
      </c>
      <c r="K9782" s="2" t="s">
        <v>14085</v>
      </c>
    </row>
    <row r="9783" ht="15.75" customHeight="1">
      <c r="A9783" s="2">
        <v>225809.0</v>
      </c>
      <c r="B9783" s="2" t="s">
        <v>133</v>
      </c>
      <c r="C9783" s="2" t="s">
        <v>17217</v>
      </c>
      <c r="D9783" s="2" t="s">
        <v>100</v>
      </c>
      <c r="E9783" s="2" t="s">
        <v>713</v>
      </c>
      <c r="F9783" s="2">
        <v>4.0</v>
      </c>
      <c r="G9783" s="2">
        <v>500.0</v>
      </c>
      <c r="H9783" s="3" t="str">
        <f>HYPERLINK("http://www.linkedin.com/pub/michael-paynotta/5/78/433","http://www.linkedin.com/pub/michael-paynotta/5/78/433")</f>
        <v>http://www.linkedin.com/pub/michael-paynotta/5/78/433</v>
      </c>
      <c r="I9783" s="2" t="s">
        <v>15</v>
      </c>
      <c r="J9783" s="2" t="s">
        <v>102</v>
      </c>
      <c r="K9783" s="2" t="s">
        <v>14204</v>
      </c>
    </row>
    <row r="9784" ht="15.75" customHeight="1">
      <c r="A9784" s="2">
        <v>225880.0</v>
      </c>
      <c r="B9784" s="2" t="s">
        <v>15564</v>
      </c>
      <c r="C9784" s="2" t="s">
        <v>17218</v>
      </c>
      <c r="D9784" s="2" t="s">
        <v>17219</v>
      </c>
      <c r="E9784" s="2" t="s">
        <v>989</v>
      </c>
      <c r="F9784" s="2">
        <v>15.0</v>
      </c>
      <c r="G9784" s="2">
        <v>500.0</v>
      </c>
      <c r="H9784" s="3" t="str">
        <f>HYPERLINK("http://www.linkedin.com/in/kristaneher","http://www.linkedin.com/in/kristaneher")</f>
        <v>http://www.linkedin.com/in/kristaneher</v>
      </c>
      <c r="I9784" s="2" t="s">
        <v>105</v>
      </c>
      <c r="J9784" s="2" t="s">
        <v>102</v>
      </c>
      <c r="K9784" s="2" t="s">
        <v>14074</v>
      </c>
    </row>
    <row r="9785" ht="15.75" customHeight="1">
      <c r="A9785" s="2">
        <v>225955.0</v>
      </c>
      <c r="B9785" s="2" t="s">
        <v>2286</v>
      </c>
      <c r="C9785" s="2" t="s">
        <v>17220</v>
      </c>
      <c r="D9785" s="2" t="s">
        <v>17221</v>
      </c>
      <c r="E9785" s="2" t="s">
        <v>301</v>
      </c>
      <c r="F9785" s="2">
        <v>2.0</v>
      </c>
      <c r="G9785" s="2">
        <v>500.0</v>
      </c>
      <c r="H9785" s="3" t="str">
        <f>HYPERLINK("http://www.linkedin.com/pub/amy-bove/4/557/562","http://www.linkedin.com/pub/amy-bove/4/557/562")</f>
        <v>http://www.linkedin.com/pub/amy-bove/4/557/562</v>
      </c>
      <c r="I9785" s="2" t="s">
        <v>458</v>
      </c>
      <c r="J9785" s="2" t="s">
        <v>102</v>
      </c>
      <c r="K9785" s="2" t="s">
        <v>14197</v>
      </c>
    </row>
    <row r="9786" ht="15.75" customHeight="1">
      <c r="A9786" s="2">
        <v>226102.0</v>
      </c>
      <c r="B9786" s="2" t="s">
        <v>17222</v>
      </c>
      <c r="C9786" s="2" t="s">
        <v>17223</v>
      </c>
      <c r="D9786" s="2" t="s">
        <v>517</v>
      </c>
      <c r="E9786" s="2" t="s">
        <v>914</v>
      </c>
      <c r="F9786" s="2">
        <v>4.0</v>
      </c>
      <c r="G9786" s="2">
        <v>380.0</v>
      </c>
      <c r="H9786" s="3" t="str">
        <f>HYPERLINK("http://www.linkedin.com/in/arcadiobignayan","http://www.linkedin.com/in/arcadiobignayan")</f>
        <v>http://www.linkedin.com/in/arcadiobignayan</v>
      </c>
      <c r="I9786" s="2" t="s">
        <v>15</v>
      </c>
      <c r="J9786" s="2" t="s">
        <v>102</v>
      </c>
      <c r="K9786" s="2" t="s">
        <v>14092</v>
      </c>
    </row>
    <row r="9787" ht="15.75" customHeight="1">
      <c r="A9787" s="2">
        <v>226122.0</v>
      </c>
      <c r="B9787" s="2" t="s">
        <v>17224</v>
      </c>
      <c r="C9787" s="2" t="s">
        <v>17225</v>
      </c>
      <c r="D9787" s="2" t="s">
        <v>114</v>
      </c>
      <c r="E9787" s="2" t="s">
        <v>235</v>
      </c>
      <c r="F9787" s="2">
        <v>3.0</v>
      </c>
      <c r="G9787" s="2">
        <v>500.0</v>
      </c>
      <c r="H9787" s="3" t="str">
        <f>HYPERLINK("http://www.linkedin.com/in/saschameinrath","http://www.linkedin.com/in/saschameinrath")</f>
        <v>http://www.linkedin.com/in/saschameinrath</v>
      </c>
      <c r="I9787" s="2" t="s">
        <v>69</v>
      </c>
      <c r="J9787" s="2" t="s">
        <v>102</v>
      </c>
      <c r="K9787" s="2" t="s">
        <v>14197</v>
      </c>
    </row>
    <row r="9788" ht="15.75" customHeight="1">
      <c r="A9788" s="2">
        <v>226134.0</v>
      </c>
      <c r="B9788" s="2" t="s">
        <v>341</v>
      </c>
      <c r="C9788" s="2" t="s">
        <v>17226</v>
      </c>
      <c r="D9788" s="2" t="s">
        <v>100</v>
      </c>
      <c r="E9788" s="2" t="s">
        <v>101</v>
      </c>
      <c r="F9788" s="2">
        <v>13.0</v>
      </c>
      <c r="G9788" s="2">
        <v>500.0</v>
      </c>
      <c r="H9788" s="3" t="str">
        <f>HYPERLINK("http://www.linkedin.com/in/kevinraxter","http://www.linkedin.com/in/kevinraxter")</f>
        <v>http://www.linkedin.com/in/kevinraxter</v>
      </c>
      <c r="I9788" s="2" t="s">
        <v>15</v>
      </c>
      <c r="J9788" s="2" t="s">
        <v>102</v>
      </c>
      <c r="K9788" s="2" t="s">
        <v>14242</v>
      </c>
    </row>
    <row r="9789" ht="15.75" customHeight="1">
      <c r="A9789" s="2">
        <v>226195.0</v>
      </c>
      <c r="B9789" s="2" t="s">
        <v>392</v>
      </c>
      <c r="C9789" s="2" t="s">
        <v>17227</v>
      </c>
      <c r="D9789" s="2"/>
      <c r="E9789" s="2" t="s">
        <v>914</v>
      </c>
      <c r="F9789" s="2">
        <v>4.0</v>
      </c>
      <c r="G9789" s="2">
        <v>337.0</v>
      </c>
      <c r="H9789" s="3" t="str">
        <f>HYPERLINK("http://www.linkedin.com/pub/jess-goldwater/1/A51/387","http://www.linkedin.com/pub/jess-goldwater/1/A51/387")</f>
        <v>http://www.linkedin.com/pub/jess-goldwater/1/A51/387</v>
      </c>
      <c r="I9789" s="2" t="s">
        <v>48</v>
      </c>
      <c r="J9789" s="2" t="s">
        <v>102</v>
      </c>
      <c r="K9789" s="2" t="s">
        <v>14452</v>
      </c>
    </row>
    <row r="9790" ht="15.75" customHeight="1">
      <c r="A9790" s="2">
        <v>226208.0</v>
      </c>
      <c r="B9790" s="2" t="s">
        <v>412</v>
      </c>
      <c r="C9790" s="2" t="s">
        <v>17228</v>
      </c>
      <c r="D9790" s="2" t="s">
        <v>17229</v>
      </c>
      <c r="E9790" s="2" t="s">
        <v>914</v>
      </c>
      <c r="F9790" s="2">
        <v>6.0</v>
      </c>
      <c r="G9790" s="2">
        <v>500.0</v>
      </c>
      <c r="H9790" s="3" t="str">
        <f>HYPERLINK("http://www.linkedin.com/in/robertslaughter","http://www.linkedin.com/in/robertslaughter")</f>
        <v>http://www.linkedin.com/in/robertslaughter</v>
      </c>
      <c r="I9790" s="2" t="s">
        <v>15</v>
      </c>
      <c r="J9790" s="2" t="s">
        <v>102</v>
      </c>
      <c r="K9790" s="2" t="s">
        <v>14074</v>
      </c>
    </row>
    <row r="9791" ht="15.75" customHeight="1">
      <c r="A9791" s="2">
        <v>226240.0</v>
      </c>
      <c r="B9791" s="2" t="s">
        <v>133</v>
      </c>
      <c r="C9791" s="2" t="s">
        <v>3913</v>
      </c>
      <c r="D9791" s="2" t="s">
        <v>17230</v>
      </c>
      <c r="E9791" s="2" t="s">
        <v>17231</v>
      </c>
      <c r="F9791" s="2">
        <v>63.0</v>
      </c>
      <c r="G9791" s="2">
        <v>500.0</v>
      </c>
      <c r="H9791" s="3" t="str">
        <f>HYPERLINK("http://www.linkedin.com/in/michaelplatt","http://www.linkedin.com/in/michaelplatt")</f>
        <v>http://www.linkedin.com/in/michaelplatt</v>
      </c>
      <c r="I9791" s="2" t="s">
        <v>105</v>
      </c>
      <c r="J9791" s="2" t="s">
        <v>102</v>
      </c>
      <c r="K9791" s="2" t="s">
        <v>14074</v>
      </c>
    </row>
    <row r="9792" ht="15.75" customHeight="1">
      <c r="A9792" s="2">
        <v>226279.0</v>
      </c>
      <c r="B9792" s="2" t="s">
        <v>592</v>
      </c>
      <c r="C9792" s="2" t="s">
        <v>17232</v>
      </c>
      <c r="D9792" s="2"/>
      <c r="E9792" s="2" t="s">
        <v>992</v>
      </c>
      <c r="F9792" s="2">
        <v>2.0</v>
      </c>
      <c r="G9792" s="2">
        <v>500.0</v>
      </c>
      <c r="H9792" s="3" t="str">
        <f>HYPERLINK("http://www.linkedin.com/pub/barry-hartzberg/1/A5A/297","http://www.linkedin.com/pub/barry-hartzberg/1/A5A/297")</f>
        <v>http://www.linkedin.com/pub/barry-hartzberg/1/A5A/297</v>
      </c>
      <c r="I9792" s="2" t="s">
        <v>15</v>
      </c>
      <c r="J9792" s="2" t="s">
        <v>102</v>
      </c>
      <c r="K9792" s="2" t="s">
        <v>16422</v>
      </c>
    </row>
    <row r="9793" ht="15.75" customHeight="1">
      <c r="A9793" s="2">
        <v>226309.0</v>
      </c>
      <c r="B9793" s="2" t="s">
        <v>264</v>
      </c>
      <c r="C9793" s="2" t="s">
        <v>17233</v>
      </c>
      <c r="D9793" s="2" t="s">
        <v>17234</v>
      </c>
      <c r="E9793" s="2" t="s">
        <v>251</v>
      </c>
      <c r="F9793" s="2">
        <v>17.0</v>
      </c>
      <c r="G9793" s="2">
        <v>500.0</v>
      </c>
      <c r="H9793" s="3" t="str">
        <f>HYPERLINK("http://www.linkedin.com/in/andrescarvallo","http://www.linkedin.com/in/andrescarvallo")</f>
        <v>http://www.linkedin.com/in/andrescarvallo</v>
      </c>
      <c r="I9793" s="2" t="s">
        <v>1496</v>
      </c>
      <c r="J9793" s="2" t="s">
        <v>102</v>
      </c>
      <c r="K9793" s="2" t="s">
        <v>14085</v>
      </c>
    </row>
    <row r="9794" ht="15.75" customHeight="1">
      <c r="A9794" s="2">
        <v>226338.0</v>
      </c>
      <c r="B9794" s="2" t="s">
        <v>784</v>
      </c>
      <c r="C9794" s="2" t="s">
        <v>17235</v>
      </c>
      <c r="D9794" s="2" t="s">
        <v>14128</v>
      </c>
      <c r="E9794" s="2" t="s">
        <v>325</v>
      </c>
      <c r="F9794" s="2">
        <v>17.0</v>
      </c>
      <c r="G9794" s="2">
        <v>500.0</v>
      </c>
      <c r="H9794" s="3" t="str">
        <f>HYPERLINK("http://www.linkedin.com/in/jeffporcaro","http://www.linkedin.com/in/jeffporcaro")</f>
        <v>http://www.linkedin.com/in/jeffporcaro</v>
      </c>
      <c r="I9794" s="2" t="s">
        <v>48</v>
      </c>
      <c r="J9794" s="2" t="s">
        <v>102</v>
      </c>
      <c r="K9794" s="2" t="s">
        <v>14088</v>
      </c>
    </row>
    <row r="9795" ht="15.75" customHeight="1">
      <c r="A9795" s="2">
        <v>226344.0</v>
      </c>
      <c r="B9795" s="2" t="s">
        <v>3441</v>
      </c>
      <c r="C9795" s="2" t="s">
        <v>16029</v>
      </c>
      <c r="D9795" s="2" t="s">
        <v>17236</v>
      </c>
      <c r="E9795" s="2" t="s">
        <v>628</v>
      </c>
      <c r="F9795" s="2">
        <v>9.0</v>
      </c>
      <c r="G9795" s="2">
        <v>500.0</v>
      </c>
      <c r="H9795" s="3" t="str">
        <f>HYPERLINK("http://www.linkedin.com/in/lizserafin","http://www.linkedin.com/in/lizserafin")</f>
        <v>http://www.linkedin.com/in/lizserafin</v>
      </c>
      <c r="I9795" s="2" t="s">
        <v>105</v>
      </c>
      <c r="J9795" s="2" t="s">
        <v>102</v>
      </c>
      <c r="K9795" s="2" t="s">
        <v>14071</v>
      </c>
    </row>
    <row r="9796" ht="15.75" customHeight="1">
      <c r="A9796" s="2">
        <v>226425.0</v>
      </c>
      <c r="B9796" s="2" t="s">
        <v>511</v>
      </c>
      <c r="C9796" s="2" t="s">
        <v>2554</v>
      </c>
      <c r="D9796" s="2" t="s">
        <v>17237</v>
      </c>
      <c r="E9796" s="2" t="s">
        <v>301</v>
      </c>
      <c r="F9796" s="2">
        <v>18.0</v>
      </c>
      <c r="G9796" s="2">
        <v>500.0</v>
      </c>
      <c r="H9796" s="3" t="str">
        <f>HYPERLINK("http://www.linkedin.com/in/mikenorth","http://www.linkedin.com/in/mikenorth")</f>
        <v>http://www.linkedin.com/in/mikenorth</v>
      </c>
      <c r="I9796" s="2" t="s">
        <v>248</v>
      </c>
      <c r="J9796" s="2" t="s">
        <v>102</v>
      </c>
      <c r="K9796" s="2" t="s">
        <v>14140</v>
      </c>
    </row>
    <row r="9797" ht="15.75" customHeight="1">
      <c r="A9797" s="2">
        <v>226488.0</v>
      </c>
      <c r="B9797" s="2" t="s">
        <v>1173</v>
      </c>
      <c r="C9797" s="2" t="s">
        <v>17238</v>
      </c>
      <c r="D9797" s="2" t="s">
        <v>47</v>
      </c>
      <c r="E9797" s="2" t="s">
        <v>713</v>
      </c>
      <c r="F9797" s="2">
        <v>24.0</v>
      </c>
      <c r="G9797" s="2">
        <v>500.0</v>
      </c>
      <c r="H9797" s="3" t="str">
        <f>HYPERLINK("http://www.linkedin.com/in/stevepogorzelski","http://www.linkedin.com/in/stevepogorzelski")</f>
        <v>http://www.linkedin.com/in/stevepogorzelski</v>
      </c>
      <c r="I9797" s="2" t="s">
        <v>69</v>
      </c>
      <c r="J9797" s="2" t="s">
        <v>102</v>
      </c>
      <c r="K9797" s="2" t="s">
        <v>14073</v>
      </c>
    </row>
    <row r="9798" ht="15.75" customHeight="1">
      <c r="A9798" s="2">
        <v>226637.0</v>
      </c>
      <c r="B9798" s="2" t="s">
        <v>1284</v>
      </c>
      <c r="C9798" s="2" t="s">
        <v>3716</v>
      </c>
      <c r="D9798" s="2" t="s">
        <v>17239</v>
      </c>
      <c r="E9798" s="2" t="s">
        <v>290</v>
      </c>
      <c r="F9798" s="2">
        <v>8.0</v>
      </c>
      <c r="G9798" s="2">
        <v>381.0</v>
      </c>
      <c r="H9798" s="3" t="str">
        <f>HYPERLINK("http://uk.linkedin.com/pub/anthony-day/0/A9A/8A8","http://uk.linkedin.com/pub/anthony-day/0/A9A/8A8")</f>
        <v>http://uk.linkedin.com/pub/anthony-day/0/A9A/8A8</v>
      </c>
      <c r="I9798" s="2" t="s">
        <v>15</v>
      </c>
      <c r="J9798" s="2" t="s">
        <v>53</v>
      </c>
      <c r="K9798" s="2" t="s">
        <v>14080</v>
      </c>
    </row>
    <row r="9799" ht="15.75" customHeight="1">
      <c r="A9799" s="2">
        <v>226653.0</v>
      </c>
      <c r="B9799" s="2" t="s">
        <v>3443</v>
      </c>
      <c r="C9799" s="2" t="s">
        <v>17240</v>
      </c>
      <c r="D9799" s="2" t="s">
        <v>17241</v>
      </c>
      <c r="E9799" s="2" t="s">
        <v>914</v>
      </c>
      <c r="F9799" s="2">
        <v>8.0</v>
      </c>
      <c r="G9799" s="2">
        <v>500.0</v>
      </c>
      <c r="H9799" s="3" t="str">
        <f>HYPERLINK("http://www.linkedin.com/in/dianelongmoor","http://www.linkedin.com/in/dianelongmoor")</f>
        <v>http://www.linkedin.com/in/dianelongmoor</v>
      </c>
      <c r="I9799" s="2" t="s">
        <v>69</v>
      </c>
      <c r="J9799" s="2" t="s">
        <v>102</v>
      </c>
      <c r="K9799" s="2" t="s">
        <v>14057</v>
      </c>
    </row>
    <row r="9800" ht="15.75" customHeight="1">
      <c r="A9800" s="2">
        <v>226665.0</v>
      </c>
      <c r="B9800" s="2" t="s">
        <v>511</v>
      </c>
      <c r="C9800" s="2" t="s">
        <v>2948</v>
      </c>
      <c r="D9800" s="2" t="s">
        <v>17242</v>
      </c>
      <c r="E9800" s="2" t="s">
        <v>136</v>
      </c>
      <c r="F9800" s="2">
        <v>7.0</v>
      </c>
      <c r="G9800" s="2">
        <v>352.0</v>
      </c>
      <c r="H9800" s="3" t="str">
        <f>HYPERLINK("http://www.linkedin.com/pub/mike-foster/0/84B/908","http://www.linkedin.com/pub/mike-foster/0/84B/908")</f>
        <v>http://www.linkedin.com/pub/mike-foster/0/84B/908</v>
      </c>
      <c r="I9800" s="2" t="s">
        <v>1496</v>
      </c>
      <c r="J9800" s="2" t="s">
        <v>102</v>
      </c>
      <c r="K9800" s="2" t="s">
        <v>14085</v>
      </c>
    </row>
    <row r="9801" ht="15.75" customHeight="1">
      <c r="A9801" s="2">
        <v>226676.0</v>
      </c>
      <c r="B9801" s="2" t="s">
        <v>1730</v>
      </c>
      <c r="C9801" s="2" t="s">
        <v>17243</v>
      </c>
      <c r="D9801" s="2" t="s">
        <v>17244</v>
      </c>
      <c r="E9801" s="2" t="s">
        <v>2963</v>
      </c>
      <c r="F9801" s="2">
        <v>19.0</v>
      </c>
      <c r="G9801" s="2">
        <v>500.0</v>
      </c>
      <c r="H9801" s="3" t="str">
        <f>HYPERLINK("http://www.linkedin.com/in/lynnfailing","http://www.linkedin.com/in/lynnfailing")</f>
        <v>http://www.linkedin.com/in/lynnfailing</v>
      </c>
      <c r="I9801" s="2" t="s">
        <v>248</v>
      </c>
      <c r="J9801" s="2" t="s">
        <v>102</v>
      </c>
      <c r="K9801" s="2" t="s">
        <v>14197</v>
      </c>
    </row>
    <row r="9802" ht="15.75" customHeight="1">
      <c r="A9802" s="2">
        <v>226693.0</v>
      </c>
      <c r="B9802" s="2" t="s">
        <v>3477</v>
      </c>
      <c r="C9802" s="2" t="s">
        <v>15337</v>
      </c>
      <c r="D9802" s="2" t="s">
        <v>13</v>
      </c>
      <c r="E9802" s="2" t="s">
        <v>992</v>
      </c>
      <c r="F9802" s="2">
        <v>0.0</v>
      </c>
      <c r="G9802" s="2">
        <v>500.0</v>
      </c>
      <c r="H9802" s="3" t="str">
        <f>HYPERLINK("http://www.linkedin.com/in/joshgreene1","http://www.linkedin.com/in/joshgreene1")</f>
        <v>http://www.linkedin.com/in/joshgreene1</v>
      </c>
      <c r="I9802" s="2" t="s">
        <v>69</v>
      </c>
      <c r="J9802" s="2" t="s">
        <v>102</v>
      </c>
      <c r="K9802" s="2" t="s">
        <v>14055</v>
      </c>
    </row>
    <row r="9803" ht="15.75" customHeight="1">
      <c r="A9803" s="2">
        <v>226731.0</v>
      </c>
      <c r="B9803" s="2" t="s">
        <v>752</v>
      </c>
      <c r="C9803" s="2" t="s">
        <v>14813</v>
      </c>
      <c r="D9803" s="2" t="s">
        <v>17245</v>
      </c>
      <c r="E9803" s="2" t="s">
        <v>136</v>
      </c>
      <c r="F9803" s="2">
        <v>18.0</v>
      </c>
      <c r="G9803" s="2">
        <v>500.0</v>
      </c>
      <c r="H9803" s="3" t="str">
        <f>HYPERLINK("http://www.linkedin.com/in/jimcampbell","http://www.linkedin.com/in/jimcampbell")</f>
        <v>http://www.linkedin.com/in/jimcampbell</v>
      </c>
      <c r="I9803" s="2" t="s">
        <v>873</v>
      </c>
      <c r="J9803" s="2" t="s">
        <v>102</v>
      </c>
      <c r="K9803" s="2" t="s">
        <v>14142</v>
      </c>
    </row>
    <row r="9804" ht="15.75" customHeight="1">
      <c r="A9804" s="2">
        <v>226747.0</v>
      </c>
      <c r="B9804" s="2" t="s">
        <v>534</v>
      </c>
      <c r="C9804" s="2" t="s">
        <v>16481</v>
      </c>
      <c r="D9804" s="2" t="s">
        <v>17246</v>
      </c>
      <c r="E9804" s="2" t="s">
        <v>628</v>
      </c>
      <c r="F9804" s="2">
        <v>7.0</v>
      </c>
      <c r="G9804" s="2">
        <v>500.0</v>
      </c>
      <c r="H9804" s="3" t="str">
        <f>HYPERLINK("http://www.linkedin.com/in/brady7","http://www.linkedin.com/in/brady7")</f>
        <v>http://www.linkedin.com/in/brady7</v>
      </c>
      <c r="I9804" s="2" t="s">
        <v>5228</v>
      </c>
      <c r="J9804" s="2" t="s">
        <v>102</v>
      </c>
      <c r="K9804" s="2" t="s">
        <v>14055</v>
      </c>
    </row>
    <row r="9805" ht="15.75" customHeight="1">
      <c r="A9805" s="2">
        <v>226879.0</v>
      </c>
      <c r="B9805" s="2" t="s">
        <v>287</v>
      </c>
      <c r="C9805" s="2" t="s">
        <v>17247</v>
      </c>
      <c r="D9805" s="2" t="s">
        <v>1966</v>
      </c>
      <c r="E9805" s="2" t="s">
        <v>1918</v>
      </c>
      <c r="F9805" s="2">
        <v>2.0</v>
      </c>
      <c r="G9805" s="2">
        <v>241.0</v>
      </c>
      <c r="H9805" s="3" t="str">
        <f>HYPERLINK("http://www.linkedin.com/pub/paul-van-dillen/0/859/225","http://www.linkedin.com/pub/paul-van-dillen/0/859/225")</f>
        <v>http://www.linkedin.com/pub/paul-van-dillen/0/859/225</v>
      </c>
      <c r="I9805" s="2" t="s">
        <v>15</v>
      </c>
      <c r="J9805" s="2" t="s">
        <v>102</v>
      </c>
      <c r="K9805" s="2" t="s">
        <v>14197</v>
      </c>
    </row>
    <row r="9806" ht="15.75" customHeight="1">
      <c r="A9806" s="2">
        <v>226945.0</v>
      </c>
      <c r="B9806" s="2" t="s">
        <v>631</v>
      </c>
      <c r="C9806" s="2" t="s">
        <v>14813</v>
      </c>
      <c r="D9806" s="2" t="s">
        <v>410</v>
      </c>
      <c r="E9806" s="2" t="s">
        <v>2454</v>
      </c>
      <c r="F9806" s="2">
        <v>0.0</v>
      </c>
      <c r="G9806" s="2">
        <v>343.0</v>
      </c>
      <c r="H9806" s="3" t="str">
        <f>HYPERLINK("http://www.linkedin.com/in/ccamp12345","http://www.linkedin.com/in/ccamp12345")</f>
        <v>http://www.linkedin.com/in/ccamp12345</v>
      </c>
      <c r="I9806" s="2" t="s">
        <v>15</v>
      </c>
      <c r="J9806" s="2" t="s">
        <v>102</v>
      </c>
      <c r="K9806" s="2" t="s">
        <v>14088</v>
      </c>
    </row>
    <row r="9807" ht="15.75" customHeight="1">
      <c r="A9807" s="2">
        <v>226969.0</v>
      </c>
      <c r="B9807" s="2" t="s">
        <v>8607</v>
      </c>
      <c r="C9807" s="2" t="s">
        <v>17248</v>
      </c>
      <c r="D9807" s="2" t="s">
        <v>17249</v>
      </c>
      <c r="E9807" s="2" t="s">
        <v>4258</v>
      </c>
      <c r="F9807" s="2">
        <v>0.0</v>
      </c>
      <c r="G9807" s="2">
        <v>381.0</v>
      </c>
      <c r="H9807" s="3" t="str">
        <f>HYPERLINK("http://www.linkedin.com/in/dself","http://www.linkedin.com/in/dself")</f>
        <v>http://www.linkedin.com/in/dself</v>
      </c>
      <c r="I9807" s="2" t="s">
        <v>279</v>
      </c>
      <c r="J9807" s="2" t="s">
        <v>102</v>
      </c>
      <c r="K9807" s="2" t="s">
        <v>14092</v>
      </c>
    </row>
    <row r="9808" ht="15.75" customHeight="1">
      <c r="A9808" s="2">
        <v>227005.0</v>
      </c>
      <c r="B9808" s="2" t="s">
        <v>302</v>
      </c>
      <c r="C9808" s="2" t="s">
        <v>3215</v>
      </c>
      <c r="D9808" s="2" t="s">
        <v>17250</v>
      </c>
      <c r="E9808" s="2" t="s">
        <v>301</v>
      </c>
      <c r="F9808" s="2">
        <v>0.0</v>
      </c>
      <c r="G9808" s="2">
        <v>500.0</v>
      </c>
      <c r="H9808" s="3" t="str">
        <f>HYPERLINK("http://www.linkedin.com/pub/bill-hogan/2/8A1/7","http://www.linkedin.com/pub/bill-hogan/2/8A1/7")</f>
        <v>http://www.linkedin.com/pub/bill-hogan/2/8A1/7</v>
      </c>
      <c r="I9808" s="2" t="s">
        <v>15</v>
      </c>
      <c r="J9808" s="2" t="s">
        <v>102</v>
      </c>
      <c r="K9808" s="2" t="s">
        <v>14088</v>
      </c>
    </row>
    <row r="9809" ht="15.75" customHeight="1">
      <c r="A9809" s="2">
        <v>227012.0</v>
      </c>
      <c r="B9809" s="2" t="s">
        <v>17251</v>
      </c>
      <c r="C9809" s="2" t="s">
        <v>17252</v>
      </c>
      <c r="D9809" s="2" t="s">
        <v>42</v>
      </c>
      <c r="E9809" s="2" t="s">
        <v>13004</v>
      </c>
      <c r="F9809" s="2">
        <v>4.0</v>
      </c>
      <c r="G9809" s="2">
        <v>500.0</v>
      </c>
      <c r="H9809" s="3" t="str">
        <f>HYPERLINK("http://www.linkedin.com/in/occasio","http://www.linkedin.com/in/occasio")</f>
        <v>http://www.linkedin.com/in/occasio</v>
      </c>
      <c r="I9809" s="2" t="s">
        <v>77</v>
      </c>
      <c r="J9809" s="2" t="s">
        <v>102</v>
      </c>
      <c r="K9809" s="2" t="s">
        <v>14068</v>
      </c>
    </row>
    <row r="9810" ht="15.75" customHeight="1">
      <c r="A9810" s="2">
        <v>227034.0</v>
      </c>
      <c r="B9810" s="2" t="s">
        <v>3462</v>
      </c>
      <c r="C9810" s="2" t="s">
        <v>1364</v>
      </c>
      <c r="D9810" s="2" t="s">
        <v>17253</v>
      </c>
      <c r="E9810" s="2" t="s">
        <v>1466</v>
      </c>
      <c r="F9810" s="2">
        <v>0.0</v>
      </c>
      <c r="G9810" s="2">
        <v>496.0</v>
      </c>
      <c r="H9810" s="3" t="str">
        <f>HYPERLINK("http://www.linkedin.com/in/troyd","http://www.linkedin.com/in/troyd")</f>
        <v>http://www.linkedin.com/in/troyd</v>
      </c>
      <c r="I9810" s="2" t="s">
        <v>910</v>
      </c>
      <c r="J9810" s="2" t="s">
        <v>102</v>
      </c>
      <c r="K9810" s="2" t="s">
        <v>14197</v>
      </c>
    </row>
    <row r="9811" ht="15.75" customHeight="1">
      <c r="A9811" s="2">
        <v>227062.0</v>
      </c>
      <c r="B9811" s="2" t="s">
        <v>1157</v>
      </c>
      <c r="C9811" s="2" t="s">
        <v>17254</v>
      </c>
      <c r="D9811" s="2" t="s">
        <v>3100</v>
      </c>
      <c r="E9811" s="2" t="s">
        <v>136</v>
      </c>
      <c r="F9811" s="2">
        <v>25.0</v>
      </c>
      <c r="G9811" s="2">
        <v>500.0</v>
      </c>
      <c r="H9811" s="3" t="str">
        <f>HYPERLINK("http://www.linkedin.com/in/howardting","http://www.linkedin.com/in/howardting")</f>
        <v>http://www.linkedin.com/in/howardting</v>
      </c>
      <c r="I9811" s="2" t="s">
        <v>48</v>
      </c>
      <c r="J9811" s="2" t="s">
        <v>102</v>
      </c>
      <c r="K9811" s="2" t="s">
        <v>14080</v>
      </c>
    </row>
    <row r="9812" ht="15.75" customHeight="1">
      <c r="A9812" s="2">
        <v>227094.0</v>
      </c>
      <c r="B9812" s="2" t="s">
        <v>1362</v>
      </c>
      <c r="C9812" s="2" t="s">
        <v>17255</v>
      </c>
      <c r="D9812" s="2" t="s">
        <v>17256</v>
      </c>
      <c r="E9812" s="2" t="s">
        <v>989</v>
      </c>
      <c r="F9812" s="2" t="s">
        <v>13</v>
      </c>
      <c r="G9812" s="2">
        <v>265.0</v>
      </c>
      <c r="H9812" s="3" t="str">
        <f>HYPERLINK("http://www.linkedin.com/pub/william-geers/6/90/496","http://www.linkedin.com/pub/william-geers/6/90/496")</f>
        <v>http://www.linkedin.com/pub/william-geers/6/90/496</v>
      </c>
      <c r="I9812" s="2" t="s">
        <v>48</v>
      </c>
      <c r="J9812" s="2" t="s">
        <v>102</v>
      </c>
      <c r="K9812" s="2" t="s">
        <v>14142</v>
      </c>
    </row>
    <row r="9813" ht="15.75" customHeight="1">
      <c r="A9813" s="2">
        <v>227164.0</v>
      </c>
      <c r="B9813" s="2" t="s">
        <v>2153</v>
      </c>
      <c r="C9813" s="2" t="s">
        <v>4936</v>
      </c>
      <c r="D9813" s="2" t="s">
        <v>2698</v>
      </c>
      <c r="E9813" s="2" t="s">
        <v>628</v>
      </c>
      <c r="F9813" s="2">
        <v>9.0</v>
      </c>
      <c r="G9813" s="2">
        <v>500.0</v>
      </c>
      <c r="H9813" s="3" t="str">
        <f>HYPERLINK("http://www.linkedin.com/pub/nick-barton/6/111/830","http://www.linkedin.com/pub/nick-barton/6/111/830")</f>
        <v>http://www.linkedin.com/pub/nick-barton/6/111/830</v>
      </c>
      <c r="I9813" s="2" t="s">
        <v>248</v>
      </c>
      <c r="J9813" s="2" t="s">
        <v>102</v>
      </c>
      <c r="K9813" s="2" t="s">
        <v>14121</v>
      </c>
    </row>
    <row r="9814" ht="15.75" customHeight="1">
      <c r="A9814" s="2">
        <v>227194.0</v>
      </c>
      <c r="B9814" s="2" t="s">
        <v>1318</v>
      </c>
      <c r="C9814" s="2" t="s">
        <v>1257</v>
      </c>
      <c r="D9814" s="2"/>
      <c r="E9814" s="2" t="s">
        <v>8908</v>
      </c>
      <c r="F9814" s="2">
        <v>0.0</v>
      </c>
      <c r="G9814" s="2">
        <v>494.0</v>
      </c>
      <c r="H9814" s="3" t="str">
        <f>HYPERLINK("http://www.linkedin.com/pub/walt-drummond/0/599/926","http://www.linkedin.com/pub/walt-drummond/0/599/926")</f>
        <v>http://www.linkedin.com/pub/walt-drummond/0/599/926</v>
      </c>
      <c r="I9814" s="2" t="s">
        <v>48</v>
      </c>
      <c r="J9814" s="2" t="s">
        <v>102</v>
      </c>
      <c r="K9814" s="2" t="s">
        <v>14095</v>
      </c>
    </row>
    <row r="9815" ht="15.75" customHeight="1">
      <c r="A9815" s="2">
        <v>227463.0</v>
      </c>
      <c r="B9815" s="2" t="s">
        <v>466</v>
      </c>
      <c r="C9815" s="2" t="s">
        <v>17257</v>
      </c>
      <c r="D9815" s="2" t="s">
        <v>17258</v>
      </c>
      <c r="E9815" s="2" t="s">
        <v>4951</v>
      </c>
      <c r="F9815" s="2">
        <v>2.0</v>
      </c>
      <c r="G9815" s="2">
        <v>500.0</v>
      </c>
      <c r="H9815" s="3" t="str">
        <f>HYPERLINK("http://www.linkedin.com/pub/nathalie-mateer/4/6A6/57A","http://www.linkedin.com/pub/nathalie-mateer/4/6A6/57A")</f>
        <v>http://www.linkedin.com/pub/nathalie-mateer/4/6A6/57A</v>
      </c>
      <c r="I9815" s="2" t="s">
        <v>248</v>
      </c>
      <c r="J9815" s="2" t="s">
        <v>102</v>
      </c>
      <c r="K9815" s="2" t="s">
        <v>14115</v>
      </c>
    </row>
    <row r="9816" ht="15.75" customHeight="1">
      <c r="A9816" s="2">
        <v>227469.0</v>
      </c>
      <c r="B9816" s="2" t="s">
        <v>879</v>
      </c>
      <c r="C9816" s="2" t="s">
        <v>17259</v>
      </c>
      <c r="D9816" s="2" t="s">
        <v>1935</v>
      </c>
      <c r="E9816" s="2" t="s">
        <v>628</v>
      </c>
      <c r="F9816" s="2">
        <v>11.0</v>
      </c>
      <c r="G9816" s="2">
        <v>500.0</v>
      </c>
      <c r="H9816" s="3" t="str">
        <f>HYPERLINK("http://www.linkedin.com/in/richiekang","http://www.linkedin.com/in/richiekang")</f>
        <v>http://www.linkedin.com/in/richiekang</v>
      </c>
      <c r="I9816" s="2" t="s">
        <v>248</v>
      </c>
      <c r="J9816" s="2" t="s">
        <v>102</v>
      </c>
      <c r="K9816" s="2" t="s">
        <v>14481</v>
      </c>
    </row>
    <row r="9817" ht="15.75" customHeight="1">
      <c r="A9817" s="2">
        <v>227482.0</v>
      </c>
      <c r="B9817" s="2" t="s">
        <v>17042</v>
      </c>
      <c r="C9817" s="2" t="s">
        <v>1153</v>
      </c>
      <c r="D9817" s="2" t="s">
        <v>17260</v>
      </c>
      <c r="E9817" s="2" t="s">
        <v>1041</v>
      </c>
      <c r="F9817" s="2">
        <v>3.0</v>
      </c>
      <c r="G9817" s="2">
        <v>500.0</v>
      </c>
      <c r="H9817" s="3" t="str">
        <f>HYPERLINK("http://www.linkedin.com/in/leahbrown","http://www.linkedin.com/in/leahbrown")</f>
        <v>http://www.linkedin.com/in/leahbrown</v>
      </c>
      <c r="I9817" s="2" t="s">
        <v>374</v>
      </c>
      <c r="J9817" s="2" t="s">
        <v>102</v>
      </c>
      <c r="K9817" s="2" t="s">
        <v>14074</v>
      </c>
    </row>
    <row r="9818" ht="15.75" customHeight="1">
      <c r="A9818" s="2">
        <v>227668.0</v>
      </c>
      <c r="B9818" s="2" t="s">
        <v>2286</v>
      </c>
      <c r="C9818" s="2" t="s">
        <v>17261</v>
      </c>
      <c r="D9818" s="2" t="s">
        <v>17262</v>
      </c>
      <c r="E9818" s="2" t="s">
        <v>1918</v>
      </c>
      <c r="F9818" s="2">
        <v>1.0</v>
      </c>
      <c r="G9818" s="2">
        <v>103.0</v>
      </c>
      <c r="H9818" s="3" t="str">
        <f>HYPERLINK("http://www.linkedin.com/pub/amy-peltekian/A/537/AB5","http://www.linkedin.com/pub/amy-peltekian/A/537/AB5")</f>
        <v>http://www.linkedin.com/pub/amy-peltekian/A/537/AB5</v>
      </c>
      <c r="I9818" s="2" t="s">
        <v>15</v>
      </c>
      <c r="J9818" s="2" t="s">
        <v>102</v>
      </c>
      <c r="K9818" s="2" t="s">
        <v>14609</v>
      </c>
    </row>
    <row r="9819" ht="15.75" customHeight="1">
      <c r="A9819" s="2">
        <v>227852.0</v>
      </c>
      <c r="B9819" s="2" t="s">
        <v>471</v>
      </c>
      <c r="C9819" s="2" t="s">
        <v>17263</v>
      </c>
      <c r="D9819" s="2" t="s">
        <v>17264</v>
      </c>
      <c r="E9819" s="2" t="s">
        <v>808</v>
      </c>
      <c r="F9819" s="2">
        <v>35.0</v>
      </c>
      <c r="G9819" s="2">
        <v>500.0</v>
      </c>
      <c r="H9819" s="3" t="str">
        <f>HYPERLINK("http://www.linkedin.com/in/danielsheppard","http://www.linkedin.com/in/danielsheppard")</f>
        <v>http://www.linkedin.com/in/danielsheppard</v>
      </c>
      <c r="I9819" s="2" t="s">
        <v>15</v>
      </c>
      <c r="J9819" s="2" t="s">
        <v>102</v>
      </c>
      <c r="K9819" s="2" t="s">
        <v>14080</v>
      </c>
    </row>
    <row r="9820" ht="15.75" customHeight="1">
      <c r="A9820" s="2">
        <v>227853.0</v>
      </c>
      <c r="B9820" s="2" t="s">
        <v>631</v>
      </c>
      <c r="C9820" s="2" t="s">
        <v>797</v>
      </c>
      <c r="D9820" s="2" t="s">
        <v>13</v>
      </c>
      <c r="E9820" s="2" t="s">
        <v>136</v>
      </c>
      <c r="F9820" s="2">
        <v>0.0</v>
      </c>
      <c r="G9820" s="2">
        <v>500.0</v>
      </c>
      <c r="H9820" s="3" t="str">
        <f>HYPERLINK("http://www.linkedin.com/in/ctaylor1/","http://www.linkedin.com/in/ctaylor1/")</f>
        <v>http://www.linkedin.com/in/ctaylor1/</v>
      </c>
      <c r="I9820" s="2" t="s">
        <v>105</v>
      </c>
      <c r="J9820" s="2" t="s">
        <v>102</v>
      </c>
      <c r="K9820" s="2" t="s">
        <v>14088</v>
      </c>
    </row>
    <row r="9821" ht="15.75" customHeight="1">
      <c r="A9821" s="2">
        <v>227855.0</v>
      </c>
      <c r="B9821" s="2" t="s">
        <v>1217</v>
      </c>
      <c r="C9821" s="2" t="s">
        <v>17265</v>
      </c>
      <c r="D9821" s="2" t="s">
        <v>17266</v>
      </c>
      <c r="E9821" s="2" t="s">
        <v>762</v>
      </c>
      <c r="F9821" s="2">
        <v>5.0</v>
      </c>
      <c r="G9821" s="2">
        <v>472.0</v>
      </c>
      <c r="H9821" s="3" t="str">
        <f>HYPERLINK("http://www.linkedin.com/in/iancjclarke","http://www.linkedin.com/in/iancjclarke")</f>
        <v>http://www.linkedin.com/in/iancjclarke</v>
      </c>
      <c r="I9821" s="2" t="s">
        <v>326</v>
      </c>
      <c r="J9821" s="2" t="s">
        <v>102</v>
      </c>
      <c r="K9821" s="2" t="s">
        <v>14078</v>
      </c>
    </row>
    <row r="9822" ht="15.75" customHeight="1">
      <c r="A9822" s="2">
        <v>227901.0</v>
      </c>
      <c r="B9822" s="2" t="s">
        <v>433</v>
      </c>
      <c r="C9822" s="2" t="s">
        <v>17267</v>
      </c>
      <c r="D9822" s="2" t="s">
        <v>13</v>
      </c>
      <c r="E9822" s="2" t="s">
        <v>136</v>
      </c>
      <c r="F9822" s="2">
        <v>0.0</v>
      </c>
      <c r="G9822" s="2">
        <v>500.0</v>
      </c>
      <c r="H9822" s="3" t="str">
        <f>HYPERLINK("http://www.linkedin.com/in/amowat","http://www.linkedin.com/in/amowat")</f>
        <v>http://www.linkedin.com/in/amowat</v>
      </c>
      <c r="I9822" s="2" t="s">
        <v>15</v>
      </c>
      <c r="J9822" s="2" t="s">
        <v>102</v>
      </c>
      <c r="K9822" s="2" t="s">
        <v>14057</v>
      </c>
    </row>
    <row r="9823" ht="15.75" customHeight="1">
      <c r="A9823" s="2">
        <v>227920.0</v>
      </c>
      <c r="B9823" s="2" t="s">
        <v>1786</v>
      </c>
      <c r="C9823" s="2" t="s">
        <v>17268</v>
      </c>
      <c r="D9823" s="2" t="s">
        <v>15484</v>
      </c>
      <c r="E9823" s="2" t="s">
        <v>136</v>
      </c>
      <c r="F9823" s="2">
        <v>15.0</v>
      </c>
      <c r="G9823" s="2">
        <v>500.0</v>
      </c>
      <c r="H9823" s="3" t="str">
        <f>HYPERLINK("http://www.linkedin.com/in/marilynkanas","http://www.linkedin.com/in/marilynkanas")</f>
        <v>http://www.linkedin.com/in/marilynkanas</v>
      </c>
      <c r="I9823" s="2" t="s">
        <v>248</v>
      </c>
      <c r="J9823" s="2" t="s">
        <v>102</v>
      </c>
      <c r="K9823" s="2" t="s">
        <v>14140</v>
      </c>
    </row>
    <row r="9824" ht="15.75" customHeight="1">
      <c r="A9824" s="2">
        <v>227942.0</v>
      </c>
      <c r="B9824" s="2" t="s">
        <v>17269</v>
      </c>
      <c r="C9824" s="2" t="s">
        <v>17270</v>
      </c>
      <c r="D9824" s="2" t="s">
        <v>309</v>
      </c>
      <c r="E9824" s="2" t="s">
        <v>101</v>
      </c>
      <c r="F9824" s="2" t="s">
        <v>13</v>
      </c>
      <c r="G9824" s="2">
        <v>500.0</v>
      </c>
      <c r="H9824" s="3" t="str">
        <f>HYPERLINK("http://www.linkedin.com/in/cmadhusudan","http://www.linkedin.com/in/cmadhusudan")</f>
        <v>http://www.linkedin.com/in/cmadhusudan</v>
      </c>
      <c r="I9824" s="2" t="s">
        <v>57</v>
      </c>
      <c r="J9824" s="2" t="s">
        <v>102</v>
      </c>
      <c r="K9824" s="2" t="s">
        <v>14055</v>
      </c>
    </row>
    <row r="9825" ht="15.75" customHeight="1">
      <c r="A9825" s="2">
        <v>227944.0</v>
      </c>
      <c r="B9825" s="2" t="s">
        <v>1580</v>
      </c>
      <c r="C9825" s="2" t="s">
        <v>17271</v>
      </c>
      <c r="D9825" s="2" t="s">
        <v>17272</v>
      </c>
      <c r="E9825" s="2" t="s">
        <v>136</v>
      </c>
      <c r="F9825" s="2">
        <v>0.0</v>
      </c>
      <c r="G9825" s="2">
        <v>500.0</v>
      </c>
      <c r="H9825" s="3" t="str">
        <f>HYPERLINK("http://www.linkedin.com/in/sonalpuri","http://www.linkedin.com/in/sonalpuri")</f>
        <v>http://www.linkedin.com/in/sonalpuri</v>
      </c>
      <c r="I9825" s="2" t="s">
        <v>48</v>
      </c>
      <c r="J9825" s="2" t="s">
        <v>102</v>
      </c>
      <c r="K9825" s="2" t="s">
        <v>14092</v>
      </c>
    </row>
    <row r="9826" ht="15.75" customHeight="1">
      <c r="A9826" s="2">
        <v>227965.0</v>
      </c>
      <c r="B9826" s="2" t="s">
        <v>17273</v>
      </c>
      <c r="C9826" s="2" t="s">
        <v>17274</v>
      </c>
      <c r="D9826" s="2" t="s">
        <v>17275</v>
      </c>
      <c r="E9826" s="2" t="s">
        <v>136</v>
      </c>
      <c r="F9826" s="2">
        <v>2.0</v>
      </c>
      <c r="G9826" s="2">
        <v>500.0</v>
      </c>
      <c r="H9826" s="3" t="str">
        <f>HYPERLINK("http://www.linkedin.com/pub/e-j-dieterle/0/1A/6B5","http://www.linkedin.com/pub/e-j-dieterle/0/1A/6B5")</f>
        <v>http://www.linkedin.com/pub/e-j-dieterle/0/1A/6B5</v>
      </c>
      <c r="I9826" s="2" t="s">
        <v>248</v>
      </c>
      <c r="J9826" s="2" t="s">
        <v>102</v>
      </c>
      <c r="K9826" s="2" t="s">
        <v>14481</v>
      </c>
    </row>
    <row r="9827" ht="15.75" customHeight="1">
      <c r="A9827" s="2">
        <v>227978.0</v>
      </c>
      <c r="B9827" s="2" t="s">
        <v>511</v>
      </c>
      <c r="C9827" s="2" t="s">
        <v>17276</v>
      </c>
      <c r="D9827" s="2" t="s">
        <v>3136</v>
      </c>
      <c r="E9827" s="2" t="s">
        <v>136</v>
      </c>
      <c r="F9827" s="2">
        <v>7.0</v>
      </c>
      <c r="G9827" s="2">
        <v>500.0</v>
      </c>
      <c r="H9827" s="3" t="str">
        <f>HYPERLINK("http://www.linkedin.com/in/mikefreier","http://www.linkedin.com/in/mikefreier")</f>
        <v>http://www.linkedin.com/in/mikefreier</v>
      </c>
      <c r="I9827" s="2" t="s">
        <v>57</v>
      </c>
      <c r="J9827" s="2" t="s">
        <v>102</v>
      </c>
      <c r="K9827" s="2" t="s">
        <v>14055</v>
      </c>
    </row>
    <row r="9828" ht="15.75" customHeight="1">
      <c r="A9828" s="2">
        <v>228010.0</v>
      </c>
      <c r="B9828" s="2" t="s">
        <v>17277</v>
      </c>
      <c r="C9828" s="2" t="s">
        <v>17278</v>
      </c>
      <c r="D9828" s="2" t="s">
        <v>1145</v>
      </c>
      <c r="E9828" s="2" t="s">
        <v>136</v>
      </c>
      <c r="F9828" s="2">
        <v>13.0</v>
      </c>
      <c r="G9828" s="2">
        <v>500.0</v>
      </c>
      <c r="H9828" s="3" t="str">
        <f>HYPERLINK("http://www.linkedin.com/in/naeemzafar","http://www.linkedin.com/in/naeemzafar")</f>
        <v>http://www.linkedin.com/in/naeemzafar</v>
      </c>
      <c r="I9828" s="2" t="s">
        <v>69</v>
      </c>
      <c r="J9828" s="2" t="s">
        <v>102</v>
      </c>
      <c r="K9828" s="2" t="s">
        <v>14052</v>
      </c>
    </row>
    <row r="9829" ht="15.75" customHeight="1">
      <c r="A9829" s="2">
        <v>228036.0</v>
      </c>
      <c r="B9829" s="2" t="s">
        <v>275</v>
      </c>
      <c r="C9829" s="2" t="s">
        <v>17279</v>
      </c>
      <c r="D9829" s="2" t="s">
        <v>17280</v>
      </c>
      <c r="E9829" s="2" t="s">
        <v>10198</v>
      </c>
      <c r="F9829" s="2">
        <v>15.0</v>
      </c>
      <c r="G9829" s="2">
        <v>500.0</v>
      </c>
      <c r="H9829" s="3" t="str">
        <f>HYPERLINK("http://www.linkedin.com/in/marks","http://www.linkedin.com/in/marks")</f>
        <v>http://www.linkedin.com/in/marks</v>
      </c>
      <c r="I9829" s="2" t="s">
        <v>172</v>
      </c>
      <c r="J9829" s="2" t="s">
        <v>102</v>
      </c>
      <c r="K9829" s="2" t="s">
        <v>14142</v>
      </c>
    </row>
    <row r="9830" ht="15.75" customHeight="1">
      <c r="A9830" s="2">
        <v>228040.0</v>
      </c>
      <c r="B9830" s="2" t="s">
        <v>625</v>
      </c>
      <c r="C9830" s="2" t="s">
        <v>942</v>
      </c>
      <c r="D9830" s="2" t="s">
        <v>416</v>
      </c>
      <c r="E9830" s="2" t="s">
        <v>214</v>
      </c>
      <c r="F9830" s="2">
        <v>66.0</v>
      </c>
      <c r="G9830" s="2">
        <v>500.0</v>
      </c>
      <c r="H9830" s="3" t="str">
        <f>HYPERLINK("http://www.linkedin.com/in/timperry","http://www.linkedin.com/in/timperry")</f>
        <v>http://www.linkedin.com/in/timperry</v>
      </c>
      <c r="I9830" s="2" t="s">
        <v>69</v>
      </c>
      <c r="J9830" s="2" t="s">
        <v>102</v>
      </c>
      <c r="K9830" s="2" t="s">
        <v>14052</v>
      </c>
    </row>
    <row r="9831" ht="15.75" customHeight="1">
      <c r="A9831" s="2">
        <v>228042.0</v>
      </c>
      <c r="B9831" s="2" t="s">
        <v>2280</v>
      </c>
      <c r="C9831" s="2" t="s">
        <v>17281</v>
      </c>
      <c r="D9831" s="2" t="s">
        <v>114</v>
      </c>
      <c r="E9831" s="2" t="s">
        <v>166</v>
      </c>
      <c r="F9831" s="2">
        <v>13.0</v>
      </c>
      <c r="G9831" s="2">
        <v>500.0</v>
      </c>
      <c r="H9831" s="3" t="str">
        <f>HYPERLINK("http://www.linkedin.com/in/andersberg","http://www.linkedin.com/in/andersberg")</f>
        <v>http://www.linkedin.com/in/andersberg</v>
      </c>
      <c r="I9831" s="2" t="s">
        <v>356</v>
      </c>
      <c r="J9831" s="2" t="s">
        <v>102</v>
      </c>
      <c r="K9831" s="2" t="s">
        <v>14055</v>
      </c>
    </row>
    <row r="9832" ht="15.75" customHeight="1">
      <c r="A9832" s="2">
        <v>228045.0</v>
      </c>
      <c r="B9832" s="2" t="s">
        <v>710</v>
      </c>
      <c r="C9832" s="2" t="s">
        <v>17282</v>
      </c>
      <c r="D9832" s="2" t="s">
        <v>17283</v>
      </c>
      <c r="E9832" s="2" t="s">
        <v>14789</v>
      </c>
      <c r="F9832" s="2">
        <v>2.0</v>
      </c>
      <c r="G9832" s="2">
        <v>500.0</v>
      </c>
      <c r="H9832" s="3" t="str">
        <f>HYPERLINK("http://www.linkedin.com/in/jasonrutherford","http://www.linkedin.com/in/jasonrutherford")</f>
        <v>http://www.linkedin.com/in/jasonrutherford</v>
      </c>
      <c r="I9832" s="2" t="s">
        <v>15</v>
      </c>
      <c r="J9832" s="2" t="s">
        <v>102</v>
      </c>
      <c r="K9832" s="2" t="s">
        <v>14080</v>
      </c>
    </row>
    <row r="9833" ht="15.75" customHeight="1">
      <c r="A9833" s="2">
        <v>228054.0</v>
      </c>
      <c r="B9833" s="2" t="s">
        <v>17284</v>
      </c>
      <c r="C9833" s="2" t="s">
        <v>17285</v>
      </c>
      <c r="D9833" s="2" t="s">
        <v>1966</v>
      </c>
      <c r="E9833" s="2" t="s">
        <v>136</v>
      </c>
      <c r="F9833" s="2">
        <v>9.0</v>
      </c>
      <c r="G9833" s="2">
        <v>500.0</v>
      </c>
      <c r="H9833" s="3" t="str">
        <f>HYPERLINK("http://www.linkedin.com/in/nicolaiwadstrom","http://www.linkedin.com/in/nicolaiwadstrom")</f>
        <v>http://www.linkedin.com/in/nicolaiwadstrom</v>
      </c>
      <c r="I9833" s="2" t="s">
        <v>709</v>
      </c>
      <c r="J9833" s="2" t="s">
        <v>102</v>
      </c>
      <c r="K9833" s="2" t="s">
        <v>14074</v>
      </c>
    </row>
    <row r="9834" ht="15.75" customHeight="1">
      <c r="A9834" s="2">
        <v>228065.0</v>
      </c>
      <c r="B9834" s="2" t="s">
        <v>1015</v>
      </c>
      <c r="C9834" s="2" t="s">
        <v>17286</v>
      </c>
      <c r="D9834" s="2" t="s">
        <v>47</v>
      </c>
      <c r="E9834" s="2" t="s">
        <v>235</v>
      </c>
      <c r="F9834" s="2">
        <v>20.0</v>
      </c>
      <c r="G9834" s="2">
        <v>500.0</v>
      </c>
      <c r="H9834" s="3" t="str">
        <f>HYPERLINK("http://www.linkedin.com/in/briangiese","http://www.linkedin.com/in/briangiese")</f>
        <v>http://www.linkedin.com/in/briangiese</v>
      </c>
      <c r="I9834" s="2" t="s">
        <v>105</v>
      </c>
      <c r="J9834" s="2" t="s">
        <v>102</v>
      </c>
      <c r="K9834" s="2" t="s">
        <v>14074</v>
      </c>
    </row>
    <row r="9835" ht="15.75" customHeight="1">
      <c r="A9835" s="2">
        <v>228097.0</v>
      </c>
      <c r="B9835" s="2" t="s">
        <v>1757</v>
      </c>
      <c r="C9835" s="2" t="s">
        <v>17287</v>
      </c>
      <c r="D9835" s="2" t="s">
        <v>17288</v>
      </c>
      <c r="E9835" s="2" t="s">
        <v>136</v>
      </c>
      <c r="F9835" s="2" t="s">
        <v>13</v>
      </c>
      <c r="G9835" s="2">
        <v>351.0</v>
      </c>
      <c r="H9835" s="3" t="str">
        <f>HYPERLINK("http://www.linkedin.com/pub/hal-steger/0/27/931","http://www.linkedin.com/pub/hal-steger/0/27/931")</f>
        <v>http://www.linkedin.com/pub/hal-steger/0/27/931</v>
      </c>
      <c r="I9835" s="2" t="s">
        <v>1496</v>
      </c>
      <c r="J9835" s="2" t="s">
        <v>102</v>
      </c>
      <c r="K9835" s="2" t="s">
        <v>14125</v>
      </c>
    </row>
    <row r="9836" ht="15.75" customHeight="1">
      <c r="A9836" s="2">
        <v>228104.0</v>
      </c>
      <c r="B9836" s="2" t="s">
        <v>414</v>
      </c>
      <c r="C9836" s="2" t="s">
        <v>17289</v>
      </c>
      <c r="D9836" s="2" t="s">
        <v>1073</v>
      </c>
      <c r="E9836" s="2" t="s">
        <v>1407</v>
      </c>
      <c r="F9836" s="2" t="s">
        <v>13</v>
      </c>
      <c r="G9836" s="2">
        <v>500.0</v>
      </c>
      <c r="H9836" s="3" t="str">
        <f>HYPERLINK("http://www.linkedin.com/in/tomhulsey","http://www.linkedin.com/in/tomhulsey")</f>
        <v>http://www.linkedin.com/in/tomhulsey</v>
      </c>
      <c r="I9836" s="2" t="s">
        <v>15</v>
      </c>
      <c r="J9836" s="2" t="s">
        <v>102</v>
      </c>
      <c r="K9836" s="2" t="s">
        <v>14142</v>
      </c>
    </row>
    <row r="9837" ht="15.75" customHeight="1">
      <c r="A9837" s="2">
        <v>228132.0</v>
      </c>
      <c r="B9837" s="2" t="s">
        <v>1027</v>
      </c>
      <c r="C9837" s="2" t="s">
        <v>5106</v>
      </c>
      <c r="D9837" s="2" t="s">
        <v>100</v>
      </c>
      <c r="E9837" s="2" t="s">
        <v>136</v>
      </c>
      <c r="F9837" s="2" t="s">
        <v>13</v>
      </c>
      <c r="G9837" s="2">
        <v>500.0</v>
      </c>
      <c r="H9837" s="3" t="str">
        <f>HYPERLINK("http://www.linkedin.com/in/georgeclin","http://www.linkedin.com/in/georgeclin")</f>
        <v>http://www.linkedin.com/in/georgeclin</v>
      </c>
      <c r="I9837" s="2" t="s">
        <v>15</v>
      </c>
      <c r="J9837" s="2" t="s">
        <v>102</v>
      </c>
      <c r="K9837" s="2" t="s">
        <v>14074</v>
      </c>
    </row>
    <row r="9838" ht="15.75" customHeight="1">
      <c r="A9838" s="2">
        <v>228141.0</v>
      </c>
      <c r="B9838" s="2" t="s">
        <v>414</v>
      </c>
      <c r="C9838" s="2" t="s">
        <v>17290</v>
      </c>
      <c r="D9838" s="2" t="s">
        <v>416</v>
      </c>
      <c r="E9838" s="2" t="s">
        <v>136</v>
      </c>
      <c r="F9838" s="2">
        <v>9.0</v>
      </c>
      <c r="G9838" s="2">
        <v>500.0</v>
      </c>
      <c r="H9838" s="3" t="str">
        <f>HYPERLINK("http://www.linkedin.com/in/tomconrad","http://www.linkedin.com/in/tomconrad")</f>
        <v>http://www.linkedin.com/in/tomconrad</v>
      </c>
      <c r="I9838" s="2" t="s">
        <v>69</v>
      </c>
      <c r="J9838" s="2" t="s">
        <v>102</v>
      </c>
      <c r="K9838" s="2" t="s">
        <v>14052</v>
      </c>
    </row>
    <row r="9839" ht="15.75" customHeight="1">
      <c r="A9839" s="2">
        <v>228148.0</v>
      </c>
      <c r="B9839" s="2" t="s">
        <v>17291</v>
      </c>
      <c r="C9839" s="2" t="s">
        <v>17292</v>
      </c>
      <c r="D9839" s="2" t="s">
        <v>17293</v>
      </c>
      <c r="E9839" s="2" t="s">
        <v>136</v>
      </c>
      <c r="F9839" s="2">
        <v>9.0</v>
      </c>
      <c r="G9839" s="2">
        <v>431.0</v>
      </c>
      <c r="H9839" s="3" t="str">
        <f>HYPERLINK("http://www.linkedin.com/in/hsabharwal","http://www.linkedin.com/in/hsabharwal")</f>
        <v>http://www.linkedin.com/in/hsabharwal</v>
      </c>
      <c r="I9839" s="2" t="s">
        <v>15</v>
      </c>
      <c r="J9839" s="2" t="s">
        <v>102</v>
      </c>
      <c r="K9839" s="2" t="s">
        <v>14088</v>
      </c>
    </row>
    <row r="9840" ht="15.75" customHeight="1">
      <c r="A9840" s="2">
        <v>228183.0</v>
      </c>
      <c r="B9840" s="2" t="s">
        <v>1019</v>
      </c>
      <c r="C9840" s="2" t="s">
        <v>1502</v>
      </c>
      <c r="D9840" s="2" t="s">
        <v>81</v>
      </c>
      <c r="E9840" s="2" t="s">
        <v>762</v>
      </c>
      <c r="F9840" s="2">
        <v>2.0</v>
      </c>
      <c r="G9840" s="2">
        <v>500.0</v>
      </c>
      <c r="H9840" s="3" t="str">
        <f>HYPERLINK("http://www.linkedin.com/in/mattcohenprofile","http://www.linkedin.com/in/mattcohenprofile")</f>
        <v>http://www.linkedin.com/in/mattcohenprofile</v>
      </c>
      <c r="I9840" s="2" t="s">
        <v>326</v>
      </c>
      <c r="J9840" s="2" t="s">
        <v>102</v>
      </c>
      <c r="K9840" s="2" t="s">
        <v>14074</v>
      </c>
    </row>
    <row r="9841" ht="15.75" customHeight="1">
      <c r="A9841" s="2">
        <v>228186.0</v>
      </c>
      <c r="B9841" s="2" t="s">
        <v>17294</v>
      </c>
      <c r="C9841" s="2" t="s">
        <v>17295</v>
      </c>
      <c r="D9841" s="2" t="s">
        <v>17296</v>
      </c>
      <c r="E9841" s="2" t="s">
        <v>155</v>
      </c>
      <c r="F9841" s="2">
        <v>17.0</v>
      </c>
      <c r="G9841" s="2">
        <v>500.0</v>
      </c>
      <c r="H9841" s="3" t="str">
        <f>HYPERLINK("http://www.linkedin.com/in/fbrody","http://www.linkedin.com/in/fbrody")</f>
        <v>http://www.linkedin.com/in/fbrody</v>
      </c>
      <c r="I9841" s="2" t="s">
        <v>69</v>
      </c>
      <c r="J9841" s="2" t="s">
        <v>102</v>
      </c>
      <c r="K9841" s="2" t="s">
        <v>14088</v>
      </c>
    </row>
    <row r="9842" ht="15.75" customHeight="1">
      <c r="A9842" s="2">
        <v>228202.0</v>
      </c>
      <c r="B9842" s="2" t="s">
        <v>774</v>
      </c>
      <c r="C9842" s="2" t="s">
        <v>17297</v>
      </c>
      <c r="D9842" s="2" t="s">
        <v>517</v>
      </c>
      <c r="E9842" s="2" t="s">
        <v>628</v>
      </c>
      <c r="F9842" s="2">
        <v>20.0</v>
      </c>
      <c r="G9842" s="2">
        <v>500.0</v>
      </c>
      <c r="H9842" s="3" t="str">
        <f>HYPERLINK("http://www.linkedin.com/pub/bruce-corson/0/44/470","http://www.linkedin.com/pub/bruce-corson/0/44/470")</f>
        <v>http://www.linkedin.com/pub/bruce-corson/0/44/470</v>
      </c>
      <c r="I9842" s="2" t="s">
        <v>48</v>
      </c>
      <c r="J9842" s="2" t="s">
        <v>102</v>
      </c>
      <c r="K9842" s="2" t="s">
        <v>14055</v>
      </c>
    </row>
    <row r="9843" ht="15.75" customHeight="1">
      <c r="A9843" s="2">
        <v>228228.0</v>
      </c>
      <c r="B9843" s="2" t="s">
        <v>1071</v>
      </c>
      <c r="C9843" s="2" t="s">
        <v>1997</v>
      </c>
      <c r="D9843" s="2" t="s">
        <v>17298</v>
      </c>
      <c r="E9843" s="2" t="s">
        <v>17299</v>
      </c>
      <c r="F9843" s="2">
        <v>0.0</v>
      </c>
      <c r="G9843" s="2">
        <v>500.0</v>
      </c>
      <c r="H9843" s="3" t="str">
        <f>HYPERLINK("http://www.linkedin.com/in/earcher59","http://www.linkedin.com/in/earcher59")</f>
        <v>http://www.linkedin.com/in/earcher59</v>
      </c>
      <c r="I9843" s="2" t="s">
        <v>77</v>
      </c>
      <c r="J9843" s="2" t="s">
        <v>102</v>
      </c>
      <c r="K9843" s="2" t="s">
        <v>14085</v>
      </c>
    </row>
    <row r="9844" ht="15.75" customHeight="1">
      <c r="A9844" s="2">
        <v>228237.0</v>
      </c>
      <c r="B9844" s="2" t="s">
        <v>8978</v>
      </c>
      <c r="C9844" s="2" t="s">
        <v>17300</v>
      </c>
      <c r="D9844" s="2" t="s">
        <v>17301</v>
      </c>
      <c r="E9844" s="2" t="s">
        <v>166</v>
      </c>
      <c r="F9844" s="2">
        <v>4.0</v>
      </c>
      <c r="G9844" s="2">
        <v>500.0</v>
      </c>
      <c r="H9844" s="3" t="str">
        <f>HYPERLINK("http://www.linkedin.com/in/dwayrynen","http://www.linkedin.com/in/dwayrynen")</f>
        <v>http://www.linkedin.com/in/dwayrynen</v>
      </c>
      <c r="I9844" s="2" t="s">
        <v>69</v>
      </c>
      <c r="J9844" s="2" t="s">
        <v>102</v>
      </c>
      <c r="K9844" s="2" t="s">
        <v>14073</v>
      </c>
    </row>
    <row r="9845" ht="15.75" customHeight="1">
      <c r="A9845" s="2">
        <v>228251.0</v>
      </c>
      <c r="B9845" s="2" t="s">
        <v>1417</v>
      </c>
      <c r="C9845" s="2" t="s">
        <v>8275</v>
      </c>
      <c r="D9845" s="2" t="s">
        <v>114</v>
      </c>
      <c r="E9845" s="2" t="s">
        <v>301</v>
      </c>
      <c r="F9845" s="2">
        <v>3.0</v>
      </c>
      <c r="G9845" s="2">
        <v>500.0</v>
      </c>
      <c r="H9845" s="3" t="str">
        <f>HYPERLINK("http://www.linkedin.com/pub/kirk-mcdonald/0/4/824","http://www.linkedin.com/pub/kirk-mcdonald/0/4/824")</f>
        <v>http://www.linkedin.com/pub/kirk-mcdonald/0/4/824</v>
      </c>
      <c r="I9845" s="2" t="s">
        <v>69</v>
      </c>
      <c r="J9845" s="2" t="s">
        <v>102</v>
      </c>
      <c r="K9845" s="2" t="s">
        <v>14080</v>
      </c>
    </row>
    <row r="9846" ht="15.75" customHeight="1">
      <c r="A9846" s="2">
        <v>228254.0</v>
      </c>
      <c r="B9846" s="2" t="s">
        <v>17302</v>
      </c>
      <c r="C9846" s="2" t="s">
        <v>17303</v>
      </c>
      <c r="D9846" s="2" t="s">
        <v>17304</v>
      </c>
      <c r="E9846" s="2" t="s">
        <v>1209</v>
      </c>
      <c r="F9846" s="2">
        <v>10.0</v>
      </c>
      <c r="G9846" s="2">
        <v>500.0</v>
      </c>
      <c r="H9846" s="3" t="str">
        <f>HYPERLINK("http://www.linkedin.com/in/salil","http://www.linkedin.com/in/salil")</f>
        <v>http://www.linkedin.com/in/salil</v>
      </c>
      <c r="I9846" s="2" t="s">
        <v>709</v>
      </c>
      <c r="J9846" s="2" t="s">
        <v>102</v>
      </c>
      <c r="K9846" s="2" t="s">
        <v>14074</v>
      </c>
    </row>
    <row r="9847" ht="15.75" customHeight="1">
      <c r="A9847" s="2">
        <v>228263.0</v>
      </c>
      <c r="B9847" s="2" t="s">
        <v>5469</v>
      </c>
      <c r="C9847" s="2" t="s">
        <v>17305</v>
      </c>
      <c r="D9847" s="2" t="s">
        <v>309</v>
      </c>
      <c r="E9847" s="2" t="s">
        <v>11902</v>
      </c>
      <c r="F9847" s="2">
        <v>2.0</v>
      </c>
      <c r="G9847" s="2">
        <v>349.0</v>
      </c>
      <c r="H9847" s="3" t="str">
        <f>HYPERLINK("http://www.linkedin.com/in/glenstarchman","http://www.linkedin.com/in/glenstarchman")</f>
        <v>http://www.linkedin.com/in/glenstarchman</v>
      </c>
      <c r="I9847" s="2" t="s">
        <v>15</v>
      </c>
      <c r="J9847" s="2" t="s">
        <v>102</v>
      </c>
      <c r="K9847" s="2" t="s">
        <v>14339</v>
      </c>
    </row>
    <row r="9848" ht="15.75" customHeight="1">
      <c r="A9848" s="2">
        <v>228264.0</v>
      </c>
      <c r="B9848" s="2" t="s">
        <v>3477</v>
      </c>
      <c r="C9848" s="2" t="s">
        <v>17306</v>
      </c>
      <c r="D9848" s="2" t="s">
        <v>47</v>
      </c>
      <c r="E9848" s="2" t="s">
        <v>136</v>
      </c>
      <c r="F9848" s="2">
        <v>1.0</v>
      </c>
      <c r="G9848" s="2">
        <v>500.0</v>
      </c>
      <c r="H9848" s="3" t="str">
        <f>HYPERLINK("http://www.linkedin.com/in/joshmcfarland","http://www.linkedin.com/in/joshmcfarland")</f>
        <v>http://www.linkedin.com/in/joshmcfarland</v>
      </c>
      <c r="I9848" s="2" t="s">
        <v>69</v>
      </c>
      <c r="J9848" s="2" t="s">
        <v>102</v>
      </c>
      <c r="K9848" s="2" t="s">
        <v>14080</v>
      </c>
    </row>
    <row r="9849" ht="15.75" customHeight="1">
      <c r="A9849" s="2">
        <v>228316.0</v>
      </c>
      <c r="B9849" s="2" t="s">
        <v>1087</v>
      </c>
      <c r="C9849" s="2" t="s">
        <v>17307</v>
      </c>
      <c r="D9849" s="2" t="s">
        <v>416</v>
      </c>
      <c r="E9849" s="2" t="s">
        <v>7844</v>
      </c>
      <c r="F9849" s="2">
        <v>5.0</v>
      </c>
      <c r="G9849" s="2">
        <v>500.0</v>
      </c>
      <c r="H9849" s="3" t="str">
        <f>HYPERLINK("http://www.linkedin.com/pub/james-beal-lion-1700-/0/675/A08","http://www.linkedin.com/pub/james-beal-lion-1700-/0/675/A08")</f>
        <v>http://www.linkedin.com/pub/james-beal-lion-1700-/0/675/A08</v>
      </c>
      <c r="I9849" s="2" t="s">
        <v>69</v>
      </c>
      <c r="J9849" s="2" t="s">
        <v>102</v>
      </c>
      <c r="K9849" s="2" t="s">
        <v>14071</v>
      </c>
    </row>
    <row r="9850" ht="15.75" customHeight="1">
      <c r="A9850" s="2">
        <v>228328.0</v>
      </c>
      <c r="B9850" s="2" t="s">
        <v>2665</v>
      </c>
      <c r="C9850" s="2" t="s">
        <v>17308</v>
      </c>
      <c r="D9850" s="2" t="s">
        <v>47</v>
      </c>
      <c r="E9850" s="2" t="s">
        <v>808</v>
      </c>
      <c r="F9850" s="2">
        <v>14.0</v>
      </c>
      <c r="G9850" s="2">
        <v>500.0</v>
      </c>
      <c r="H9850" s="3" t="str">
        <f>HYPERLINK("http://www.linkedin.com/pub/kurt-busch/0/150/47A","http://www.linkedin.com/pub/kurt-busch/0/150/47A")</f>
        <v>http://www.linkedin.com/pub/kurt-busch/0/150/47A</v>
      </c>
      <c r="I9850" s="2" t="s">
        <v>873</v>
      </c>
      <c r="J9850" s="2" t="s">
        <v>102</v>
      </c>
      <c r="K9850" s="2" t="s">
        <v>14074</v>
      </c>
    </row>
    <row r="9851" ht="15.75" customHeight="1">
      <c r="A9851" s="2">
        <v>228334.0</v>
      </c>
      <c r="B9851" s="2" t="s">
        <v>3667</v>
      </c>
      <c r="C9851" s="2" t="s">
        <v>1181</v>
      </c>
      <c r="D9851" s="2" t="s">
        <v>17309</v>
      </c>
      <c r="E9851" s="2" t="s">
        <v>166</v>
      </c>
      <c r="F9851" s="2">
        <v>9.0</v>
      </c>
      <c r="G9851" s="2">
        <v>500.0</v>
      </c>
      <c r="H9851" s="3" t="str">
        <f>HYPERLINK("http://www.linkedin.com/in/amjain","http://www.linkedin.com/in/amjain")</f>
        <v>http://www.linkedin.com/in/amjain</v>
      </c>
      <c r="I9851" s="2" t="s">
        <v>709</v>
      </c>
      <c r="J9851" s="2" t="s">
        <v>102</v>
      </c>
      <c r="K9851" s="2" t="s">
        <v>14055</v>
      </c>
    </row>
    <row r="9852" ht="15.75" customHeight="1">
      <c r="A9852" s="2">
        <v>228343.0</v>
      </c>
      <c r="B9852" s="2" t="s">
        <v>133</v>
      </c>
      <c r="C9852" s="2" t="s">
        <v>1347</v>
      </c>
      <c r="D9852" s="2" t="s">
        <v>17147</v>
      </c>
      <c r="E9852" s="2" t="s">
        <v>136</v>
      </c>
      <c r="F9852" s="2">
        <v>2.0</v>
      </c>
      <c r="G9852" s="2">
        <v>500.0</v>
      </c>
      <c r="H9852" s="3" t="str">
        <f>HYPERLINK("http://www.linkedin.com/in/gardnermichael","http://www.linkedin.com/in/gardnermichael")</f>
        <v>http://www.linkedin.com/in/gardnermichael</v>
      </c>
      <c r="I9852" s="2" t="s">
        <v>48</v>
      </c>
      <c r="J9852" s="2" t="s">
        <v>102</v>
      </c>
      <c r="K9852" s="2" t="s">
        <v>14088</v>
      </c>
    </row>
    <row r="9853" ht="15.75" customHeight="1">
      <c r="A9853" s="2">
        <v>228346.0</v>
      </c>
      <c r="B9853" s="2" t="s">
        <v>1454</v>
      </c>
      <c r="C9853" s="2" t="s">
        <v>1646</v>
      </c>
      <c r="D9853" s="2" t="s">
        <v>47</v>
      </c>
      <c r="E9853" s="2" t="s">
        <v>235</v>
      </c>
      <c r="F9853" s="2" t="s">
        <v>13</v>
      </c>
      <c r="G9853" s="2">
        <v>500.0</v>
      </c>
      <c r="H9853" s="3" t="str">
        <f>HYPERLINK("http://www.linkedin.com/pub/alan-snyder/0/110/35B","http://www.linkedin.com/pub/alan-snyder/0/110/35B")</f>
        <v>http://www.linkedin.com/pub/alan-snyder/0/110/35B</v>
      </c>
      <c r="I9853" s="2" t="s">
        <v>48</v>
      </c>
      <c r="J9853" s="2" t="s">
        <v>102</v>
      </c>
      <c r="K9853" s="2" t="s">
        <v>14080</v>
      </c>
    </row>
    <row r="9854" ht="15.75" customHeight="1">
      <c r="A9854" s="2">
        <v>228354.0</v>
      </c>
      <c r="B9854" s="2" t="s">
        <v>1585</v>
      </c>
      <c r="C9854" s="2" t="s">
        <v>17310</v>
      </c>
      <c r="D9854" s="2" t="s">
        <v>14863</v>
      </c>
      <c r="E9854" s="2" t="s">
        <v>1179</v>
      </c>
      <c r="F9854" s="2">
        <v>16.0</v>
      </c>
      <c r="G9854" s="2">
        <v>500.0</v>
      </c>
      <c r="H9854" s="3" t="str">
        <f>HYPERLINK("http://www.linkedin.com/in/tneubert","http://www.linkedin.com/in/tneubert")</f>
        <v>http://www.linkedin.com/in/tneubert</v>
      </c>
      <c r="I9854" s="2" t="s">
        <v>77</v>
      </c>
      <c r="J9854" s="2" t="s">
        <v>102</v>
      </c>
      <c r="K9854" s="2" t="s">
        <v>14211</v>
      </c>
    </row>
    <row r="9855" ht="15.75" customHeight="1">
      <c r="A9855" s="2">
        <v>228355.0</v>
      </c>
      <c r="B9855" s="2" t="s">
        <v>10739</v>
      </c>
      <c r="C9855" s="2" t="s">
        <v>17311</v>
      </c>
      <c r="D9855" s="2" t="s">
        <v>17312</v>
      </c>
      <c r="E9855" s="2" t="s">
        <v>136</v>
      </c>
      <c r="F9855" s="2">
        <v>5.0</v>
      </c>
      <c r="G9855" s="2">
        <v>500.0</v>
      </c>
      <c r="H9855" s="3" t="str">
        <f>HYPERLINK("http://www.linkedin.com/in/artmonk","http://www.linkedin.com/in/artmonk")</f>
        <v>http://www.linkedin.com/in/artmonk</v>
      </c>
      <c r="I9855" s="2" t="s">
        <v>15</v>
      </c>
      <c r="J9855" s="2" t="s">
        <v>102</v>
      </c>
      <c r="K9855" s="2" t="s">
        <v>14055</v>
      </c>
    </row>
    <row r="9856" ht="15.75" customHeight="1">
      <c r="A9856" s="2">
        <v>228360.0</v>
      </c>
      <c r="B9856" s="2" t="s">
        <v>1309</v>
      </c>
      <c r="C9856" s="2" t="s">
        <v>17313</v>
      </c>
      <c r="D9856" s="2" t="s">
        <v>17314</v>
      </c>
      <c r="E9856" s="2" t="s">
        <v>136</v>
      </c>
      <c r="F9856" s="2">
        <v>4.0</v>
      </c>
      <c r="G9856" s="2">
        <v>500.0</v>
      </c>
      <c r="H9856" s="3" t="str">
        <f>HYPERLINK("http://www.linkedin.com/in/acoppola","http://www.linkedin.com/in/acoppola")</f>
        <v>http://www.linkedin.com/in/acoppola</v>
      </c>
      <c r="I9856" s="2" t="s">
        <v>2725</v>
      </c>
      <c r="J9856" s="2" t="s">
        <v>102</v>
      </c>
      <c r="K9856" s="2" t="s">
        <v>14055</v>
      </c>
    </row>
    <row r="9857" ht="15.75" customHeight="1">
      <c r="A9857" s="2">
        <v>228383.0</v>
      </c>
      <c r="B9857" s="2" t="s">
        <v>1868</v>
      </c>
      <c r="C9857" s="2" t="s">
        <v>869</v>
      </c>
      <c r="D9857" s="2" t="s">
        <v>108</v>
      </c>
      <c r="E9857" s="2" t="s">
        <v>181</v>
      </c>
      <c r="F9857" s="2">
        <v>24.0</v>
      </c>
      <c r="G9857" s="2">
        <v>500.0</v>
      </c>
      <c r="H9857" s="3" t="str">
        <f>HYPERLINK("http://www.linkedin.com/in/jackhschwartz","http://www.linkedin.com/in/jackhschwartz")</f>
        <v>http://www.linkedin.com/in/jackhschwartz</v>
      </c>
      <c r="I9857" s="2" t="s">
        <v>48</v>
      </c>
      <c r="J9857" s="2" t="s">
        <v>102</v>
      </c>
      <c r="K9857" s="2" t="s">
        <v>14651</v>
      </c>
    </row>
    <row r="9858" ht="15.75" customHeight="1">
      <c r="A9858" s="2">
        <v>228430.0</v>
      </c>
      <c r="B9858" s="2" t="s">
        <v>17315</v>
      </c>
      <c r="C9858" s="2" t="s">
        <v>17316</v>
      </c>
      <c r="D9858" s="2" t="s">
        <v>17317</v>
      </c>
      <c r="E9858" s="2" t="s">
        <v>136</v>
      </c>
      <c r="F9858" s="2">
        <v>0.0</v>
      </c>
      <c r="G9858" s="2">
        <v>500.0</v>
      </c>
      <c r="H9858" s="3" t="str">
        <f>HYPERLINK("http://www.linkedin.com/in/shantanumitra2009","http://www.linkedin.com/in/shantanumitra2009")</f>
        <v>http://www.linkedin.com/in/shantanumitra2009</v>
      </c>
      <c r="I9858" s="2" t="s">
        <v>4225</v>
      </c>
      <c r="J9858" s="2" t="s">
        <v>102</v>
      </c>
      <c r="K9858" s="2" t="s">
        <v>14055</v>
      </c>
    </row>
    <row r="9859" ht="15.75" customHeight="1">
      <c r="A9859" s="2">
        <v>228457.0</v>
      </c>
      <c r="B9859" s="2" t="s">
        <v>13964</v>
      </c>
      <c r="C9859" s="2" t="s">
        <v>16122</v>
      </c>
      <c r="D9859" s="2" t="s">
        <v>536</v>
      </c>
      <c r="E9859" s="2" t="s">
        <v>762</v>
      </c>
      <c r="F9859" s="2">
        <v>10.0</v>
      </c>
      <c r="G9859" s="2">
        <v>500.0</v>
      </c>
      <c r="H9859" s="3" t="str">
        <f>HYPERLINK("http://www.linkedin.com/in/tommyperkins","http://www.linkedin.com/in/tommyperkins")</f>
        <v>http://www.linkedin.com/in/tommyperkins</v>
      </c>
      <c r="I9859" s="2" t="s">
        <v>57</v>
      </c>
      <c r="J9859" s="2" t="s">
        <v>102</v>
      </c>
      <c r="K9859" s="2" t="s">
        <v>14074</v>
      </c>
    </row>
    <row r="9860" ht="15.75" customHeight="1">
      <c r="A9860" s="2">
        <v>228479.0</v>
      </c>
      <c r="B9860" s="2" t="s">
        <v>1004</v>
      </c>
      <c r="C9860" s="2" t="s">
        <v>17318</v>
      </c>
      <c r="D9860" s="2" t="s">
        <v>1905</v>
      </c>
      <c r="E9860" s="2" t="s">
        <v>16923</v>
      </c>
      <c r="F9860" s="2">
        <v>19.0</v>
      </c>
      <c r="G9860" s="2">
        <v>500.0</v>
      </c>
      <c r="H9860" s="3" t="str">
        <f>HYPERLINK("http://www.linkedin.com/in/scottlandman","http://www.linkedin.com/in/scottlandman")</f>
        <v>http://www.linkedin.com/in/scottlandman</v>
      </c>
      <c r="I9860" s="2" t="s">
        <v>77</v>
      </c>
      <c r="J9860" s="2" t="s">
        <v>102</v>
      </c>
      <c r="K9860" s="2" t="s">
        <v>14173</v>
      </c>
    </row>
    <row r="9861" ht="15.75" customHeight="1">
      <c r="A9861" s="2">
        <v>228485.0</v>
      </c>
      <c r="B9861" s="2" t="s">
        <v>275</v>
      </c>
      <c r="C9861" s="2" t="s">
        <v>17319</v>
      </c>
      <c r="D9861" s="2" t="s">
        <v>17320</v>
      </c>
      <c r="E9861" s="2" t="s">
        <v>136</v>
      </c>
      <c r="F9861" s="2">
        <v>11.0</v>
      </c>
      <c r="G9861" s="2">
        <v>500.0</v>
      </c>
      <c r="H9861" s="3" t="str">
        <f>HYPERLINK("http://www.linkedin.com/in/markgaydos","http://www.linkedin.com/in/markgaydos")</f>
        <v>http://www.linkedin.com/in/markgaydos</v>
      </c>
      <c r="I9861" s="2" t="s">
        <v>69</v>
      </c>
      <c r="J9861" s="2" t="s">
        <v>102</v>
      </c>
      <c r="K9861" s="2" t="s">
        <v>14088</v>
      </c>
    </row>
    <row r="9862" ht="15.75" customHeight="1">
      <c r="A9862" s="2">
        <v>228487.0</v>
      </c>
      <c r="B9862" s="2" t="s">
        <v>157</v>
      </c>
      <c r="C9862" s="2" t="s">
        <v>17321</v>
      </c>
      <c r="D9862" s="2" t="s">
        <v>1145</v>
      </c>
      <c r="E9862" s="2" t="s">
        <v>301</v>
      </c>
      <c r="F9862" s="2">
        <v>13.0</v>
      </c>
      <c r="G9862" s="2">
        <v>500.0</v>
      </c>
      <c r="H9862" s="3" t="str">
        <f>HYPERLINK("http://www.linkedin.com/in/jpeizer","http://www.linkedin.com/in/jpeizer")</f>
        <v>http://www.linkedin.com/in/jpeizer</v>
      </c>
      <c r="I9862" s="2" t="s">
        <v>6750</v>
      </c>
      <c r="J9862" s="2" t="s">
        <v>102</v>
      </c>
      <c r="K9862" s="2" t="s">
        <v>14074</v>
      </c>
    </row>
    <row r="9863" ht="15.75" customHeight="1">
      <c r="A9863" s="2">
        <v>228496.0</v>
      </c>
      <c r="B9863" s="2" t="s">
        <v>17322</v>
      </c>
      <c r="C9863" s="2" t="s">
        <v>17323</v>
      </c>
      <c r="D9863" s="2" t="s">
        <v>17324</v>
      </c>
      <c r="E9863" s="2" t="s">
        <v>101</v>
      </c>
      <c r="F9863" s="2" t="s">
        <v>13</v>
      </c>
      <c r="G9863" s="2">
        <v>500.0</v>
      </c>
      <c r="H9863" s="3" t="str">
        <f>HYPERLINK("http://www.linkedin.com/in/adituppal","http://www.linkedin.com/in/adituppal")</f>
        <v>http://www.linkedin.com/in/adituppal</v>
      </c>
      <c r="I9863" s="2" t="s">
        <v>77</v>
      </c>
      <c r="J9863" s="2" t="s">
        <v>102</v>
      </c>
      <c r="K9863" s="2" t="s">
        <v>14088</v>
      </c>
    </row>
    <row r="9864" ht="15.75" customHeight="1">
      <c r="A9864" s="2">
        <v>228508.0</v>
      </c>
      <c r="B9864" s="2" t="s">
        <v>1405</v>
      </c>
      <c r="C9864" s="2" t="s">
        <v>17325</v>
      </c>
      <c r="D9864" s="2" t="s">
        <v>17326</v>
      </c>
      <c r="E9864" s="2" t="s">
        <v>808</v>
      </c>
      <c r="F9864" s="2">
        <v>25.0</v>
      </c>
      <c r="G9864" s="2">
        <v>500.0</v>
      </c>
      <c r="H9864" s="3" t="str">
        <f>HYPERLINK("http://www.linkedin.com/in/ronehlers","http://www.linkedin.com/in/ronehlers")</f>
        <v>http://www.linkedin.com/in/ronehlers</v>
      </c>
      <c r="I9864" s="2" t="s">
        <v>15</v>
      </c>
      <c r="J9864" s="2" t="s">
        <v>102</v>
      </c>
      <c r="K9864" s="2" t="s">
        <v>14242</v>
      </c>
    </row>
    <row r="9865" ht="15.75" customHeight="1">
      <c r="A9865" s="2">
        <v>228545.0</v>
      </c>
      <c r="B9865" s="2" t="s">
        <v>5577</v>
      </c>
      <c r="C9865" s="2" t="s">
        <v>17327</v>
      </c>
      <c r="D9865" s="2" t="s">
        <v>13</v>
      </c>
      <c r="E9865" s="2" t="s">
        <v>136</v>
      </c>
      <c r="F9865" s="2">
        <v>0.0</v>
      </c>
      <c r="G9865" s="2">
        <v>500.0</v>
      </c>
      <c r="H9865" s="3" t="str">
        <f>HYPERLINK("http://www.linkedin.com/in/krrau","http://www.linkedin.com/in/krrau")</f>
        <v>http://www.linkedin.com/in/krrau</v>
      </c>
      <c r="I9865" s="2" t="s">
        <v>48</v>
      </c>
      <c r="J9865" s="2" t="s">
        <v>102</v>
      </c>
      <c r="K9865" s="2" t="s">
        <v>14142</v>
      </c>
    </row>
    <row r="9866" ht="15.75" customHeight="1">
      <c r="A9866" s="2">
        <v>228548.0</v>
      </c>
      <c r="B9866" s="2" t="s">
        <v>1004</v>
      </c>
      <c r="C9866" s="2" t="s">
        <v>17000</v>
      </c>
      <c r="D9866" s="2" t="s">
        <v>47</v>
      </c>
      <c r="E9866" s="2" t="s">
        <v>2058</v>
      </c>
      <c r="F9866" s="2">
        <v>10.0</v>
      </c>
      <c r="G9866" s="2">
        <v>500.0</v>
      </c>
      <c r="H9866" s="3" t="str">
        <f>HYPERLINK("http://www.linkedin.com/in/rsmorrow","http://www.linkedin.com/in/rsmorrow")</f>
        <v>http://www.linkedin.com/in/rsmorrow</v>
      </c>
      <c r="I9866" s="2" t="s">
        <v>69</v>
      </c>
      <c r="J9866" s="2" t="s">
        <v>102</v>
      </c>
      <c r="K9866" s="2" t="s">
        <v>14071</v>
      </c>
    </row>
    <row r="9867" ht="15.75" customHeight="1">
      <c r="A9867" s="2">
        <v>228553.0</v>
      </c>
      <c r="B9867" s="2" t="s">
        <v>17328</v>
      </c>
      <c r="C9867" s="2" t="s">
        <v>17329</v>
      </c>
      <c r="D9867" s="2" t="s">
        <v>47</v>
      </c>
      <c r="E9867" s="2" t="s">
        <v>136</v>
      </c>
      <c r="F9867" s="2" t="s">
        <v>13</v>
      </c>
      <c r="G9867" s="2">
        <v>433.0</v>
      </c>
      <c r="H9867" s="3" t="str">
        <f>HYPERLINK("http://www.linkedin.com/in/yakovkamen","http://www.linkedin.com/in/yakovkamen")</f>
        <v>http://www.linkedin.com/in/yakovkamen</v>
      </c>
      <c r="I9867" s="2" t="s">
        <v>69</v>
      </c>
      <c r="J9867" s="2" t="s">
        <v>102</v>
      </c>
      <c r="K9867" s="2" t="s">
        <v>14080</v>
      </c>
    </row>
    <row r="9868" ht="15.75" customHeight="1">
      <c r="A9868" s="2">
        <v>228573.0</v>
      </c>
      <c r="B9868" s="2" t="s">
        <v>1816</v>
      </c>
      <c r="C9868" s="2" t="s">
        <v>17330</v>
      </c>
      <c r="D9868" s="2" t="s">
        <v>17331</v>
      </c>
      <c r="E9868" s="2" t="s">
        <v>762</v>
      </c>
      <c r="F9868" s="2">
        <v>14.0</v>
      </c>
      <c r="G9868" s="2">
        <v>500.0</v>
      </c>
      <c r="H9868" s="3" t="str">
        <f>HYPERLINK("http://www.linkedin.com/in/jeffreyschmitz1","http://www.linkedin.com/in/jeffreyschmitz1")</f>
        <v>http://www.linkedin.com/in/jeffreyschmitz1</v>
      </c>
      <c r="I9868" s="2" t="s">
        <v>15</v>
      </c>
      <c r="J9868" s="2" t="s">
        <v>102</v>
      </c>
      <c r="K9868" s="2" t="s">
        <v>14078</v>
      </c>
    </row>
    <row r="9869" ht="15.75" customHeight="1">
      <c r="A9869" s="2">
        <v>228601.0</v>
      </c>
      <c r="B9869" s="2" t="s">
        <v>17332</v>
      </c>
      <c r="C9869" s="2" t="s">
        <v>5168</v>
      </c>
      <c r="D9869" s="2" t="s">
        <v>17333</v>
      </c>
      <c r="E9869" s="2" t="s">
        <v>101</v>
      </c>
      <c r="F9869" s="2">
        <v>8.0</v>
      </c>
      <c r="G9869" s="2">
        <v>500.0</v>
      </c>
      <c r="H9869" s="3" t="str">
        <f>HYPERLINK("http://www.linkedin.com/in/lukasbradley","http://www.linkedin.com/in/lukasbradley")</f>
        <v>http://www.linkedin.com/in/lukasbradley</v>
      </c>
      <c r="I9869" s="2" t="s">
        <v>15</v>
      </c>
      <c r="J9869" s="2" t="s">
        <v>102</v>
      </c>
      <c r="K9869" s="2" t="s">
        <v>17334</v>
      </c>
    </row>
    <row r="9870" ht="15.75" customHeight="1">
      <c r="A9870" s="2">
        <v>228603.0</v>
      </c>
      <c r="B9870" s="2" t="s">
        <v>839</v>
      </c>
      <c r="C9870" s="2" t="s">
        <v>2623</v>
      </c>
      <c r="D9870" s="2" t="s">
        <v>47</v>
      </c>
      <c r="E9870" s="2" t="s">
        <v>762</v>
      </c>
      <c r="F9870" s="2">
        <v>9.0</v>
      </c>
      <c r="G9870" s="2">
        <v>500.0</v>
      </c>
      <c r="H9870" s="3" t="str">
        <f>HYPERLINK("http://www.linkedin.com/in/davepowell","http://www.linkedin.com/in/davepowell")</f>
        <v>http://www.linkedin.com/in/davepowell</v>
      </c>
      <c r="I9870" s="2" t="s">
        <v>48</v>
      </c>
      <c r="J9870" s="2" t="s">
        <v>102</v>
      </c>
      <c r="K9870" s="2" t="s">
        <v>14071</v>
      </c>
    </row>
    <row r="9871" ht="15.75" customHeight="1">
      <c r="A9871" s="2">
        <v>228604.0</v>
      </c>
      <c r="B9871" s="2" t="s">
        <v>1104</v>
      </c>
      <c r="C9871" s="2" t="s">
        <v>17335</v>
      </c>
      <c r="D9871" s="2" t="s">
        <v>13</v>
      </c>
      <c r="E9871" s="2" t="s">
        <v>101</v>
      </c>
      <c r="F9871" s="2">
        <v>0.0</v>
      </c>
      <c r="G9871" s="2">
        <v>500.0</v>
      </c>
      <c r="H9871" s="3" t="str">
        <f>HYPERLINK("http://www.linkedin.com/in/jaylitton","http://www.linkedin.com/in/jaylitton")</f>
        <v>http://www.linkedin.com/in/jaylitton</v>
      </c>
      <c r="I9871" s="2" t="s">
        <v>15</v>
      </c>
      <c r="J9871" s="2" t="s">
        <v>102</v>
      </c>
      <c r="K9871" s="2" t="s">
        <v>14088</v>
      </c>
    </row>
    <row r="9872" ht="15.75" customHeight="1">
      <c r="A9872" s="2">
        <v>228612.0</v>
      </c>
      <c r="B9872" s="2" t="s">
        <v>3606</v>
      </c>
      <c r="C9872" s="2" t="s">
        <v>17336</v>
      </c>
      <c r="D9872" s="2" t="s">
        <v>17337</v>
      </c>
      <c r="E9872" s="2" t="s">
        <v>728</v>
      </c>
      <c r="F9872" s="2">
        <v>52.0</v>
      </c>
      <c r="G9872" s="2">
        <v>500.0</v>
      </c>
      <c r="H9872" s="3" t="str">
        <f>HYPERLINK("http://www.linkedin.com/in/tracylaswell","http://www.linkedin.com/in/tracylaswell")</f>
        <v>http://www.linkedin.com/in/tracylaswell</v>
      </c>
      <c r="I9872" s="2" t="s">
        <v>248</v>
      </c>
      <c r="J9872" s="2" t="s">
        <v>102</v>
      </c>
      <c r="K9872" s="2" t="s">
        <v>14055</v>
      </c>
    </row>
    <row r="9873" ht="15.75" customHeight="1">
      <c r="A9873" s="2">
        <v>228615.0</v>
      </c>
      <c r="B9873" s="2" t="s">
        <v>17338</v>
      </c>
      <c r="C9873" s="2" t="s">
        <v>17339</v>
      </c>
      <c r="D9873" s="2" t="s">
        <v>17340</v>
      </c>
      <c r="E9873" s="2" t="s">
        <v>136</v>
      </c>
      <c r="F9873" s="2">
        <v>23.0</v>
      </c>
      <c r="G9873" s="2">
        <v>500.0</v>
      </c>
      <c r="H9873" s="3" t="str">
        <f>HYPERLINK("http://www.linkedin.com/in/medtechbridge","http://www.linkedin.com/in/medtechbridge")</f>
        <v>http://www.linkedin.com/in/medtechbridge</v>
      </c>
      <c r="I9873" s="2" t="s">
        <v>865</v>
      </c>
      <c r="J9873" s="2" t="s">
        <v>102</v>
      </c>
      <c r="K9873" s="2" t="s">
        <v>14055</v>
      </c>
    </row>
    <row r="9874" ht="15.75" customHeight="1">
      <c r="A9874" s="2">
        <v>228630.0</v>
      </c>
      <c r="B9874" s="2" t="s">
        <v>1071</v>
      </c>
      <c r="C9874" s="2" t="s">
        <v>17341</v>
      </c>
      <c r="D9874" s="2" t="s">
        <v>751</v>
      </c>
      <c r="E9874" s="2" t="s">
        <v>301</v>
      </c>
      <c r="F9874" s="2">
        <v>18.0</v>
      </c>
      <c r="G9874" s="2">
        <v>500.0</v>
      </c>
      <c r="H9874" s="3" t="str">
        <f>HYPERLINK("http://www.linkedin.com/in/erichoffert","http://www.linkedin.com/in/erichoffert")</f>
        <v>http://www.linkedin.com/in/erichoffert</v>
      </c>
      <c r="I9874" s="2" t="s">
        <v>15</v>
      </c>
      <c r="J9874" s="2" t="s">
        <v>102</v>
      </c>
      <c r="K9874" s="2" t="s">
        <v>14073</v>
      </c>
    </row>
    <row r="9875" ht="15.75" customHeight="1">
      <c r="A9875" s="2">
        <v>228633.0</v>
      </c>
      <c r="B9875" s="2" t="s">
        <v>1743</v>
      </c>
      <c r="C9875" s="2" t="s">
        <v>17342</v>
      </c>
      <c r="D9875" s="2" t="s">
        <v>17343</v>
      </c>
      <c r="E9875" s="2" t="s">
        <v>251</v>
      </c>
      <c r="F9875" s="2">
        <v>7.0</v>
      </c>
      <c r="G9875" s="2">
        <v>500.0</v>
      </c>
      <c r="H9875" s="3" t="str">
        <f>HYPERLINK("http://www.linkedin.com/pub/megan-wood-lueders/0/8B/1B6","http://www.linkedin.com/pub/megan-wood-lueders/0/8B/1B6")</f>
        <v>http://www.linkedin.com/pub/megan-wood-lueders/0/8B/1B6</v>
      </c>
      <c r="I9875" s="2" t="s">
        <v>77</v>
      </c>
      <c r="J9875" s="2" t="s">
        <v>102</v>
      </c>
      <c r="K9875" s="2" t="s">
        <v>14211</v>
      </c>
    </row>
    <row r="9876" ht="15.75" customHeight="1">
      <c r="A9876" s="2">
        <v>228666.0</v>
      </c>
      <c r="B9876" s="2" t="s">
        <v>6323</v>
      </c>
      <c r="C9876" s="2" t="s">
        <v>17344</v>
      </c>
      <c r="D9876" s="2" t="s">
        <v>1320</v>
      </c>
      <c r="E9876" s="2" t="s">
        <v>166</v>
      </c>
      <c r="F9876" s="2">
        <v>30.0</v>
      </c>
      <c r="G9876" s="2">
        <v>500.0</v>
      </c>
      <c r="H9876" s="3" t="str">
        <f>HYPERLINK("http://www.linkedin.com/in/joankoerberwalker","http://www.linkedin.com/in/joankoerberwalker")</f>
        <v>http://www.linkedin.com/in/joankoerberwalker</v>
      </c>
      <c r="I9876" s="2" t="s">
        <v>1012</v>
      </c>
      <c r="J9876" s="2" t="s">
        <v>102</v>
      </c>
      <c r="K9876" s="2" t="s">
        <v>14074</v>
      </c>
    </row>
    <row r="9877" ht="15.75" customHeight="1">
      <c r="A9877" s="2">
        <v>228672.0</v>
      </c>
      <c r="B9877" s="2" t="s">
        <v>478</v>
      </c>
      <c r="C9877" s="2" t="s">
        <v>17345</v>
      </c>
      <c r="D9877" s="2" t="s">
        <v>13</v>
      </c>
      <c r="E9877" s="2" t="s">
        <v>136</v>
      </c>
      <c r="F9877" s="2">
        <v>10.0</v>
      </c>
      <c r="G9877" s="2">
        <v>500.0</v>
      </c>
      <c r="H9877" s="3" t="str">
        <f>HYPERLINK("http://www.linkedin.com/in/karenorton","http://www.linkedin.com/in/karenorton")</f>
        <v>http://www.linkedin.com/in/karenorton</v>
      </c>
      <c r="I9877" s="2" t="s">
        <v>69</v>
      </c>
      <c r="J9877" s="2" t="s">
        <v>102</v>
      </c>
      <c r="K9877" s="2" t="s">
        <v>14071</v>
      </c>
    </row>
    <row r="9878" ht="15.75" customHeight="1">
      <c r="A9878" s="2">
        <v>228676.0</v>
      </c>
      <c r="B9878" s="2" t="s">
        <v>11995</v>
      </c>
      <c r="C9878" s="2" t="s">
        <v>17346</v>
      </c>
      <c r="D9878" s="2" t="s">
        <v>642</v>
      </c>
      <c r="E9878" s="2" t="s">
        <v>101</v>
      </c>
      <c r="F9878" s="2">
        <v>6.0</v>
      </c>
      <c r="G9878" s="2">
        <v>500.0</v>
      </c>
      <c r="H9878" s="3" t="str">
        <f>HYPERLINK("http://www.linkedin.com/in/junemelden","http://www.linkedin.com/in/junemelden")</f>
        <v>http://www.linkedin.com/in/junemelden</v>
      </c>
      <c r="I9878" s="2" t="s">
        <v>15</v>
      </c>
      <c r="J9878" s="2" t="s">
        <v>102</v>
      </c>
      <c r="K9878" s="2" t="s">
        <v>14055</v>
      </c>
    </row>
    <row r="9879" ht="15.75" customHeight="1">
      <c r="A9879" s="2">
        <v>228727.0</v>
      </c>
      <c r="B9879" s="2" t="s">
        <v>7106</v>
      </c>
      <c r="C9879" s="2" t="s">
        <v>17347</v>
      </c>
      <c r="D9879" s="2" t="s">
        <v>943</v>
      </c>
      <c r="E9879" s="2" t="s">
        <v>891</v>
      </c>
      <c r="F9879" s="2">
        <v>23.0</v>
      </c>
      <c r="G9879" s="2">
        <v>500.0</v>
      </c>
      <c r="H9879" s="3" t="str">
        <f>HYPERLINK("http://www.linkedin.com/in/kenhawk","http://www.linkedin.com/in/kenhawk")</f>
        <v>http://www.linkedin.com/in/kenhawk</v>
      </c>
      <c r="I9879" s="2" t="s">
        <v>77</v>
      </c>
      <c r="J9879" s="2" t="s">
        <v>102</v>
      </c>
      <c r="K9879" s="2" t="s">
        <v>14218</v>
      </c>
    </row>
    <row r="9880" ht="15.75" customHeight="1">
      <c r="A9880" s="2">
        <v>228756.0</v>
      </c>
      <c r="B9880" s="2" t="s">
        <v>17348</v>
      </c>
      <c r="C9880" s="2" t="s">
        <v>1817</v>
      </c>
      <c r="D9880" s="2" t="s">
        <v>17349</v>
      </c>
      <c r="E9880" s="2" t="s">
        <v>628</v>
      </c>
      <c r="F9880" s="2">
        <v>3.0</v>
      </c>
      <c r="G9880" s="2">
        <v>500.0</v>
      </c>
      <c r="H9880" s="3" t="str">
        <f>HYPERLINK("http://www.linkedin.com/pub/kristie-heins-fox/0/A8/935","http://www.linkedin.com/pub/kristie-heins-fox/0/A8/935")</f>
        <v>http://www.linkedin.com/pub/kristie-heins-fox/0/A8/935</v>
      </c>
      <c r="I9880" s="2" t="s">
        <v>844</v>
      </c>
      <c r="J9880" s="2" t="s">
        <v>102</v>
      </c>
      <c r="K9880" s="2" t="s">
        <v>14078</v>
      </c>
    </row>
    <row r="9881" ht="15.75" customHeight="1">
      <c r="A9881" s="2">
        <v>228785.0</v>
      </c>
      <c r="B9881" s="2" t="s">
        <v>6390</v>
      </c>
      <c r="C9881" s="2" t="s">
        <v>1325</v>
      </c>
      <c r="D9881" s="2" t="s">
        <v>17350</v>
      </c>
      <c r="E9881" s="2" t="s">
        <v>301</v>
      </c>
      <c r="F9881" s="2">
        <v>7.0</v>
      </c>
      <c r="G9881" s="2">
        <v>500.0</v>
      </c>
      <c r="H9881" s="3" t="str">
        <f>HYPERLINK("http://www.linkedin.com/pub/gail-miller/0/65/B63","http://www.linkedin.com/pub/gail-miller/0/65/B63")</f>
        <v>http://www.linkedin.com/pub/gail-miller/0/65/B63</v>
      </c>
      <c r="I9881" s="2" t="s">
        <v>248</v>
      </c>
      <c r="J9881" s="2" t="s">
        <v>102</v>
      </c>
      <c r="K9881" s="2" t="s">
        <v>14481</v>
      </c>
    </row>
    <row r="9882" ht="15.75" customHeight="1">
      <c r="A9882" s="2">
        <v>228786.0</v>
      </c>
      <c r="B9882" s="2" t="s">
        <v>17351</v>
      </c>
      <c r="C9882" s="2" t="s">
        <v>839</v>
      </c>
      <c r="D9882" s="2" t="s">
        <v>17352</v>
      </c>
      <c r="E9882" s="2" t="s">
        <v>101</v>
      </c>
      <c r="F9882" s="2">
        <v>9.0</v>
      </c>
      <c r="G9882" s="2">
        <v>500.0</v>
      </c>
      <c r="H9882" s="3" t="str">
        <f>HYPERLINK("http://www.linkedin.com/in/ketandave","http://www.linkedin.com/in/ketandave")</f>
        <v>http://www.linkedin.com/in/ketandave</v>
      </c>
      <c r="I9882" s="2" t="s">
        <v>15</v>
      </c>
      <c r="J9882" s="2" t="s">
        <v>102</v>
      </c>
      <c r="K9882" s="2" t="s">
        <v>14197</v>
      </c>
    </row>
    <row r="9883" ht="15.75" customHeight="1">
      <c r="A9883" s="2">
        <v>228792.0</v>
      </c>
      <c r="B9883" s="2" t="s">
        <v>1454</v>
      </c>
      <c r="C9883" s="2" t="s">
        <v>17353</v>
      </c>
      <c r="D9883" s="2"/>
      <c r="E9883" s="2" t="s">
        <v>713</v>
      </c>
      <c r="F9883" s="2">
        <v>0.0</v>
      </c>
      <c r="G9883" s="2">
        <v>500.0</v>
      </c>
      <c r="H9883" s="3" t="str">
        <f>HYPERLINK("http://www.linkedin.com/pub/alan-dipietro/0/23/213","http://www.linkedin.com/pub/alan-dipietro/0/23/213")</f>
        <v>http://www.linkedin.com/pub/alan-dipietro/0/23/213</v>
      </c>
      <c r="I9883" s="2" t="s">
        <v>15</v>
      </c>
      <c r="J9883" s="2" t="s">
        <v>102</v>
      </c>
      <c r="K9883" s="2" t="s">
        <v>14142</v>
      </c>
    </row>
    <row r="9884" ht="15.75" customHeight="1">
      <c r="A9884" s="2">
        <v>228804.0</v>
      </c>
      <c r="B9884" s="2" t="s">
        <v>3366</v>
      </c>
      <c r="C9884" s="2" t="s">
        <v>17354</v>
      </c>
      <c r="D9884" s="2" t="s">
        <v>114</v>
      </c>
      <c r="E9884" s="2" t="s">
        <v>136</v>
      </c>
      <c r="F9884" s="2">
        <v>14.0</v>
      </c>
      <c r="G9884" s="2">
        <v>500.0</v>
      </c>
      <c r="H9884" s="3" t="str">
        <f>HYPERLINK("http://www.linkedin.com/in/scrappykimberlywiefling","http://www.linkedin.com/in/scrappykimberlywiefling")</f>
        <v>http://www.linkedin.com/in/scrappykimberlywiefling</v>
      </c>
      <c r="I9884" s="2" t="s">
        <v>57</v>
      </c>
      <c r="J9884" s="2" t="s">
        <v>102</v>
      </c>
      <c r="K9884" s="2" t="s">
        <v>14055</v>
      </c>
    </row>
    <row r="9885" ht="15.75" customHeight="1">
      <c r="A9885" s="2">
        <v>228811.0</v>
      </c>
      <c r="B9885" s="2" t="s">
        <v>189</v>
      </c>
      <c r="C9885" s="2" t="s">
        <v>5225</v>
      </c>
      <c r="D9885" s="2" t="s">
        <v>4026</v>
      </c>
      <c r="E9885" s="2" t="s">
        <v>1918</v>
      </c>
      <c r="F9885" s="2">
        <v>12.0</v>
      </c>
      <c r="G9885" s="2">
        <v>490.0</v>
      </c>
      <c r="H9885" s="3" t="str">
        <f>HYPERLINK("http://www.linkedin.com/in/deanabbott","http://www.linkedin.com/in/deanabbott")</f>
        <v>http://www.linkedin.com/in/deanabbott</v>
      </c>
      <c r="I9885" s="2" t="s">
        <v>15</v>
      </c>
      <c r="J9885" s="2" t="s">
        <v>102</v>
      </c>
      <c r="K9885" s="2" t="s">
        <v>14092</v>
      </c>
    </row>
    <row r="9886" ht="15.75" customHeight="1">
      <c r="A9886" s="2">
        <v>228817.0</v>
      </c>
      <c r="B9886" s="2" t="s">
        <v>116</v>
      </c>
      <c r="C9886" s="2" t="s">
        <v>17355</v>
      </c>
      <c r="D9886" s="2" t="s">
        <v>17356</v>
      </c>
      <c r="E9886" s="2" t="s">
        <v>136</v>
      </c>
      <c r="F9886" s="2">
        <v>4.0</v>
      </c>
      <c r="G9886" s="2">
        <v>500.0</v>
      </c>
      <c r="H9886" s="3" t="str">
        <f>HYPERLINK("http://www.linkedin.com/in/alexbard","http://www.linkedin.com/in/alexbard")</f>
        <v>http://www.linkedin.com/in/alexbard</v>
      </c>
      <c r="I9886" s="2" t="s">
        <v>69</v>
      </c>
      <c r="J9886" s="2" t="s">
        <v>102</v>
      </c>
      <c r="K9886" s="2" t="s">
        <v>14088</v>
      </c>
    </row>
    <row r="9887" ht="15.75" customHeight="1">
      <c r="A9887" s="2">
        <v>228826.0</v>
      </c>
      <c r="B9887" s="2" t="s">
        <v>12386</v>
      </c>
      <c r="C9887" s="2" t="s">
        <v>17357</v>
      </c>
      <c r="D9887" s="2" t="s">
        <v>47</v>
      </c>
      <c r="E9887" s="2" t="s">
        <v>136</v>
      </c>
      <c r="F9887" s="2">
        <v>39.0</v>
      </c>
      <c r="G9887" s="2">
        <v>500.0</v>
      </c>
      <c r="H9887" s="3" t="str">
        <f>HYPERLINK("http://www.linkedin.com/in/michelemolitor","http://www.linkedin.com/in/michelemolitor")</f>
        <v>http://www.linkedin.com/in/michelemolitor</v>
      </c>
      <c r="I9887" s="2" t="s">
        <v>1390</v>
      </c>
      <c r="J9887" s="2" t="s">
        <v>102</v>
      </c>
      <c r="K9887" s="2" t="s">
        <v>14074</v>
      </c>
    </row>
    <row r="9888" ht="15.75" customHeight="1">
      <c r="A9888" s="2">
        <v>228859.0</v>
      </c>
      <c r="B9888" s="2" t="s">
        <v>291</v>
      </c>
      <c r="C9888" s="2" t="s">
        <v>17358</v>
      </c>
      <c r="D9888" s="2" t="s">
        <v>3590</v>
      </c>
      <c r="E9888" s="2" t="s">
        <v>155</v>
      </c>
      <c r="F9888" s="2">
        <v>4.0</v>
      </c>
      <c r="G9888" s="2">
        <v>500.0</v>
      </c>
      <c r="H9888" s="3" t="str">
        <f>HYPERLINK("http://www.linkedin.com/in/garybenitt","http://www.linkedin.com/in/garybenitt")</f>
        <v>http://www.linkedin.com/in/garybenitt</v>
      </c>
      <c r="I9888" s="2" t="s">
        <v>69</v>
      </c>
      <c r="J9888" s="2" t="s">
        <v>102</v>
      </c>
      <c r="K9888" s="2" t="s">
        <v>14088</v>
      </c>
    </row>
    <row r="9889" ht="15.75" customHeight="1">
      <c r="A9889" s="2">
        <v>228873.0</v>
      </c>
      <c r="B9889" s="2" t="s">
        <v>17359</v>
      </c>
      <c r="C9889" s="2" t="s">
        <v>13</v>
      </c>
      <c r="D9889" s="2" t="s">
        <v>13</v>
      </c>
      <c r="E9889" s="2" t="s">
        <v>136</v>
      </c>
      <c r="F9889" s="2">
        <v>0.0</v>
      </c>
      <c r="G9889" s="2">
        <v>500.0</v>
      </c>
      <c r="H9889" s="3" t="str">
        <f>HYPERLINK("http://www.linkedin.com/in/davidphillips","http://www.linkedin.com/in/davidphillips")</f>
        <v>http://www.linkedin.com/in/davidphillips</v>
      </c>
      <c r="I9889" s="2" t="s">
        <v>69</v>
      </c>
      <c r="J9889" s="2" t="s">
        <v>102</v>
      </c>
      <c r="K9889" s="2" t="s">
        <v>14057</v>
      </c>
    </row>
    <row r="9890" ht="15.75" customHeight="1">
      <c r="A9890" s="2">
        <v>228889.0</v>
      </c>
      <c r="B9890" s="2" t="s">
        <v>302</v>
      </c>
      <c r="C9890" s="2" t="s">
        <v>17360</v>
      </c>
      <c r="D9890" s="2" t="s">
        <v>14784</v>
      </c>
      <c r="E9890" s="2" t="s">
        <v>136</v>
      </c>
      <c r="F9890" s="2">
        <v>0.0</v>
      </c>
      <c r="G9890" s="2">
        <v>500.0</v>
      </c>
      <c r="H9890" s="3" t="str">
        <f>HYPERLINK("http://www.linkedin.com/in/youstra","http://www.linkedin.com/in/youstra")</f>
        <v>http://www.linkedin.com/in/youstra</v>
      </c>
      <c r="I9890" s="2" t="s">
        <v>69</v>
      </c>
      <c r="J9890" s="2" t="s">
        <v>102</v>
      </c>
      <c r="K9890" s="2" t="s">
        <v>14142</v>
      </c>
    </row>
    <row r="9891" ht="15.75" customHeight="1">
      <c r="A9891" s="2">
        <v>228890.0</v>
      </c>
      <c r="B9891" s="2" t="s">
        <v>1260</v>
      </c>
      <c r="C9891" s="2" t="s">
        <v>17361</v>
      </c>
      <c r="D9891" s="2" t="s">
        <v>13</v>
      </c>
      <c r="E9891" s="2" t="s">
        <v>101</v>
      </c>
      <c r="F9891" s="2">
        <v>0.0</v>
      </c>
      <c r="G9891" s="2">
        <v>500.0</v>
      </c>
      <c r="H9891" s="3" t="str">
        <f>HYPERLINK("http://www.linkedin.com/pub/darren-metherell/0/220/585","http://www.linkedin.com/pub/darren-metherell/0/220/585")</f>
        <v>http://www.linkedin.com/pub/darren-metherell/0/220/585</v>
      </c>
      <c r="I9891" s="2" t="s">
        <v>15</v>
      </c>
      <c r="J9891" s="2" t="s">
        <v>102</v>
      </c>
      <c r="K9891" s="2" t="s">
        <v>14088</v>
      </c>
    </row>
    <row r="9892" ht="15.75" customHeight="1">
      <c r="A9892" s="2">
        <v>228920.0</v>
      </c>
      <c r="B9892" s="2" t="s">
        <v>17362</v>
      </c>
      <c r="C9892" s="2" t="s">
        <v>17363</v>
      </c>
      <c r="D9892" s="2" t="s">
        <v>17364</v>
      </c>
      <c r="E9892" s="2" t="s">
        <v>7844</v>
      </c>
      <c r="F9892" s="2">
        <v>3.0</v>
      </c>
      <c r="G9892" s="2">
        <v>500.0</v>
      </c>
      <c r="H9892" s="3" t="str">
        <f>HYPERLINK("http://www.linkedin.com/in/tariktaman","http://www.linkedin.com/in/tariktaman")</f>
        <v>http://www.linkedin.com/in/tariktaman</v>
      </c>
      <c r="I9892" s="2" t="s">
        <v>48</v>
      </c>
      <c r="J9892" s="2" t="s">
        <v>102</v>
      </c>
      <c r="K9892" s="2" t="s">
        <v>14142</v>
      </c>
    </row>
    <row r="9893" ht="15.75" customHeight="1">
      <c r="A9893" s="2">
        <v>228968.0</v>
      </c>
      <c r="B9893" s="2" t="s">
        <v>2646</v>
      </c>
      <c r="C9893" s="2" t="s">
        <v>2948</v>
      </c>
      <c r="D9893" s="2" t="s">
        <v>517</v>
      </c>
      <c r="E9893" s="2" t="s">
        <v>914</v>
      </c>
      <c r="F9893" s="2">
        <v>5.0</v>
      </c>
      <c r="G9893" s="2">
        <v>500.0</v>
      </c>
      <c r="H9893" s="3" t="str">
        <f>HYPERLINK("http://www.linkedin.com/in/justinfoster","http://www.linkedin.com/in/justinfoster")</f>
        <v>http://www.linkedin.com/in/justinfoster</v>
      </c>
      <c r="I9893" s="2" t="s">
        <v>69</v>
      </c>
      <c r="J9893" s="2" t="s">
        <v>102</v>
      </c>
      <c r="K9893" s="2" t="s">
        <v>14088</v>
      </c>
    </row>
    <row r="9894" ht="15.75" customHeight="1">
      <c r="A9894" s="2">
        <v>228980.0</v>
      </c>
      <c r="B9894" s="2" t="s">
        <v>11897</v>
      </c>
      <c r="C9894" s="2" t="s">
        <v>1001</v>
      </c>
      <c r="D9894" s="2" t="s">
        <v>536</v>
      </c>
      <c r="E9894" s="2" t="s">
        <v>914</v>
      </c>
      <c r="F9894" s="2">
        <v>18.0</v>
      </c>
      <c r="G9894" s="2">
        <v>500.0</v>
      </c>
      <c r="H9894" s="3" t="str">
        <f>HYPERLINK("http://www.linkedin.com/in/eliasisrael","http://www.linkedin.com/in/eliasisrael")</f>
        <v>http://www.linkedin.com/in/eliasisrael</v>
      </c>
      <c r="I9894" s="2" t="s">
        <v>48</v>
      </c>
      <c r="J9894" s="2" t="s">
        <v>102</v>
      </c>
      <c r="K9894" s="2" t="s">
        <v>14080</v>
      </c>
    </row>
    <row r="9895" ht="15.75" customHeight="1">
      <c r="A9895" s="2">
        <v>229004.0</v>
      </c>
      <c r="B9895" s="2" t="s">
        <v>17365</v>
      </c>
      <c r="C9895" s="2" t="s">
        <v>17366</v>
      </c>
      <c r="D9895" s="2"/>
      <c r="E9895" s="2" t="s">
        <v>713</v>
      </c>
      <c r="F9895" s="2">
        <v>0.0</v>
      </c>
      <c r="G9895" s="2">
        <v>379.0</v>
      </c>
      <c r="H9895" s="3" t="str">
        <f>HYPERLINK("http://www.linkedin.com/pub/anupam-manglik/0/3A3/56B","http://www.linkedin.com/pub/anupam-manglik/0/3A3/56B")</f>
        <v>http://www.linkedin.com/pub/anupam-manglik/0/3A3/56B</v>
      </c>
      <c r="I9895" s="2" t="s">
        <v>57</v>
      </c>
      <c r="J9895" s="2" t="s">
        <v>102</v>
      </c>
      <c r="K9895" s="2" t="s">
        <v>14073</v>
      </c>
    </row>
    <row r="9896" ht="15.75" customHeight="1">
      <c r="A9896" s="2">
        <v>229031.0</v>
      </c>
      <c r="B9896" s="2" t="s">
        <v>1821</v>
      </c>
      <c r="C9896" s="2" t="s">
        <v>288</v>
      </c>
      <c r="D9896" s="2" t="s">
        <v>17367</v>
      </c>
      <c r="E9896" s="2" t="s">
        <v>301</v>
      </c>
      <c r="F9896" s="2">
        <v>10.0</v>
      </c>
      <c r="G9896" s="2">
        <v>500.0</v>
      </c>
      <c r="H9896" s="3" t="str">
        <f>HYPERLINK("http://www.linkedin.com/in/keithddavis","http://www.linkedin.com/in/keithddavis")</f>
        <v>http://www.linkedin.com/in/keithddavis</v>
      </c>
      <c r="I9896" s="2" t="s">
        <v>160</v>
      </c>
      <c r="J9896" s="2" t="s">
        <v>102</v>
      </c>
      <c r="K9896" s="2" t="s">
        <v>14105</v>
      </c>
    </row>
    <row r="9897" ht="15.75" customHeight="1">
      <c r="A9897" s="2">
        <v>229071.0</v>
      </c>
      <c r="B9897" s="2" t="s">
        <v>1087</v>
      </c>
      <c r="C9897" s="2" t="s">
        <v>17368</v>
      </c>
      <c r="D9897" s="2" t="s">
        <v>17369</v>
      </c>
      <c r="E9897" s="2" t="s">
        <v>713</v>
      </c>
      <c r="F9897" s="2">
        <v>1.0</v>
      </c>
      <c r="G9897" s="2">
        <v>500.0</v>
      </c>
      <c r="H9897" s="3" t="str">
        <f>HYPERLINK("http://www.linkedin.com/in/jtauber","http://www.linkedin.com/in/jtauber")</f>
        <v>http://www.linkedin.com/in/jtauber</v>
      </c>
      <c r="I9897" s="2" t="s">
        <v>69</v>
      </c>
      <c r="J9897" s="2" t="s">
        <v>102</v>
      </c>
      <c r="K9897" s="2" t="s">
        <v>14065</v>
      </c>
    </row>
    <row r="9898" ht="15.75" customHeight="1">
      <c r="A9898" s="2">
        <v>229096.0</v>
      </c>
      <c r="B9898" s="2" t="s">
        <v>5685</v>
      </c>
      <c r="C9898" s="2" t="s">
        <v>17370</v>
      </c>
      <c r="D9898" s="2"/>
      <c r="E9898" s="2" t="s">
        <v>713</v>
      </c>
      <c r="F9898" s="2">
        <v>5.0</v>
      </c>
      <c r="G9898" s="2">
        <v>500.0</v>
      </c>
      <c r="H9898" s="3" t="str">
        <f>HYPERLINK("http://www.linkedin.com/pub/clyde-logue/0/18/361","http://www.linkedin.com/pub/clyde-logue/0/18/361")</f>
        <v>http://www.linkedin.com/pub/clyde-logue/0/18/361</v>
      </c>
      <c r="I9898" s="2" t="s">
        <v>48</v>
      </c>
      <c r="J9898" s="2" t="s">
        <v>102</v>
      </c>
      <c r="K9898" s="2" t="s">
        <v>14092</v>
      </c>
    </row>
    <row r="9899" ht="15.75" customHeight="1">
      <c r="A9899" s="2">
        <v>229127.0</v>
      </c>
      <c r="B9899" s="2" t="s">
        <v>460</v>
      </c>
      <c r="C9899" s="2" t="s">
        <v>17371</v>
      </c>
      <c r="D9899" s="2" t="s">
        <v>47</v>
      </c>
      <c r="E9899" s="2" t="s">
        <v>17372</v>
      </c>
      <c r="F9899" s="2">
        <v>15.0</v>
      </c>
      <c r="G9899" s="2">
        <v>500.0</v>
      </c>
      <c r="H9899" s="3" t="str">
        <f>HYPERLINK("http://www.linkedin.com/in/johnstuppy","http://www.linkedin.com/in/johnstuppy")</f>
        <v>http://www.linkedin.com/in/johnstuppy</v>
      </c>
      <c r="I9899" s="2" t="s">
        <v>1948</v>
      </c>
      <c r="J9899" s="2" t="s">
        <v>102</v>
      </c>
      <c r="K9899" s="2" t="s">
        <v>14074</v>
      </c>
    </row>
    <row r="9900" ht="15.75" customHeight="1">
      <c r="A9900" s="2">
        <v>229147.0</v>
      </c>
      <c r="B9900" s="2" t="s">
        <v>845</v>
      </c>
      <c r="C9900" s="2" t="s">
        <v>17373</v>
      </c>
      <c r="D9900" s="2" t="s">
        <v>17374</v>
      </c>
      <c r="E9900" s="2" t="s">
        <v>1918</v>
      </c>
      <c r="F9900" s="2">
        <v>14.0</v>
      </c>
      <c r="G9900" s="2">
        <v>500.0</v>
      </c>
      <c r="H9900" s="3" t="str">
        <f>HYPERLINK("http://www.linkedin.com/in/davidsteel","http://www.linkedin.com/in/davidsteel")</f>
        <v>http://www.linkedin.com/in/davidsteel</v>
      </c>
      <c r="I9900" s="2" t="s">
        <v>663</v>
      </c>
      <c r="J9900" s="2" t="s">
        <v>102</v>
      </c>
      <c r="K9900" s="2" t="s">
        <v>14105</v>
      </c>
    </row>
    <row r="9901" ht="15.75" customHeight="1">
      <c r="A9901" s="2">
        <v>229227.0</v>
      </c>
      <c r="B9901" s="2" t="s">
        <v>17375</v>
      </c>
      <c r="C9901" s="2" t="s">
        <v>17376</v>
      </c>
      <c r="D9901" s="2" t="s">
        <v>17377</v>
      </c>
      <c r="E9901" s="2" t="s">
        <v>713</v>
      </c>
      <c r="F9901" s="2">
        <v>24.0</v>
      </c>
      <c r="G9901" s="2">
        <v>500.0</v>
      </c>
      <c r="H9901" s="3" t="str">
        <f>HYPERLINK("http://www.linkedin.com/in/kwaldman","http://www.linkedin.com/in/kwaldman")</f>
        <v>http://www.linkedin.com/in/kwaldman</v>
      </c>
      <c r="I9901" s="2" t="s">
        <v>48</v>
      </c>
      <c r="J9901" s="2" t="s">
        <v>102</v>
      </c>
      <c r="K9901" s="2" t="s">
        <v>14142</v>
      </c>
    </row>
    <row r="9902" ht="15.75" customHeight="1">
      <c r="A9902" s="2">
        <v>229238.0</v>
      </c>
      <c r="B9902" s="2" t="s">
        <v>414</v>
      </c>
      <c r="C9902" s="2" t="s">
        <v>17378</v>
      </c>
      <c r="D9902" s="2" t="s">
        <v>47</v>
      </c>
      <c r="E9902" s="2" t="s">
        <v>136</v>
      </c>
      <c r="F9902" s="2">
        <v>3.0</v>
      </c>
      <c r="G9902" s="2">
        <v>500.0</v>
      </c>
      <c r="H9902" s="3" t="str">
        <f>HYPERLINK("https://www.linkedin.com/in/tomkehler","https://www.linkedin.com/in/tomkehler")</f>
        <v>https://www.linkedin.com/in/tomkehler</v>
      </c>
      <c r="I9902" s="2" t="s">
        <v>69</v>
      </c>
      <c r="J9902" s="2" t="s">
        <v>102</v>
      </c>
      <c r="K9902" s="2" t="s">
        <v>14074</v>
      </c>
    </row>
    <row r="9903" ht="15.75" customHeight="1">
      <c r="A9903" s="2">
        <v>229279.0</v>
      </c>
      <c r="B9903" s="2" t="s">
        <v>178</v>
      </c>
      <c r="C9903" s="2" t="s">
        <v>17379</v>
      </c>
      <c r="D9903" s="2" t="s">
        <v>17380</v>
      </c>
      <c r="E9903" s="2" t="s">
        <v>136</v>
      </c>
      <c r="F9903" s="2">
        <v>37.0</v>
      </c>
      <c r="G9903" s="2">
        <v>500.0</v>
      </c>
      <c r="H9903" s="3" t="str">
        <f>HYPERLINK("http://www.linkedin.com/in/ayyoub","http://www.linkedin.com/in/ayyoub")</f>
        <v>http://www.linkedin.com/in/ayyoub</v>
      </c>
      <c r="I9903" s="2" t="s">
        <v>77</v>
      </c>
      <c r="J9903" s="2" t="s">
        <v>102</v>
      </c>
      <c r="K9903" s="2" t="s">
        <v>14085</v>
      </c>
    </row>
    <row r="9904" ht="15.75" customHeight="1">
      <c r="A9904" s="2">
        <v>229294.0</v>
      </c>
      <c r="B9904" s="2" t="s">
        <v>2752</v>
      </c>
      <c r="C9904" s="2" t="s">
        <v>17381</v>
      </c>
      <c r="D9904" s="2" t="s">
        <v>1025</v>
      </c>
      <c r="E9904" s="2" t="s">
        <v>628</v>
      </c>
      <c r="F9904" s="2">
        <v>22.0</v>
      </c>
      <c r="G9904" s="2">
        <v>500.0</v>
      </c>
      <c r="H9904" s="3" t="str">
        <f>HYPERLINK("http://www.linkedin.com/in/bccumberland","http://www.linkedin.com/in/bccumberland")</f>
        <v>http://www.linkedin.com/in/bccumberland</v>
      </c>
      <c r="I9904" s="2" t="s">
        <v>48</v>
      </c>
      <c r="J9904" s="2" t="s">
        <v>102</v>
      </c>
      <c r="K9904" s="2" t="s">
        <v>14117</v>
      </c>
    </row>
    <row r="9905" ht="15.75" customHeight="1">
      <c r="A9905" s="2">
        <v>229299.0</v>
      </c>
      <c r="B9905" s="2" t="s">
        <v>398</v>
      </c>
      <c r="C9905" s="2" t="s">
        <v>17382</v>
      </c>
      <c r="D9905" s="2" t="s">
        <v>1750</v>
      </c>
      <c r="E9905" s="2" t="s">
        <v>931</v>
      </c>
      <c r="F9905" s="2">
        <v>4.0</v>
      </c>
      <c r="G9905" s="2">
        <v>500.0</v>
      </c>
      <c r="H9905" s="3" t="str">
        <f>HYPERLINK("http://uk.linkedin.com/pub/colin-darbyshire/1/197/53","http://uk.linkedin.com/pub/colin-darbyshire/1/197/53")</f>
        <v>http://uk.linkedin.com/pub/colin-darbyshire/1/197/53</v>
      </c>
      <c r="I9905" s="2" t="s">
        <v>69</v>
      </c>
      <c r="J9905" s="2" t="s">
        <v>53</v>
      </c>
      <c r="K9905" s="2" t="s">
        <v>14204</v>
      </c>
    </row>
    <row r="9906" ht="15.75" customHeight="1">
      <c r="A9906" s="2">
        <v>229300.0</v>
      </c>
      <c r="B9906" s="2" t="s">
        <v>4067</v>
      </c>
      <c r="C9906" s="2" t="s">
        <v>17383</v>
      </c>
      <c r="D9906" s="2" t="s">
        <v>17384</v>
      </c>
      <c r="E9906" s="2" t="s">
        <v>17385</v>
      </c>
      <c r="F9906" s="2">
        <v>3.0</v>
      </c>
      <c r="G9906" s="2">
        <v>500.0</v>
      </c>
      <c r="H9906" s="3" t="str">
        <f>HYPERLINK("http://www.linkedin.com/pub/jeremy-vannatta/0/182/67","http://www.linkedin.com/pub/jeremy-vannatta/0/182/67")</f>
        <v>http://www.linkedin.com/pub/jeremy-vannatta/0/182/67</v>
      </c>
      <c r="I9906" s="2" t="s">
        <v>105</v>
      </c>
      <c r="J9906" s="2" t="s">
        <v>102</v>
      </c>
      <c r="K9906" s="2" t="s">
        <v>14055</v>
      </c>
    </row>
    <row r="9907" ht="15.75" customHeight="1">
      <c r="A9907" s="2">
        <v>229332.0</v>
      </c>
      <c r="B9907" s="2" t="s">
        <v>1144</v>
      </c>
      <c r="C9907" s="2" t="s">
        <v>17386</v>
      </c>
      <c r="D9907" s="2" t="s">
        <v>17387</v>
      </c>
      <c r="E9907" s="2" t="s">
        <v>17388</v>
      </c>
      <c r="F9907" s="2">
        <v>9.0</v>
      </c>
      <c r="G9907" s="2">
        <v>500.0</v>
      </c>
      <c r="H9907" s="3" t="str">
        <f>HYPERLINK("http://www.linkedin.com/in/allengladstone","http://www.linkedin.com/in/allengladstone")</f>
        <v>http://www.linkedin.com/in/allengladstone</v>
      </c>
      <c r="I9907" s="2" t="s">
        <v>248</v>
      </c>
      <c r="J9907" s="2" t="s">
        <v>102</v>
      </c>
      <c r="K9907" s="2" t="s">
        <v>14055</v>
      </c>
    </row>
    <row r="9908" ht="15.75" customHeight="1">
      <c r="A9908" s="2">
        <v>229352.0</v>
      </c>
      <c r="B9908" s="2" t="s">
        <v>460</v>
      </c>
      <c r="C9908" s="2" t="s">
        <v>17389</v>
      </c>
      <c r="D9908" s="2" t="s">
        <v>17390</v>
      </c>
      <c r="E9908" s="2" t="s">
        <v>101</v>
      </c>
      <c r="F9908" s="2">
        <v>7.0</v>
      </c>
      <c r="G9908" s="2">
        <v>500.0</v>
      </c>
      <c r="H9908" s="3" t="str">
        <f>HYPERLINK("http://www.linkedin.com/in/johnmcaleer","http://www.linkedin.com/in/johnmcaleer")</f>
        <v>http://www.linkedin.com/in/johnmcaleer</v>
      </c>
      <c r="I9908" s="2" t="s">
        <v>77</v>
      </c>
      <c r="J9908" s="2" t="s">
        <v>102</v>
      </c>
      <c r="K9908" s="2" t="s">
        <v>14422</v>
      </c>
    </row>
    <row r="9909" ht="15.75" customHeight="1">
      <c r="A9909" s="2">
        <v>229398.0</v>
      </c>
      <c r="B9909" s="2" t="s">
        <v>2609</v>
      </c>
      <c r="C9909" s="2" t="s">
        <v>17391</v>
      </c>
      <c r="D9909" s="2" t="s">
        <v>17392</v>
      </c>
      <c r="E9909" s="2" t="s">
        <v>2090</v>
      </c>
      <c r="F9909" s="2">
        <v>2.0</v>
      </c>
      <c r="G9909" s="2">
        <v>500.0</v>
      </c>
      <c r="H9909" s="3" t="str">
        <f>HYPERLINK("http://www.linkedin.com/pub/carl-boeing/1/19A/732","http://www.linkedin.com/pub/carl-boeing/1/19A/732")</f>
        <v>http://www.linkedin.com/pub/carl-boeing/1/19A/732</v>
      </c>
      <c r="I9909" s="2" t="s">
        <v>77</v>
      </c>
      <c r="J9909" s="2" t="s">
        <v>44</v>
      </c>
      <c r="K9909" s="2" t="s">
        <v>17393</v>
      </c>
    </row>
    <row r="9910" ht="15.75" customHeight="1">
      <c r="A9910" s="2">
        <v>229500.0</v>
      </c>
      <c r="B9910" s="2" t="s">
        <v>275</v>
      </c>
      <c r="C9910" s="2" t="s">
        <v>17394</v>
      </c>
      <c r="D9910" s="2" t="s">
        <v>410</v>
      </c>
      <c r="E9910" s="2" t="s">
        <v>11867</v>
      </c>
      <c r="F9910" s="2">
        <v>1.0</v>
      </c>
      <c r="G9910" s="2">
        <v>500.0</v>
      </c>
      <c r="H9910" s="3" t="str">
        <f>HYPERLINK("http://www.linkedin.com/pub/mark-rickel/6/B98/A7A","http://www.linkedin.com/pub/mark-rickel/6/B98/A7A")</f>
        <v>http://www.linkedin.com/pub/mark-rickel/6/B98/A7A</v>
      </c>
      <c r="I9910" s="2" t="s">
        <v>844</v>
      </c>
      <c r="J9910" s="2" t="s">
        <v>102</v>
      </c>
      <c r="K9910" s="2" t="s">
        <v>14092</v>
      </c>
    </row>
    <row r="9911" ht="15.75" customHeight="1">
      <c r="A9911" s="2">
        <v>229512.0</v>
      </c>
      <c r="B9911" s="2" t="s">
        <v>3190</v>
      </c>
      <c r="C9911" s="2" t="s">
        <v>17395</v>
      </c>
      <c r="D9911" s="2" t="s">
        <v>1145</v>
      </c>
      <c r="E9911" s="2" t="s">
        <v>15962</v>
      </c>
      <c r="F9911" s="2">
        <v>8.0</v>
      </c>
      <c r="G9911" s="2">
        <v>500.0</v>
      </c>
      <c r="H9911" s="3" t="str">
        <f>HYPERLINK("http://ca.linkedin.com/in/henrylewkowicz","http://ca.linkedin.com/in/henrylewkowicz")</f>
        <v>http://ca.linkedin.com/in/henrylewkowicz</v>
      </c>
      <c r="I9911" s="2" t="s">
        <v>48</v>
      </c>
      <c r="J9911" s="2" t="s">
        <v>44</v>
      </c>
      <c r="K9911" s="2" t="s">
        <v>14092</v>
      </c>
    </row>
    <row r="9912" ht="15.75" customHeight="1">
      <c r="A9912" s="2">
        <v>229534.0</v>
      </c>
      <c r="B9912" s="2" t="s">
        <v>4316</v>
      </c>
      <c r="C9912" s="2" t="s">
        <v>3750</v>
      </c>
      <c r="D9912" s="2" t="s">
        <v>517</v>
      </c>
      <c r="E9912" s="2" t="s">
        <v>136</v>
      </c>
      <c r="F9912" s="2">
        <v>15.0</v>
      </c>
      <c r="G9912" s="2">
        <v>500.0</v>
      </c>
      <c r="H9912" s="3" t="str">
        <f>HYPERLINK("http://www.linkedin.com/in/stanleygchan","http://www.linkedin.com/in/stanleygchan")</f>
        <v>http://www.linkedin.com/in/stanleygchan</v>
      </c>
      <c r="I9912" s="2" t="s">
        <v>69</v>
      </c>
      <c r="J9912" s="2" t="s">
        <v>102</v>
      </c>
      <c r="K9912" s="2" t="s">
        <v>14601</v>
      </c>
    </row>
    <row r="9913" ht="15.75" customHeight="1">
      <c r="A9913" s="2">
        <v>229551.0</v>
      </c>
      <c r="B9913" s="2" t="s">
        <v>17396</v>
      </c>
      <c r="C9913" s="2" t="s">
        <v>11769</v>
      </c>
      <c r="D9913" s="2" t="s">
        <v>13</v>
      </c>
      <c r="E9913" s="2" t="s">
        <v>136</v>
      </c>
      <c r="F9913" s="2">
        <v>0.0</v>
      </c>
      <c r="G9913" s="2">
        <v>409.0</v>
      </c>
      <c r="H9913" s="3" t="str">
        <f>HYPERLINK("https://www.linkedin.com/in/tellychang","https://www.linkedin.com/in/tellychang")</f>
        <v>https://www.linkedin.com/in/tellychang</v>
      </c>
      <c r="I9913" s="2" t="s">
        <v>69</v>
      </c>
      <c r="J9913" s="2" t="s">
        <v>102</v>
      </c>
      <c r="K9913" s="2" t="s">
        <v>14055</v>
      </c>
    </row>
    <row r="9914" ht="15.75" customHeight="1">
      <c r="A9914" s="2">
        <v>229555.0</v>
      </c>
      <c r="B9914" s="2" t="s">
        <v>1104</v>
      </c>
      <c r="C9914" s="2" t="s">
        <v>664</v>
      </c>
      <c r="D9914" s="2" t="s">
        <v>13</v>
      </c>
      <c r="E9914" s="2" t="s">
        <v>713</v>
      </c>
      <c r="F9914" s="2">
        <v>7.0</v>
      </c>
      <c r="G9914" s="2">
        <v>500.0</v>
      </c>
      <c r="H9914" s="3" t="str">
        <f>HYPERLINK("http://www.linkedin.com/pub/jay-gordon/0/275/909","http://www.linkedin.com/pub/jay-gordon/0/275/909")</f>
        <v>http://www.linkedin.com/pub/jay-gordon/0/275/909</v>
      </c>
      <c r="I9914" s="2" t="s">
        <v>15</v>
      </c>
      <c r="J9914" s="2" t="s">
        <v>102</v>
      </c>
      <c r="K9914" s="2" t="s">
        <v>14095</v>
      </c>
    </row>
    <row r="9915" ht="15.75" customHeight="1">
      <c r="A9915" s="2">
        <v>229562.0</v>
      </c>
      <c r="B9915" s="2" t="s">
        <v>1375</v>
      </c>
      <c r="C9915" s="2" t="s">
        <v>17397</v>
      </c>
      <c r="D9915" s="2" t="s">
        <v>1320</v>
      </c>
      <c r="E9915" s="2" t="s">
        <v>989</v>
      </c>
      <c r="F9915" s="2">
        <v>12.0</v>
      </c>
      <c r="G9915" s="2">
        <v>496.0</v>
      </c>
      <c r="H9915" s="3" t="str">
        <f>HYPERLINK("http://www.linkedin.com/in/sureshdevanan","http://www.linkedin.com/in/sureshdevanan")</f>
        <v>http://www.linkedin.com/in/sureshdevanan</v>
      </c>
      <c r="I9915" s="2" t="s">
        <v>15</v>
      </c>
      <c r="J9915" s="2" t="s">
        <v>102</v>
      </c>
      <c r="K9915" s="2" t="s">
        <v>14073</v>
      </c>
    </row>
    <row r="9916" ht="15.75" customHeight="1">
      <c r="A9916" s="2">
        <v>229583.0</v>
      </c>
      <c r="B9916" s="2" t="s">
        <v>17398</v>
      </c>
      <c r="C9916" s="2" t="s">
        <v>17399</v>
      </c>
      <c r="D9916" s="2" t="s">
        <v>4048</v>
      </c>
      <c r="E9916" s="2" t="s">
        <v>136</v>
      </c>
      <c r="F9916" s="2">
        <v>2.0</v>
      </c>
      <c r="G9916" s="2">
        <v>500.0</v>
      </c>
      <c r="H9916" s="3" t="str">
        <f>HYPERLINK("http://www.linkedin.com/in/jukkaalanen","http://www.linkedin.com/in/jukkaalanen")</f>
        <v>http://www.linkedin.com/in/jukkaalanen</v>
      </c>
      <c r="I9916" s="2" t="s">
        <v>48</v>
      </c>
      <c r="J9916" s="2" t="s">
        <v>102</v>
      </c>
      <c r="K9916" s="2" t="s">
        <v>14080</v>
      </c>
    </row>
    <row r="9917" ht="15.75" customHeight="1">
      <c r="A9917" s="2">
        <v>229591.0</v>
      </c>
      <c r="B9917" s="2" t="s">
        <v>788</v>
      </c>
      <c r="C9917" s="2" t="s">
        <v>16096</v>
      </c>
      <c r="D9917" s="2" t="s">
        <v>17400</v>
      </c>
      <c r="E9917" s="2" t="s">
        <v>155</v>
      </c>
      <c r="F9917" s="2">
        <v>13.0</v>
      </c>
      <c r="G9917" s="2">
        <v>500.0</v>
      </c>
      <c r="H9917" s="3" t="str">
        <f>HYPERLINK("http://www.linkedin.com/in/samhaskin","http://www.linkedin.com/in/samhaskin")</f>
        <v>http://www.linkedin.com/in/samhaskin</v>
      </c>
      <c r="I9917" s="2" t="s">
        <v>105</v>
      </c>
      <c r="J9917" s="2" t="s">
        <v>102</v>
      </c>
      <c r="K9917" s="2" t="s">
        <v>14055</v>
      </c>
    </row>
    <row r="9918" ht="15.75" customHeight="1">
      <c r="A9918" s="2">
        <v>229603.0</v>
      </c>
      <c r="B9918" s="2" t="s">
        <v>133</v>
      </c>
      <c r="C9918" s="2" t="s">
        <v>17401</v>
      </c>
      <c r="D9918" s="2" t="s">
        <v>47</v>
      </c>
      <c r="E9918" s="2" t="s">
        <v>101</v>
      </c>
      <c r="F9918" s="2">
        <v>12.0</v>
      </c>
      <c r="G9918" s="2">
        <v>500.0</v>
      </c>
      <c r="H9918" s="3" t="str">
        <f>HYPERLINK("http://www.linkedin.com/in/mkogon","http://www.linkedin.com/in/mkogon")</f>
        <v>http://www.linkedin.com/in/mkogon</v>
      </c>
      <c r="I9918" s="2" t="s">
        <v>105</v>
      </c>
      <c r="J9918" s="2" t="s">
        <v>102</v>
      </c>
      <c r="K9918" s="2" t="s">
        <v>14074</v>
      </c>
    </row>
    <row r="9919" ht="15.75" customHeight="1">
      <c r="A9919" s="2">
        <v>229636.0</v>
      </c>
      <c r="B9919" s="2" t="s">
        <v>275</v>
      </c>
      <c r="C9919" s="2" t="s">
        <v>17402</v>
      </c>
      <c r="D9919" s="2" t="s">
        <v>114</v>
      </c>
      <c r="E9919" s="2" t="s">
        <v>301</v>
      </c>
      <c r="F9919" s="2">
        <v>13.0</v>
      </c>
      <c r="G9919" s="2">
        <v>500.0</v>
      </c>
      <c r="H9919" s="3" t="str">
        <f>HYPERLINK("http://www.linkedin.com/in/magovino","http://www.linkedin.com/in/magovino")</f>
        <v>http://www.linkedin.com/in/magovino</v>
      </c>
      <c r="I9919" s="2" t="s">
        <v>248</v>
      </c>
      <c r="J9919" s="2" t="s">
        <v>102</v>
      </c>
      <c r="K9919" s="2" t="s">
        <v>14115</v>
      </c>
    </row>
    <row r="9920" ht="15.75" customHeight="1">
      <c r="A9920" s="2">
        <v>229652.0</v>
      </c>
      <c r="B9920" s="2" t="s">
        <v>2239</v>
      </c>
      <c r="C9920" s="2" t="s">
        <v>12417</v>
      </c>
      <c r="D9920" s="2" t="s">
        <v>633</v>
      </c>
      <c r="E9920" s="2" t="s">
        <v>136</v>
      </c>
      <c r="F9920" s="2">
        <v>2.0</v>
      </c>
      <c r="G9920" s="2">
        <v>500.0</v>
      </c>
      <c r="H9920" s="3" t="str">
        <f>HYPERLINK("http://www.linkedin.com/pub/russell-klein/0/6/5A8","http://www.linkedin.com/pub/russell-klein/0/6/5A8")</f>
        <v>http://www.linkedin.com/pub/russell-klein/0/6/5A8</v>
      </c>
      <c r="I9920" s="2" t="s">
        <v>326</v>
      </c>
      <c r="J9920" s="2" t="s">
        <v>102</v>
      </c>
      <c r="K9920" s="2" t="s">
        <v>14074</v>
      </c>
    </row>
    <row r="9921" ht="15.75" customHeight="1">
      <c r="A9921" s="2">
        <v>229670.0</v>
      </c>
      <c r="B9921" s="2" t="s">
        <v>2656</v>
      </c>
      <c r="C9921" s="2" t="s">
        <v>2388</v>
      </c>
      <c r="D9921" s="2" t="s">
        <v>309</v>
      </c>
      <c r="E9921" s="2" t="s">
        <v>136</v>
      </c>
      <c r="F9921" s="2">
        <v>11.0</v>
      </c>
      <c r="G9921" s="2">
        <v>500.0</v>
      </c>
      <c r="H9921" s="3" t="str">
        <f>HYPERLINK("http://www.linkedin.com/in/jairawat","http://www.linkedin.com/in/jairawat")</f>
        <v>http://www.linkedin.com/in/jairawat</v>
      </c>
      <c r="I9921" s="2" t="s">
        <v>69</v>
      </c>
      <c r="J9921" s="2" t="s">
        <v>102</v>
      </c>
      <c r="K9921" s="2" t="s">
        <v>14073</v>
      </c>
    </row>
    <row r="9922" ht="15.75" customHeight="1">
      <c r="A9922" s="2">
        <v>229684.0</v>
      </c>
      <c r="B9922" s="2" t="s">
        <v>17403</v>
      </c>
      <c r="C9922" s="2" t="s">
        <v>17404</v>
      </c>
      <c r="D9922" s="2" t="s">
        <v>13</v>
      </c>
      <c r="E9922" s="2" t="s">
        <v>891</v>
      </c>
      <c r="F9922" s="2">
        <v>19.0</v>
      </c>
      <c r="G9922" s="2">
        <v>500.0</v>
      </c>
      <c r="H9922" s="3" t="str">
        <f>HYPERLINK("http://www.linkedin.com/in/sshamim","http://www.linkedin.com/in/sshamim")</f>
        <v>http://www.linkedin.com/in/sshamim</v>
      </c>
      <c r="I9922" s="2" t="s">
        <v>1948</v>
      </c>
      <c r="J9922" s="2" t="s">
        <v>102</v>
      </c>
      <c r="K9922" s="2" t="s">
        <v>14071</v>
      </c>
    </row>
    <row r="9923" ht="15.75" customHeight="1">
      <c r="A9923" s="2">
        <v>229704.0</v>
      </c>
      <c r="B9923" s="2" t="s">
        <v>16033</v>
      </c>
      <c r="C9923" s="2" t="s">
        <v>1301</v>
      </c>
      <c r="D9923" s="2" t="s">
        <v>47</v>
      </c>
      <c r="E9923" s="2" t="s">
        <v>136</v>
      </c>
      <c r="F9923" s="2">
        <v>14.0</v>
      </c>
      <c r="G9923" s="2">
        <v>500.0</v>
      </c>
      <c r="H9923" s="3" t="str">
        <f>HYPERLINK("http://www.linkedin.com/in/barakberk","http://www.linkedin.com/in/barakberk")</f>
        <v>http://www.linkedin.com/in/barakberk</v>
      </c>
      <c r="I9923" s="2" t="s">
        <v>48</v>
      </c>
      <c r="J9923" s="2" t="s">
        <v>102</v>
      </c>
      <c r="K9923" s="2" t="s">
        <v>14073</v>
      </c>
    </row>
    <row r="9924" ht="15.75" customHeight="1">
      <c r="A9924" s="2">
        <v>229735.0</v>
      </c>
      <c r="B9924" s="2" t="s">
        <v>17405</v>
      </c>
      <c r="C9924" s="2" t="s">
        <v>17406</v>
      </c>
      <c r="D9924" s="2" t="s">
        <v>47</v>
      </c>
      <c r="E9924" s="2" t="s">
        <v>2058</v>
      </c>
      <c r="F9924" s="2" t="s">
        <v>13</v>
      </c>
      <c r="G9924" s="2">
        <v>500.0</v>
      </c>
      <c r="H9924" s="3" t="str">
        <f>HYPERLINK("http://www.linkedin.com/in/nearmargalit","http://www.linkedin.com/in/nearmargalit")</f>
        <v>http://www.linkedin.com/in/nearmargalit</v>
      </c>
      <c r="I9924" s="2" t="s">
        <v>669</v>
      </c>
      <c r="J9924" s="2" t="s">
        <v>102</v>
      </c>
      <c r="K9924" s="2" t="s">
        <v>14422</v>
      </c>
    </row>
    <row r="9925" ht="15.75" customHeight="1">
      <c r="A9925" s="2">
        <v>229752.0</v>
      </c>
      <c r="B9925" s="2" t="s">
        <v>15093</v>
      </c>
      <c r="C9925" s="2" t="s">
        <v>1746</v>
      </c>
      <c r="D9925" s="2" t="s">
        <v>1145</v>
      </c>
      <c r="E9925" s="2" t="s">
        <v>971</v>
      </c>
      <c r="F9925" s="2">
        <v>3.0</v>
      </c>
      <c r="G9925" s="2">
        <v>220.0</v>
      </c>
      <c r="H9925" s="3" t="str">
        <f>HYPERLINK("http://www.linkedin.com/in/joninash","http://www.linkedin.com/in/joninash")</f>
        <v>http://www.linkedin.com/in/joninash</v>
      </c>
      <c r="I9925" s="2" t="s">
        <v>2268</v>
      </c>
      <c r="J9925" s="2" t="s">
        <v>102</v>
      </c>
      <c r="K9925" s="2" t="s">
        <v>14074</v>
      </c>
    </row>
    <row r="9926" ht="15.75" customHeight="1">
      <c r="A9926" s="2">
        <v>229771.0</v>
      </c>
      <c r="B9926" s="2" t="s">
        <v>5173</v>
      </c>
      <c r="C9926" s="2" t="s">
        <v>1325</v>
      </c>
      <c r="D9926" s="2" t="s">
        <v>13</v>
      </c>
      <c r="E9926" s="2" t="s">
        <v>891</v>
      </c>
      <c r="F9926" s="2">
        <v>8.0</v>
      </c>
      <c r="G9926" s="2">
        <v>500.0</v>
      </c>
      <c r="H9926" s="3" t="str">
        <f>HYPERLINK("http://www.linkedin.com/in/richmiller","http://www.linkedin.com/in/richmiller")</f>
        <v>http://www.linkedin.com/in/richmiller</v>
      </c>
      <c r="I9926" s="2" t="s">
        <v>15</v>
      </c>
      <c r="J9926" s="2" t="s">
        <v>102</v>
      </c>
      <c r="K9926" s="2" t="s">
        <v>14073</v>
      </c>
    </row>
    <row r="9927" ht="15.75" customHeight="1">
      <c r="A9927" s="2">
        <v>229777.0</v>
      </c>
      <c r="B9927" s="2" t="s">
        <v>2543</v>
      </c>
      <c r="C9927" s="2" t="s">
        <v>17407</v>
      </c>
      <c r="D9927" s="2" t="s">
        <v>5394</v>
      </c>
      <c r="E9927" s="2" t="s">
        <v>101</v>
      </c>
      <c r="F9927" s="2">
        <v>2.0</v>
      </c>
      <c r="G9927" s="2">
        <v>500.0</v>
      </c>
      <c r="H9927" s="3" t="str">
        <f>HYPERLINK("http://www.linkedin.com/in/donramsayer","http://www.linkedin.com/in/donramsayer")</f>
        <v>http://www.linkedin.com/in/donramsayer</v>
      </c>
      <c r="I9927" s="2" t="s">
        <v>15</v>
      </c>
      <c r="J9927" s="2" t="s">
        <v>102</v>
      </c>
      <c r="K9927" s="2" t="s">
        <v>14173</v>
      </c>
    </row>
    <row r="9928" ht="15.75" customHeight="1">
      <c r="A9928" s="2">
        <v>229837.0</v>
      </c>
      <c r="B9928" s="2" t="s">
        <v>17408</v>
      </c>
      <c r="C9928" s="2" t="s">
        <v>17409</v>
      </c>
      <c r="D9928" s="2" t="s">
        <v>17410</v>
      </c>
      <c r="E9928" s="2" t="s">
        <v>136</v>
      </c>
      <c r="F9928" s="2">
        <v>8.0</v>
      </c>
      <c r="G9928" s="2">
        <v>500.0</v>
      </c>
      <c r="H9928" s="3" t="str">
        <f>HYPERLINK("http://www.linkedin.com/in/sonyasigler","http://www.linkedin.com/in/sonyasigler")</f>
        <v>http://www.linkedin.com/in/sonyasigler</v>
      </c>
      <c r="I9928" s="2" t="s">
        <v>48</v>
      </c>
      <c r="J9928" s="2" t="s">
        <v>102</v>
      </c>
      <c r="K9928" s="2" t="s">
        <v>14197</v>
      </c>
    </row>
    <row r="9929" ht="15.75" customHeight="1">
      <c r="A9929" s="2">
        <v>229854.0</v>
      </c>
      <c r="B9929" s="2" t="s">
        <v>763</v>
      </c>
      <c r="C9929" s="2" t="s">
        <v>17411</v>
      </c>
      <c r="D9929" s="2" t="s">
        <v>100</v>
      </c>
      <c r="E9929" s="2" t="s">
        <v>136</v>
      </c>
      <c r="F9929" s="2">
        <v>1.0</v>
      </c>
      <c r="G9929" s="2">
        <v>500.0</v>
      </c>
      <c r="H9929" s="3" t="str">
        <f>HYPERLINK("http://www.linkedin.com/pub/earl-sacerdoti/0/3/A59","http://www.linkedin.com/pub/earl-sacerdoti/0/3/A59")</f>
        <v>http://www.linkedin.com/pub/earl-sacerdoti/0/3/A59</v>
      </c>
      <c r="I9929" s="2" t="s">
        <v>48</v>
      </c>
      <c r="J9929" s="2" t="s">
        <v>102</v>
      </c>
      <c r="K9929" s="2" t="s">
        <v>14074</v>
      </c>
    </row>
    <row r="9930" ht="15.75" customHeight="1">
      <c r="A9930" s="2">
        <v>229888.0</v>
      </c>
      <c r="B9930" s="2" t="s">
        <v>1593</v>
      </c>
      <c r="C9930" s="2" t="s">
        <v>17412</v>
      </c>
      <c r="D9930" s="2" t="s">
        <v>47</v>
      </c>
      <c r="E9930" s="2" t="s">
        <v>136</v>
      </c>
      <c r="F9930" s="2">
        <v>19.0</v>
      </c>
      <c r="G9930" s="2">
        <v>500.0</v>
      </c>
      <c r="H9930" s="3" t="str">
        <f>HYPERLINK("http://www.linkedin.com/in/adamblum","http://www.linkedin.com/in/adamblum")</f>
        <v>http://www.linkedin.com/in/adamblum</v>
      </c>
      <c r="I9930" s="2" t="s">
        <v>48</v>
      </c>
      <c r="J9930" s="2" t="s">
        <v>102</v>
      </c>
      <c r="K9930" s="2" t="s">
        <v>14197</v>
      </c>
    </row>
    <row r="9931" ht="15.75" customHeight="1">
      <c r="A9931" s="2">
        <v>229893.0</v>
      </c>
      <c r="B9931" s="2" t="s">
        <v>2856</v>
      </c>
      <c r="C9931" s="2" t="s">
        <v>17413</v>
      </c>
      <c r="D9931" s="2" t="s">
        <v>17414</v>
      </c>
      <c r="E9931" s="2" t="s">
        <v>3500</v>
      </c>
      <c r="F9931" s="2">
        <v>0.0</v>
      </c>
      <c r="G9931" s="2">
        <v>500.0</v>
      </c>
      <c r="H9931" s="3" t="str">
        <f>HYPERLINK("http://www.linkedin.com/in/derekmaxson","http://www.linkedin.com/in/derekmaxson")</f>
        <v>http://www.linkedin.com/in/derekmaxson</v>
      </c>
      <c r="I9931" s="2" t="s">
        <v>69</v>
      </c>
      <c r="J9931" s="2" t="s">
        <v>102</v>
      </c>
      <c r="K9931" s="2" t="s">
        <v>14088</v>
      </c>
    </row>
    <row r="9932" ht="15.75" customHeight="1">
      <c r="A9932" s="2">
        <v>229936.0</v>
      </c>
      <c r="B9932" s="2" t="s">
        <v>2609</v>
      </c>
      <c r="C9932" s="2" t="s">
        <v>17415</v>
      </c>
      <c r="D9932" s="2" t="s">
        <v>400</v>
      </c>
      <c r="E9932" s="2" t="s">
        <v>14167</v>
      </c>
      <c r="F9932" s="2">
        <v>16.0</v>
      </c>
      <c r="G9932" s="2">
        <v>500.0</v>
      </c>
      <c r="H9932" s="3" t="str">
        <f>HYPERLINK("http://www.linkedin.com/in/carlesposti","http://www.linkedin.com/in/carlesposti")</f>
        <v>http://www.linkedin.com/in/carlesposti</v>
      </c>
      <c r="I9932" s="2" t="s">
        <v>69</v>
      </c>
      <c r="J9932" s="2" t="s">
        <v>102</v>
      </c>
      <c r="K9932" s="2" t="s">
        <v>14092</v>
      </c>
    </row>
    <row r="9933" ht="15.75" customHeight="1">
      <c r="A9933" s="2">
        <v>229963.0</v>
      </c>
      <c r="B9933" s="2" t="s">
        <v>302</v>
      </c>
      <c r="C9933" s="2" t="s">
        <v>17416</v>
      </c>
      <c r="D9933" s="2" t="s">
        <v>47</v>
      </c>
      <c r="E9933" s="2" t="s">
        <v>2058</v>
      </c>
      <c r="F9933" s="2" t="s">
        <v>13</v>
      </c>
      <c r="G9933" s="2">
        <v>471.0</v>
      </c>
      <c r="H9933" s="3" t="str">
        <f>HYPERLINK("http://www.linkedin.com/pub/bill-breyer/0/221/882","http://www.linkedin.com/pub/bill-breyer/0/221/882")</f>
        <v>http://www.linkedin.com/pub/bill-breyer/0/221/882</v>
      </c>
      <c r="I9933" s="2" t="s">
        <v>669</v>
      </c>
      <c r="J9933" s="2" t="s">
        <v>102</v>
      </c>
      <c r="K9933" s="2" t="s">
        <v>14750</v>
      </c>
    </row>
    <row r="9934" ht="15.75" customHeight="1">
      <c r="A9934" s="2">
        <v>229970.0</v>
      </c>
      <c r="B9934" s="2" t="s">
        <v>17417</v>
      </c>
      <c r="C9934" s="2" t="s">
        <v>1247</v>
      </c>
      <c r="D9934" s="2" t="s">
        <v>13</v>
      </c>
      <c r="E9934" s="2" t="s">
        <v>891</v>
      </c>
      <c r="F9934" s="2">
        <v>0.0</v>
      </c>
      <c r="G9934" s="2">
        <v>500.0</v>
      </c>
      <c r="H9934" s="3" t="str">
        <f>HYPERLINK("http://www.linkedin.com/in/azharkhan","http://www.linkedin.com/in/azharkhan")</f>
        <v>http://www.linkedin.com/in/azharkhan</v>
      </c>
      <c r="I9934" s="2" t="s">
        <v>69</v>
      </c>
      <c r="J9934" s="2" t="s">
        <v>102</v>
      </c>
      <c r="K9934" s="2" t="s">
        <v>14073</v>
      </c>
    </row>
    <row r="9935" ht="15.75" customHeight="1">
      <c r="A9935" s="2">
        <v>230050.0</v>
      </c>
      <c r="B9935" s="2" t="s">
        <v>12503</v>
      </c>
      <c r="C9935" s="2" t="s">
        <v>17418</v>
      </c>
      <c r="D9935" s="2"/>
      <c r="E9935" s="2" t="s">
        <v>17419</v>
      </c>
      <c r="F9935" s="2">
        <v>0.0</v>
      </c>
      <c r="G9935" s="2">
        <v>500.0</v>
      </c>
      <c r="H9935" s="3" t="str">
        <f>HYPERLINK("http://www.linkedin.com/pub/vic-syracuse/0/903/76","http://www.linkedin.com/pub/vic-syracuse/0/903/76")</f>
        <v>http://www.linkedin.com/pub/vic-syracuse/0/903/76</v>
      </c>
      <c r="I9935" s="2" t="s">
        <v>1107</v>
      </c>
      <c r="J9935" s="2" t="s">
        <v>102</v>
      </c>
      <c r="K9935" s="2" t="s">
        <v>14055</v>
      </c>
    </row>
    <row r="9936" ht="15.75" customHeight="1">
      <c r="A9936" s="2">
        <v>230108.0</v>
      </c>
      <c r="B9936" s="2" t="s">
        <v>511</v>
      </c>
      <c r="C9936" s="2" t="s">
        <v>17420</v>
      </c>
      <c r="D9936" s="2" t="s">
        <v>17421</v>
      </c>
      <c r="E9936" s="2" t="s">
        <v>14180</v>
      </c>
      <c r="F9936" s="2">
        <v>2.0</v>
      </c>
      <c r="G9936" s="2">
        <v>500.0</v>
      </c>
      <c r="H9936" s="3" t="str">
        <f>HYPERLINK("http://www.linkedin.com/in/mdickerson","http://www.linkedin.com/in/mdickerson")</f>
        <v>http://www.linkedin.com/in/mdickerson</v>
      </c>
      <c r="I9936" s="2" t="s">
        <v>77</v>
      </c>
      <c r="J9936" s="2" t="s">
        <v>102</v>
      </c>
      <c r="K9936" s="2" t="s">
        <v>14085</v>
      </c>
    </row>
    <row r="9937" ht="15.75" customHeight="1">
      <c r="A9937" s="2">
        <v>230136.0</v>
      </c>
      <c r="B9937" s="2" t="s">
        <v>752</v>
      </c>
      <c r="C9937" s="2" t="s">
        <v>17422</v>
      </c>
      <c r="D9937" s="2" t="s">
        <v>17423</v>
      </c>
      <c r="E9937" s="2" t="s">
        <v>166</v>
      </c>
      <c r="F9937" s="2" t="s">
        <v>13</v>
      </c>
      <c r="G9937" s="2">
        <v>500.0</v>
      </c>
      <c r="H9937" s="3" t="str">
        <f>HYPERLINK("http://www.linkedin.com/in/4intoccio","http://www.linkedin.com/in/4intoccio")</f>
        <v>http://www.linkedin.com/in/4intoccio</v>
      </c>
      <c r="I9937" s="2" t="s">
        <v>15</v>
      </c>
      <c r="J9937" s="2" t="s">
        <v>102</v>
      </c>
      <c r="K9937" s="2" t="s">
        <v>14088</v>
      </c>
    </row>
    <row r="9938" ht="15.75" customHeight="1">
      <c r="A9938" s="2">
        <v>230234.0</v>
      </c>
      <c r="B9938" s="2" t="s">
        <v>17424</v>
      </c>
      <c r="C9938" s="2" t="s">
        <v>17425</v>
      </c>
      <c r="D9938" s="2" t="s">
        <v>17426</v>
      </c>
      <c r="E9938" s="2" t="s">
        <v>301</v>
      </c>
      <c r="F9938" s="2">
        <v>37.0</v>
      </c>
      <c r="G9938" s="2">
        <v>500.0</v>
      </c>
      <c r="H9938" s="3" t="str">
        <f>HYPERLINK("http://www.linkedin.com/in/juliusfheil","http://www.linkedin.com/in/juliusfheil")</f>
        <v>http://www.linkedin.com/in/juliusfheil</v>
      </c>
      <c r="I9938" s="2" t="s">
        <v>8924</v>
      </c>
      <c r="J9938" s="2" t="s">
        <v>102</v>
      </c>
      <c r="K9938" s="2" t="s">
        <v>14055</v>
      </c>
    </row>
    <row r="9939" ht="15.75" customHeight="1">
      <c r="A9939" s="2">
        <v>230287.0</v>
      </c>
      <c r="B9939" s="2" t="s">
        <v>460</v>
      </c>
      <c r="C9939" s="2" t="s">
        <v>17427</v>
      </c>
      <c r="D9939" s="2" t="s">
        <v>47</v>
      </c>
      <c r="E9939" s="2" t="s">
        <v>136</v>
      </c>
      <c r="F9939" s="2">
        <v>6.0</v>
      </c>
      <c r="G9939" s="2">
        <v>500.0</v>
      </c>
      <c r="H9939" s="3" t="str">
        <f>HYPERLINK("http://www.linkedin.com/in/johnpettitt","http://www.linkedin.com/in/johnpettitt")</f>
        <v>http://www.linkedin.com/in/johnpettitt</v>
      </c>
      <c r="I9939" s="2" t="s">
        <v>69</v>
      </c>
      <c r="J9939" s="2" t="s">
        <v>102</v>
      </c>
      <c r="K9939" s="2" t="s">
        <v>14073</v>
      </c>
    </row>
    <row r="9940" ht="15.75" customHeight="1">
      <c r="A9940" s="2">
        <v>230303.0</v>
      </c>
      <c r="B9940" s="2" t="s">
        <v>11060</v>
      </c>
      <c r="C9940" s="2" t="s">
        <v>17428</v>
      </c>
      <c r="D9940" s="2" t="s">
        <v>13</v>
      </c>
      <c r="E9940" s="2" t="s">
        <v>136</v>
      </c>
      <c r="F9940" s="2">
        <v>0.0</v>
      </c>
      <c r="G9940" s="2">
        <v>500.0</v>
      </c>
      <c r="H9940" s="3" t="str">
        <f>HYPERLINK("https://www.linkedin.com/in/ajayj","https://www.linkedin.com/in/ajayj")</f>
        <v>https://www.linkedin.com/in/ajayj</v>
      </c>
      <c r="I9940" s="2" t="s">
        <v>252</v>
      </c>
      <c r="J9940" s="2" t="s">
        <v>102</v>
      </c>
      <c r="K9940" s="2" t="s">
        <v>14057</v>
      </c>
    </row>
    <row r="9941" ht="15.75" customHeight="1">
      <c r="A9941" s="2">
        <v>230338.0</v>
      </c>
      <c r="B9941" s="2" t="s">
        <v>275</v>
      </c>
      <c r="C9941" s="2" t="s">
        <v>17429</v>
      </c>
      <c r="D9941" s="2" t="s">
        <v>14748</v>
      </c>
      <c r="E9941" s="2" t="s">
        <v>2058</v>
      </c>
      <c r="F9941" s="2">
        <v>11.0</v>
      </c>
      <c r="G9941" s="2">
        <v>500.0</v>
      </c>
      <c r="H9941" s="3" t="str">
        <f>HYPERLINK("http://www.linkedin.com/pub/mark-netter/0/16/543","http://www.linkedin.com/pub/mark-netter/0/16/543")</f>
        <v>http://www.linkedin.com/pub/mark-netter/0/16/543</v>
      </c>
      <c r="I9941" s="2" t="s">
        <v>15</v>
      </c>
      <c r="J9941" s="2" t="s">
        <v>102</v>
      </c>
      <c r="K9941" s="2" t="s">
        <v>14092</v>
      </c>
    </row>
    <row r="9942" ht="15.75" customHeight="1">
      <c r="A9942" s="2">
        <v>230358.0</v>
      </c>
      <c r="B9942" s="2" t="s">
        <v>982</v>
      </c>
      <c r="C9942" s="2" t="s">
        <v>17430</v>
      </c>
      <c r="D9942" s="2" t="s">
        <v>47</v>
      </c>
      <c r="E9942" s="2" t="s">
        <v>5396</v>
      </c>
      <c r="F9942" s="2">
        <v>69.0</v>
      </c>
      <c r="G9942" s="2">
        <v>500.0</v>
      </c>
      <c r="H9942" s="3" t="str">
        <f>HYPERLINK("http://www.linkedin.com/in/terrybean","http://www.linkedin.com/in/terrybean")</f>
        <v>http://www.linkedin.com/in/terrybean</v>
      </c>
      <c r="I9942" s="2" t="s">
        <v>1390</v>
      </c>
      <c r="J9942" s="2" t="s">
        <v>102</v>
      </c>
      <c r="K9942" s="2" t="s">
        <v>14055</v>
      </c>
    </row>
    <row r="9943" ht="15.75" customHeight="1">
      <c r="A9943" s="2">
        <v>230365.0</v>
      </c>
      <c r="B9943" s="2" t="s">
        <v>1232</v>
      </c>
      <c r="C9943" s="2" t="s">
        <v>1004</v>
      </c>
      <c r="D9943" s="2" t="s">
        <v>13</v>
      </c>
      <c r="E9943" s="2" t="s">
        <v>136</v>
      </c>
      <c r="F9943" s="2">
        <v>0.0</v>
      </c>
      <c r="G9943" s="2">
        <v>500.0</v>
      </c>
      <c r="H9943" s="3" t="str">
        <f>HYPERLINK("http://www.linkedin.com/in/rogerscott","http://www.linkedin.com/in/rogerscott")</f>
        <v>http://www.linkedin.com/in/rogerscott</v>
      </c>
      <c r="I9943" s="2" t="s">
        <v>15</v>
      </c>
      <c r="J9943" s="2" t="s">
        <v>102</v>
      </c>
      <c r="K9943" s="2" t="s">
        <v>14080</v>
      </c>
    </row>
    <row r="9944" ht="15.75" customHeight="1">
      <c r="A9944" s="2">
        <v>230408.0</v>
      </c>
      <c r="B9944" s="2" t="s">
        <v>1309</v>
      </c>
      <c r="C9944" s="2" t="s">
        <v>17431</v>
      </c>
      <c r="D9944" s="2" t="s">
        <v>13</v>
      </c>
      <c r="E9944" s="2" t="s">
        <v>1547</v>
      </c>
      <c r="F9944" s="2">
        <v>0.0</v>
      </c>
      <c r="G9944" s="2">
        <v>500.0</v>
      </c>
      <c r="H9944" s="3" t="str">
        <f>HYPERLINK("http://www.linkedin.com/in/alfredolezama","http://www.linkedin.com/in/alfredolezama")</f>
        <v>http://www.linkedin.com/in/alfredolezama</v>
      </c>
      <c r="I9944" s="2" t="s">
        <v>77</v>
      </c>
      <c r="J9944" s="2" t="s">
        <v>102</v>
      </c>
      <c r="K9944" s="2" t="s">
        <v>14055</v>
      </c>
    </row>
    <row r="9945" ht="15.75" customHeight="1">
      <c r="A9945" s="2">
        <v>230425.0</v>
      </c>
      <c r="B9945" s="2" t="s">
        <v>17432</v>
      </c>
      <c r="C9945" s="2" t="s">
        <v>99</v>
      </c>
      <c r="D9945" s="2" t="s">
        <v>17433</v>
      </c>
      <c r="E9945" s="2" t="s">
        <v>136</v>
      </c>
      <c r="F9945" s="2">
        <v>8.0</v>
      </c>
      <c r="G9945" s="2">
        <v>500.0</v>
      </c>
      <c r="H9945" s="3" t="str">
        <f>HYPERLINK("http://www.linkedin.com/in/decisionnettechnologies","http://www.linkedin.com/in/decisionnettechnologies")</f>
        <v>http://www.linkedin.com/in/decisionnettechnologies</v>
      </c>
      <c r="I9945" s="2" t="s">
        <v>15</v>
      </c>
      <c r="J9945" s="2" t="s">
        <v>102</v>
      </c>
      <c r="K9945" s="2" t="s">
        <v>16228</v>
      </c>
    </row>
    <row r="9946" ht="15.75" customHeight="1">
      <c r="A9946" s="2">
        <v>230435.0</v>
      </c>
      <c r="B9946" s="2" t="s">
        <v>3432</v>
      </c>
      <c r="C9946" s="2" t="s">
        <v>17434</v>
      </c>
      <c r="D9946" s="2" t="s">
        <v>17435</v>
      </c>
      <c r="E9946" s="2" t="s">
        <v>301</v>
      </c>
      <c r="F9946" s="2">
        <v>17.0</v>
      </c>
      <c r="G9946" s="2">
        <v>500.0</v>
      </c>
      <c r="H9946" s="3" t="str">
        <f>HYPERLINK("http://www.linkedin.com/in/jaffejuice","http://www.linkedin.com/in/jaffejuice")</f>
        <v>http://www.linkedin.com/in/jaffejuice</v>
      </c>
      <c r="I9946" s="2" t="s">
        <v>105</v>
      </c>
      <c r="J9946" s="2" t="s">
        <v>102</v>
      </c>
      <c r="K9946" s="2" t="s">
        <v>14055</v>
      </c>
    </row>
    <row r="9947" ht="15.75" customHeight="1">
      <c r="A9947" s="2">
        <v>230454.0</v>
      </c>
      <c r="B9947" s="2" t="s">
        <v>14467</v>
      </c>
      <c r="C9947" s="2" t="s">
        <v>17436</v>
      </c>
      <c r="D9947" s="2" t="s">
        <v>47</v>
      </c>
      <c r="E9947" s="2" t="s">
        <v>2058</v>
      </c>
      <c r="F9947" s="2">
        <v>11.0</v>
      </c>
      <c r="G9947" s="2">
        <v>500.0</v>
      </c>
      <c r="H9947" s="3" t="str">
        <f>HYPERLINK("http://www.linkedin.com/in/aribayme","http://www.linkedin.com/in/aribayme")</f>
        <v>http://www.linkedin.com/in/aribayme</v>
      </c>
      <c r="I9947" s="2" t="s">
        <v>69</v>
      </c>
      <c r="J9947" s="2" t="s">
        <v>102</v>
      </c>
      <c r="K9947" s="2" t="s">
        <v>14071</v>
      </c>
    </row>
    <row r="9948" ht="15.75" customHeight="1">
      <c r="A9948" s="2">
        <v>230579.0</v>
      </c>
      <c r="B9948" s="2" t="s">
        <v>17437</v>
      </c>
      <c r="C9948" s="2" t="s">
        <v>17438</v>
      </c>
      <c r="D9948" s="2" t="s">
        <v>17439</v>
      </c>
      <c r="E9948" s="2" t="s">
        <v>301</v>
      </c>
      <c r="F9948" s="2">
        <v>23.0</v>
      </c>
      <c r="G9948" s="2">
        <v>500.0</v>
      </c>
      <c r="H9948" s="3" t="str">
        <f>HYPERLINK("http://www.linkedin.com/in/garydruckenmiller","http://www.linkedin.com/in/garydruckenmiller")</f>
        <v>http://www.linkedin.com/in/garydruckenmiller</v>
      </c>
      <c r="I9948" s="2" t="s">
        <v>69</v>
      </c>
      <c r="J9948" s="2" t="s">
        <v>102</v>
      </c>
      <c r="K9948" s="2" t="s">
        <v>14080</v>
      </c>
    </row>
    <row r="9949" ht="15.75" customHeight="1">
      <c r="A9949" s="2">
        <v>230580.0</v>
      </c>
      <c r="B9949" s="2" t="s">
        <v>414</v>
      </c>
      <c r="C9949" s="2" t="s">
        <v>1527</v>
      </c>
      <c r="D9949" s="2" t="s">
        <v>17440</v>
      </c>
      <c r="E9949" s="2" t="s">
        <v>17441</v>
      </c>
      <c r="F9949" s="2">
        <v>2.0</v>
      </c>
      <c r="G9949" s="2">
        <v>372.0</v>
      </c>
      <c r="H9949" s="3" t="str">
        <f>HYPERLINK("http://www.linkedin.com/in/thomasaclark","http://www.linkedin.com/in/thomasaclark")</f>
        <v>http://www.linkedin.com/in/thomasaclark</v>
      </c>
      <c r="I9949" s="2" t="s">
        <v>172</v>
      </c>
      <c r="J9949" s="2" t="s">
        <v>102</v>
      </c>
      <c r="K9949" s="2" t="s">
        <v>14055</v>
      </c>
    </row>
    <row r="9950" ht="15.75" customHeight="1">
      <c r="A9950" s="2">
        <v>230640.0</v>
      </c>
      <c r="B9950" s="2" t="s">
        <v>17442</v>
      </c>
      <c r="C9950" s="2" t="s">
        <v>17443</v>
      </c>
      <c r="D9950" s="2" t="s">
        <v>47</v>
      </c>
      <c r="E9950" s="2" t="s">
        <v>325</v>
      </c>
      <c r="F9950" s="2">
        <v>0.0</v>
      </c>
      <c r="G9950" s="2">
        <v>196.0</v>
      </c>
      <c r="H9950" s="3" t="str">
        <f>HYPERLINK("http://www.linkedin.com/pub/jorge-chiriboga/6/6B9/3B3","http://www.linkedin.com/pub/jorge-chiriboga/6/6B9/3B3")</f>
        <v>http://www.linkedin.com/pub/jorge-chiriboga/6/6B9/3B3</v>
      </c>
      <c r="I9950" s="2" t="s">
        <v>1421</v>
      </c>
      <c r="J9950" s="2" t="s">
        <v>102</v>
      </c>
      <c r="K9950" s="2" t="s">
        <v>14074</v>
      </c>
    </row>
    <row r="9951" ht="15.75" customHeight="1">
      <c r="A9951" s="2">
        <v>230705.0</v>
      </c>
      <c r="B9951" s="2" t="s">
        <v>631</v>
      </c>
      <c r="C9951" s="2" t="s">
        <v>4591</v>
      </c>
      <c r="D9951" s="2" t="s">
        <v>13</v>
      </c>
      <c r="E9951" s="2" t="s">
        <v>628</v>
      </c>
      <c r="F9951" s="2">
        <v>0.0</v>
      </c>
      <c r="G9951" s="2">
        <v>480.0</v>
      </c>
      <c r="H9951" s="3" t="str">
        <f>HYPERLINK("http://www.linkedin.com/in/dchristopherwoods","http://www.linkedin.com/in/dchristopherwoods")</f>
        <v>http://www.linkedin.com/in/dchristopherwoods</v>
      </c>
      <c r="I9951" s="2" t="s">
        <v>48</v>
      </c>
      <c r="J9951" s="2" t="s">
        <v>102</v>
      </c>
      <c r="K9951" s="2" t="s">
        <v>14651</v>
      </c>
    </row>
    <row r="9952" ht="15.75" customHeight="1">
      <c r="A9952" s="2">
        <v>230784.0</v>
      </c>
      <c r="B9952" s="2" t="s">
        <v>1265</v>
      </c>
      <c r="C9952" s="2" t="s">
        <v>17444</v>
      </c>
      <c r="D9952" s="2"/>
      <c r="E9952" s="2" t="s">
        <v>628</v>
      </c>
      <c r="F9952" s="2">
        <v>0.0</v>
      </c>
      <c r="G9952" s="2">
        <v>500.0</v>
      </c>
      <c r="H9952" s="3" t="str">
        <f>HYPERLINK("http://www.linkedin.com/pub/joanne-tyree/1/182/B79","http://www.linkedin.com/pub/joanne-tyree/1/182/B79")</f>
        <v>http://www.linkedin.com/pub/joanne-tyree/1/182/B79</v>
      </c>
      <c r="I9952" s="2" t="s">
        <v>15</v>
      </c>
      <c r="J9952" s="2" t="s">
        <v>102</v>
      </c>
      <c r="K9952" s="2" t="s">
        <v>14092</v>
      </c>
    </row>
    <row r="9953" ht="15.75" customHeight="1">
      <c r="A9953" s="2">
        <v>230811.0</v>
      </c>
      <c r="B9953" s="2" t="s">
        <v>1157</v>
      </c>
      <c r="C9953" s="2" t="s">
        <v>17445</v>
      </c>
      <c r="D9953" s="2" t="s">
        <v>17446</v>
      </c>
      <c r="E9953" s="2" t="s">
        <v>713</v>
      </c>
      <c r="F9953" s="2">
        <v>50.0</v>
      </c>
      <c r="G9953" s="2">
        <v>471.0</v>
      </c>
      <c r="H9953" s="3" t="str">
        <f>HYPERLINK("http://www.linkedin.com/in/howardleyda","http://www.linkedin.com/in/howardleyda")</f>
        <v>http://www.linkedin.com/in/howardleyda</v>
      </c>
      <c r="I9953" s="2" t="s">
        <v>306</v>
      </c>
      <c r="J9953" s="2" t="s">
        <v>102</v>
      </c>
      <c r="K9953" s="2" t="s">
        <v>14617</v>
      </c>
    </row>
    <row r="9954" ht="15.75" customHeight="1">
      <c r="A9954" s="2">
        <v>230827.0</v>
      </c>
      <c r="B9954" s="2" t="s">
        <v>3477</v>
      </c>
      <c r="C9954" s="2" t="s">
        <v>14185</v>
      </c>
      <c r="D9954" s="2" t="s">
        <v>47</v>
      </c>
      <c r="E9954" s="2" t="s">
        <v>155</v>
      </c>
      <c r="F9954" s="2">
        <v>4.0</v>
      </c>
      <c r="G9954" s="2">
        <v>500.0</v>
      </c>
      <c r="H9954" s="3" t="str">
        <f>HYPERLINK("http://www.linkedin.com/in/joshstevens","http://www.linkedin.com/in/joshstevens")</f>
        <v>http://www.linkedin.com/in/joshstevens</v>
      </c>
      <c r="I9954" s="2" t="s">
        <v>27</v>
      </c>
      <c r="J9954" s="2" t="s">
        <v>102</v>
      </c>
      <c r="K9954" s="2" t="s">
        <v>14074</v>
      </c>
    </row>
    <row r="9955" ht="15.75" customHeight="1">
      <c r="A9955" s="2">
        <v>230848.0</v>
      </c>
      <c r="B9955" s="2" t="s">
        <v>752</v>
      </c>
      <c r="C9955" s="2" t="s">
        <v>17447</v>
      </c>
      <c r="D9955" s="2" t="s">
        <v>17448</v>
      </c>
      <c r="E9955" s="2" t="s">
        <v>317</v>
      </c>
      <c r="F9955" s="2">
        <v>52.0</v>
      </c>
      <c r="G9955" s="2">
        <v>500.0</v>
      </c>
      <c r="H9955" s="3" t="str">
        <f>HYPERLINK("http://www.linkedin.com/pub/jim-beddows/0/16/862","http://www.linkedin.com/pub/jim-beddows/0/16/862")</f>
        <v>http://www.linkedin.com/pub/jim-beddows/0/16/862</v>
      </c>
      <c r="I9955" s="2" t="s">
        <v>77</v>
      </c>
      <c r="J9955" s="2" t="s">
        <v>102</v>
      </c>
      <c r="K9955" s="2" t="s">
        <v>14211</v>
      </c>
    </row>
    <row r="9956" ht="15.75" customHeight="1">
      <c r="A9956" s="2">
        <v>230900.0</v>
      </c>
      <c r="B9956" s="2" t="s">
        <v>414</v>
      </c>
      <c r="C9956" s="2" t="s">
        <v>17449</v>
      </c>
      <c r="D9956" s="2" t="s">
        <v>17450</v>
      </c>
      <c r="E9956" s="2" t="s">
        <v>301</v>
      </c>
      <c r="F9956" s="2">
        <v>12.0</v>
      </c>
      <c r="G9956" s="2">
        <v>500.0</v>
      </c>
      <c r="H9956" s="3" t="str">
        <f>HYPERLINK("http://www.linkedin.com/in/tomtobin","http://www.linkedin.com/in/tomtobin")</f>
        <v>http://www.linkedin.com/in/tomtobin</v>
      </c>
      <c r="I9956" s="2" t="s">
        <v>48</v>
      </c>
      <c r="J9956" s="2" t="s">
        <v>102</v>
      </c>
      <c r="K9956" s="2" t="s">
        <v>14197</v>
      </c>
    </row>
    <row r="9957" ht="15.75" customHeight="1">
      <c r="A9957" s="2">
        <v>230919.0</v>
      </c>
      <c r="B9957" s="2" t="s">
        <v>189</v>
      </c>
      <c r="C9957" s="2" t="s">
        <v>17451</v>
      </c>
      <c r="D9957" s="2" t="s">
        <v>536</v>
      </c>
      <c r="E9957" s="2" t="s">
        <v>628</v>
      </c>
      <c r="F9957" s="2">
        <v>59.0</v>
      </c>
      <c r="G9957" s="2">
        <v>500.0</v>
      </c>
      <c r="H9957" s="3" t="str">
        <f>HYPERLINK("http://www.linkedin.com/in/deandelisle","http://www.linkedin.com/in/deandelisle")</f>
        <v>http://www.linkedin.com/in/deandelisle</v>
      </c>
      <c r="I9957" s="2" t="s">
        <v>105</v>
      </c>
      <c r="J9957" s="2" t="s">
        <v>102</v>
      </c>
      <c r="K9957" s="2" t="s">
        <v>14055</v>
      </c>
    </row>
    <row r="9958" ht="15.75" customHeight="1">
      <c r="A9958" s="2">
        <v>230925.0</v>
      </c>
      <c r="B9958" s="2" t="s">
        <v>752</v>
      </c>
      <c r="C9958" s="2" t="s">
        <v>17452</v>
      </c>
      <c r="D9958" s="2" t="s">
        <v>13</v>
      </c>
      <c r="E9958" s="2" t="s">
        <v>1818</v>
      </c>
      <c r="F9958" s="2">
        <v>0.0</v>
      </c>
      <c r="G9958" s="2">
        <v>500.0</v>
      </c>
      <c r="H9958" s="3" t="str">
        <f>HYPERLINK("http://www.linkedin.com/in/jameskerr","http://www.linkedin.com/in/jameskerr")</f>
        <v>http://www.linkedin.com/in/jameskerr</v>
      </c>
      <c r="I9958" s="2" t="s">
        <v>48</v>
      </c>
      <c r="J9958" s="2" t="s">
        <v>102</v>
      </c>
      <c r="K9958" s="2" t="s">
        <v>17453</v>
      </c>
    </row>
    <row r="9959" ht="15.75" customHeight="1">
      <c r="A9959" s="2">
        <v>230958.0</v>
      </c>
      <c r="B9959" s="2" t="s">
        <v>1144</v>
      </c>
      <c r="C9959" s="2" t="s">
        <v>17454</v>
      </c>
      <c r="D9959" s="2" t="s">
        <v>410</v>
      </c>
      <c r="E9959" s="2" t="s">
        <v>166</v>
      </c>
      <c r="F9959" s="2">
        <v>11.0</v>
      </c>
      <c r="G9959" s="2">
        <v>500.0</v>
      </c>
      <c r="H9959" s="3" t="str">
        <f>HYPERLINK("http://www.linkedin.com/in/allenfogel","http://www.linkedin.com/in/allenfogel")</f>
        <v>http://www.linkedin.com/in/allenfogel</v>
      </c>
      <c r="I9959" s="2" t="s">
        <v>105</v>
      </c>
      <c r="J9959" s="2" t="s">
        <v>102</v>
      </c>
      <c r="K9959" s="2" t="s">
        <v>14055</v>
      </c>
    </row>
    <row r="9960" ht="15.75" customHeight="1">
      <c r="A9960" s="2">
        <v>231042.0</v>
      </c>
      <c r="B9960" s="2" t="s">
        <v>189</v>
      </c>
      <c r="C9960" s="2" t="s">
        <v>17455</v>
      </c>
      <c r="D9960" s="2" t="s">
        <v>17456</v>
      </c>
      <c r="E9960" s="2" t="s">
        <v>301</v>
      </c>
      <c r="F9960" s="2">
        <v>33.0</v>
      </c>
      <c r="G9960" s="2">
        <v>401.0</v>
      </c>
      <c r="H9960" s="3" t="str">
        <f>HYPERLINK("http://www.linkedin.com/pub/dean-colantino/1/328/392","http://www.linkedin.com/pub/dean-colantino/1/328/392")</f>
        <v>http://www.linkedin.com/pub/dean-colantino/1/328/392</v>
      </c>
      <c r="I9960" s="2" t="s">
        <v>69</v>
      </c>
      <c r="J9960" s="2" t="s">
        <v>102</v>
      </c>
      <c r="K9960" s="2" t="s">
        <v>14080</v>
      </c>
    </row>
    <row r="9961" ht="15.75" customHeight="1">
      <c r="A9961" s="2">
        <v>231090.0</v>
      </c>
      <c r="B9961" s="2" t="s">
        <v>2259</v>
      </c>
      <c r="C9961" s="2" t="s">
        <v>17457</v>
      </c>
      <c r="D9961" s="2" t="s">
        <v>47</v>
      </c>
      <c r="E9961" s="2" t="s">
        <v>17458</v>
      </c>
      <c r="F9961" s="2">
        <v>1.0</v>
      </c>
      <c r="G9961" s="2">
        <v>500.0</v>
      </c>
      <c r="H9961" s="3" t="str">
        <f>HYPERLINK("http://www.linkedin.com/pub/avery-gimble/7/637/83","http://www.linkedin.com/pub/avery-gimble/7/637/83")</f>
        <v>http://www.linkedin.com/pub/avery-gimble/7/637/83</v>
      </c>
      <c r="I9961" s="2" t="s">
        <v>1740</v>
      </c>
      <c r="J9961" s="2" t="s">
        <v>102</v>
      </c>
      <c r="K9961" s="2" t="s">
        <v>14055</v>
      </c>
    </row>
    <row r="9962" ht="15.75" customHeight="1">
      <c r="A9962" s="2">
        <v>231105.0</v>
      </c>
      <c r="B9962" s="2" t="s">
        <v>1071</v>
      </c>
      <c r="C9962" s="2" t="s">
        <v>17459</v>
      </c>
      <c r="D9962" s="2" t="s">
        <v>17460</v>
      </c>
      <c r="E9962" s="2" t="s">
        <v>136</v>
      </c>
      <c r="F9962" s="2">
        <v>72.0</v>
      </c>
      <c r="G9962" s="2">
        <v>500.0</v>
      </c>
      <c r="H9962" s="3" t="str">
        <f>HYPERLINK("http://www.linkedin.com/pub/eric-herzog/0/7AB/B94","http://www.linkedin.com/pub/eric-herzog/0/7AB/B94")</f>
        <v>http://www.linkedin.com/pub/eric-herzog/0/7AB/B94</v>
      </c>
      <c r="I9962" s="2" t="s">
        <v>15</v>
      </c>
      <c r="J9962" s="2" t="s">
        <v>102</v>
      </c>
      <c r="K9962" s="2" t="s">
        <v>14080</v>
      </c>
    </row>
    <row r="9963" ht="15.75" customHeight="1">
      <c r="A9963" s="2">
        <v>231128.0</v>
      </c>
      <c r="B9963" s="2" t="s">
        <v>1969</v>
      </c>
      <c r="C9963" s="2" t="s">
        <v>17461</v>
      </c>
      <c r="D9963" s="2" t="s">
        <v>114</v>
      </c>
      <c r="E9963" s="2" t="s">
        <v>989</v>
      </c>
      <c r="F9963" s="2">
        <v>0.0</v>
      </c>
      <c r="G9963" s="2">
        <v>500.0</v>
      </c>
      <c r="H9963" s="3" t="str">
        <f>HYPERLINK("http://www.linkedin.com/pub/vince-messina/7/648/769","http://www.linkedin.com/pub/vince-messina/7/648/769")</f>
        <v>http://www.linkedin.com/pub/vince-messina/7/648/769</v>
      </c>
      <c r="I9963" s="2" t="s">
        <v>248</v>
      </c>
      <c r="J9963" s="2" t="s">
        <v>102</v>
      </c>
      <c r="K9963" s="2" t="s">
        <v>14140</v>
      </c>
    </row>
    <row r="9964" ht="15.75" customHeight="1">
      <c r="A9964" s="2">
        <v>231174.0</v>
      </c>
      <c r="B9964" s="2" t="s">
        <v>511</v>
      </c>
      <c r="C9964" s="2" t="s">
        <v>4012</v>
      </c>
      <c r="D9964" s="2" t="s">
        <v>17462</v>
      </c>
      <c r="E9964" s="2" t="s">
        <v>628</v>
      </c>
      <c r="F9964" s="2" t="s">
        <v>13</v>
      </c>
      <c r="G9964" s="2">
        <v>500.0</v>
      </c>
      <c r="H9964" s="3" t="str">
        <f>HYPERLINK("http://www.linkedin.com/in/grubhubmike","http://www.linkedin.com/in/grubhubmike")</f>
        <v>http://www.linkedin.com/in/grubhubmike</v>
      </c>
      <c r="I9964" s="2" t="s">
        <v>69</v>
      </c>
      <c r="J9964" s="2" t="s">
        <v>102</v>
      </c>
      <c r="K9964" s="2" t="s">
        <v>14078</v>
      </c>
    </row>
    <row r="9965" ht="15.75" customHeight="1">
      <c r="A9965" s="2">
        <v>231217.0</v>
      </c>
      <c r="B9965" s="2" t="s">
        <v>4097</v>
      </c>
      <c r="C9965" s="2" t="s">
        <v>11586</v>
      </c>
      <c r="D9965" s="2" t="s">
        <v>47</v>
      </c>
      <c r="E9965" s="2" t="s">
        <v>11025</v>
      </c>
      <c r="F9965" s="2">
        <v>30.0</v>
      </c>
      <c r="G9965" s="2">
        <v>500.0</v>
      </c>
      <c r="H9965" s="3" t="str">
        <f>HYPERLINK("http://www.linkedin.com/in/brockblake","http://www.linkedin.com/in/brockblake")</f>
        <v>http://www.linkedin.com/in/brockblake</v>
      </c>
      <c r="I9965" s="2" t="s">
        <v>279</v>
      </c>
      <c r="J9965" s="2" t="s">
        <v>102</v>
      </c>
      <c r="K9965" s="2" t="s">
        <v>14105</v>
      </c>
    </row>
    <row r="9966" ht="15.75" customHeight="1">
      <c r="A9966" s="2">
        <v>231245.0</v>
      </c>
      <c r="B9966" s="2" t="s">
        <v>845</v>
      </c>
      <c r="C9966" s="2" t="s">
        <v>17463</v>
      </c>
      <c r="D9966" s="2" t="s">
        <v>13</v>
      </c>
      <c r="E9966" s="2" t="s">
        <v>181</v>
      </c>
      <c r="F9966" s="2">
        <v>0.0</v>
      </c>
      <c r="G9966" s="2">
        <v>500.0</v>
      </c>
      <c r="H9966" s="3" t="str">
        <f>HYPERLINK("http://www.linkedin.com/in/davidstern212","http://www.linkedin.com/in/davidstern212")</f>
        <v>http://www.linkedin.com/in/davidstern212</v>
      </c>
      <c r="I9966" s="2" t="s">
        <v>57</v>
      </c>
      <c r="J9966" s="2" t="s">
        <v>102</v>
      </c>
      <c r="K9966" s="2" t="s">
        <v>14140</v>
      </c>
    </row>
    <row r="9967" ht="15.75" customHeight="1">
      <c r="A9967" s="2">
        <v>231294.0</v>
      </c>
      <c r="B9967" s="2" t="s">
        <v>133</v>
      </c>
      <c r="C9967" s="2" t="s">
        <v>17464</v>
      </c>
      <c r="D9967" s="2" t="s">
        <v>114</v>
      </c>
      <c r="E9967" s="2" t="s">
        <v>251</v>
      </c>
      <c r="F9967" s="2">
        <v>1.0</v>
      </c>
      <c r="G9967" s="2">
        <v>403.0</v>
      </c>
      <c r="H9967" s="3" t="str">
        <f>HYPERLINK("http://www.linkedin.com/pub/michael-congdon/7/71A/619","http://www.linkedin.com/pub/michael-congdon/7/71A/619")</f>
        <v>http://www.linkedin.com/pub/michael-congdon/7/71A/619</v>
      </c>
      <c r="I9967" s="2" t="s">
        <v>15</v>
      </c>
      <c r="J9967" s="2" t="s">
        <v>102</v>
      </c>
      <c r="K9967" s="2" t="s">
        <v>14078</v>
      </c>
    </row>
    <row r="9968" ht="15.75" customHeight="1">
      <c r="A9968" s="2">
        <v>231319.0</v>
      </c>
      <c r="B9968" s="2" t="s">
        <v>664</v>
      </c>
      <c r="C9968" s="2" t="s">
        <v>17465</v>
      </c>
      <c r="D9968" s="2" t="s">
        <v>4461</v>
      </c>
      <c r="E9968" s="2" t="s">
        <v>136</v>
      </c>
      <c r="F9968" s="2" t="s">
        <v>13</v>
      </c>
      <c r="G9968" s="2">
        <v>390.0</v>
      </c>
      <c r="H9968" s="3" t="str">
        <f>HYPERLINK("http://www.linkedin.com/pub/gordon-mackean/0/627/430","http://www.linkedin.com/pub/gordon-mackean/0/627/430")</f>
        <v>http://www.linkedin.com/pub/gordon-mackean/0/627/430</v>
      </c>
      <c r="I9968" s="2" t="s">
        <v>69</v>
      </c>
      <c r="J9968" s="2" t="s">
        <v>102</v>
      </c>
      <c r="K9968" s="2" t="s">
        <v>17466</v>
      </c>
    </row>
    <row r="9969" ht="15.75" customHeight="1">
      <c r="A9969" s="2">
        <v>231332.0</v>
      </c>
      <c r="B9969" s="2" t="s">
        <v>17467</v>
      </c>
      <c r="C9969" s="2" t="s">
        <v>17468</v>
      </c>
      <c r="D9969" s="2" t="s">
        <v>416</v>
      </c>
      <c r="E9969" s="2" t="s">
        <v>136</v>
      </c>
      <c r="F9969" s="2">
        <v>12.0</v>
      </c>
      <c r="G9969" s="2">
        <v>500.0</v>
      </c>
      <c r="H9969" s="3" t="str">
        <f>HYPERLINK("http://www.linkedin.com/in/nkishore","http://www.linkedin.com/in/nkishore")</f>
        <v>http://www.linkedin.com/in/nkishore</v>
      </c>
      <c r="I9969" s="2" t="s">
        <v>69</v>
      </c>
      <c r="J9969" s="2" t="s">
        <v>102</v>
      </c>
      <c r="K9969" s="2" t="s">
        <v>14052</v>
      </c>
    </row>
    <row r="9970" ht="15.75" customHeight="1">
      <c r="A9970" s="2">
        <v>231340.0</v>
      </c>
      <c r="B9970" s="2" t="s">
        <v>17469</v>
      </c>
      <c r="C9970" s="2" t="s">
        <v>17470</v>
      </c>
      <c r="D9970" s="2" t="s">
        <v>17471</v>
      </c>
      <c r="E9970" s="2" t="s">
        <v>101</v>
      </c>
      <c r="F9970" s="2">
        <v>5.0</v>
      </c>
      <c r="G9970" s="2">
        <v>500.0</v>
      </c>
      <c r="H9970" s="3" t="str">
        <f>HYPERLINK("http://www.linkedin.com/in/brante","http://www.linkedin.com/in/brante")</f>
        <v>http://www.linkedin.com/in/brante</v>
      </c>
      <c r="I9970" s="2" t="s">
        <v>15</v>
      </c>
      <c r="J9970" s="2" t="s">
        <v>102</v>
      </c>
      <c r="K9970" s="2" t="s">
        <v>17453</v>
      </c>
    </row>
    <row r="9971" ht="15.75" customHeight="1">
      <c r="A9971" s="2">
        <v>231343.0</v>
      </c>
      <c r="B9971" s="2" t="s">
        <v>752</v>
      </c>
      <c r="C9971" s="2" t="s">
        <v>2194</v>
      </c>
      <c r="D9971" s="2" t="s">
        <v>2655</v>
      </c>
      <c r="E9971" s="2" t="s">
        <v>713</v>
      </c>
      <c r="F9971" s="2">
        <v>29.0</v>
      </c>
      <c r="G9971" s="2">
        <v>500.0</v>
      </c>
      <c r="H9971" s="3" t="str">
        <f>HYPERLINK("http://www.linkedin.com/in/infinitysp","http://www.linkedin.com/in/infinitysp")</f>
        <v>http://www.linkedin.com/in/infinitysp</v>
      </c>
      <c r="I9971" s="2" t="s">
        <v>248</v>
      </c>
      <c r="J9971" s="2" t="s">
        <v>102</v>
      </c>
      <c r="K9971" s="2" t="s">
        <v>14481</v>
      </c>
    </row>
    <row r="9972" ht="15.75" customHeight="1">
      <c r="A9972" s="2">
        <v>231352.0</v>
      </c>
      <c r="B9972" s="2" t="s">
        <v>1821</v>
      </c>
      <c r="C9972" s="2" t="s">
        <v>4268</v>
      </c>
      <c r="D9972" s="2" t="s">
        <v>114</v>
      </c>
      <c r="E9972" s="2" t="s">
        <v>301</v>
      </c>
      <c r="F9972" s="2">
        <v>11.0</v>
      </c>
      <c r="G9972" s="2">
        <v>500.0</v>
      </c>
      <c r="H9972" s="3" t="str">
        <f>HYPERLINK("http://www.linkedin.com/in/keithritter","http://www.linkedin.com/in/keithritter")</f>
        <v>http://www.linkedin.com/in/keithritter</v>
      </c>
      <c r="I9972" s="2" t="s">
        <v>326</v>
      </c>
      <c r="J9972" s="2" t="s">
        <v>102</v>
      </c>
      <c r="K9972" s="2" t="s">
        <v>14055</v>
      </c>
    </row>
    <row r="9973" ht="15.75" customHeight="1">
      <c r="A9973" s="2">
        <v>231391.0</v>
      </c>
      <c r="B9973" s="2" t="s">
        <v>478</v>
      </c>
      <c r="C9973" s="2" t="s">
        <v>17472</v>
      </c>
      <c r="D9973" s="2" t="s">
        <v>191</v>
      </c>
      <c r="E9973" s="2" t="s">
        <v>166</v>
      </c>
      <c r="F9973" s="2">
        <v>14.0</v>
      </c>
      <c r="G9973" s="2">
        <v>423.0</v>
      </c>
      <c r="H9973" s="3" t="str">
        <f>HYPERLINK("http://www.linkedin.com/in/karencoover","http://www.linkedin.com/in/karencoover")</f>
        <v>http://www.linkedin.com/in/karencoover</v>
      </c>
      <c r="I9973" s="2" t="s">
        <v>279</v>
      </c>
      <c r="J9973" s="2" t="s">
        <v>102</v>
      </c>
      <c r="K9973" s="2" t="s">
        <v>14055</v>
      </c>
    </row>
    <row r="9974" ht="15.75" customHeight="1">
      <c r="A9974" s="2">
        <v>231408.0</v>
      </c>
      <c r="B9974" s="2" t="s">
        <v>1653</v>
      </c>
      <c r="C9974" s="2" t="s">
        <v>17473</v>
      </c>
      <c r="D9974" s="2" t="s">
        <v>17474</v>
      </c>
      <c r="E9974" s="2" t="s">
        <v>10885</v>
      </c>
      <c r="F9974" s="2">
        <v>8.0</v>
      </c>
      <c r="G9974" s="2">
        <v>500.0</v>
      </c>
      <c r="H9974" s="3" t="str">
        <f>HYPERLINK("http://www.linkedin.com/in/dougwarner","http://www.linkedin.com/in/dougwarner")</f>
        <v>http://www.linkedin.com/in/dougwarner</v>
      </c>
      <c r="I9974" s="2" t="s">
        <v>15</v>
      </c>
      <c r="J9974" s="2" t="s">
        <v>102</v>
      </c>
      <c r="K9974" s="2" t="s">
        <v>14088</v>
      </c>
    </row>
    <row r="9975" ht="15.75" customHeight="1">
      <c r="A9975" s="2">
        <v>231432.0</v>
      </c>
      <c r="B9975" s="2" t="s">
        <v>1730</v>
      </c>
      <c r="C9975" s="2" t="s">
        <v>17475</v>
      </c>
      <c r="D9975" s="2"/>
      <c r="E9975" s="2" t="s">
        <v>1317</v>
      </c>
      <c r="F9975" s="2">
        <v>24.0</v>
      </c>
      <c r="G9975" s="2">
        <v>500.0</v>
      </c>
      <c r="H9975" s="3" t="str">
        <f>HYPERLINK("http://www.linkedin.com/pub/lynn-jobe/0/463/432","http://www.linkedin.com/pub/lynn-jobe/0/463/432")</f>
        <v>http://www.linkedin.com/pub/lynn-jobe/0/463/432</v>
      </c>
      <c r="I9975" s="2" t="s">
        <v>48</v>
      </c>
      <c r="J9975" s="2" t="s">
        <v>102</v>
      </c>
      <c r="K9975" s="2" t="s">
        <v>15074</v>
      </c>
    </row>
    <row r="9976" ht="15.75" customHeight="1">
      <c r="A9976" s="2">
        <v>231459.0</v>
      </c>
      <c r="B9976" s="2" t="s">
        <v>2350</v>
      </c>
      <c r="C9976" s="2" t="s">
        <v>17476</v>
      </c>
      <c r="D9976" s="2" t="s">
        <v>17477</v>
      </c>
      <c r="E9976" s="2" t="s">
        <v>235</v>
      </c>
      <c r="F9976" s="2">
        <v>3.0</v>
      </c>
      <c r="G9976" s="2">
        <v>500.0</v>
      </c>
      <c r="H9976" s="3" t="str">
        <f>HYPERLINK("http://www.linkedin.com/in/fredf","http://www.linkedin.com/in/fredf")</f>
        <v>http://www.linkedin.com/in/fredf</v>
      </c>
      <c r="I9976" s="2" t="s">
        <v>48</v>
      </c>
      <c r="J9976" s="2" t="s">
        <v>102</v>
      </c>
      <c r="K9976" s="2" t="s">
        <v>14080</v>
      </c>
    </row>
    <row r="9977" ht="15.75" customHeight="1">
      <c r="A9977" s="2">
        <v>231494.0</v>
      </c>
      <c r="B9977" s="2" t="s">
        <v>879</v>
      </c>
      <c r="C9977" s="2" t="s">
        <v>17478</v>
      </c>
      <c r="D9977" s="2" t="s">
        <v>13</v>
      </c>
      <c r="E9977" s="2" t="s">
        <v>3516</v>
      </c>
      <c r="F9977" s="2">
        <v>0.0</v>
      </c>
      <c r="G9977" s="2">
        <v>500.0</v>
      </c>
      <c r="H9977" s="3" t="str">
        <f>HYPERLINK("http://www.linkedin.com/in/richardcole77469","http://www.linkedin.com/in/richardcole77469")</f>
        <v>http://www.linkedin.com/in/richardcole77469</v>
      </c>
      <c r="I9977" s="2" t="s">
        <v>15</v>
      </c>
      <c r="J9977" s="2" t="s">
        <v>102</v>
      </c>
      <c r="K9977" s="2" t="s">
        <v>14822</v>
      </c>
    </row>
    <row r="9978" ht="15.75" customHeight="1">
      <c r="A9978" s="2">
        <v>231499.0</v>
      </c>
      <c r="B9978" s="2" t="s">
        <v>879</v>
      </c>
      <c r="C9978" s="2" t="s">
        <v>17479</v>
      </c>
      <c r="D9978" s="2" t="s">
        <v>17480</v>
      </c>
      <c r="E9978" s="2" t="s">
        <v>1234</v>
      </c>
      <c r="F9978" s="2">
        <v>16.0</v>
      </c>
      <c r="G9978" s="2">
        <v>384.0</v>
      </c>
      <c r="H9978" s="3" t="str">
        <f>HYPERLINK("http://www.linkedin.com/in/rtkohn","http://www.linkedin.com/in/rtkohn")</f>
        <v>http://www.linkedin.com/in/rtkohn</v>
      </c>
      <c r="I9978" s="2" t="s">
        <v>160</v>
      </c>
      <c r="J9978" s="2" t="s">
        <v>102</v>
      </c>
      <c r="K9978" s="2" t="s">
        <v>14105</v>
      </c>
    </row>
    <row r="9979" ht="15.75" customHeight="1">
      <c r="A9979" s="2">
        <v>231549.0</v>
      </c>
      <c r="B9979" s="2" t="s">
        <v>17481</v>
      </c>
      <c r="C9979" s="2" t="s">
        <v>10231</v>
      </c>
      <c r="D9979" s="2" t="s">
        <v>17482</v>
      </c>
      <c r="E9979" s="2" t="s">
        <v>136</v>
      </c>
      <c r="F9979" s="2">
        <v>3.0</v>
      </c>
      <c r="G9979" s="2">
        <v>500.0</v>
      </c>
      <c r="H9979" s="3" t="str">
        <f>HYPERLINK("http://www.linkedin.com/in/bhasin","http://www.linkedin.com/in/bhasin")</f>
        <v>http://www.linkedin.com/in/bhasin</v>
      </c>
      <c r="I9979" s="2" t="s">
        <v>1496</v>
      </c>
      <c r="J9979" s="2" t="s">
        <v>102</v>
      </c>
      <c r="K9979" s="2" t="s">
        <v>14080</v>
      </c>
    </row>
    <row r="9980" ht="15.75" customHeight="1">
      <c r="A9980" s="2">
        <v>231618.0</v>
      </c>
      <c r="B9980" s="2" t="s">
        <v>7724</v>
      </c>
      <c r="C9980" s="2" t="s">
        <v>17483</v>
      </c>
      <c r="D9980" s="2" t="s">
        <v>2624</v>
      </c>
      <c r="E9980" s="2" t="s">
        <v>136</v>
      </c>
      <c r="F9980" s="2">
        <v>18.0</v>
      </c>
      <c r="G9980" s="2">
        <v>500.0</v>
      </c>
      <c r="H9980" s="3" t="str">
        <f>HYPERLINK("http://www.linkedin.com/in/larashackelford","http://www.linkedin.com/in/larashackelford")</f>
        <v>http://www.linkedin.com/in/larashackelford</v>
      </c>
      <c r="I9980" s="2" t="s">
        <v>48</v>
      </c>
      <c r="J9980" s="2" t="s">
        <v>102</v>
      </c>
      <c r="K9980" s="2" t="s">
        <v>14080</v>
      </c>
    </row>
    <row r="9981" ht="15.75" customHeight="1">
      <c r="A9981" s="2">
        <v>231653.0</v>
      </c>
      <c r="B9981" s="2" t="s">
        <v>17484</v>
      </c>
      <c r="C9981" s="2" t="s">
        <v>845</v>
      </c>
      <c r="D9981" s="2" t="s">
        <v>17485</v>
      </c>
      <c r="E9981" s="2" t="s">
        <v>301</v>
      </c>
      <c r="F9981" s="2">
        <v>1.0</v>
      </c>
      <c r="G9981" s="2">
        <v>500.0</v>
      </c>
      <c r="H9981" s="3" t="str">
        <f>HYPERLINK("http://www.linkedin.com/in/shaydavid","http://www.linkedin.com/in/shaydavid")</f>
        <v>http://www.linkedin.com/in/shaydavid</v>
      </c>
      <c r="I9981" s="2" t="s">
        <v>48</v>
      </c>
      <c r="J9981" s="2" t="s">
        <v>102</v>
      </c>
      <c r="K9981" s="2" t="s">
        <v>14142</v>
      </c>
    </row>
    <row r="9982" ht="15.75" customHeight="1">
      <c r="A9982" s="2">
        <v>231771.0</v>
      </c>
      <c r="B9982" s="2" t="s">
        <v>275</v>
      </c>
      <c r="C9982" s="2" t="s">
        <v>17486</v>
      </c>
      <c r="D9982" s="2" t="s">
        <v>47</v>
      </c>
      <c r="E9982" s="2" t="s">
        <v>136</v>
      </c>
      <c r="F9982" s="2">
        <v>11.0</v>
      </c>
      <c r="G9982" s="2">
        <v>500.0</v>
      </c>
      <c r="H9982" s="3" t="str">
        <f>HYPERLINK("http://www.linkedin.com/in/heynenm","http://www.linkedin.com/in/heynenm")</f>
        <v>http://www.linkedin.com/in/heynenm</v>
      </c>
      <c r="I9982" s="2" t="s">
        <v>69</v>
      </c>
      <c r="J9982" s="2" t="s">
        <v>102</v>
      </c>
      <c r="K9982" s="2" t="s">
        <v>14071</v>
      </c>
    </row>
    <row r="9983" ht="15.75" customHeight="1">
      <c r="A9983" s="2">
        <v>231807.0</v>
      </c>
      <c r="B9983" s="2" t="s">
        <v>1019</v>
      </c>
      <c r="C9983" s="2" t="s">
        <v>17487</v>
      </c>
      <c r="D9983" s="2" t="s">
        <v>13</v>
      </c>
      <c r="E9983" s="2" t="s">
        <v>101</v>
      </c>
      <c r="F9983" s="2">
        <v>0.0</v>
      </c>
      <c r="G9983" s="2">
        <v>500.0</v>
      </c>
      <c r="H9983" s="3" t="str">
        <f>HYPERLINK("http://www.linkedin.com/in/mattsearfoss","http://www.linkedin.com/in/mattsearfoss")</f>
        <v>http://www.linkedin.com/in/mattsearfoss</v>
      </c>
      <c r="I9983" s="2" t="s">
        <v>15</v>
      </c>
      <c r="J9983" s="2" t="s">
        <v>102</v>
      </c>
      <c r="K9983" s="2" t="s">
        <v>14080</v>
      </c>
    </row>
    <row r="9984" ht="15.75" customHeight="1">
      <c r="A9984" s="2">
        <v>231929.0</v>
      </c>
      <c r="B9984" s="2" t="s">
        <v>133</v>
      </c>
      <c r="C9984" s="2" t="s">
        <v>17488</v>
      </c>
      <c r="D9984" s="2" t="s">
        <v>2802</v>
      </c>
      <c r="E9984" s="2" t="s">
        <v>1329</v>
      </c>
      <c r="F9984" s="2">
        <v>19.0</v>
      </c>
      <c r="G9984" s="2">
        <v>500.0</v>
      </c>
      <c r="H9984" s="3" t="str">
        <f>HYPERLINK("http://www.linkedin.com/in/mquintos","http://www.linkedin.com/in/mquintos")</f>
        <v>http://www.linkedin.com/in/mquintos</v>
      </c>
      <c r="I9984" s="2" t="s">
        <v>105</v>
      </c>
      <c r="J9984" s="2" t="s">
        <v>102</v>
      </c>
      <c r="K9984" s="2" t="s">
        <v>14074</v>
      </c>
    </row>
    <row r="9985" ht="15.75" customHeight="1">
      <c r="A9985" s="2">
        <v>232007.0</v>
      </c>
      <c r="B9985" s="2" t="s">
        <v>11626</v>
      </c>
      <c r="C9985" s="2" t="s">
        <v>17489</v>
      </c>
      <c r="D9985" s="2" t="s">
        <v>47</v>
      </c>
      <c r="E9985" s="2" t="s">
        <v>17490</v>
      </c>
      <c r="F9985" s="2">
        <v>5.0</v>
      </c>
      <c r="G9985" s="2">
        <v>500.0</v>
      </c>
      <c r="H9985" s="3" t="str">
        <f>HYPERLINK("http://uk.linkedin.com/pub/nigel-doust/0/409/B69","http://uk.linkedin.com/pub/nigel-doust/0/409/B69")</f>
        <v>http://uk.linkedin.com/pub/nigel-doust/0/409/B69</v>
      </c>
      <c r="I9985" s="2" t="s">
        <v>48</v>
      </c>
      <c r="J9985" s="2" t="s">
        <v>53</v>
      </c>
      <c r="K9985" s="2" t="s">
        <v>14242</v>
      </c>
    </row>
    <row r="9986" ht="15.75" customHeight="1">
      <c r="A9986" s="2">
        <v>232016.0</v>
      </c>
      <c r="B9986" s="2" t="s">
        <v>471</v>
      </c>
      <c r="C9986" s="2" t="s">
        <v>17491</v>
      </c>
      <c r="D9986" s="2" t="s">
        <v>17492</v>
      </c>
      <c r="E9986" s="2" t="s">
        <v>713</v>
      </c>
      <c r="F9986" s="2">
        <v>16.0</v>
      </c>
      <c r="G9986" s="2">
        <v>397.0</v>
      </c>
      <c r="H9986" s="3" t="str">
        <f>HYPERLINK("http://www.linkedin.com/in/danconery","http://www.linkedin.com/in/danconery")</f>
        <v>http://www.linkedin.com/in/danconery</v>
      </c>
      <c r="I9986" s="2" t="s">
        <v>48</v>
      </c>
      <c r="J9986" s="2" t="s">
        <v>102</v>
      </c>
      <c r="K9986" s="2" t="s">
        <v>14095</v>
      </c>
    </row>
    <row r="9987" ht="15.75" customHeight="1">
      <c r="A9987" s="2">
        <v>232017.0</v>
      </c>
      <c r="B9987" s="2" t="s">
        <v>710</v>
      </c>
      <c r="C9987" s="2" t="s">
        <v>17493</v>
      </c>
      <c r="D9987" s="2" t="s">
        <v>633</v>
      </c>
      <c r="E9987" s="2" t="s">
        <v>136</v>
      </c>
      <c r="F9987" s="2">
        <v>6.0</v>
      </c>
      <c r="G9987" s="2">
        <v>500.0</v>
      </c>
      <c r="H9987" s="3" t="str">
        <f>HYPERLINK("http://www.linkedin.com/in/jasonoberfest","http://www.linkedin.com/in/jasonoberfest")</f>
        <v>http://www.linkedin.com/in/jasonoberfest</v>
      </c>
      <c r="I9987" s="2" t="s">
        <v>69</v>
      </c>
      <c r="J9987" s="2" t="s">
        <v>102</v>
      </c>
      <c r="K9987" s="2" t="s">
        <v>14073</v>
      </c>
    </row>
    <row r="9988" ht="15.75" customHeight="1">
      <c r="A9988" s="2">
        <v>232132.0</v>
      </c>
      <c r="B9988" s="2" t="s">
        <v>15377</v>
      </c>
      <c r="C9988" s="2" t="s">
        <v>17494</v>
      </c>
      <c r="D9988" s="2" t="s">
        <v>47</v>
      </c>
      <c r="E9988" s="2" t="s">
        <v>136</v>
      </c>
      <c r="F9988" s="2">
        <v>0.0</v>
      </c>
      <c r="G9988" s="2">
        <v>500.0</v>
      </c>
      <c r="H9988" s="3" t="str">
        <f>HYPERLINK("http://www.linkedin.com/pub/debbie-landa/0/A/181","http://www.linkedin.com/pub/debbie-landa/0/A/181")</f>
        <v>http://www.linkedin.com/pub/debbie-landa/0/A/181</v>
      </c>
      <c r="I9988" s="2" t="s">
        <v>69</v>
      </c>
      <c r="J9988" s="2" t="s">
        <v>102</v>
      </c>
      <c r="K9988" s="2" t="s">
        <v>14073</v>
      </c>
    </row>
    <row r="9989" ht="15.75" customHeight="1">
      <c r="A9989" s="2">
        <v>232170.0</v>
      </c>
      <c r="B9989" s="2" t="s">
        <v>285</v>
      </c>
      <c r="C9989" s="2" t="s">
        <v>17495</v>
      </c>
      <c r="D9989" s="2" t="s">
        <v>1145</v>
      </c>
      <c r="E9989" s="2" t="s">
        <v>1190</v>
      </c>
      <c r="F9989" s="2">
        <v>13.0</v>
      </c>
      <c r="G9989" s="2">
        <v>500.0</v>
      </c>
      <c r="H9989" s="3" t="str">
        <f>HYPERLINK("http://www.linkedin.com/in/marcmencher","http://www.linkedin.com/in/marcmencher")</f>
        <v>http://www.linkedin.com/in/marcmencher</v>
      </c>
      <c r="I9989" s="2" t="s">
        <v>143</v>
      </c>
      <c r="J9989" s="2" t="s">
        <v>102</v>
      </c>
      <c r="K9989" s="2" t="s">
        <v>14197</v>
      </c>
    </row>
    <row r="9990" ht="15.75" customHeight="1">
      <c r="A9990" s="2">
        <v>232218.0</v>
      </c>
      <c r="B9990" s="2" t="s">
        <v>4946</v>
      </c>
      <c r="C9990" s="2" t="s">
        <v>4367</v>
      </c>
      <c r="D9990" s="2" t="s">
        <v>114</v>
      </c>
      <c r="E9990" s="2" t="s">
        <v>505</v>
      </c>
      <c r="F9990" s="2">
        <v>24.0</v>
      </c>
      <c r="G9990" s="2">
        <v>500.0</v>
      </c>
      <c r="H9990" s="3" t="str">
        <f>HYPERLINK("http://www.linkedin.com/in/lauriemitchellmarketingsearch","http://www.linkedin.com/in/lauriemitchellmarketingsearch")</f>
        <v>http://www.linkedin.com/in/lauriemitchellmarketingsearch</v>
      </c>
      <c r="I9990" s="2" t="s">
        <v>248</v>
      </c>
      <c r="J9990" s="2" t="s">
        <v>102</v>
      </c>
      <c r="K9990" s="2" t="s">
        <v>14074</v>
      </c>
    </row>
    <row r="9991" ht="15.75" customHeight="1">
      <c r="A9991" s="2">
        <v>232224.0</v>
      </c>
      <c r="B9991" s="2" t="s">
        <v>17496</v>
      </c>
      <c r="C9991" s="2" t="s">
        <v>66</v>
      </c>
      <c r="D9991" s="2" t="s">
        <v>17497</v>
      </c>
      <c r="E9991" s="2" t="s">
        <v>2058</v>
      </c>
      <c r="F9991" s="2">
        <v>11.0</v>
      </c>
      <c r="G9991" s="2">
        <v>500.0</v>
      </c>
      <c r="H9991" s="3" t="str">
        <f>HYPERLINK("http://www.linkedin.com/in/valeskajacques","http://www.linkedin.com/in/valeskajacques")</f>
        <v>http://www.linkedin.com/in/valeskajacques</v>
      </c>
      <c r="I9991" s="2" t="s">
        <v>69</v>
      </c>
      <c r="J9991" s="2" t="s">
        <v>102</v>
      </c>
      <c r="K9991" s="2" t="s">
        <v>14088</v>
      </c>
    </row>
    <row r="9992" ht="15.75" customHeight="1">
      <c r="A9992" s="2">
        <v>232230.0</v>
      </c>
      <c r="B9992" s="2" t="s">
        <v>17498</v>
      </c>
      <c r="C9992" s="2" t="s">
        <v>17499</v>
      </c>
      <c r="D9992" s="2" t="s">
        <v>114</v>
      </c>
      <c r="E9992" s="2" t="s">
        <v>101</v>
      </c>
      <c r="F9992" s="2">
        <v>8.0</v>
      </c>
      <c r="G9992" s="2">
        <v>500.0</v>
      </c>
      <c r="H9992" s="3" t="str">
        <f>HYPERLINK("http://www.linkedin.com/in/jeneane","http://www.linkedin.com/in/jeneane")</f>
        <v>http://www.linkedin.com/in/jeneane</v>
      </c>
      <c r="I9992" s="2" t="s">
        <v>844</v>
      </c>
      <c r="J9992" s="2" t="s">
        <v>102</v>
      </c>
      <c r="K9992" s="2" t="s">
        <v>14055</v>
      </c>
    </row>
    <row r="9993" ht="15.75" customHeight="1">
      <c r="A9993" s="2">
        <v>232249.0</v>
      </c>
      <c r="B9993" s="2" t="s">
        <v>133</v>
      </c>
      <c r="C9993" s="2" t="s">
        <v>17500</v>
      </c>
      <c r="D9993" s="2" t="s">
        <v>15460</v>
      </c>
      <c r="E9993" s="2" t="s">
        <v>136</v>
      </c>
      <c r="F9993" s="2">
        <v>3.0</v>
      </c>
      <c r="G9993" s="2">
        <v>500.0</v>
      </c>
      <c r="H9993" s="3" t="str">
        <f>HYPERLINK("http://www.linkedin.com/pub/michael-schwab/0/4/631","http://www.linkedin.com/pub/michael-schwab/0/4/631")</f>
        <v>http://www.linkedin.com/pub/michael-schwab/0/4/631</v>
      </c>
      <c r="I9993" s="2" t="s">
        <v>15</v>
      </c>
      <c r="J9993" s="2" t="s">
        <v>102</v>
      </c>
      <c r="K9993" s="2" t="s">
        <v>14080</v>
      </c>
    </row>
    <row r="9994" ht="15.75" customHeight="1">
      <c r="A9994" s="2">
        <v>232267.0</v>
      </c>
      <c r="B9994" s="2" t="s">
        <v>845</v>
      </c>
      <c r="C9994" s="2" t="s">
        <v>17501</v>
      </c>
      <c r="D9994" s="2" t="s">
        <v>1106</v>
      </c>
      <c r="E9994" s="2" t="s">
        <v>2058</v>
      </c>
      <c r="F9994" s="2">
        <v>2.0</v>
      </c>
      <c r="G9994" s="2">
        <v>500.0</v>
      </c>
      <c r="H9994" s="3" t="str">
        <f>HYPERLINK("http://www.linkedin.com/in/wertheimer","http://www.linkedin.com/in/wertheimer")</f>
        <v>http://www.linkedin.com/in/wertheimer</v>
      </c>
      <c r="I9994" s="2" t="s">
        <v>910</v>
      </c>
      <c r="J9994" s="2" t="s">
        <v>102</v>
      </c>
      <c r="K9994" s="2" t="s">
        <v>14055</v>
      </c>
    </row>
    <row r="9995" ht="15.75" customHeight="1">
      <c r="A9995" s="2">
        <v>232274.0</v>
      </c>
      <c r="B9995" s="2" t="s">
        <v>133</v>
      </c>
      <c r="C9995" s="2" t="s">
        <v>17502</v>
      </c>
      <c r="D9995" s="2" t="s">
        <v>3371</v>
      </c>
      <c r="E9995" s="2" t="s">
        <v>713</v>
      </c>
      <c r="F9995" s="2">
        <v>4.0</v>
      </c>
      <c r="G9995" s="2">
        <v>500.0</v>
      </c>
      <c r="H9995" s="3" t="str">
        <f>HYPERLINK("http://www.linkedin.com/in/mikefeinstein","http://www.linkedin.com/in/mikefeinstein")</f>
        <v>http://www.linkedin.com/in/mikefeinstein</v>
      </c>
      <c r="I9995" s="2" t="s">
        <v>365</v>
      </c>
      <c r="J9995" s="2" t="s">
        <v>102</v>
      </c>
      <c r="K9995" s="2" t="s">
        <v>14062</v>
      </c>
    </row>
    <row r="9996" ht="15.75" customHeight="1">
      <c r="A9996" s="2">
        <v>232294.0</v>
      </c>
      <c r="B9996" s="2" t="s">
        <v>10533</v>
      </c>
      <c r="C9996" s="2" t="s">
        <v>288</v>
      </c>
      <c r="D9996" s="2" t="s">
        <v>47</v>
      </c>
      <c r="E9996" s="2" t="s">
        <v>136</v>
      </c>
      <c r="F9996" s="2">
        <v>0.0</v>
      </c>
      <c r="G9996" s="2">
        <v>500.0</v>
      </c>
      <c r="H9996" s="3" t="str">
        <f>HYPERLINK("http://www.linkedin.com/pub/john-rupert-davis/0/15/A65","http://www.linkedin.com/pub/john-rupert-davis/0/15/A65")</f>
        <v>http://www.linkedin.com/pub/john-rupert-davis/0/15/A65</v>
      </c>
      <c r="I9996" s="2" t="s">
        <v>57</v>
      </c>
      <c r="J9996" s="2" t="s">
        <v>102</v>
      </c>
      <c r="K9996" s="2" t="s">
        <v>14055</v>
      </c>
    </row>
    <row r="9997" ht="15.75" customHeight="1">
      <c r="A9997" s="2">
        <v>232377.0</v>
      </c>
      <c r="B9997" s="2" t="s">
        <v>1004</v>
      </c>
      <c r="C9997" s="2" t="s">
        <v>3907</v>
      </c>
      <c r="D9997" s="2" t="s">
        <v>17503</v>
      </c>
      <c r="E9997" s="2" t="s">
        <v>136</v>
      </c>
      <c r="F9997" s="2">
        <v>6.0</v>
      </c>
      <c r="G9997" s="2">
        <v>500.0</v>
      </c>
      <c r="H9997" s="3" t="str">
        <f>HYPERLINK("http://www.linkedin.com/in/scottrfrancis","http://www.linkedin.com/in/scottrfrancis")</f>
        <v>http://www.linkedin.com/in/scottrfrancis</v>
      </c>
      <c r="I9997" s="2" t="s">
        <v>910</v>
      </c>
      <c r="J9997" s="2" t="s">
        <v>102</v>
      </c>
      <c r="K9997" s="2" t="s">
        <v>14078</v>
      </c>
    </row>
    <row r="9998" ht="15.75" customHeight="1">
      <c r="A9998" s="2">
        <v>232427.0</v>
      </c>
      <c r="B9998" s="2" t="s">
        <v>1366</v>
      </c>
      <c r="C9998" s="2" t="s">
        <v>3078</v>
      </c>
      <c r="D9998" s="2" t="s">
        <v>17504</v>
      </c>
      <c r="E9998" s="2" t="s">
        <v>728</v>
      </c>
      <c r="F9998" s="2">
        <v>8.0</v>
      </c>
      <c r="G9998" s="2">
        <v>500.0</v>
      </c>
      <c r="H9998" s="3" t="str">
        <f>HYPERLINK("http://www.linkedin.com/in/peterkent","http://www.linkedin.com/in/peterkent")</f>
        <v>http://www.linkedin.com/in/peterkent</v>
      </c>
      <c r="I9998" s="2" t="s">
        <v>69</v>
      </c>
      <c r="J9998" s="2" t="s">
        <v>102</v>
      </c>
      <c r="K9998" s="2" t="s">
        <v>14078</v>
      </c>
    </row>
    <row r="9999" ht="15.75" customHeight="1">
      <c r="A9999" s="2">
        <v>232444.0</v>
      </c>
      <c r="B9999" s="2" t="s">
        <v>625</v>
      </c>
      <c r="C9999" s="2" t="s">
        <v>17505</v>
      </c>
      <c r="D9999" s="2" t="s">
        <v>1062</v>
      </c>
      <c r="E9999" s="2" t="s">
        <v>14167</v>
      </c>
      <c r="F9999" s="2" t="s">
        <v>13</v>
      </c>
      <c r="G9999" s="2">
        <v>500.0</v>
      </c>
      <c r="H9999" s="3" t="str">
        <f>HYPERLINK("http://www.linkedin.com/in/steuds","http://www.linkedin.com/in/steuds")</f>
        <v>http://www.linkedin.com/in/steuds</v>
      </c>
      <c r="I9999" s="2" t="s">
        <v>69</v>
      </c>
      <c r="J9999" s="2" t="s">
        <v>102</v>
      </c>
      <c r="K9999" s="2" t="s">
        <v>14073</v>
      </c>
    </row>
    <row r="10000" ht="15.75" customHeight="1">
      <c r="A10000" s="2">
        <v>232463.0</v>
      </c>
      <c r="B10000" s="2" t="s">
        <v>460</v>
      </c>
      <c r="C10000" s="2" t="s">
        <v>17506</v>
      </c>
      <c r="D10000" s="2" t="s">
        <v>17507</v>
      </c>
      <c r="E10000" s="2" t="s">
        <v>301</v>
      </c>
      <c r="F10000" s="2">
        <v>9.0</v>
      </c>
      <c r="G10000" s="2">
        <v>500.0</v>
      </c>
      <c r="H10000" s="3" t="str">
        <f>HYPERLINK("http://www.linkedin.com/in/viega","http://www.linkedin.com/in/viega")</f>
        <v>http://www.linkedin.com/in/viega</v>
      </c>
      <c r="I10000" s="2" t="s">
        <v>48</v>
      </c>
      <c r="J10000" s="2" t="s">
        <v>102</v>
      </c>
      <c r="K10000" s="2" t="s">
        <v>14197</v>
      </c>
    </row>
  </sheetData>
  <autoFilter ref="$A$1:$K$10000"/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C63"/>
    <hyperlink r:id="rId63" ref="H63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3"/>
    <hyperlink r:id="rId74" ref="H74"/>
    <hyperlink r:id="rId75" ref="H75"/>
    <hyperlink r:id="rId76" ref="H76"/>
    <hyperlink r:id="rId77" ref="H77"/>
    <hyperlink r:id="rId78" ref="H78"/>
    <hyperlink r:id="rId79" ref="H79"/>
    <hyperlink r:id="rId80" ref="H80"/>
    <hyperlink r:id="rId81" ref="H81"/>
    <hyperlink r:id="rId82" ref="H82"/>
    <hyperlink r:id="rId83" ref="H83"/>
    <hyperlink r:id="rId84" ref="H84"/>
    <hyperlink r:id="rId85" ref="H85"/>
    <hyperlink r:id="rId86" ref="H86"/>
    <hyperlink r:id="rId87" ref="H87"/>
    <hyperlink r:id="rId88" ref="H88"/>
    <hyperlink r:id="rId89" ref="H89"/>
    <hyperlink r:id="rId90" ref="H90"/>
    <hyperlink r:id="rId91" ref="H91"/>
    <hyperlink r:id="rId92" ref="H92"/>
    <hyperlink r:id="rId93" ref="H93"/>
    <hyperlink r:id="rId94" ref="H94"/>
    <hyperlink r:id="rId95" ref="H95"/>
    <hyperlink r:id="rId96" ref="H96"/>
    <hyperlink r:id="rId97" ref="H97"/>
    <hyperlink r:id="rId98" ref="H98"/>
    <hyperlink r:id="rId99" ref="H99"/>
    <hyperlink r:id="rId100" ref="H100"/>
    <hyperlink r:id="rId101" ref="H101"/>
    <hyperlink r:id="rId102" ref="H102"/>
    <hyperlink r:id="rId103" ref="H103"/>
    <hyperlink r:id="rId104" ref="H104"/>
    <hyperlink r:id="rId105" ref="H105"/>
    <hyperlink r:id="rId106" ref="H106"/>
    <hyperlink r:id="rId107" ref="H107"/>
    <hyperlink r:id="rId108" ref="H108"/>
    <hyperlink r:id="rId109" ref="H109"/>
    <hyperlink r:id="rId110" ref="H110"/>
    <hyperlink r:id="rId111" ref="H111"/>
    <hyperlink r:id="rId112" ref="H112"/>
    <hyperlink r:id="rId113" ref="H113"/>
    <hyperlink r:id="rId114" ref="H114"/>
    <hyperlink r:id="rId115" ref="H115"/>
    <hyperlink r:id="rId116" ref="H116"/>
    <hyperlink r:id="rId117" ref="H117"/>
    <hyperlink r:id="rId118" ref="H118"/>
    <hyperlink r:id="rId119" ref="H119"/>
    <hyperlink r:id="rId120" ref="H120"/>
    <hyperlink r:id="rId121" ref="H121"/>
    <hyperlink r:id="rId122" ref="H122"/>
    <hyperlink r:id="rId123" ref="H123"/>
    <hyperlink r:id="rId124" ref="H124"/>
    <hyperlink r:id="rId125" ref="H125"/>
    <hyperlink r:id="rId126" ref="H126"/>
    <hyperlink r:id="rId127" ref="H127"/>
    <hyperlink r:id="rId128" ref="H128"/>
    <hyperlink r:id="rId129" ref="H129"/>
    <hyperlink r:id="rId130" ref="H130"/>
    <hyperlink r:id="rId131" ref="H131"/>
    <hyperlink r:id="rId132" ref="H132"/>
    <hyperlink r:id="rId133" ref="H133"/>
    <hyperlink r:id="rId134" ref="H134"/>
    <hyperlink r:id="rId135" ref="H135"/>
    <hyperlink r:id="rId136" ref="H136"/>
    <hyperlink r:id="rId137" ref="H137"/>
    <hyperlink r:id="rId138" ref="H138"/>
    <hyperlink r:id="rId139" ref="H139"/>
    <hyperlink r:id="rId140" ref="H140"/>
    <hyperlink r:id="rId141" ref="H141"/>
    <hyperlink r:id="rId142" ref="H142"/>
    <hyperlink r:id="rId143" ref="H143"/>
    <hyperlink r:id="rId144" ref="H144"/>
    <hyperlink r:id="rId145" ref="H145"/>
    <hyperlink r:id="rId146" ref="H146"/>
    <hyperlink r:id="rId147" ref="H147"/>
    <hyperlink r:id="rId148" ref="H148"/>
    <hyperlink r:id="rId149" ref="H149"/>
    <hyperlink r:id="rId150" ref="H150"/>
    <hyperlink r:id="rId151" ref="H151"/>
    <hyperlink r:id="rId152" ref="H152"/>
    <hyperlink r:id="rId153" ref="H153"/>
    <hyperlink r:id="rId154" ref="H154"/>
    <hyperlink r:id="rId155" ref="H155"/>
    <hyperlink r:id="rId156" ref="H156"/>
    <hyperlink r:id="rId157" ref="H157"/>
    <hyperlink r:id="rId158" ref="H158"/>
    <hyperlink r:id="rId159" ref="H159"/>
    <hyperlink r:id="rId160" ref="H160"/>
    <hyperlink r:id="rId161" ref="H161"/>
    <hyperlink r:id="rId162" ref="H162"/>
    <hyperlink r:id="rId163" ref="H163"/>
    <hyperlink r:id="rId164" ref="H164"/>
    <hyperlink r:id="rId165" ref="H165"/>
    <hyperlink r:id="rId166" ref="H166"/>
    <hyperlink r:id="rId167" ref="H167"/>
    <hyperlink r:id="rId168" ref="H168"/>
    <hyperlink r:id="rId169" ref="H169"/>
    <hyperlink r:id="rId170" ref="H170"/>
    <hyperlink r:id="rId171" ref="H171"/>
    <hyperlink r:id="rId172" ref="H172"/>
    <hyperlink r:id="rId173" ref="H173"/>
    <hyperlink r:id="rId174" ref="H174"/>
    <hyperlink r:id="rId175" ref="H175"/>
    <hyperlink r:id="rId176" ref="H176"/>
    <hyperlink r:id="rId177" ref="H177"/>
    <hyperlink r:id="rId178" ref="H178"/>
    <hyperlink r:id="rId179" ref="H179"/>
    <hyperlink r:id="rId180" ref="H180"/>
    <hyperlink r:id="rId181" ref="H181"/>
    <hyperlink r:id="rId182" ref="H182"/>
    <hyperlink r:id="rId183" ref="H183"/>
    <hyperlink r:id="rId184" ref="H184"/>
    <hyperlink r:id="rId185" ref="H185"/>
    <hyperlink r:id="rId186" ref="H186"/>
    <hyperlink r:id="rId187" ref="H187"/>
    <hyperlink r:id="rId188" ref="H188"/>
    <hyperlink r:id="rId189" ref="H189"/>
    <hyperlink r:id="rId190" ref="H190"/>
    <hyperlink r:id="rId191" ref="H191"/>
    <hyperlink r:id="rId192" ref="H192"/>
    <hyperlink r:id="rId193" ref="H193"/>
    <hyperlink r:id="rId194" ref="H194"/>
    <hyperlink r:id="rId195" ref="H195"/>
    <hyperlink r:id="rId196" ref="H196"/>
    <hyperlink r:id="rId197" ref="H197"/>
    <hyperlink r:id="rId198" ref="C198"/>
    <hyperlink r:id="rId199" ref="H198"/>
    <hyperlink r:id="rId200" ref="H199"/>
    <hyperlink r:id="rId201" ref="H200"/>
    <hyperlink r:id="rId202" ref="H201"/>
    <hyperlink r:id="rId203" ref="H202"/>
    <hyperlink r:id="rId204" ref="H203"/>
    <hyperlink r:id="rId205" ref="H204"/>
    <hyperlink r:id="rId206" ref="H205"/>
    <hyperlink r:id="rId207" ref="H206"/>
    <hyperlink r:id="rId208" ref="H207"/>
    <hyperlink r:id="rId209" ref="H208"/>
    <hyperlink r:id="rId210" ref="H209"/>
    <hyperlink r:id="rId211" ref="H210"/>
    <hyperlink r:id="rId212" ref="H211"/>
    <hyperlink r:id="rId213" ref="H212"/>
    <hyperlink r:id="rId214" ref="H213"/>
    <hyperlink r:id="rId215" ref="H214"/>
    <hyperlink r:id="rId216" ref="H215"/>
    <hyperlink r:id="rId217" ref="H216"/>
    <hyperlink r:id="rId218" ref="H217"/>
    <hyperlink r:id="rId219" ref="H218"/>
    <hyperlink r:id="rId220" ref="H219"/>
    <hyperlink r:id="rId221" ref="H220"/>
    <hyperlink r:id="rId222" ref="H221"/>
    <hyperlink r:id="rId223" ref="H222"/>
    <hyperlink r:id="rId224" ref="H223"/>
    <hyperlink r:id="rId225" ref="H224"/>
    <hyperlink r:id="rId226" ref="H225"/>
    <hyperlink r:id="rId227" ref="H226"/>
    <hyperlink r:id="rId228" ref="H227"/>
    <hyperlink r:id="rId229" ref="H228"/>
    <hyperlink r:id="rId230" ref="H229"/>
    <hyperlink r:id="rId231" ref="H230"/>
    <hyperlink r:id="rId232" ref="H231"/>
    <hyperlink r:id="rId233" ref="H232"/>
    <hyperlink r:id="rId234" ref="H233"/>
    <hyperlink r:id="rId235" ref="H234"/>
    <hyperlink r:id="rId236" ref="H235"/>
    <hyperlink r:id="rId237" ref="H236"/>
    <hyperlink r:id="rId238" ref="H237"/>
    <hyperlink r:id="rId239" ref="H238"/>
    <hyperlink r:id="rId240" ref="H239"/>
    <hyperlink r:id="rId241" ref="H240"/>
    <hyperlink r:id="rId242" ref="H241"/>
    <hyperlink r:id="rId243" ref="H242"/>
    <hyperlink r:id="rId244" ref="H243"/>
    <hyperlink r:id="rId245" ref="H244"/>
    <hyperlink r:id="rId246" ref="H245"/>
    <hyperlink r:id="rId247" ref="H246"/>
    <hyperlink r:id="rId248" ref="H247"/>
    <hyperlink r:id="rId249" ref="H248"/>
    <hyperlink r:id="rId250" ref="H249"/>
    <hyperlink r:id="rId251" ref="H250"/>
    <hyperlink r:id="rId252" ref="H251"/>
    <hyperlink r:id="rId253" ref="C252"/>
    <hyperlink r:id="rId254" ref="H252"/>
    <hyperlink r:id="rId255" ref="H253"/>
    <hyperlink r:id="rId256" ref="H254"/>
    <hyperlink r:id="rId257" ref="H255"/>
    <hyperlink r:id="rId258" ref="H256"/>
    <hyperlink r:id="rId259" ref="H257"/>
    <hyperlink r:id="rId260" ref="H258"/>
    <hyperlink r:id="rId261" ref="H259"/>
    <hyperlink r:id="rId262" ref="H260"/>
    <hyperlink r:id="rId263" ref="H261"/>
    <hyperlink r:id="rId264" ref="H262"/>
    <hyperlink r:id="rId265" ref="H263"/>
    <hyperlink r:id="rId266" ref="H264"/>
    <hyperlink r:id="rId267" ref="H265"/>
    <hyperlink r:id="rId268" ref="H266"/>
    <hyperlink r:id="rId269" ref="H267"/>
    <hyperlink r:id="rId270" ref="H268"/>
    <hyperlink r:id="rId271" ref="H269"/>
    <hyperlink r:id="rId272" ref="H270"/>
    <hyperlink r:id="rId273" ref="H271"/>
    <hyperlink r:id="rId274" ref="H272"/>
    <hyperlink r:id="rId275" ref="H273"/>
    <hyperlink r:id="rId276" ref="H274"/>
    <hyperlink r:id="rId277" ref="H275"/>
    <hyperlink r:id="rId278" ref="H276"/>
    <hyperlink r:id="rId279" ref="H277"/>
    <hyperlink r:id="rId280" ref="H278"/>
    <hyperlink r:id="rId281" ref="H279"/>
    <hyperlink r:id="rId282" ref="H280"/>
    <hyperlink r:id="rId283" ref="H281"/>
    <hyperlink r:id="rId284" ref="H282"/>
    <hyperlink r:id="rId285" ref="H283"/>
    <hyperlink r:id="rId286" ref="H284"/>
    <hyperlink r:id="rId287" ref="H285"/>
    <hyperlink r:id="rId288" ref="H286"/>
    <hyperlink r:id="rId289" ref="H287"/>
    <hyperlink r:id="rId290" ref="H288"/>
    <hyperlink r:id="rId291" ref="H289"/>
    <hyperlink r:id="rId292" ref="H290"/>
    <hyperlink r:id="rId293" ref="H291"/>
    <hyperlink r:id="rId294" ref="H292"/>
    <hyperlink r:id="rId295" ref="H293"/>
    <hyperlink r:id="rId296" ref="H294"/>
    <hyperlink r:id="rId297" ref="H295"/>
    <hyperlink r:id="rId298" ref="H296"/>
    <hyperlink r:id="rId299" ref="H297"/>
    <hyperlink r:id="rId300" ref="H298"/>
    <hyperlink r:id="rId301" ref="H299"/>
    <hyperlink r:id="rId302" ref="H300"/>
    <hyperlink r:id="rId303" ref="H301"/>
    <hyperlink r:id="rId304" ref="H302"/>
    <hyperlink r:id="rId305" ref="H303"/>
    <hyperlink r:id="rId306" ref="H304"/>
    <hyperlink r:id="rId307" ref="H305"/>
    <hyperlink r:id="rId308" ref="H306"/>
    <hyperlink r:id="rId309" ref="H307"/>
    <hyperlink r:id="rId310" ref="H308"/>
    <hyperlink r:id="rId311" ref="H309"/>
    <hyperlink r:id="rId312" ref="H310"/>
    <hyperlink r:id="rId313" ref="H311"/>
    <hyperlink r:id="rId314" ref="H312"/>
    <hyperlink r:id="rId315" ref="H313"/>
    <hyperlink r:id="rId316" ref="H314"/>
    <hyperlink r:id="rId317" ref="H315"/>
    <hyperlink r:id="rId318" ref="H316"/>
    <hyperlink r:id="rId319" ref="H317"/>
    <hyperlink r:id="rId320" ref="H318"/>
    <hyperlink r:id="rId321" ref="H319"/>
    <hyperlink r:id="rId322" ref="H320"/>
    <hyperlink r:id="rId323" ref="H321"/>
    <hyperlink r:id="rId324" ref="H322"/>
    <hyperlink r:id="rId325" ref="H323"/>
    <hyperlink r:id="rId326" ref="H324"/>
    <hyperlink r:id="rId327" ref="H325"/>
    <hyperlink r:id="rId328" ref="H326"/>
    <hyperlink r:id="rId329" ref="H327"/>
    <hyperlink r:id="rId330" ref="H328"/>
    <hyperlink r:id="rId331" ref="H329"/>
    <hyperlink r:id="rId332" ref="H330"/>
    <hyperlink r:id="rId333" ref="H331"/>
    <hyperlink r:id="rId334" ref="H332"/>
    <hyperlink r:id="rId335" ref="H333"/>
    <hyperlink r:id="rId336" ref="H334"/>
    <hyperlink r:id="rId337" ref="H335"/>
    <hyperlink r:id="rId338" ref="H336"/>
    <hyperlink r:id="rId339" ref="H337"/>
    <hyperlink r:id="rId340" ref="H338"/>
    <hyperlink r:id="rId341" ref="H339"/>
    <hyperlink r:id="rId342" ref="H340"/>
    <hyperlink r:id="rId343" ref="H341"/>
    <hyperlink r:id="rId344" ref="H342"/>
    <hyperlink r:id="rId345" ref="H343"/>
    <hyperlink r:id="rId346" ref="H344"/>
    <hyperlink r:id="rId347" ref="H345"/>
    <hyperlink r:id="rId348" ref="H346"/>
    <hyperlink r:id="rId349" ref="H347"/>
    <hyperlink r:id="rId350" ref="H348"/>
    <hyperlink r:id="rId351" ref="H349"/>
    <hyperlink r:id="rId352" ref="H350"/>
    <hyperlink r:id="rId353" ref="H351"/>
    <hyperlink r:id="rId354" ref="H352"/>
    <hyperlink r:id="rId355" ref="H353"/>
    <hyperlink r:id="rId356" ref="H354"/>
    <hyperlink r:id="rId357" ref="H355"/>
    <hyperlink r:id="rId358" ref="H356"/>
    <hyperlink r:id="rId359" ref="H357"/>
    <hyperlink r:id="rId360" ref="H358"/>
    <hyperlink r:id="rId361" ref="H359"/>
    <hyperlink r:id="rId362" ref="H360"/>
    <hyperlink r:id="rId363" ref="H361"/>
    <hyperlink r:id="rId364" ref="H362"/>
    <hyperlink r:id="rId365" ref="H363"/>
    <hyperlink r:id="rId366" ref="H364"/>
    <hyperlink r:id="rId367" ref="H365"/>
    <hyperlink r:id="rId368" ref="H366"/>
    <hyperlink r:id="rId369" ref="H367"/>
    <hyperlink r:id="rId370" ref="H368"/>
    <hyperlink r:id="rId371" ref="H369"/>
    <hyperlink r:id="rId372" ref="H370"/>
    <hyperlink r:id="rId373" ref="H371"/>
    <hyperlink r:id="rId374" ref="H372"/>
    <hyperlink r:id="rId375" ref="H373"/>
    <hyperlink r:id="rId376" ref="H374"/>
    <hyperlink r:id="rId377" ref="H375"/>
    <hyperlink r:id="rId378" ref="H376"/>
    <hyperlink r:id="rId379" ref="H377"/>
    <hyperlink r:id="rId380" ref="H378"/>
    <hyperlink r:id="rId381" ref="H379"/>
    <hyperlink r:id="rId382" ref="H380"/>
    <hyperlink r:id="rId383" ref="H381"/>
    <hyperlink r:id="rId384" ref="H382"/>
    <hyperlink r:id="rId385" ref="H383"/>
    <hyperlink r:id="rId386" ref="H384"/>
    <hyperlink r:id="rId387" ref="H385"/>
    <hyperlink r:id="rId388" ref="H386"/>
    <hyperlink r:id="rId389" ref="H387"/>
    <hyperlink r:id="rId390" ref="H388"/>
    <hyperlink r:id="rId391" ref="H389"/>
    <hyperlink r:id="rId392" ref="H390"/>
    <hyperlink r:id="rId393" ref="H391"/>
    <hyperlink r:id="rId394" ref="H392"/>
    <hyperlink r:id="rId395" ref="H393"/>
    <hyperlink r:id="rId396" ref="H394"/>
    <hyperlink r:id="rId397" ref="H395"/>
    <hyperlink r:id="rId398" ref="H396"/>
    <hyperlink r:id="rId399" ref="H397"/>
    <hyperlink r:id="rId400" ref="H398"/>
    <hyperlink r:id="rId401" ref="H399"/>
    <hyperlink r:id="rId402" ref="H400"/>
    <hyperlink r:id="rId403" ref="H401"/>
    <hyperlink r:id="rId404" ref="H402"/>
    <hyperlink r:id="rId405" ref="H403"/>
    <hyperlink r:id="rId406" ref="H404"/>
    <hyperlink r:id="rId407" ref="H405"/>
    <hyperlink r:id="rId408" ref="H406"/>
    <hyperlink r:id="rId409" ref="H407"/>
    <hyperlink r:id="rId410" ref="H408"/>
    <hyperlink r:id="rId411" ref="H409"/>
    <hyperlink r:id="rId412" ref="H410"/>
    <hyperlink r:id="rId413" ref="H411"/>
    <hyperlink r:id="rId414" ref="H412"/>
    <hyperlink r:id="rId415" ref="H413"/>
    <hyperlink r:id="rId416" ref="H414"/>
    <hyperlink r:id="rId417" ref="H415"/>
    <hyperlink r:id="rId418" ref="H416"/>
    <hyperlink r:id="rId419" ref="H417"/>
    <hyperlink r:id="rId420" ref="H418"/>
    <hyperlink r:id="rId421" ref="H419"/>
    <hyperlink r:id="rId422" ref="H420"/>
    <hyperlink r:id="rId423" ref="H421"/>
    <hyperlink r:id="rId424" ref="H422"/>
    <hyperlink r:id="rId425" ref="H423"/>
    <hyperlink r:id="rId426" ref="H424"/>
    <hyperlink r:id="rId427" ref="H425"/>
    <hyperlink r:id="rId428" ref="H426"/>
    <hyperlink r:id="rId429" ref="H427"/>
    <hyperlink r:id="rId430" ref="H428"/>
    <hyperlink r:id="rId431" ref="H429"/>
    <hyperlink r:id="rId432" ref="H430"/>
    <hyperlink r:id="rId433" ref="H431"/>
    <hyperlink r:id="rId434" ref="H432"/>
    <hyperlink r:id="rId435" ref="H433"/>
    <hyperlink r:id="rId436" ref="H434"/>
    <hyperlink r:id="rId437" ref="H435"/>
    <hyperlink r:id="rId438" ref="H436"/>
    <hyperlink r:id="rId439" ref="H437"/>
    <hyperlink r:id="rId440" ref="H438"/>
    <hyperlink r:id="rId441" ref="H439"/>
    <hyperlink r:id="rId442" ref="H440"/>
    <hyperlink r:id="rId443" ref="H441"/>
    <hyperlink r:id="rId444" ref="H442"/>
    <hyperlink r:id="rId445" ref="H443"/>
    <hyperlink r:id="rId446" ref="H444"/>
    <hyperlink r:id="rId447" ref="H445"/>
    <hyperlink r:id="rId448" ref="H446"/>
    <hyperlink r:id="rId449" ref="H447"/>
    <hyperlink r:id="rId450" ref="H448"/>
    <hyperlink r:id="rId451" ref="H449"/>
    <hyperlink r:id="rId452" ref="H450"/>
    <hyperlink r:id="rId453" ref="H451"/>
    <hyperlink r:id="rId454" ref="H452"/>
    <hyperlink r:id="rId455" ref="H453"/>
    <hyperlink r:id="rId456" ref="H454"/>
    <hyperlink r:id="rId457" ref="H455"/>
    <hyperlink r:id="rId458" ref="H456"/>
    <hyperlink r:id="rId459" ref="H457"/>
    <hyperlink r:id="rId460" ref="H458"/>
    <hyperlink r:id="rId461" ref="H459"/>
    <hyperlink r:id="rId462" ref="H460"/>
    <hyperlink r:id="rId463" ref="H461"/>
    <hyperlink r:id="rId464" ref="H462"/>
    <hyperlink r:id="rId465" ref="H463"/>
    <hyperlink r:id="rId466" ref="H464"/>
    <hyperlink r:id="rId467" ref="H465"/>
    <hyperlink r:id="rId468" ref="H466"/>
    <hyperlink r:id="rId469" ref="H467"/>
    <hyperlink r:id="rId470" ref="H468"/>
    <hyperlink r:id="rId471" ref="H469"/>
    <hyperlink r:id="rId472" ref="H470"/>
    <hyperlink r:id="rId473" ref="H471"/>
    <hyperlink r:id="rId474" ref="H472"/>
    <hyperlink r:id="rId475" ref="H473"/>
    <hyperlink r:id="rId476" ref="H474"/>
    <hyperlink r:id="rId477" ref="H475"/>
    <hyperlink r:id="rId478" ref="H476"/>
    <hyperlink r:id="rId479" ref="H477"/>
    <hyperlink r:id="rId480" ref="H478"/>
    <hyperlink r:id="rId481" ref="H479"/>
    <hyperlink r:id="rId482" ref="H480"/>
    <hyperlink r:id="rId483" ref="H481"/>
    <hyperlink r:id="rId484" ref="H482"/>
    <hyperlink r:id="rId485" ref="H483"/>
    <hyperlink r:id="rId486" ref="H484"/>
    <hyperlink r:id="rId487" ref="H485"/>
    <hyperlink r:id="rId488" ref="H486"/>
    <hyperlink r:id="rId489" ref="H487"/>
    <hyperlink r:id="rId490" ref="H488"/>
    <hyperlink r:id="rId491" ref="H489"/>
    <hyperlink r:id="rId492" ref="H490"/>
    <hyperlink r:id="rId493" ref="H491"/>
    <hyperlink r:id="rId494" ref="H492"/>
    <hyperlink r:id="rId495" ref="H493"/>
    <hyperlink r:id="rId496" ref="H494"/>
    <hyperlink r:id="rId497" ref="H495"/>
    <hyperlink r:id="rId498" ref="H496"/>
    <hyperlink r:id="rId499" ref="H497"/>
    <hyperlink r:id="rId500" ref="H498"/>
    <hyperlink r:id="rId501" ref="H499"/>
    <hyperlink r:id="rId502" ref="H500"/>
    <hyperlink r:id="rId503" ref="H501"/>
    <hyperlink r:id="rId504" ref="H502"/>
    <hyperlink r:id="rId505" ref="H503"/>
    <hyperlink r:id="rId506" ref="H504"/>
    <hyperlink r:id="rId507" ref="H505"/>
    <hyperlink r:id="rId508" ref="H506"/>
    <hyperlink r:id="rId509" ref="H507"/>
    <hyperlink r:id="rId510" ref="H508"/>
    <hyperlink r:id="rId511" ref="H509"/>
    <hyperlink r:id="rId512" ref="H510"/>
    <hyperlink r:id="rId513" ref="H511"/>
    <hyperlink r:id="rId514" ref="H512"/>
    <hyperlink r:id="rId515" ref="H513"/>
    <hyperlink r:id="rId516" ref="H514"/>
    <hyperlink r:id="rId517" ref="H515"/>
    <hyperlink r:id="rId518" ref="H516"/>
    <hyperlink r:id="rId519" ref="H517"/>
    <hyperlink r:id="rId520" ref="H518"/>
    <hyperlink r:id="rId521" ref="H519"/>
    <hyperlink r:id="rId522" ref="H520"/>
    <hyperlink r:id="rId523" ref="H521"/>
    <hyperlink r:id="rId524" ref="H522"/>
    <hyperlink r:id="rId525" ref="H523"/>
    <hyperlink r:id="rId526" ref="H524"/>
    <hyperlink r:id="rId527" ref="H525"/>
    <hyperlink r:id="rId528" ref="H526"/>
    <hyperlink r:id="rId529" ref="H527"/>
    <hyperlink r:id="rId530" ref="H528"/>
    <hyperlink r:id="rId531" ref="H529"/>
    <hyperlink r:id="rId532" ref="H530"/>
    <hyperlink r:id="rId533" ref="H531"/>
    <hyperlink r:id="rId534" ref="H532"/>
    <hyperlink r:id="rId535" ref="H533"/>
    <hyperlink r:id="rId536" ref="H534"/>
    <hyperlink r:id="rId537" ref="H535"/>
    <hyperlink r:id="rId538" ref="H536"/>
    <hyperlink r:id="rId539" ref="H537"/>
    <hyperlink r:id="rId540" ref="H538"/>
    <hyperlink r:id="rId541" ref="H539"/>
    <hyperlink r:id="rId542" ref="H540"/>
    <hyperlink r:id="rId543" ref="H541"/>
    <hyperlink r:id="rId544" ref="H542"/>
    <hyperlink r:id="rId545" ref="H543"/>
    <hyperlink r:id="rId546" ref="H544"/>
    <hyperlink r:id="rId547" ref="H545"/>
    <hyperlink r:id="rId548" ref="H546"/>
    <hyperlink r:id="rId549" ref="H547"/>
    <hyperlink r:id="rId550" ref="H548"/>
    <hyperlink r:id="rId551" ref="H549"/>
    <hyperlink r:id="rId552" ref="H550"/>
    <hyperlink r:id="rId553" ref="H551"/>
    <hyperlink r:id="rId554" ref="H552"/>
    <hyperlink r:id="rId555" ref="H553"/>
    <hyperlink r:id="rId556" ref="H554"/>
    <hyperlink r:id="rId557" ref="H555"/>
    <hyperlink r:id="rId558" ref="H556"/>
    <hyperlink r:id="rId559" ref="H557"/>
    <hyperlink r:id="rId560" ref="H558"/>
    <hyperlink r:id="rId561" ref="H559"/>
    <hyperlink r:id="rId562" ref="H560"/>
    <hyperlink r:id="rId563" ref="H561"/>
    <hyperlink r:id="rId564" ref="H562"/>
    <hyperlink r:id="rId565" ref="H563"/>
    <hyperlink r:id="rId566" ref="H564"/>
    <hyperlink r:id="rId567" ref="H565"/>
    <hyperlink r:id="rId568" ref="H566"/>
    <hyperlink r:id="rId569" ref="H567"/>
    <hyperlink r:id="rId570" ref="H568"/>
    <hyperlink r:id="rId571" ref="H569"/>
    <hyperlink r:id="rId572" ref="H570"/>
    <hyperlink r:id="rId573" ref="H571"/>
    <hyperlink r:id="rId574" ref="H572"/>
    <hyperlink r:id="rId575" ref="H573"/>
    <hyperlink r:id="rId576" ref="H574"/>
    <hyperlink r:id="rId577" ref="H575"/>
    <hyperlink r:id="rId578" ref="H576"/>
    <hyperlink r:id="rId579" ref="H577"/>
    <hyperlink r:id="rId580" ref="H578"/>
    <hyperlink r:id="rId581" ref="H579"/>
    <hyperlink r:id="rId582" ref="H580"/>
    <hyperlink r:id="rId583" ref="H581"/>
    <hyperlink r:id="rId584" ref="H582"/>
    <hyperlink r:id="rId585" ref="H583"/>
    <hyperlink r:id="rId586" ref="H584"/>
    <hyperlink r:id="rId587" ref="H585"/>
    <hyperlink r:id="rId588" ref="H586"/>
    <hyperlink r:id="rId589" ref="H587"/>
    <hyperlink r:id="rId590" ref="H588"/>
    <hyperlink r:id="rId591" ref="H589"/>
    <hyperlink r:id="rId592" ref="H590"/>
    <hyperlink r:id="rId593" ref="H591"/>
    <hyperlink r:id="rId594" ref="H592"/>
    <hyperlink r:id="rId595" ref="H593"/>
    <hyperlink r:id="rId596" ref="H594"/>
    <hyperlink r:id="rId597" ref="H595"/>
    <hyperlink r:id="rId598" ref="H596"/>
    <hyperlink r:id="rId599" ref="H597"/>
    <hyperlink r:id="rId600" ref="H598"/>
    <hyperlink r:id="rId601" ref="H599"/>
    <hyperlink r:id="rId602" ref="C600"/>
    <hyperlink r:id="rId603" ref="H600"/>
    <hyperlink r:id="rId604" ref="H601"/>
    <hyperlink r:id="rId605" ref="H602"/>
    <hyperlink r:id="rId606" ref="H603"/>
    <hyperlink r:id="rId607" ref="H604"/>
    <hyperlink r:id="rId608" ref="H605"/>
    <hyperlink r:id="rId609" ref="H606"/>
    <hyperlink r:id="rId610" ref="H607"/>
    <hyperlink r:id="rId611" ref="H608"/>
    <hyperlink r:id="rId612" ref="H609"/>
    <hyperlink r:id="rId613" ref="H610"/>
    <hyperlink r:id="rId614" ref="H611"/>
    <hyperlink r:id="rId615" ref="H612"/>
    <hyperlink r:id="rId616" ref="H613"/>
    <hyperlink r:id="rId617" ref="H614"/>
    <hyperlink r:id="rId618" ref="H615"/>
    <hyperlink r:id="rId619" ref="H616"/>
    <hyperlink r:id="rId620" ref="H617"/>
    <hyperlink r:id="rId621" ref="H618"/>
    <hyperlink r:id="rId622" ref="H619"/>
    <hyperlink r:id="rId623" ref="H620"/>
    <hyperlink r:id="rId624" ref="H621"/>
    <hyperlink r:id="rId625" ref="H622"/>
    <hyperlink r:id="rId626" ref="H623"/>
    <hyperlink r:id="rId627" ref="H624"/>
    <hyperlink r:id="rId628" ref="H625"/>
    <hyperlink r:id="rId629" ref="H626"/>
    <hyperlink r:id="rId630" ref="H627"/>
    <hyperlink r:id="rId631" ref="H628"/>
    <hyperlink r:id="rId632" ref="H629"/>
    <hyperlink r:id="rId633" ref="H630"/>
    <hyperlink r:id="rId634" ref="H631"/>
    <hyperlink r:id="rId635" ref="H632"/>
    <hyperlink r:id="rId636" ref="H633"/>
    <hyperlink r:id="rId637" ref="H634"/>
    <hyperlink r:id="rId638" ref="H635"/>
    <hyperlink r:id="rId639" ref="H636"/>
    <hyperlink r:id="rId640" ref="H637"/>
    <hyperlink r:id="rId641" ref="H638"/>
    <hyperlink r:id="rId642" ref="H639"/>
    <hyperlink r:id="rId643" ref="H640"/>
    <hyperlink r:id="rId644" ref="H641"/>
    <hyperlink r:id="rId645" ref="H642"/>
    <hyperlink r:id="rId646" ref="H643"/>
    <hyperlink r:id="rId647" ref="H644"/>
    <hyperlink r:id="rId648" ref="H645"/>
    <hyperlink r:id="rId649" ref="H646"/>
    <hyperlink r:id="rId650" ref="H647"/>
    <hyperlink r:id="rId651" ref="H648"/>
    <hyperlink r:id="rId652" ref="H649"/>
    <hyperlink r:id="rId653" ref="H650"/>
    <hyperlink r:id="rId654" ref="H651"/>
    <hyperlink r:id="rId655" ref="H652"/>
    <hyperlink r:id="rId656" ref="H653"/>
    <hyperlink r:id="rId657" ref="H654"/>
    <hyperlink r:id="rId658" ref="H655"/>
    <hyperlink r:id="rId659" ref="H656"/>
    <hyperlink r:id="rId660" ref="H657"/>
    <hyperlink r:id="rId661" ref="H658"/>
    <hyperlink r:id="rId662" ref="H659"/>
    <hyperlink r:id="rId663" ref="H660"/>
    <hyperlink r:id="rId664" ref="H661"/>
    <hyperlink r:id="rId665" ref="H662"/>
    <hyperlink r:id="rId666" ref="H663"/>
    <hyperlink r:id="rId667" ref="H664"/>
    <hyperlink r:id="rId668" ref="H665"/>
    <hyperlink r:id="rId669" ref="H666"/>
    <hyperlink r:id="rId670" ref="H667"/>
    <hyperlink r:id="rId671" ref="H668"/>
    <hyperlink r:id="rId672" ref="H669"/>
    <hyperlink r:id="rId673" ref="H670"/>
    <hyperlink r:id="rId674" ref="H671"/>
    <hyperlink r:id="rId675" ref="H672"/>
    <hyperlink r:id="rId676" ref="H673"/>
    <hyperlink r:id="rId677" ref="H674"/>
    <hyperlink r:id="rId678" ref="H675"/>
    <hyperlink r:id="rId679" ref="H676"/>
    <hyperlink r:id="rId680" ref="H677"/>
    <hyperlink r:id="rId681" ref="H678"/>
    <hyperlink r:id="rId682" ref="H679"/>
    <hyperlink r:id="rId683" ref="H680"/>
    <hyperlink r:id="rId684" ref="H681"/>
    <hyperlink r:id="rId685" ref="H682"/>
    <hyperlink r:id="rId686" ref="H683"/>
    <hyperlink r:id="rId687" ref="H684"/>
    <hyperlink r:id="rId688" ref="H685"/>
    <hyperlink r:id="rId689" ref="H686"/>
    <hyperlink r:id="rId690" ref="H687"/>
    <hyperlink r:id="rId691" ref="H688"/>
    <hyperlink r:id="rId692" ref="H689"/>
    <hyperlink r:id="rId693" ref="H690"/>
    <hyperlink r:id="rId694" ref="H691"/>
    <hyperlink r:id="rId695" ref="H692"/>
    <hyperlink r:id="rId696" ref="H693"/>
    <hyperlink r:id="rId697" ref="H694"/>
    <hyperlink r:id="rId698" ref="H695"/>
    <hyperlink r:id="rId699" ref="H696"/>
    <hyperlink r:id="rId700" ref="H697"/>
    <hyperlink r:id="rId701" ref="H698"/>
    <hyperlink r:id="rId702" ref="H699"/>
    <hyperlink r:id="rId703" ref="H700"/>
    <hyperlink r:id="rId704" ref="H701"/>
    <hyperlink r:id="rId705" ref="H702"/>
    <hyperlink r:id="rId706" ref="H703"/>
    <hyperlink r:id="rId707" ref="H704"/>
    <hyperlink r:id="rId708" ref="H705"/>
    <hyperlink r:id="rId709" ref="H706"/>
    <hyperlink r:id="rId710" ref="H707"/>
    <hyperlink r:id="rId711" ref="H708"/>
    <hyperlink r:id="rId712" ref="H709"/>
    <hyperlink r:id="rId713" ref="H710"/>
    <hyperlink r:id="rId714" ref="H711"/>
    <hyperlink r:id="rId715" ref="H712"/>
    <hyperlink r:id="rId716" ref="H713"/>
    <hyperlink r:id="rId717" ref="H714"/>
    <hyperlink r:id="rId718" ref="H715"/>
    <hyperlink r:id="rId719" ref="H716"/>
    <hyperlink r:id="rId720" ref="H717"/>
    <hyperlink r:id="rId721" ref="H718"/>
    <hyperlink r:id="rId722" ref="H719"/>
    <hyperlink r:id="rId723" ref="H720"/>
    <hyperlink r:id="rId724" ref="H721"/>
    <hyperlink r:id="rId725" ref="H722"/>
    <hyperlink r:id="rId726" ref="H723"/>
    <hyperlink r:id="rId727" ref="H724"/>
    <hyperlink r:id="rId728" ref="H725"/>
    <hyperlink r:id="rId729" ref="H726"/>
    <hyperlink r:id="rId730" ref="H727"/>
    <hyperlink r:id="rId731" ref="H728"/>
    <hyperlink r:id="rId732" ref="H729"/>
    <hyperlink r:id="rId733" ref="H730"/>
    <hyperlink r:id="rId734" ref="H731"/>
    <hyperlink r:id="rId735" ref="H732"/>
    <hyperlink r:id="rId736" ref="H733"/>
    <hyperlink r:id="rId737" ref="H734"/>
    <hyperlink r:id="rId738" ref="H735"/>
    <hyperlink r:id="rId739" ref="H736"/>
    <hyperlink r:id="rId740" ref="H737"/>
    <hyperlink r:id="rId741" ref="H738"/>
    <hyperlink r:id="rId742" ref="H739"/>
    <hyperlink r:id="rId743" ref="H740"/>
    <hyperlink r:id="rId744" ref="H741"/>
    <hyperlink r:id="rId745" ref="H742"/>
    <hyperlink r:id="rId746" ref="H743"/>
    <hyperlink r:id="rId747" ref="H744"/>
    <hyperlink r:id="rId748" ref="H745"/>
    <hyperlink r:id="rId749" ref="H746"/>
    <hyperlink r:id="rId750" ref="H747"/>
    <hyperlink r:id="rId751" ref="H748"/>
    <hyperlink r:id="rId752" ref="H749"/>
    <hyperlink r:id="rId753" ref="H750"/>
    <hyperlink r:id="rId754" ref="H751"/>
    <hyperlink r:id="rId755" ref="H752"/>
    <hyperlink r:id="rId756" ref="H753"/>
    <hyperlink r:id="rId757" ref="H754"/>
    <hyperlink r:id="rId758" ref="H755"/>
    <hyperlink r:id="rId759" ref="H756"/>
    <hyperlink r:id="rId760" ref="H757"/>
    <hyperlink r:id="rId761" ref="H758"/>
    <hyperlink r:id="rId762" ref="H759"/>
    <hyperlink r:id="rId763" ref="H760"/>
    <hyperlink r:id="rId764" ref="H761"/>
    <hyperlink r:id="rId765" ref="H762"/>
    <hyperlink r:id="rId766" ref="H763"/>
    <hyperlink r:id="rId767" ref="H764"/>
    <hyperlink r:id="rId768" ref="H765"/>
    <hyperlink r:id="rId769" ref="H766"/>
    <hyperlink r:id="rId770" ref="H767"/>
    <hyperlink r:id="rId771" ref="H768"/>
    <hyperlink r:id="rId772" ref="C769"/>
    <hyperlink r:id="rId773" ref="H769"/>
    <hyperlink r:id="rId774" ref="H770"/>
    <hyperlink r:id="rId775" ref="H771"/>
    <hyperlink r:id="rId776" ref="H772"/>
    <hyperlink r:id="rId777" ref="H773"/>
    <hyperlink r:id="rId778" ref="H774"/>
    <hyperlink r:id="rId779" ref="H775"/>
    <hyperlink r:id="rId780" ref="H776"/>
    <hyperlink r:id="rId781" ref="H777"/>
    <hyperlink r:id="rId782" ref="H778"/>
    <hyperlink r:id="rId783" ref="H779"/>
    <hyperlink r:id="rId784" ref="H780"/>
    <hyperlink r:id="rId785" ref="H781"/>
    <hyperlink r:id="rId786" ref="H782"/>
    <hyperlink r:id="rId787" ref="H783"/>
    <hyperlink r:id="rId788" ref="H784"/>
    <hyperlink r:id="rId789" ref="H785"/>
    <hyperlink r:id="rId790" ref="H786"/>
    <hyperlink r:id="rId791" ref="H787"/>
    <hyperlink r:id="rId792" ref="H788"/>
    <hyperlink r:id="rId793" ref="H789"/>
    <hyperlink r:id="rId794" ref="H790"/>
    <hyperlink r:id="rId795" ref="H791"/>
    <hyperlink r:id="rId796" ref="H792"/>
    <hyperlink r:id="rId797" ref="H793"/>
    <hyperlink r:id="rId798" ref="H794"/>
    <hyperlink r:id="rId799" ref="H795"/>
    <hyperlink r:id="rId800" ref="H796"/>
    <hyperlink r:id="rId801" ref="H797"/>
    <hyperlink r:id="rId802" ref="H798"/>
    <hyperlink r:id="rId803" ref="H799"/>
    <hyperlink r:id="rId804" ref="H800"/>
    <hyperlink r:id="rId805" ref="H801"/>
    <hyperlink r:id="rId806" ref="H802"/>
    <hyperlink r:id="rId807" ref="H803"/>
    <hyperlink r:id="rId808" ref="H804"/>
    <hyperlink r:id="rId809" ref="H805"/>
    <hyperlink r:id="rId810" ref="H806"/>
    <hyperlink r:id="rId811" ref="H807"/>
    <hyperlink r:id="rId812" ref="H808"/>
    <hyperlink r:id="rId813" ref="H809"/>
    <hyperlink r:id="rId814" ref="H810"/>
    <hyperlink r:id="rId815" ref="H811"/>
    <hyperlink r:id="rId816" ref="H812"/>
    <hyperlink r:id="rId817" ref="H813"/>
    <hyperlink r:id="rId818" ref="H814"/>
    <hyperlink r:id="rId819" ref="H815"/>
    <hyperlink r:id="rId820" ref="H816"/>
    <hyperlink r:id="rId821" ref="H817"/>
    <hyperlink r:id="rId822" ref="H818"/>
    <hyperlink r:id="rId823" ref="H819"/>
    <hyperlink r:id="rId824" ref="H820"/>
    <hyperlink r:id="rId825" ref="H821"/>
    <hyperlink r:id="rId826" ref="H822"/>
    <hyperlink r:id="rId827" ref="H823"/>
    <hyperlink r:id="rId828" ref="H824"/>
    <hyperlink r:id="rId829" ref="H825"/>
    <hyperlink r:id="rId830" ref="H826"/>
    <hyperlink r:id="rId831" ref="H827"/>
    <hyperlink r:id="rId832" ref="H828"/>
    <hyperlink r:id="rId833" ref="H829"/>
    <hyperlink r:id="rId834" ref="H830"/>
    <hyperlink r:id="rId835" ref="H831"/>
    <hyperlink r:id="rId836" ref="H832"/>
    <hyperlink r:id="rId837" ref="H833"/>
    <hyperlink r:id="rId838" ref="H834"/>
    <hyperlink r:id="rId839" ref="H835"/>
    <hyperlink r:id="rId840" ref="H836"/>
    <hyperlink r:id="rId841" ref="H837"/>
    <hyperlink r:id="rId842" ref="H838"/>
    <hyperlink r:id="rId843" ref="H839"/>
    <hyperlink r:id="rId844" ref="H840"/>
    <hyperlink r:id="rId845" ref="H841"/>
    <hyperlink r:id="rId846" ref="H842"/>
    <hyperlink r:id="rId847" ref="H843"/>
    <hyperlink r:id="rId848" ref="H844"/>
    <hyperlink r:id="rId849" ref="H845"/>
    <hyperlink r:id="rId850" ref="H846"/>
    <hyperlink r:id="rId851" ref="H848"/>
    <hyperlink r:id="rId852" ref="H849"/>
    <hyperlink r:id="rId853" ref="H850"/>
    <hyperlink r:id="rId854" ref="H851"/>
    <hyperlink r:id="rId855" ref="H852"/>
    <hyperlink r:id="rId856" ref="H853"/>
    <hyperlink r:id="rId857" ref="H854"/>
    <hyperlink r:id="rId858" ref="H855"/>
    <hyperlink r:id="rId859" ref="H856"/>
    <hyperlink r:id="rId860" ref="H857"/>
    <hyperlink r:id="rId861" ref="H858"/>
    <hyperlink r:id="rId862" ref="H859"/>
    <hyperlink r:id="rId863" ref="H860"/>
    <hyperlink r:id="rId864" ref="H861"/>
    <hyperlink r:id="rId865" ref="H862"/>
    <hyperlink r:id="rId866" ref="H863"/>
    <hyperlink r:id="rId867" ref="H864"/>
    <hyperlink r:id="rId868" ref="H865"/>
    <hyperlink r:id="rId869" ref="H866"/>
    <hyperlink r:id="rId870" ref="H867"/>
    <hyperlink r:id="rId871" ref="H868"/>
    <hyperlink r:id="rId872" ref="H869"/>
    <hyperlink r:id="rId873" ref="H870"/>
    <hyperlink r:id="rId874" ref="H871"/>
    <hyperlink r:id="rId875" ref="H872"/>
    <hyperlink r:id="rId876" ref="H873"/>
    <hyperlink r:id="rId877" ref="H874"/>
    <hyperlink r:id="rId878" ref="H875"/>
    <hyperlink r:id="rId879" ref="H876"/>
    <hyperlink r:id="rId880" ref="H877"/>
    <hyperlink r:id="rId881" ref="H878"/>
    <hyperlink r:id="rId882" ref="H879"/>
    <hyperlink r:id="rId883" ref="H880"/>
    <hyperlink r:id="rId884" ref="H881"/>
    <hyperlink r:id="rId885" ref="H882"/>
    <hyperlink r:id="rId886" ref="H883"/>
    <hyperlink r:id="rId887" ref="H884"/>
    <hyperlink r:id="rId888" ref="H885"/>
    <hyperlink r:id="rId889" ref="H886"/>
    <hyperlink r:id="rId890" ref="H887"/>
    <hyperlink r:id="rId891" ref="H888"/>
    <hyperlink r:id="rId892" ref="H889"/>
    <hyperlink r:id="rId893" ref="H890"/>
    <hyperlink r:id="rId894" ref="H891"/>
    <hyperlink r:id="rId895" ref="H892"/>
    <hyperlink r:id="rId896" ref="H893"/>
    <hyperlink r:id="rId897" ref="H894"/>
    <hyperlink r:id="rId898" ref="H895"/>
    <hyperlink r:id="rId899" ref="H896"/>
    <hyperlink r:id="rId900" ref="H897"/>
    <hyperlink r:id="rId901" ref="H898"/>
    <hyperlink r:id="rId902" ref="H899"/>
    <hyperlink r:id="rId903" ref="H900"/>
    <hyperlink r:id="rId904" ref="H901"/>
    <hyperlink r:id="rId905" ref="H902"/>
    <hyperlink r:id="rId906" ref="H903"/>
    <hyperlink r:id="rId907" ref="H904"/>
    <hyperlink r:id="rId908" ref="H905"/>
    <hyperlink r:id="rId909" ref="H906"/>
    <hyperlink r:id="rId910" ref="H907"/>
    <hyperlink r:id="rId911" ref="H908"/>
    <hyperlink r:id="rId912" ref="H909"/>
    <hyperlink r:id="rId913" ref="H910"/>
    <hyperlink r:id="rId914" ref="H911"/>
    <hyperlink r:id="rId915" ref="H912"/>
    <hyperlink r:id="rId916" ref="H913"/>
    <hyperlink r:id="rId917" ref="H914"/>
    <hyperlink r:id="rId918" ref="H915"/>
    <hyperlink r:id="rId919" ref="H916"/>
    <hyperlink r:id="rId920" ref="H917"/>
    <hyperlink r:id="rId921" ref="H918"/>
    <hyperlink r:id="rId922" ref="H919"/>
    <hyperlink r:id="rId923" ref="H920"/>
    <hyperlink r:id="rId924" ref="H921"/>
    <hyperlink r:id="rId925" ref="H922"/>
    <hyperlink r:id="rId926" ref="H923"/>
    <hyperlink r:id="rId927" ref="H924"/>
    <hyperlink r:id="rId928" ref="H925"/>
    <hyperlink r:id="rId929" ref="H926"/>
    <hyperlink r:id="rId930" ref="H927"/>
    <hyperlink r:id="rId931" ref="H928"/>
    <hyperlink r:id="rId932" ref="H929"/>
    <hyperlink r:id="rId933" ref="H930"/>
    <hyperlink r:id="rId934" ref="H931"/>
    <hyperlink r:id="rId935" ref="H932"/>
    <hyperlink r:id="rId936" ref="H933"/>
    <hyperlink r:id="rId937" ref="H934"/>
    <hyperlink r:id="rId938" ref="H935"/>
    <hyperlink r:id="rId939" ref="H936"/>
    <hyperlink r:id="rId940" ref="H937"/>
    <hyperlink r:id="rId941" ref="H938"/>
    <hyperlink r:id="rId942" ref="H939"/>
    <hyperlink r:id="rId943" ref="H940"/>
    <hyperlink r:id="rId944" ref="H941"/>
    <hyperlink r:id="rId945" ref="H942"/>
    <hyperlink r:id="rId946" ref="H943"/>
    <hyperlink r:id="rId947" ref="H944"/>
    <hyperlink r:id="rId948" ref="H945"/>
    <hyperlink r:id="rId949" ref="H946"/>
    <hyperlink r:id="rId950" ref="H947"/>
    <hyperlink r:id="rId951" ref="H948"/>
    <hyperlink r:id="rId952" ref="H949"/>
    <hyperlink r:id="rId953" ref="H950"/>
    <hyperlink r:id="rId954" ref="H951"/>
    <hyperlink r:id="rId955" ref="H952"/>
    <hyperlink r:id="rId956" ref="H953"/>
    <hyperlink r:id="rId957" ref="H954"/>
    <hyperlink r:id="rId958" ref="H955"/>
    <hyperlink r:id="rId959" ref="H956"/>
    <hyperlink r:id="rId960" ref="H957"/>
    <hyperlink r:id="rId961" ref="H958"/>
    <hyperlink r:id="rId962" ref="H959"/>
    <hyperlink r:id="rId963" ref="H960"/>
    <hyperlink r:id="rId964" ref="H961"/>
    <hyperlink r:id="rId965" ref="H962"/>
    <hyperlink r:id="rId966" ref="H963"/>
    <hyperlink r:id="rId967" ref="H964"/>
    <hyperlink r:id="rId968" ref="H965"/>
    <hyperlink r:id="rId969" ref="H966"/>
    <hyperlink r:id="rId970" ref="H967"/>
    <hyperlink r:id="rId971" ref="H968"/>
    <hyperlink r:id="rId972" ref="H969"/>
    <hyperlink r:id="rId973" ref="H970"/>
    <hyperlink r:id="rId974" ref="H971"/>
    <hyperlink r:id="rId975" ref="H972"/>
    <hyperlink r:id="rId976" ref="H973"/>
    <hyperlink r:id="rId977" ref="H974"/>
    <hyperlink r:id="rId978" ref="H975"/>
    <hyperlink r:id="rId979" ref="H976"/>
    <hyperlink r:id="rId980" ref="H977"/>
    <hyperlink r:id="rId981" ref="H978"/>
    <hyperlink r:id="rId982" ref="H979"/>
    <hyperlink r:id="rId983" ref="H980"/>
    <hyperlink r:id="rId984" ref="H981"/>
    <hyperlink r:id="rId985" ref="H982"/>
    <hyperlink r:id="rId986" ref="H983"/>
    <hyperlink r:id="rId987" ref="H984"/>
    <hyperlink r:id="rId988" ref="H985"/>
    <hyperlink r:id="rId989" ref="H986"/>
    <hyperlink r:id="rId990" ref="H987"/>
    <hyperlink r:id="rId991" ref="H988"/>
    <hyperlink r:id="rId992" ref="H989"/>
    <hyperlink r:id="rId993" ref="H990"/>
    <hyperlink r:id="rId994" ref="H991"/>
    <hyperlink r:id="rId995" ref="H992"/>
    <hyperlink r:id="rId996" ref="H993"/>
    <hyperlink r:id="rId997" ref="H994"/>
    <hyperlink r:id="rId998" ref="H995"/>
    <hyperlink r:id="rId999" ref="H996"/>
    <hyperlink r:id="rId1000" ref="H997"/>
    <hyperlink r:id="rId1001" ref="H998"/>
    <hyperlink r:id="rId1002" ref="H999"/>
    <hyperlink r:id="rId1003" ref="H1000"/>
    <hyperlink r:id="rId1004" ref="H1001"/>
    <hyperlink r:id="rId1005" ref="H1002"/>
    <hyperlink r:id="rId1006" ref="C1003"/>
    <hyperlink r:id="rId1007" ref="H1003"/>
    <hyperlink r:id="rId1008" ref="H1004"/>
    <hyperlink r:id="rId1009" ref="H1005"/>
    <hyperlink r:id="rId1010" ref="H1006"/>
    <hyperlink r:id="rId1011" ref="H1007"/>
    <hyperlink r:id="rId1012" ref="H1008"/>
    <hyperlink r:id="rId1013" ref="H1009"/>
    <hyperlink r:id="rId1014" ref="H1010"/>
    <hyperlink r:id="rId1015" ref="H1011"/>
    <hyperlink r:id="rId1016" ref="H1012"/>
    <hyperlink r:id="rId1017" ref="H1013"/>
    <hyperlink r:id="rId1018" ref="H1014"/>
    <hyperlink r:id="rId1019" ref="H1015"/>
    <hyperlink r:id="rId1020" ref="H1016"/>
    <hyperlink r:id="rId1021" ref="H1017"/>
    <hyperlink r:id="rId1022" ref="H1018"/>
    <hyperlink r:id="rId1023" ref="H1019"/>
    <hyperlink r:id="rId1024" ref="H1020"/>
    <hyperlink r:id="rId1025" ref="H1021"/>
    <hyperlink r:id="rId1026" ref="H1022"/>
    <hyperlink r:id="rId1027" ref="H1023"/>
    <hyperlink r:id="rId1028" ref="H1024"/>
    <hyperlink r:id="rId1029" ref="H1025"/>
    <hyperlink r:id="rId1030" ref="H1026"/>
    <hyperlink r:id="rId1031" ref="H1027"/>
    <hyperlink r:id="rId1032" ref="H1028"/>
    <hyperlink r:id="rId1033" ref="H1029"/>
    <hyperlink r:id="rId1034" ref="H1030"/>
    <hyperlink r:id="rId1035" ref="H1031"/>
    <hyperlink r:id="rId1036" ref="H1032"/>
    <hyperlink r:id="rId1037" ref="H1033"/>
    <hyperlink r:id="rId1038" ref="H1034"/>
    <hyperlink r:id="rId1039" ref="H1035"/>
    <hyperlink r:id="rId1040" ref="H1036"/>
    <hyperlink r:id="rId1041" ref="H1037"/>
    <hyperlink r:id="rId1042" ref="H1038"/>
    <hyperlink r:id="rId1043" ref="H1039"/>
    <hyperlink r:id="rId1044" ref="H1040"/>
    <hyperlink r:id="rId1045" ref="H1041"/>
    <hyperlink r:id="rId1046" ref="H1042"/>
    <hyperlink r:id="rId1047" ref="H1043"/>
    <hyperlink r:id="rId1048" ref="H1044"/>
    <hyperlink r:id="rId1049" ref="H1045"/>
    <hyperlink r:id="rId1050" ref="H1046"/>
    <hyperlink r:id="rId1051" ref="H1047"/>
    <hyperlink r:id="rId1052" ref="H1048"/>
    <hyperlink r:id="rId1053" ref="H1049"/>
    <hyperlink r:id="rId1054" ref="H1050"/>
    <hyperlink r:id="rId1055" ref="H1051"/>
    <hyperlink r:id="rId1056" ref="H1052"/>
    <hyperlink r:id="rId1057" ref="H1053"/>
    <hyperlink r:id="rId1058" ref="H1054"/>
    <hyperlink r:id="rId1059" ref="H1055"/>
    <hyperlink r:id="rId1060" ref="H1056"/>
    <hyperlink r:id="rId1061" ref="H1057"/>
    <hyperlink r:id="rId1062" ref="H1058"/>
    <hyperlink r:id="rId1063" ref="H1059"/>
    <hyperlink r:id="rId1064" ref="H1060"/>
    <hyperlink r:id="rId1065" ref="H1061"/>
    <hyperlink r:id="rId1066" ref="H1062"/>
    <hyperlink r:id="rId1067" ref="H1063"/>
    <hyperlink r:id="rId1068" ref="H1064"/>
    <hyperlink r:id="rId1069" ref="H1065"/>
    <hyperlink r:id="rId1070" ref="H1066"/>
    <hyperlink r:id="rId1071" ref="H1067"/>
    <hyperlink r:id="rId1072" ref="H1068"/>
    <hyperlink r:id="rId1073" ref="H1069"/>
    <hyperlink r:id="rId1074" ref="H1070"/>
    <hyperlink r:id="rId1075" ref="H1071"/>
    <hyperlink r:id="rId1076" ref="H1072"/>
    <hyperlink r:id="rId1077" ref="H1073"/>
    <hyperlink r:id="rId1078" ref="H1074"/>
    <hyperlink r:id="rId1079" ref="H1075"/>
    <hyperlink r:id="rId1080" ref="H1076"/>
    <hyperlink r:id="rId1081" ref="H1077"/>
    <hyperlink r:id="rId1082" ref="H1078"/>
    <hyperlink r:id="rId1083" ref="H1079"/>
    <hyperlink r:id="rId1084" ref="H1080"/>
    <hyperlink r:id="rId1085" ref="H1081"/>
    <hyperlink r:id="rId1086" ref="H1082"/>
    <hyperlink r:id="rId1087" ref="H1083"/>
    <hyperlink r:id="rId1088" ref="H1084"/>
    <hyperlink r:id="rId1089" ref="H1085"/>
    <hyperlink r:id="rId1090" ref="H1086"/>
    <hyperlink r:id="rId1091" ref="H1087"/>
    <hyperlink r:id="rId1092" ref="H1088"/>
    <hyperlink r:id="rId1093" ref="H1089"/>
    <hyperlink r:id="rId1094" ref="H1090"/>
    <hyperlink r:id="rId1095" ref="H1091"/>
    <hyperlink r:id="rId1096" ref="H1092"/>
    <hyperlink r:id="rId1097" ref="H1093"/>
    <hyperlink r:id="rId1098" ref="H1094"/>
    <hyperlink r:id="rId1099" ref="H1095"/>
    <hyperlink r:id="rId1100" ref="H1096"/>
    <hyperlink r:id="rId1101" ref="H1097"/>
    <hyperlink r:id="rId1102" ref="H1098"/>
    <hyperlink r:id="rId1103" ref="H1099"/>
    <hyperlink r:id="rId1104" ref="H1100"/>
    <hyperlink r:id="rId1105" ref="H1101"/>
    <hyperlink r:id="rId1106" ref="H1102"/>
    <hyperlink r:id="rId1107" ref="H1103"/>
    <hyperlink r:id="rId1108" ref="H1104"/>
    <hyperlink r:id="rId1109" ref="H1105"/>
    <hyperlink r:id="rId1110" ref="H1106"/>
    <hyperlink r:id="rId1111" ref="H1107"/>
    <hyperlink r:id="rId1112" ref="H1108"/>
    <hyperlink r:id="rId1113" ref="H1109"/>
    <hyperlink r:id="rId1114" ref="H1110"/>
    <hyperlink r:id="rId1115" ref="H1111"/>
    <hyperlink r:id="rId1116" ref="H1112"/>
    <hyperlink r:id="rId1117" ref="H1113"/>
    <hyperlink r:id="rId1118" ref="H1114"/>
    <hyperlink r:id="rId1119" ref="H1115"/>
    <hyperlink r:id="rId1120" ref="H1116"/>
    <hyperlink r:id="rId1121" ref="H1117"/>
    <hyperlink r:id="rId1122" ref="H1118"/>
    <hyperlink r:id="rId1123" ref="H1119"/>
    <hyperlink r:id="rId1124" ref="H1120"/>
    <hyperlink r:id="rId1125" ref="H1121"/>
    <hyperlink r:id="rId1126" ref="H1122"/>
    <hyperlink r:id="rId1127" ref="H1123"/>
    <hyperlink r:id="rId1128" ref="H1124"/>
    <hyperlink r:id="rId1129" ref="H1125"/>
    <hyperlink r:id="rId1130" ref="H1126"/>
    <hyperlink r:id="rId1131" ref="H1127"/>
    <hyperlink r:id="rId1132" ref="H1128"/>
    <hyperlink r:id="rId1133" ref="H1129"/>
    <hyperlink r:id="rId1134" ref="H1130"/>
    <hyperlink r:id="rId1135" ref="H1131"/>
    <hyperlink r:id="rId1136" ref="H1132"/>
    <hyperlink r:id="rId1137" ref="H1133"/>
    <hyperlink r:id="rId1138" ref="H1134"/>
    <hyperlink r:id="rId1139" ref="H1135"/>
    <hyperlink r:id="rId1140" ref="H1136"/>
    <hyperlink r:id="rId1141" ref="H1137"/>
    <hyperlink r:id="rId1142" ref="H1138"/>
    <hyperlink r:id="rId1143" ref="H1139"/>
    <hyperlink r:id="rId1144" ref="H1140"/>
    <hyperlink r:id="rId1145" ref="H1141"/>
    <hyperlink r:id="rId1146" ref="H1142"/>
    <hyperlink r:id="rId1147" ref="H1143"/>
    <hyperlink r:id="rId1148" ref="H1144"/>
    <hyperlink r:id="rId1149" ref="H1145"/>
    <hyperlink r:id="rId1150" ref="H1146"/>
    <hyperlink r:id="rId1151" ref="H1147"/>
    <hyperlink r:id="rId1152" ref="H1148"/>
    <hyperlink r:id="rId1153" ref="H1149"/>
    <hyperlink r:id="rId1154" ref="H1150"/>
    <hyperlink r:id="rId1155" ref="H1151"/>
    <hyperlink r:id="rId1156" ref="H1152"/>
    <hyperlink r:id="rId1157" ref="H1153"/>
    <hyperlink r:id="rId1158" ref="H1154"/>
    <hyperlink r:id="rId1159" ref="H1155"/>
    <hyperlink r:id="rId1160" ref="H1156"/>
    <hyperlink r:id="rId1161" ref="H1157"/>
    <hyperlink r:id="rId1162" ref="H1158"/>
    <hyperlink r:id="rId1163" ref="H1159"/>
    <hyperlink r:id="rId1164" ref="H1160"/>
    <hyperlink r:id="rId1165" ref="H1161"/>
    <hyperlink r:id="rId1166" ref="H1162"/>
    <hyperlink r:id="rId1167" ref="H1163"/>
    <hyperlink r:id="rId1168" ref="H1164"/>
    <hyperlink r:id="rId1169" ref="H1165"/>
    <hyperlink r:id="rId1170" ref="H1166"/>
    <hyperlink r:id="rId1171" ref="H1167"/>
    <hyperlink r:id="rId1172" ref="H1168"/>
    <hyperlink r:id="rId1173" ref="H1169"/>
    <hyperlink r:id="rId1174" ref="H1170"/>
    <hyperlink r:id="rId1175" ref="H1171"/>
    <hyperlink r:id="rId1176" ref="H1172"/>
    <hyperlink r:id="rId1177" ref="H1173"/>
    <hyperlink r:id="rId1178" ref="H1174"/>
    <hyperlink r:id="rId1179" ref="H1175"/>
    <hyperlink r:id="rId1180" ref="H1176"/>
    <hyperlink r:id="rId1181" ref="H1177"/>
    <hyperlink r:id="rId1182" ref="H1178"/>
    <hyperlink r:id="rId1183" ref="H1179"/>
    <hyperlink r:id="rId1184" ref="H1180"/>
    <hyperlink r:id="rId1185" ref="H1181"/>
    <hyperlink r:id="rId1186" ref="H1182"/>
    <hyperlink r:id="rId1187" ref="H1183"/>
    <hyperlink r:id="rId1188" ref="H1184"/>
    <hyperlink r:id="rId1189" ref="H1185"/>
    <hyperlink r:id="rId1190" ref="H1186"/>
    <hyperlink r:id="rId1191" ref="H1187"/>
    <hyperlink r:id="rId1192" ref="H1188"/>
    <hyperlink r:id="rId1193" ref="H1189"/>
    <hyperlink r:id="rId1194" ref="H1190"/>
    <hyperlink r:id="rId1195" ref="H1191"/>
    <hyperlink r:id="rId1196" ref="H1192"/>
    <hyperlink r:id="rId1197" ref="H1193"/>
    <hyperlink r:id="rId1198" ref="H1194"/>
    <hyperlink r:id="rId1199" ref="H1195"/>
    <hyperlink r:id="rId1200" ref="H1196"/>
    <hyperlink r:id="rId1201" ref="H1197"/>
    <hyperlink r:id="rId1202" ref="H1198"/>
    <hyperlink r:id="rId1203" ref="H1199"/>
    <hyperlink r:id="rId1204" ref="H1200"/>
    <hyperlink r:id="rId1205" ref="H1201"/>
    <hyperlink r:id="rId1206" ref="H1202"/>
    <hyperlink r:id="rId1207" ref="H1203"/>
    <hyperlink r:id="rId1208" ref="H1204"/>
    <hyperlink r:id="rId1209" ref="H1205"/>
    <hyperlink r:id="rId1210" ref="H1206"/>
    <hyperlink r:id="rId1211" ref="H1207"/>
    <hyperlink r:id="rId1212" ref="H1208"/>
    <hyperlink r:id="rId1213" ref="H1209"/>
    <hyperlink r:id="rId1214" ref="H1210"/>
    <hyperlink r:id="rId1215" ref="H1211"/>
    <hyperlink r:id="rId1216" ref="H1212"/>
    <hyperlink r:id="rId1217" ref="H1213"/>
    <hyperlink r:id="rId1218" ref="H1214"/>
    <hyperlink r:id="rId1219" ref="H1215"/>
    <hyperlink r:id="rId1220" ref="H1216"/>
    <hyperlink r:id="rId1221" ref="H1217"/>
    <hyperlink r:id="rId1222" ref="H1218"/>
    <hyperlink r:id="rId1223" ref="H1219"/>
    <hyperlink r:id="rId1224" ref="H1220"/>
    <hyperlink r:id="rId1225" ref="H1221"/>
    <hyperlink r:id="rId1226" ref="H1222"/>
    <hyperlink r:id="rId1227" ref="H1223"/>
    <hyperlink r:id="rId1228" ref="H1224"/>
    <hyperlink r:id="rId1229" ref="H1225"/>
    <hyperlink r:id="rId1230" ref="H1226"/>
    <hyperlink r:id="rId1231" ref="H1227"/>
    <hyperlink r:id="rId1232" ref="H1228"/>
    <hyperlink r:id="rId1233" ref="H1229"/>
    <hyperlink r:id="rId1234" ref="H1230"/>
    <hyperlink r:id="rId1235" ref="H1231"/>
    <hyperlink r:id="rId1236" ref="H1232"/>
    <hyperlink r:id="rId1237" ref="H1233"/>
    <hyperlink r:id="rId1238" ref="H1234"/>
    <hyperlink r:id="rId1239" ref="H1235"/>
    <hyperlink r:id="rId1240" ref="H1236"/>
    <hyperlink r:id="rId1241" ref="H1237"/>
    <hyperlink r:id="rId1242" ref="H1238"/>
    <hyperlink r:id="rId1243" ref="H1239"/>
    <hyperlink r:id="rId1244" ref="H1240"/>
    <hyperlink r:id="rId1245" ref="H1241"/>
    <hyperlink r:id="rId1246" ref="H1242"/>
    <hyperlink r:id="rId1247" ref="H1243"/>
    <hyperlink r:id="rId1248" ref="H1244"/>
    <hyperlink r:id="rId1249" ref="H1245"/>
    <hyperlink r:id="rId1250" ref="H1246"/>
    <hyperlink r:id="rId1251" ref="H1247"/>
    <hyperlink r:id="rId1252" ref="H1248"/>
    <hyperlink r:id="rId1253" ref="H1249"/>
    <hyperlink r:id="rId1254" ref="H1250"/>
    <hyperlink r:id="rId1255" ref="H1251"/>
    <hyperlink r:id="rId1256" ref="H1252"/>
    <hyperlink r:id="rId1257" ref="H1253"/>
    <hyperlink r:id="rId1258" ref="H1254"/>
    <hyperlink r:id="rId1259" ref="H1255"/>
    <hyperlink r:id="rId1260" ref="H1256"/>
    <hyperlink r:id="rId1261" ref="H1257"/>
    <hyperlink r:id="rId1262" ref="H1258"/>
    <hyperlink r:id="rId1263" ref="H1259"/>
    <hyperlink r:id="rId1264" ref="H1260"/>
    <hyperlink r:id="rId1265" ref="H1261"/>
    <hyperlink r:id="rId1266" ref="H1262"/>
    <hyperlink r:id="rId1267" ref="H1263"/>
    <hyperlink r:id="rId1268" ref="H1264"/>
    <hyperlink r:id="rId1269" ref="H1265"/>
    <hyperlink r:id="rId1270" ref="H1266"/>
    <hyperlink r:id="rId1271" ref="H1267"/>
    <hyperlink r:id="rId1272" ref="H1268"/>
    <hyperlink r:id="rId1273" ref="H1269"/>
    <hyperlink r:id="rId1274" ref="H1270"/>
    <hyperlink r:id="rId1275" ref="H1271"/>
    <hyperlink r:id="rId1276" ref="H1272"/>
    <hyperlink r:id="rId1277" ref="H1273"/>
    <hyperlink r:id="rId1278" ref="H1274"/>
    <hyperlink r:id="rId1279" ref="H1275"/>
    <hyperlink r:id="rId1280" ref="H1276"/>
    <hyperlink r:id="rId1281" ref="H1277"/>
    <hyperlink r:id="rId1282" ref="H1278"/>
    <hyperlink r:id="rId1283" ref="H1279"/>
    <hyperlink r:id="rId1284" ref="H1280"/>
    <hyperlink r:id="rId1285" ref="H1281"/>
    <hyperlink r:id="rId1286" ref="H1282"/>
    <hyperlink r:id="rId1287" ref="H1283"/>
    <hyperlink r:id="rId1288" ref="H1284"/>
    <hyperlink r:id="rId1289" ref="H1285"/>
    <hyperlink r:id="rId1290" ref="H1286"/>
    <hyperlink r:id="rId1291" ref="H1287"/>
    <hyperlink r:id="rId1292" ref="H1288"/>
    <hyperlink r:id="rId1293" ref="H1289"/>
    <hyperlink r:id="rId1294" ref="H1290"/>
    <hyperlink r:id="rId1295" ref="H1291"/>
    <hyperlink r:id="rId1296" ref="H1292"/>
    <hyperlink r:id="rId1297" ref="H1293"/>
    <hyperlink r:id="rId1298" ref="H1294"/>
    <hyperlink r:id="rId1299" ref="H1295"/>
    <hyperlink r:id="rId1300" ref="H1296"/>
    <hyperlink r:id="rId1301" ref="H1297"/>
    <hyperlink r:id="rId1302" ref="H1298"/>
    <hyperlink r:id="rId1303" ref="H1299"/>
    <hyperlink r:id="rId1304" ref="H1300"/>
    <hyperlink r:id="rId1305" ref="H1301"/>
    <hyperlink r:id="rId1306" ref="H1302"/>
    <hyperlink r:id="rId1307" ref="H1303"/>
    <hyperlink r:id="rId1308" ref="H1304"/>
    <hyperlink r:id="rId1309" ref="H1305"/>
    <hyperlink r:id="rId1310" ref="H1306"/>
    <hyperlink r:id="rId1311" ref="H1307"/>
    <hyperlink r:id="rId1312" ref="H1308"/>
    <hyperlink r:id="rId1313" ref="H1309"/>
    <hyperlink r:id="rId1314" ref="H1310"/>
    <hyperlink r:id="rId1315" ref="H1311"/>
    <hyperlink r:id="rId1316" ref="H1312"/>
    <hyperlink r:id="rId1317" ref="H1313"/>
    <hyperlink r:id="rId1318" ref="H1314"/>
    <hyperlink r:id="rId1319" ref="H1315"/>
    <hyperlink r:id="rId1320" ref="H1316"/>
    <hyperlink r:id="rId1321" ref="H1317"/>
    <hyperlink r:id="rId1322" ref="H1318"/>
    <hyperlink r:id="rId1323" ref="H1319"/>
    <hyperlink r:id="rId1324" ref="H1320"/>
    <hyperlink r:id="rId1325" ref="H1321"/>
    <hyperlink r:id="rId1326" ref="H1322"/>
    <hyperlink r:id="rId1327" ref="H1323"/>
    <hyperlink r:id="rId1328" ref="H1324"/>
    <hyperlink r:id="rId1329" ref="H1325"/>
    <hyperlink r:id="rId1330" ref="H1326"/>
    <hyperlink r:id="rId1331" ref="H1327"/>
    <hyperlink r:id="rId1332" ref="H1328"/>
    <hyperlink r:id="rId1333" ref="H1329"/>
    <hyperlink r:id="rId1334" ref="H1330"/>
    <hyperlink r:id="rId1335" ref="H1331"/>
    <hyperlink r:id="rId1336" ref="H1332"/>
    <hyperlink r:id="rId1337" ref="H1333"/>
    <hyperlink r:id="rId1338" ref="H1334"/>
    <hyperlink r:id="rId1339" ref="H1335"/>
    <hyperlink r:id="rId1340" ref="H1336"/>
    <hyperlink r:id="rId1341" ref="H1337"/>
    <hyperlink r:id="rId1342" ref="H1338"/>
    <hyperlink r:id="rId1343" ref="H1339"/>
    <hyperlink r:id="rId1344" ref="H1340"/>
    <hyperlink r:id="rId1345" ref="H1341"/>
    <hyperlink r:id="rId1346" ref="H1342"/>
    <hyperlink r:id="rId1347" ref="C1343"/>
    <hyperlink r:id="rId1348" ref="H1343"/>
    <hyperlink r:id="rId1349" ref="H1344"/>
    <hyperlink r:id="rId1350" ref="H1345"/>
    <hyperlink r:id="rId1351" ref="H1346"/>
    <hyperlink r:id="rId1352" ref="H1347"/>
    <hyperlink r:id="rId1353" ref="H1348"/>
    <hyperlink r:id="rId1354" ref="H1349"/>
    <hyperlink r:id="rId1355" ref="H1350"/>
    <hyperlink r:id="rId1356" ref="H1351"/>
    <hyperlink r:id="rId1357" ref="H1352"/>
    <hyperlink r:id="rId1358" ref="H1353"/>
    <hyperlink r:id="rId1359" ref="H1354"/>
    <hyperlink r:id="rId1360" ref="H1355"/>
    <hyperlink r:id="rId1361" ref="H1356"/>
    <hyperlink r:id="rId1362" ref="H1357"/>
    <hyperlink r:id="rId1363" ref="H1358"/>
    <hyperlink r:id="rId1364" ref="H1359"/>
    <hyperlink r:id="rId1365" ref="H1360"/>
    <hyperlink r:id="rId1366" ref="H1361"/>
    <hyperlink r:id="rId1367" ref="H1362"/>
    <hyperlink r:id="rId1368" ref="H1363"/>
    <hyperlink r:id="rId1369" ref="H1364"/>
    <hyperlink r:id="rId1370" ref="H1365"/>
    <hyperlink r:id="rId1371" ref="H1366"/>
    <hyperlink r:id="rId1372" ref="H1367"/>
    <hyperlink r:id="rId1373" ref="H1368"/>
    <hyperlink r:id="rId1374" ref="H1369"/>
    <hyperlink r:id="rId1375" ref="H1370"/>
    <hyperlink r:id="rId1376" ref="H1371"/>
    <hyperlink r:id="rId1377" ref="H1372"/>
    <hyperlink r:id="rId1378" ref="H1373"/>
    <hyperlink r:id="rId1379" ref="H1374"/>
    <hyperlink r:id="rId1380" ref="H1375"/>
    <hyperlink r:id="rId1381" ref="H1376"/>
    <hyperlink r:id="rId1382" ref="H1377"/>
    <hyperlink r:id="rId1383" ref="H1378"/>
    <hyperlink r:id="rId1384" ref="H1379"/>
    <hyperlink r:id="rId1385" ref="H1380"/>
    <hyperlink r:id="rId1386" ref="H1381"/>
    <hyperlink r:id="rId1387" ref="H1382"/>
    <hyperlink r:id="rId1388" ref="H1383"/>
    <hyperlink r:id="rId1389" ref="H1384"/>
    <hyperlink r:id="rId1390" ref="H1385"/>
    <hyperlink r:id="rId1391" ref="H1386"/>
    <hyperlink r:id="rId1392" ref="H1387"/>
    <hyperlink r:id="rId1393" ref="H1388"/>
    <hyperlink r:id="rId1394" ref="H1389"/>
    <hyperlink r:id="rId1395" ref="H1390"/>
    <hyperlink r:id="rId1396" ref="H1391"/>
    <hyperlink r:id="rId1397" ref="H1392"/>
    <hyperlink r:id="rId1398" ref="H1393"/>
    <hyperlink r:id="rId1399" ref="H1394"/>
    <hyperlink r:id="rId1400" ref="H1395"/>
    <hyperlink r:id="rId1401" ref="H1396"/>
    <hyperlink r:id="rId1402" ref="H1397"/>
    <hyperlink r:id="rId1403" ref="H1398"/>
    <hyperlink r:id="rId1404" ref="H1399"/>
    <hyperlink r:id="rId1405" ref="H1400"/>
    <hyperlink r:id="rId1406" ref="H1401"/>
    <hyperlink r:id="rId1407" ref="H1402"/>
    <hyperlink r:id="rId1408" ref="H1403"/>
    <hyperlink r:id="rId1409" ref="H1404"/>
    <hyperlink r:id="rId1410" ref="H1405"/>
    <hyperlink r:id="rId1411" ref="H1406"/>
    <hyperlink r:id="rId1412" ref="H1407"/>
    <hyperlink r:id="rId1413" ref="H1408"/>
    <hyperlink r:id="rId1414" ref="H1409"/>
    <hyperlink r:id="rId1415" ref="H1410"/>
    <hyperlink r:id="rId1416" ref="H1411"/>
    <hyperlink r:id="rId1417" ref="H1412"/>
    <hyperlink r:id="rId1418" ref="H1413"/>
    <hyperlink r:id="rId1419" ref="H1414"/>
    <hyperlink r:id="rId1420" ref="H1415"/>
    <hyperlink r:id="rId1421" ref="H1416"/>
    <hyperlink r:id="rId1422" ref="H1417"/>
    <hyperlink r:id="rId1423" ref="H1418"/>
    <hyperlink r:id="rId1424" ref="H1419"/>
    <hyperlink r:id="rId1425" ref="H1420"/>
    <hyperlink r:id="rId1426" ref="H1421"/>
    <hyperlink r:id="rId1427" ref="H1422"/>
    <hyperlink r:id="rId1428" ref="H1423"/>
    <hyperlink r:id="rId1429" ref="H1424"/>
    <hyperlink r:id="rId1430" ref="H1425"/>
    <hyperlink r:id="rId1431" ref="H1426"/>
    <hyperlink r:id="rId1432" ref="H1427"/>
    <hyperlink r:id="rId1433" ref="H1428"/>
    <hyperlink r:id="rId1434" ref="H1429"/>
    <hyperlink r:id="rId1435" ref="H1430"/>
    <hyperlink r:id="rId1436" ref="H1431"/>
    <hyperlink r:id="rId1437" ref="H1432"/>
    <hyperlink r:id="rId1438" ref="H1433"/>
    <hyperlink r:id="rId1439" ref="H1434"/>
    <hyperlink r:id="rId1440" ref="H1435"/>
    <hyperlink r:id="rId1441" ref="H1436"/>
    <hyperlink r:id="rId1442" ref="H1437"/>
    <hyperlink r:id="rId1443" ref="H1438"/>
    <hyperlink r:id="rId1444" ref="H1439"/>
    <hyperlink r:id="rId1445" ref="H1440"/>
    <hyperlink r:id="rId1446" ref="H1441"/>
    <hyperlink r:id="rId1447" ref="H1442"/>
    <hyperlink r:id="rId1448" ref="H1443"/>
    <hyperlink r:id="rId1449" ref="H1444"/>
    <hyperlink r:id="rId1450" ref="H1445"/>
    <hyperlink r:id="rId1451" ref="H1446"/>
    <hyperlink r:id="rId1452" ref="H1447"/>
    <hyperlink r:id="rId1453" ref="H1448"/>
    <hyperlink r:id="rId1454" ref="H1449"/>
    <hyperlink r:id="rId1455" ref="H1450"/>
    <hyperlink r:id="rId1456" ref="H1451"/>
    <hyperlink r:id="rId1457" ref="H1452"/>
    <hyperlink r:id="rId1458" ref="H1453"/>
    <hyperlink r:id="rId1459" ref="H1454"/>
    <hyperlink r:id="rId1460" ref="H1455"/>
    <hyperlink r:id="rId1461" ref="H1456"/>
    <hyperlink r:id="rId1462" ref="H1457"/>
    <hyperlink r:id="rId1463" ref="H1458"/>
    <hyperlink r:id="rId1464" ref="H1459"/>
    <hyperlink r:id="rId1465" ref="H1460"/>
    <hyperlink r:id="rId1466" ref="H1461"/>
    <hyperlink r:id="rId1467" ref="H1462"/>
    <hyperlink r:id="rId1468" ref="H1463"/>
    <hyperlink r:id="rId1469" ref="H1464"/>
    <hyperlink r:id="rId1470" ref="H1465"/>
    <hyperlink r:id="rId1471" ref="H1466"/>
    <hyperlink r:id="rId1472" ref="H1467"/>
    <hyperlink r:id="rId1473" ref="H1468"/>
    <hyperlink r:id="rId1474" ref="H1469"/>
    <hyperlink r:id="rId1475" ref="H1470"/>
    <hyperlink r:id="rId1476" ref="H1471"/>
    <hyperlink r:id="rId1477" ref="H1472"/>
    <hyperlink r:id="rId1478" ref="H1473"/>
    <hyperlink r:id="rId1479" ref="H1474"/>
    <hyperlink r:id="rId1480" ref="H1475"/>
    <hyperlink r:id="rId1481" ref="H1476"/>
    <hyperlink r:id="rId1482" ref="H1477"/>
    <hyperlink r:id="rId1483" ref="H1478"/>
    <hyperlink r:id="rId1484" ref="H1479"/>
    <hyperlink r:id="rId1485" ref="H1480"/>
    <hyperlink r:id="rId1486" ref="H1481"/>
    <hyperlink r:id="rId1487" ref="H1482"/>
    <hyperlink r:id="rId1488" ref="H1483"/>
    <hyperlink r:id="rId1489" ref="H1484"/>
    <hyperlink r:id="rId1490" ref="H1485"/>
    <hyperlink r:id="rId1491" ref="H1486"/>
    <hyperlink r:id="rId1492" ref="H1487"/>
    <hyperlink r:id="rId1493" ref="H1488"/>
    <hyperlink r:id="rId1494" ref="H1489"/>
    <hyperlink r:id="rId1495" ref="H1490"/>
    <hyperlink r:id="rId1496" ref="H1491"/>
    <hyperlink r:id="rId1497" ref="H1492"/>
    <hyperlink r:id="rId1498" ref="H1493"/>
    <hyperlink r:id="rId1499" ref="H1494"/>
    <hyperlink r:id="rId1500" ref="H1495"/>
    <hyperlink r:id="rId1501" ref="H1496"/>
    <hyperlink r:id="rId1502" ref="H1497"/>
    <hyperlink r:id="rId1503" ref="H1498"/>
    <hyperlink r:id="rId1504" ref="H1499"/>
    <hyperlink r:id="rId1505" ref="H1500"/>
    <hyperlink r:id="rId1506" ref="H1501"/>
    <hyperlink r:id="rId1507" ref="H1502"/>
    <hyperlink r:id="rId1508" ref="H1503"/>
    <hyperlink r:id="rId1509" ref="H1504"/>
    <hyperlink r:id="rId1510" ref="H1505"/>
    <hyperlink r:id="rId1511" ref="H1506"/>
    <hyperlink r:id="rId1512" ref="H1507"/>
    <hyperlink r:id="rId1513" ref="H1508"/>
    <hyperlink r:id="rId1514" ref="H1509"/>
    <hyperlink r:id="rId1515" ref="H1510"/>
    <hyperlink r:id="rId1516" ref="H1511"/>
    <hyperlink r:id="rId1517" ref="H1512"/>
    <hyperlink r:id="rId1518" ref="H1513"/>
    <hyperlink r:id="rId1519" ref="H1514"/>
    <hyperlink r:id="rId1520" ref="H1515"/>
    <hyperlink r:id="rId1521" ref="H1516"/>
    <hyperlink r:id="rId1522" ref="H1517"/>
    <hyperlink r:id="rId1523" ref="H1518"/>
    <hyperlink r:id="rId1524" ref="H1519"/>
    <hyperlink r:id="rId1525" ref="H1520"/>
    <hyperlink r:id="rId1526" ref="H1521"/>
    <hyperlink r:id="rId1527" ref="H1522"/>
    <hyperlink r:id="rId1528" ref="H1523"/>
    <hyperlink r:id="rId1529" ref="H1524"/>
    <hyperlink r:id="rId1530" ref="H1525"/>
    <hyperlink r:id="rId1531" ref="H1526"/>
    <hyperlink r:id="rId1532" ref="H1527"/>
    <hyperlink r:id="rId1533" ref="H1528"/>
    <hyperlink r:id="rId1534" ref="H1529"/>
    <hyperlink r:id="rId1535" ref="H1530"/>
    <hyperlink r:id="rId1536" ref="H1531"/>
    <hyperlink r:id="rId1537" ref="H1532"/>
    <hyperlink r:id="rId1538" ref="H1533"/>
    <hyperlink r:id="rId1539" ref="H1534"/>
    <hyperlink r:id="rId1540" ref="H1535"/>
    <hyperlink r:id="rId1541" ref="H1536"/>
    <hyperlink r:id="rId1542" ref="H1537"/>
    <hyperlink r:id="rId1543" ref="H1538"/>
    <hyperlink r:id="rId1544" ref="H1539"/>
    <hyperlink r:id="rId1545" ref="H1540"/>
    <hyperlink r:id="rId1546" ref="H1541"/>
    <hyperlink r:id="rId1547" ref="H1542"/>
    <hyperlink r:id="rId1548" ref="H1543"/>
    <hyperlink r:id="rId1549" ref="H1544"/>
    <hyperlink r:id="rId1550" ref="H1545"/>
    <hyperlink r:id="rId1551" ref="H1546"/>
    <hyperlink r:id="rId1552" ref="H1547"/>
    <hyperlink r:id="rId1553" ref="H1548"/>
    <hyperlink r:id="rId1554" ref="H1549"/>
    <hyperlink r:id="rId1555" ref="H1550"/>
    <hyperlink r:id="rId1556" ref="H1551"/>
    <hyperlink r:id="rId1557" ref="H1552"/>
    <hyperlink r:id="rId1558" ref="H1553"/>
    <hyperlink r:id="rId1559" ref="H1554"/>
    <hyperlink r:id="rId1560" ref="H1555"/>
    <hyperlink r:id="rId1561" ref="H1556"/>
    <hyperlink r:id="rId1562" ref="H1557"/>
    <hyperlink r:id="rId1563" ref="H1558"/>
    <hyperlink r:id="rId1564" ref="H1559"/>
    <hyperlink r:id="rId1565" ref="H1560"/>
    <hyperlink r:id="rId1566" ref="H1561"/>
    <hyperlink r:id="rId1567" ref="H1562"/>
    <hyperlink r:id="rId1568" ref="H1563"/>
    <hyperlink r:id="rId1569" ref="H1564"/>
    <hyperlink r:id="rId1570" ref="H1565"/>
    <hyperlink r:id="rId1571" ref="H1566"/>
    <hyperlink r:id="rId1572" ref="H1567"/>
    <hyperlink r:id="rId1573" ref="H1568"/>
    <hyperlink r:id="rId1574" ref="H1569"/>
    <hyperlink r:id="rId1575" ref="H1570"/>
    <hyperlink r:id="rId1576" ref="H1571"/>
    <hyperlink r:id="rId1577" ref="H1572"/>
    <hyperlink r:id="rId1578" ref="H1573"/>
    <hyperlink r:id="rId1579" ref="H1574"/>
    <hyperlink r:id="rId1580" ref="H1575"/>
    <hyperlink r:id="rId1581" ref="H1576"/>
    <hyperlink r:id="rId1582" ref="H1577"/>
    <hyperlink r:id="rId1583" ref="H1578"/>
    <hyperlink r:id="rId1584" ref="H1579"/>
    <hyperlink r:id="rId1585" ref="H1580"/>
    <hyperlink r:id="rId1586" ref="H1581"/>
    <hyperlink r:id="rId1587" ref="H1582"/>
    <hyperlink r:id="rId1588" ref="H1583"/>
    <hyperlink r:id="rId1589" ref="H1584"/>
    <hyperlink r:id="rId1590" ref="H1585"/>
    <hyperlink r:id="rId1591" ref="H1586"/>
    <hyperlink r:id="rId1592" ref="H1587"/>
    <hyperlink r:id="rId1593" ref="H1588"/>
    <hyperlink r:id="rId1594" ref="H1589"/>
    <hyperlink r:id="rId1595" ref="H1590"/>
    <hyperlink r:id="rId1596" ref="H1591"/>
    <hyperlink r:id="rId1597" ref="H1592"/>
    <hyperlink r:id="rId1598" ref="H1593"/>
    <hyperlink r:id="rId1599" ref="H1594"/>
    <hyperlink r:id="rId1600" ref="H1595"/>
    <hyperlink r:id="rId1601" ref="H1596"/>
    <hyperlink r:id="rId1602" ref="H1597"/>
    <hyperlink r:id="rId1603" ref="H1598"/>
    <hyperlink r:id="rId1604" ref="H1599"/>
    <hyperlink r:id="rId1605" ref="H1600"/>
    <hyperlink r:id="rId1606" ref="H1601"/>
    <hyperlink r:id="rId1607" ref="H1602"/>
    <hyperlink r:id="rId1608" ref="H1603"/>
    <hyperlink r:id="rId1609" ref="H1604"/>
    <hyperlink r:id="rId1610" ref="H1605"/>
    <hyperlink r:id="rId1611" ref="H1606"/>
    <hyperlink r:id="rId1612" ref="H1607"/>
    <hyperlink r:id="rId1613" ref="H1608"/>
    <hyperlink r:id="rId1614" ref="H1609"/>
    <hyperlink r:id="rId1615" ref="H1610"/>
    <hyperlink r:id="rId1616" ref="H1611"/>
    <hyperlink r:id="rId1617" ref="H1612"/>
    <hyperlink r:id="rId1618" ref="H1613"/>
    <hyperlink r:id="rId1619" ref="H1614"/>
    <hyperlink r:id="rId1620" ref="H1615"/>
    <hyperlink r:id="rId1621" ref="H1616"/>
    <hyperlink r:id="rId1622" ref="H1617"/>
    <hyperlink r:id="rId1623" ref="H1618"/>
    <hyperlink r:id="rId1624" ref="H1619"/>
    <hyperlink r:id="rId1625" ref="H1620"/>
    <hyperlink r:id="rId1626" ref="H1621"/>
    <hyperlink r:id="rId1627" ref="H1622"/>
    <hyperlink r:id="rId1628" ref="H1623"/>
    <hyperlink r:id="rId1629" ref="H1624"/>
    <hyperlink r:id="rId1630" ref="H1625"/>
    <hyperlink r:id="rId1631" ref="H1626"/>
    <hyperlink r:id="rId1632" ref="H1627"/>
    <hyperlink r:id="rId1633" ref="H1628"/>
    <hyperlink r:id="rId1634" ref="H1629"/>
    <hyperlink r:id="rId1635" ref="H1630"/>
    <hyperlink r:id="rId1636" ref="H1631"/>
    <hyperlink r:id="rId1637" ref="H1632"/>
    <hyperlink r:id="rId1638" ref="H1633"/>
    <hyperlink r:id="rId1639" ref="H1634"/>
    <hyperlink r:id="rId1640" ref="H1635"/>
    <hyperlink r:id="rId1641" ref="H1636"/>
    <hyperlink r:id="rId1642" ref="H1637"/>
    <hyperlink r:id="rId1643" ref="H1638"/>
    <hyperlink r:id="rId1644" ref="H1639"/>
    <hyperlink r:id="rId1645" ref="H1640"/>
    <hyperlink r:id="rId1646" ref="H1641"/>
    <hyperlink r:id="rId1647" ref="H1642"/>
    <hyperlink r:id="rId1648" ref="H1643"/>
    <hyperlink r:id="rId1649" ref="H1644"/>
    <hyperlink r:id="rId1650" ref="H1645"/>
    <hyperlink r:id="rId1651" ref="H1646"/>
    <hyperlink r:id="rId1652" ref="H1647"/>
    <hyperlink r:id="rId1653" ref="H1648"/>
    <hyperlink r:id="rId1654" ref="H1649"/>
    <hyperlink r:id="rId1655" ref="H1650"/>
    <hyperlink r:id="rId1656" ref="H1651"/>
    <hyperlink r:id="rId1657" ref="H1652"/>
    <hyperlink r:id="rId1658" ref="H1653"/>
    <hyperlink r:id="rId1659" ref="H1654"/>
    <hyperlink r:id="rId1660" ref="H1655"/>
    <hyperlink r:id="rId1661" ref="H1656"/>
    <hyperlink r:id="rId1662" ref="H1657"/>
    <hyperlink r:id="rId1663" ref="H1658"/>
    <hyperlink r:id="rId1664" ref="H1659"/>
    <hyperlink r:id="rId1665" ref="H1660"/>
    <hyperlink r:id="rId1666" ref="H1661"/>
    <hyperlink r:id="rId1667" ref="H1662"/>
    <hyperlink r:id="rId1668" ref="H1663"/>
    <hyperlink r:id="rId1669" ref="H1664"/>
    <hyperlink r:id="rId1670" ref="H1665"/>
    <hyperlink r:id="rId1671" ref="H1666"/>
    <hyperlink r:id="rId1672" ref="H1667"/>
    <hyperlink r:id="rId1673" ref="H1668"/>
    <hyperlink r:id="rId1674" ref="H1669"/>
    <hyperlink r:id="rId1675" ref="H1670"/>
    <hyperlink r:id="rId1676" ref="H1671"/>
    <hyperlink r:id="rId1677" ref="H1672"/>
    <hyperlink r:id="rId1678" ref="H1673"/>
    <hyperlink r:id="rId1679" ref="H1674"/>
    <hyperlink r:id="rId1680" ref="H1675"/>
    <hyperlink r:id="rId1681" ref="H1676"/>
    <hyperlink r:id="rId1682" ref="H1677"/>
    <hyperlink r:id="rId1683" ref="H1678"/>
    <hyperlink r:id="rId1684" ref="H1679"/>
    <hyperlink r:id="rId1685" ref="H1680"/>
    <hyperlink r:id="rId1686" ref="H1681"/>
    <hyperlink r:id="rId1687" ref="H1682"/>
    <hyperlink r:id="rId1688" ref="H1683"/>
    <hyperlink r:id="rId1689" ref="H1684"/>
    <hyperlink r:id="rId1690" ref="H1685"/>
    <hyperlink r:id="rId1691" ref="H1686"/>
    <hyperlink r:id="rId1692" ref="H1687"/>
    <hyperlink r:id="rId1693" ref="H1688"/>
    <hyperlink r:id="rId1694" ref="H1689"/>
    <hyperlink r:id="rId1695" ref="H1690"/>
    <hyperlink r:id="rId1696" ref="H1691"/>
    <hyperlink r:id="rId1697" ref="H1692"/>
    <hyperlink r:id="rId1698" ref="H1693"/>
    <hyperlink r:id="rId1699" ref="H1694"/>
    <hyperlink r:id="rId1700" ref="H1695"/>
    <hyperlink r:id="rId1701" ref="H1696"/>
    <hyperlink r:id="rId1702" ref="H1697"/>
    <hyperlink r:id="rId1703" ref="H1698"/>
    <hyperlink r:id="rId1704" ref="H1699"/>
    <hyperlink r:id="rId1705" ref="H1700"/>
    <hyperlink r:id="rId1706" ref="H1701"/>
    <hyperlink r:id="rId1707" ref="H1702"/>
    <hyperlink r:id="rId1708" ref="H1703"/>
    <hyperlink r:id="rId1709" ref="H1704"/>
    <hyperlink r:id="rId1710" ref="H1705"/>
    <hyperlink r:id="rId1711" ref="H1706"/>
    <hyperlink r:id="rId1712" ref="H1707"/>
    <hyperlink r:id="rId1713" ref="H1708"/>
    <hyperlink r:id="rId1714" ref="H1709"/>
    <hyperlink r:id="rId1715" ref="H1710"/>
    <hyperlink r:id="rId1716" ref="H1711"/>
    <hyperlink r:id="rId1717" ref="H1712"/>
    <hyperlink r:id="rId1718" ref="H1713"/>
    <hyperlink r:id="rId1719" ref="H1714"/>
    <hyperlink r:id="rId1720" ref="H1715"/>
    <hyperlink r:id="rId1721" ref="H1716"/>
    <hyperlink r:id="rId1722" ref="H1717"/>
    <hyperlink r:id="rId1723" ref="H1718"/>
    <hyperlink r:id="rId1724" ref="H1719"/>
    <hyperlink r:id="rId1725" ref="H1720"/>
    <hyperlink r:id="rId1726" ref="H1721"/>
    <hyperlink r:id="rId1727" ref="H1722"/>
    <hyperlink r:id="rId1728" ref="H1723"/>
    <hyperlink r:id="rId1729" ref="H1724"/>
    <hyperlink r:id="rId1730" ref="H1725"/>
    <hyperlink r:id="rId1731" ref="H1726"/>
    <hyperlink r:id="rId1732" ref="H1727"/>
    <hyperlink r:id="rId1733" ref="H1728"/>
    <hyperlink r:id="rId1734" ref="H1729"/>
    <hyperlink r:id="rId1735" ref="H1730"/>
    <hyperlink r:id="rId1736" ref="H1731"/>
    <hyperlink r:id="rId1737" ref="H1732"/>
    <hyperlink r:id="rId1738" ref="H1733"/>
    <hyperlink r:id="rId1739" ref="H1734"/>
    <hyperlink r:id="rId1740" ref="H1735"/>
    <hyperlink r:id="rId1741" ref="H1736"/>
    <hyperlink r:id="rId1742" ref="H1737"/>
    <hyperlink r:id="rId1743" ref="H1738"/>
    <hyperlink r:id="rId1744" ref="H1739"/>
    <hyperlink r:id="rId1745" ref="H1740"/>
    <hyperlink r:id="rId1746" ref="H1741"/>
    <hyperlink r:id="rId1747" ref="H1742"/>
    <hyperlink r:id="rId1748" ref="H1743"/>
    <hyperlink r:id="rId1749" ref="H1744"/>
    <hyperlink r:id="rId1750" ref="H1745"/>
    <hyperlink r:id="rId1751" ref="H1746"/>
    <hyperlink r:id="rId1752" ref="H1747"/>
    <hyperlink r:id="rId1753" ref="H1748"/>
    <hyperlink r:id="rId1754" ref="H1749"/>
    <hyperlink r:id="rId1755" ref="H1750"/>
    <hyperlink r:id="rId1756" ref="H1751"/>
    <hyperlink r:id="rId1757" ref="H1752"/>
    <hyperlink r:id="rId1758" ref="H1753"/>
    <hyperlink r:id="rId1759" ref="H1754"/>
    <hyperlink r:id="rId1760" ref="H1755"/>
    <hyperlink r:id="rId1761" ref="H1756"/>
    <hyperlink r:id="rId1762" ref="H1757"/>
    <hyperlink r:id="rId1763" ref="H1758"/>
    <hyperlink r:id="rId1764" ref="H1759"/>
    <hyperlink r:id="rId1765" ref="H1760"/>
    <hyperlink r:id="rId1766" ref="H1761"/>
    <hyperlink r:id="rId1767" ref="H1762"/>
    <hyperlink r:id="rId1768" ref="H1763"/>
    <hyperlink r:id="rId1769" ref="H1764"/>
    <hyperlink r:id="rId1770" ref="H1765"/>
    <hyperlink r:id="rId1771" ref="H1766"/>
    <hyperlink r:id="rId1772" ref="H1767"/>
    <hyperlink r:id="rId1773" ref="H1768"/>
    <hyperlink r:id="rId1774" ref="H1769"/>
    <hyperlink r:id="rId1775" ref="H1770"/>
    <hyperlink r:id="rId1776" ref="H1771"/>
    <hyperlink r:id="rId1777" ref="H1772"/>
    <hyperlink r:id="rId1778" ref="H1773"/>
    <hyperlink r:id="rId1779" ref="H1774"/>
    <hyperlink r:id="rId1780" ref="H1775"/>
    <hyperlink r:id="rId1781" ref="H1776"/>
    <hyperlink r:id="rId1782" ref="H1777"/>
    <hyperlink r:id="rId1783" ref="H1778"/>
    <hyperlink r:id="rId1784" ref="H1779"/>
    <hyperlink r:id="rId1785" ref="H1780"/>
    <hyperlink r:id="rId1786" ref="H1781"/>
    <hyperlink r:id="rId1787" ref="H1782"/>
    <hyperlink r:id="rId1788" ref="H1783"/>
    <hyperlink r:id="rId1789" ref="H1784"/>
    <hyperlink r:id="rId1790" ref="H1785"/>
    <hyperlink r:id="rId1791" ref="H1786"/>
    <hyperlink r:id="rId1792" ref="H1787"/>
    <hyperlink r:id="rId1793" ref="H1788"/>
    <hyperlink r:id="rId1794" ref="H1789"/>
    <hyperlink r:id="rId1795" ref="H1790"/>
    <hyperlink r:id="rId1796" ref="H1791"/>
    <hyperlink r:id="rId1797" ref="H1792"/>
    <hyperlink r:id="rId1798" ref="H1793"/>
    <hyperlink r:id="rId1799" ref="H1794"/>
    <hyperlink r:id="rId1800" ref="H1795"/>
    <hyperlink r:id="rId1801" ref="H1796"/>
    <hyperlink r:id="rId1802" ref="H1797"/>
    <hyperlink r:id="rId1803" ref="H1798"/>
    <hyperlink r:id="rId1804" ref="H1799"/>
    <hyperlink r:id="rId1805" ref="H1800"/>
    <hyperlink r:id="rId1806" ref="H1802"/>
    <hyperlink r:id="rId1807" ref="H1803"/>
    <hyperlink r:id="rId1808" ref="H1804"/>
    <hyperlink r:id="rId1809" ref="H1805"/>
    <hyperlink r:id="rId1810" ref="H1806"/>
    <hyperlink r:id="rId1811" ref="H1807"/>
    <hyperlink r:id="rId1812" ref="H1808"/>
    <hyperlink r:id="rId1813" ref="H1809"/>
    <hyperlink r:id="rId1814" ref="H1810"/>
    <hyperlink r:id="rId1815" ref="H1811"/>
    <hyperlink r:id="rId1816" ref="H1812"/>
    <hyperlink r:id="rId1817" ref="H1813"/>
    <hyperlink r:id="rId1818" ref="H1814"/>
    <hyperlink r:id="rId1819" ref="H1815"/>
    <hyperlink r:id="rId1820" ref="H1816"/>
    <hyperlink r:id="rId1821" ref="H1817"/>
    <hyperlink r:id="rId1822" ref="H1818"/>
    <hyperlink r:id="rId1823" ref="H1819"/>
    <hyperlink r:id="rId1824" ref="H1820"/>
    <hyperlink r:id="rId1825" ref="H1821"/>
    <hyperlink r:id="rId1826" ref="H1822"/>
    <hyperlink r:id="rId1827" ref="H1823"/>
    <hyperlink r:id="rId1828" ref="H1824"/>
    <hyperlink r:id="rId1829" ref="H1825"/>
    <hyperlink r:id="rId1830" ref="H1826"/>
    <hyperlink r:id="rId1831" ref="H1827"/>
    <hyperlink r:id="rId1832" ref="H1828"/>
    <hyperlink r:id="rId1833" ref="H1829"/>
    <hyperlink r:id="rId1834" ref="H1830"/>
    <hyperlink r:id="rId1835" ref="H1831"/>
    <hyperlink r:id="rId1836" ref="H1832"/>
    <hyperlink r:id="rId1837" ref="H1833"/>
    <hyperlink r:id="rId1838" ref="H1834"/>
    <hyperlink r:id="rId1839" ref="H1835"/>
    <hyperlink r:id="rId1840" ref="H1836"/>
    <hyperlink r:id="rId1841" ref="H1837"/>
    <hyperlink r:id="rId1842" ref="H1838"/>
    <hyperlink r:id="rId1843" ref="H1839"/>
    <hyperlink r:id="rId1844" ref="H1840"/>
    <hyperlink r:id="rId1845" ref="H1841"/>
    <hyperlink r:id="rId1846" ref="H1842"/>
    <hyperlink r:id="rId1847" ref="H1843"/>
    <hyperlink r:id="rId1848" ref="H1844"/>
    <hyperlink r:id="rId1849" ref="H1845"/>
    <hyperlink r:id="rId1850" ref="H1846"/>
    <hyperlink r:id="rId1851" ref="H1847"/>
    <hyperlink r:id="rId1852" ref="H1848"/>
    <hyperlink r:id="rId1853" ref="H1849"/>
    <hyperlink r:id="rId1854" ref="H1850"/>
    <hyperlink r:id="rId1855" ref="H1851"/>
    <hyperlink r:id="rId1856" ref="H1852"/>
    <hyperlink r:id="rId1857" ref="H1853"/>
    <hyperlink r:id="rId1858" ref="H1854"/>
    <hyperlink r:id="rId1859" ref="H1855"/>
    <hyperlink r:id="rId1860" ref="H1856"/>
    <hyperlink r:id="rId1861" ref="H1857"/>
    <hyperlink r:id="rId1862" ref="H1858"/>
    <hyperlink r:id="rId1863" ref="H1859"/>
    <hyperlink r:id="rId1864" ref="H1860"/>
    <hyperlink r:id="rId1865" ref="H1861"/>
    <hyperlink r:id="rId1866" ref="H1862"/>
    <hyperlink r:id="rId1867" ref="H1863"/>
    <hyperlink r:id="rId1868" ref="H1864"/>
    <hyperlink r:id="rId1869" ref="H1865"/>
    <hyperlink r:id="rId1870" ref="H1866"/>
    <hyperlink r:id="rId1871" ref="H1867"/>
    <hyperlink r:id="rId1872" ref="H1868"/>
    <hyperlink r:id="rId1873" ref="H1869"/>
    <hyperlink r:id="rId1874" ref="H1870"/>
    <hyperlink r:id="rId1875" ref="H1871"/>
    <hyperlink r:id="rId1876" ref="H1872"/>
    <hyperlink r:id="rId1877" ref="H1873"/>
    <hyperlink r:id="rId1878" ref="H1874"/>
    <hyperlink r:id="rId1879" ref="H1875"/>
    <hyperlink r:id="rId1880" ref="H1876"/>
    <hyperlink r:id="rId1881" ref="H1877"/>
    <hyperlink r:id="rId1882" ref="H1878"/>
    <hyperlink r:id="rId1883" ref="H1879"/>
    <hyperlink r:id="rId1884" ref="H1880"/>
    <hyperlink r:id="rId1885" ref="H1881"/>
    <hyperlink r:id="rId1886" ref="H1882"/>
    <hyperlink r:id="rId1887" ref="H1883"/>
    <hyperlink r:id="rId1888" ref="H1884"/>
    <hyperlink r:id="rId1889" ref="H1885"/>
    <hyperlink r:id="rId1890" ref="H1886"/>
    <hyperlink r:id="rId1891" ref="H1887"/>
    <hyperlink r:id="rId1892" ref="H1888"/>
    <hyperlink r:id="rId1893" ref="H1889"/>
    <hyperlink r:id="rId1894" ref="H1890"/>
    <hyperlink r:id="rId1895" ref="H1891"/>
    <hyperlink r:id="rId1896" ref="H1892"/>
    <hyperlink r:id="rId1897" ref="H1893"/>
    <hyperlink r:id="rId1898" ref="H1894"/>
    <hyperlink r:id="rId1899" ref="H1895"/>
    <hyperlink r:id="rId1900" ref="H1896"/>
    <hyperlink r:id="rId1901" ref="H1897"/>
    <hyperlink r:id="rId1902" ref="H1898"/>
    <hyperlink r:id="rId1903" ref="C1899"/>
    <hyperlink r:id="rId1904" ref="H1899"/>
    <hyperlink r:id="rId1905" ref="H1900"/>
    <hyperlink r:id="rId1906" ref="H1901"/>
    <hyperlink r:id="rId1907" ref="H1902"/>
    <hyperlink r:id="rId1908" ref="H1903"/>
    <hyperlink r:id="rId1909" ref="H1904"/>
    <hyperlink r:id="rId1910" ref="H1905"/>
    <hyperlink r:id="rId1911" ref="H1906"/>
    <hyperlink r:id="rId1912" ref="H1907"/>
    <hyperlink r:id="rId1913" ref="H1908"/>
    <hyperlink r:id="rId1914" ref="H1909"/>
    <hyperlink r:id="rId1915" ref="H1910"/>
    <hyperlink r:id="rId1916" ref="H1911"/>
    <hyperlink r:id="rId1917" ref="H1912"/>
    <hyperlink r:id="rId1918" ref="H1913"/>
    <hyperlink r:id="rId1919" ref="H1914"/>
    <hyperlink r:id="rId1920" ref="H1915"/>
    <hyperlink r:id="rId1921" ref="H1916"/>
    <hyperlink r:id="rId1922" ref="H1917"/>
    <hyperlink r:id="rId1923" ref="H1918"/>
    <hyperlink r:id="rId1924" ref="H1919"/>
    <hyperlink r:id="rId1925" ref="H1920"/>
    <hyperlink r:id="rId1926" ref="H1921"/>
    <hyperlink r:id="rId1927" ref="H1922"/>
    <hyperlink r:id="rId1928" ref="H1923"/>
    <hyperlink r:id="rId1929" ref="H1924"/>
    <hyperlink r:id="rId1930" ref="H1925"/>
    <hyperlink r:id="rId1931" ref="H1926"/>
    <hyperlink r:id="rId1932" ref="H1927"/>
    <hyperlink r:id="rId1933" ref="H1928"/>
    <hyperlink r:id="rId1934" ref="H1929"/>
    <hyperlink r:id="rId1935" ref="H1930"/>
    <hyperlink r:id="rId1936" ref="H1931"/>
    <hyperlink r:id="rId1937" ref="H1932"/>
    <hyperlink r:id="rId1938" ref="H1933"/>
    <hyperlink r:id="rId1939" ref="H1934"/>
    <hyperlink r:id="rId1940" ref="H1935"/>
    <hyperlink r:id="rId1941" ref="H1936"/>
    <hyperlink r:id="rId1942" ref="H1937"/>
    <hyperlink r:id="rId1943" ref="H1938"/>
    <hyperlink r:id="rId1944" ref="H1939"/>
    <hyperlink r:id="rId1945" ref="H1940"/>
    <hyperlink r:id="rId1946" ref="H1941"/>
    <hyperlink r:id="rId1947" ref="H1942"/>
    <hyperlink r:id="rId1948" ref="H1943"/>
    <hyperlink r:id="rId1949" ref="H1944"/>
    <hyperlink r:id="rId1950" ref="H1945"/>
    <hyperlink r:id="rId1951" ref="H1946"/>
    <hyperlink r:id="rId1952" ref="H1947"/>
    <hyperlink r:id="rId1953" ref="H1948"/>
    <hyperlink r:id="rId1954" ref="H1949"/>
    <hyperlink r:id="rId1955" ref="H1950"/>
    <hyperlink r:id="rId1956" ref="H1951"/>
    <hyperlink r:id="rId1957" ref="H1952"/>
    <hyperlink r:id="rId1958" ref="H1953"/>
    <hyperlink r:id="rId1959" ref="H1954"/>
    <hyperlink r:id="rId1960" ref="C1955"/>
    <hyperlink r:id="rId1961" ref="H1955"/>
    <hyperlink r:id="rId1962" ref="H1956"/>
    <hyperlink r:id="rId1963" ref="H1957"/>
    <hyperlink r:id="rId1964" ref="H1958"/>
    <hyperlink r:id="rId1965" ref="H1959"/>
    <hyperlink r:id="rId1966" ref="H1960"/>
    <hyperlink r:id="rId1967" ref="H1961"/>
    <hyperlink r:id="rId1968" ref="H1962"/>
    <hyperlink r:id="rId1969" ref="H1963"/>
    <hyperlink r:id="rId1970" ref="H1964"/>
    <hyperlink r:id="rId1971" ref="H1965"/>
    <hyperlink r:id="rId1972" ref="H1966"/>
    <hyperlink r:id="rId1973" ref="H1967"/>
    <hyperlink r:id="rId1974" ref="H1968"/>
    <hyperlink r:id="rId1975" ref="H1969"/>
    <hyperlink r:id="rId1976" ref="H1970"/>
    <hyperlink r:id="rId1977" ref="H1971"/>
    <hyperlink r:id="rId1978" ref="H1972"/>
    <hyperlink r:id="rId1979" ref="H1973"/>
    <hyperlink r:id="rId1980" ref="H1974"/>
    <hyperlink r:id="rId1981" ref="H1975"/>
    <hyperlink r:id="rId1982" ref="H1976"/>
    <hyperlink r:id="rId1983" ref="H1977"/>
    <hyperlink r:id="rId1984" ref="H1978"/>
    <hyperlink r:id="rId1985" ref="H1979"/>
    <hyperlink r:id="rId1986" ref="H1980"/>
    <hyperlink r:id="rId1987" ref="H1981"/>
    <hyperlink r:id="rId1988" ref="H1982"/>
    <hyperlink r:id="rId1989" ref="H1983"/>
    <hyperlink r:id="rId1990" ref="H1984"/>
    <hyperlink r:id="rId1991" ref="H1985"/>
    <hyperlink r:id="rId1992" ref="H1986"/>
    <hyperlink r:id="rId1993" ref="H1987"/>
    <hyperlink r:id="rId1994" ref="H1988"/>
    <hyperlink r:id="rId1995" ref="H1989"/>
    <hyperlink r:id="rId1996" ref="H1990"/>
    <hyperlink r:id="rId1997" ref="H1991"/>
    <hyperlink r:id="rId1998" ref="H1992"/>
    <hyperlink r:id="rId1999" ref="H1993"/>
    <hyperlink r:id="rId2000" ref="H1994"/>
    <hyperlink r:id="rId2001" ref="H1995"/>
    <hyperlink r:id="rId2002" ref="H1996"/>
    <hyperlink r:id="rId2003" ref="H1997"/>
    <hyperlink r:id="rId2004" ref="H1998"/>
    <hyperlink r:id="rId2005" ref="H1999"/>
    <hyperlink r:id="rId2006" ref="H2000"/>
    <hyperlink r:id="rId2007" ref="H2001"/>
    <hyperlink r:id="rId2008" ref="H2002"/>
    <hyperlink r:id="rId2009" ref="H2003"/>
    <hyperlink r:id="rId2010" ref="H2004"/>
    <hyperlink r:id="rId2011" ref="H2005"/>
    <hyperlink r:id="rId2012" ref="H2006"/>
    <hyperlink r:id="rId2013" ref="H2007"/>
    <hyperlink r:id="rId2014" ref="H2008"/>
    <hyperlink r:id="rId2015" ref="H2009"/>
    <hyperlink r:id="rId2016" ref="H2010"/>
    <hyperlink r:id="rId2017" ref="H2011"/>
    <hyperlink r:id="rId2018" ref="H2012"/>
    <hyperlink r:id="rId2019" ref="H2013"/>
    <hyperlink r:id="rId2020" ref="H2014"/>
    <hyperlink r:id="rId2021" ref="H2015"/>
    <hyperlink r:id="rId2022" ref="H2016"/>
    <hyperlink r:id="rId2023" ref="H2017"/>
    <hyperlink r:id="rId2024" ref="H2018"/>
    <hyperlink r:id="rId2025" ref="H2019"/>
    <hyperlink r:id="rId2026" ref="H2020"/>
    <hyperlink r:id="rId2027" ref="H2021"/>
    <hyperlink r:id="rId2028" ref="H2022"/>
    <hyperlink r:id="rId2029" ref="H2023"/>
    <hyperlink r:id="rId2030" ref="H2024"/>
    <hyperlink r:id="rId2031" ref="H2025"/>
    <hyperlink r:id="rId2032" ref="H2026"/>
    <hyperlink r:id="rId2033" ref="H2027"/>
    <hyperlink r:id="rId2034" ref="H2028"/>
    <hyperlink r:id="rId2035" ref="H2029"/>
    <hyperlink r:id="rId2036" ref="H2030"/>
    <hyperlink r:id="rId2037" ref="H2031"/>
    <hyperlink r:id="rId2038" ref="H2032"/>
    <hyperlink r:id="rId2039" ref="H2033"/>
    <hyperlink r:id="rId2040" ref="H2034"/>
    <hyperlink r:id="rId2041" ref="H2035"/>
    <hyperlink r:id="rId2042" ref="H2036"/>
    <hyperlink r:id="rId2043" ref="H2037"/>
    <hyperlink r:id="rId2044" ref="H2038"/>
    <hyperlink r:id="rId2045" ref="H2039"/>
    <hyperlink r:id="rId2046" ref="H2040"/>
    <hyperlink r:id="rId2047" ref="H2041"/>
    <hyperlink r:id="rId2048" ref="H2042"/>
    <hyperlink r:id="rId2049" ref="H2043"/>
    <hyperlink r:id="rId2050" ref="H2044"/>
    <hyperlink r:id="rId2051" ref="H2045"/>
    <hyperlink r:id="rId2052" ref="H2046"/>
    <hyperlink r:id="rId2053" ref="H2047"/>
    <hyperlink r:id="rId2054" ref="H2048"/>
    <hyperlink r:id="rId2055" ref="H2049"/>
    <hyperlink r:id="rId2056" ref="H2050"/>
    <hyperlink r:id="rId2057" ref="H2051"/>
    <hyperlink r:id="rId2058" ref="H2052"/>
    <hyperlink r:id="rId2059" ref="H2053"/>
    <hyperlink r:id="rId2060" ref="H2054"/>
    <hyperlink r:id="rId2061" ref="H2055"/>
    <hyperlink r:id="rId2062" ref="H2056"/>
    <hyperlink r:id="rId2063" ref="H2057"/>
    <hyperlink r:id="rId2064" ref="H2058"/>
    <hyperlink r:id="rId2065" ref="H2059"/>
    <hyperlink r:id="rId2066" ref="H2060"/>
    <hyperlink r:id="rId2067" ref="H2061"/>
    <hyperlink r:id="rId2068" ref="H2062"/>
    <hyperlink r:id="rId2069" ref="H2063"/>
    <hyperlink r:id="rId2070" ref="H2064"/>
    <hyperlink r:id="rId2071" ref="H2065"/>
    <hyperlink r:id="rId2072" ref="H2066"/>
    <hyperlink r:id="rId2073" ref="H2067"/>
    <hyperlink r:id="rId2074" ref="H2068"/>
    <hyperlink r:id="rId2075" ref="C2069"/>
    <hyperlink r:id="rId2076" ref="H2069"/>
    <hyperlink r:id="rId2077" ref="H2070"/>
    <hyperlink r:id="rId2078" ref="H2071"/>
    <hyperlink r:id="rId2079" ref="H2072"/>
    <hyperlink r:id="rId2080" ref="H2073"/>
    <hyperlink r:id="rId2081" ref="H2074"/>
    <hyperlink r:id="rId2082" ref="H2075"/>
    <hyperlink r:id="rId2083" ref="H2076"/>
    <hyperlink r:id="rId2084" ref="H2077"/>
    <hyperlink r:id="rId2085" ref="H2078"/>
    <hyperlink r:id="rId2086" ref="H2079"/>
    <hyperlink r:id="rId2087" ref="H2080"/>
    <hyperlink r:id="rId2088" ref="H2081"/>
    <hyperlink r:id="rId2089" ref="H2082"/>
    <hyperlink r:id="rId2090" ref="H2083"/>
    <hyperlink r:id="rId2091" ref="H2084"/>
    <hyperlink r:id="rId2092" ref="H2085"/>
    <hyperlink r:id="rId2093" ref="H2086"/>
    <hyperlink r:id="rId2094" ref="H2087"/>
    <hyperlink r:id="rId2095" ref="H2088"/>
    <hyperlink r:id="rId2096" ref="H2089"/>
    <hyperlink r:id="rId2097" ref="H2090"/>
    <hyperlink r:id="rId2098" ref="H2091"/>
    <hyperlink r:id="rId2099" ref="H2092"/>
    <hyperlink r:id="rId2100" ref="H2093"/>
    <hyperlink r:id="rId2101" ref="H2094"/>
    <hyperlink r:id="rId2102" ref="H2095"/>
    <hyperlink r:id="rId2103" ref="H2096"/>
    <hyperlink r:id="rId2104" ref="H2097"/>
    <hyperlink r:id="rId2105" ref="H2098"/>
    <hyperlink r:id="rId2106" ref="H2099"/>
    <hyperlink r:id="rId2107" ref="H2100"/>
    <hyperlink r:id="rId2108" ref="H2101"/>
    <hyperlink r:id="rId2109" ref="H2102"/>
    <hyperlink r:id="rId2110" ref="H2103"/>
    <hyperlink r:id="rId2111" ref="H2104"/>
    <hyperlink r:id="rId2112" ref="H2105"/>
    <hyperlink r:id="rId2113" ref="H2106"/>
    <hyperlink r:id="rId2114" ref="H2107"/>
    <hyperlink r:id="rId2115" ref="H2108"/>
    <hyperlink r:id="rId2116" ref="H2109"/>
    <hyperlink r:id="rId2117" ref="H2110"/>
    <hyperlink r:id="rId2118" ref="H2111"/>
    <hyperlink r:id="rId2119" ref="H2112"/>
    <hyperlink r:id="rId2120" ref="H2113"/>
    <hyperlink r:id="rId2121" ref="H2114"/>
    <hyperlink r:id="rId2122" ref="H2115"/>
    <hyperlink r:id="rId2123" ref="H2116"/>
    <hyperlink r:id="rId2124" ref="H2117"/>
    <hyperlink r:id="rId2125" ref="H2118"/>
    <hyperlink r:id="rId2126" ref="H2119"/>
    <hyperlink r:id="rId2127" ref="H2120"/>
    <hyperlink r:id="rId2128" ref="H2121"/>
    <hyperlink r:id="rId2129" ref="H2122"/>
    <hyperlink r:id="rId2130" ref="H2123"/>
    <hyperlink r:id="rId2131" ref="H2124"/>
    <hyperlink r:id="rId2132" ref="H2125"/>
    <hyperlink r:id="rId2133" ref="H2126"/>
    <hyperlink r:id="rId2134" ref="H2127"/>
    <hyperlink r:id="rId2135" ref="H2128"/>
    <hyperlink r:id="rId2136" ref="H2129"/>
    <hyperlink r:id="rId2137" ref="H2130"/>
    <hyperlink r:id="rId2138" ref="H2131"/>
    <hyperlink r:id="rId2139" ref="H2132"/>
    <hyperlink r:id="rId2140" ref="H2133"/>
    <hyperlink r:id="rId2141" ref="H2134"/>
    <hyperlink r:id="rId2142" ref="H2135"/>
    <hyperlink r:id="rId2143" ref="H2136"/>
    <hyperlink r:id="rId2144" ref="H2137"/>
    <hyperlink r:id="rId2145" ref="H2138"/>
    <hyperlink r:id="rId2146" ref="H2139"/>
    <hyperlink r:id="rId2147" ref="H2140"/>
    <hyperlink r:id="rId2148" ref="H2141"/>
    <hyperlink r:id="rId2149" ref="H2142"/>
    <hyperlink r:id="rId2150" ref="H2143"/>
    <hyperlink r:id="rId2151" ref="H2144"/>
    <hyperlink r:id="rId2152" ref="H2145"/>
    <hyperlink r:id="rId2153" ref="H2146"/>
    <hyperlink r:id="rId2154" ref="H2147"/>
    <hyperlink r:id="rId2155" ref="H2148"/>
    <hyperlink r:id="rId2156" ref="H2149"/>
    <hyperlink r:id="rId2157" ref="H2150"/>
    <hyperlink r:id="rId2158" ref="H2151"/>
    <hyperlink r:id="rId2159" ref="H2152"/>
    <hyperlink r:id="rId2160" ref="H2153"/>
    <hyperlink r:id="rId2161" ref="H2154"/>
    <hyperlink r:id="rId2162" ref="H2155"/>
    <hyperlink r:id="rId2163" ref="H2156"/>
    <hyperlink r:id="rId2164" ref="H2157"/>
    <hyperlink r:id="rId2165" ref="H2158"/>
    <hyperlink r:id="rId2166" ref="H2159"/>
    <hyperlink r:id="rId2167" ref="H2160"/>
    <hyperlink r:id="rId2168" ref="H2161"/>
    <hyperlink r:id="rId2169" ref="H2162"/>
    <hyperlink r:id="rId2170" ref="H2163"/>
    <hyperlink r:id="rId2171" ref="H2164"/>
    <hyperlink r:id="rId2172" ref="H2165"/>
    <hyperlink r:id="rId2173" ref="H2166"/>
    <hyperlink r:id="rId2174" ref="H2167"/>
    <hyperlink r:id="rId2175" ref="H2168"/>
    <hyperlink r:id="rId2176" ref="H2169"/>
    <hyperlink r:id="rId2177" ref="H2170"/>
    <hyperlink r:id="rId2178" ref="H2171"/>
    <hyperlink r:id="rId2179" ref="H2172"/>
    <hyperlink r:id="rId2180" ref="H2173"/>
    <hyperlink r:id="rId2181" ref="H2174"/>
    <hyperlink r:id="rId2182" ref="H2175"/>
    <hyperlink r:id="rId2183" ref="H2176"/>
    <hyperlink r:id="rId2184" ref="H2177"/>
    <hyperlink r:id="rId2185" ref="H2178"/>
    <hyperlink r:id="rId2186" ref="H2179"/>
    <hyperlink r:id="rId2187" ref="H2180"/>
    <hyperlink r:id="rId2188" ref="H2181"/>
    <hyperlink r:id="rId2189" ref="H2182"/>
    <hyperlink r:id="rId2190" ref="H2183"/>
    <hyperlink r:id="rId2191" ref="H2184"/>
    <hyperlink r:id="rId2192" ref="H2185"/>
    <hyperlink r:id="rId2193" ref="H2186"/>
    <hyperlink r:id="rId2194" ref="H2187"/>
    <hyperlink r:id="rId2195" ref="H2188"/>
    <hyperlink r:id="rId2196" ref="H2189"/>
    <hyperlink r:id="rId2197" ref="H2190"/>
    <hyperlink r:id="rId2198" ref="H2191"/>
    <hyperlink r:id="rId2199" ref="H2192"/>
    <hyperlink r:id="rId2200" ref="H2193"/>
    <hyperlink r:id="rId2201" ref="H2194"/>
    <hyperlink r:id="rId2202" ref="H2195"/>
    <hyperlink r:id="rId2203" ref="H2196"/>
    <hyperlink r:id="rId2204" ref="H2197"/>
    <hyperlink r:id="rId2205" ref="H2198"/>
    <hyperlink r:id="rId2206" ref="H2199"/>
    <hyperlink r:id="rId2207" ref="H2200"/>
    <hyperlink r:id="rId2208" ref="H2201"/>
    <hyperlink r:id="rId2209" ref="H2202"/>
    <hyperlink r:id="rId2210" ref="H2203"/>
    <hyperlink r:id="rId2211" ref="H2204"/>
    <hyperlink r:id="rId2212" ref="H2205"/>
    <hyperlink r:id="rId2213" ref="H2206"/>
    <hyperlink r:id="rId2214" ref="H2207"/>
    <hyperlink r:id="rId2215" ref="H2208"/>
    <hyperlink r:id="rId2216" ref="H2209"/>
    <hyperlink r:id="rId2217" ref="H2210"/>
    <hyperlink r:id="rId2218" ref="H2211"/>
    <hyperlink r:id="rId2219" ref="H2212"/>
    <hyperlink r:id="rId2220" ref="H2213"/>
    <hyperlink r:id="rId2221" ref="H2214"/>
    <hyperlink r:id="rId2222" ref="H2215"/>
    <hyperlink r:id="rId2223" ref="H2216"/>
    <hyperlink r:id="rId2224" ref="H2217"/>
    <hyperlink r:id="rId2225" ref="H2218"/>
    <hyperlink r:id="rId2226" ref="H2219"/>
    <hyperlink r:id="rId2227" ref="H2220"/>
    <hyperlink r:id="rId2228" ref="H2221"/>
    <hyperlink r:id="rId2229" ref="H2222"/>
    <hyperlink r:id="rId2230" ref="H2223"/>
    <hyperlink r:id="rId2231" ref="H2224"/>
    <hyperlink r:id="rId2232" ref="H2225"/>
    <hyperlink r:id="rId2233" ref="H2226"/>
    <hyperlink r:id="rId2234" ref="H2227"/>
    <hyperlink r:id="rId2235" ref="H2228"/>
    <hyperlink r:id="rId2236" ref="H2229"/>
    <hyperlink r:id="rId2237" ref="H2230"/>
    <hyperlink r:id="rId2238" ref="H2231"/>
    <hyperlink r:id="rId2239" ref="H2232"/>
    <hyperlink r:id="rId2240" ref="H2233"/>
    <hyperlink r:id="rId2241" ref="H2234"/>
    <hyperlink r:id="rId2242" ref="H2235"/>
    <hyperlink r:id="rId2243" ref="H2236"/>
    <hyperlink r:id="rId2244" ref="H2237"/>
    <hyperlink r:id="rId2245" ref="H2238"/>
    <hyperlink r:id="rId2246" ref="H2239"/>
    <hyperlink r:id="rId2247" ref="H2240"/>
    <hyperlink r:id="rId2248" ref="H2241"/>
    <hyperlink r:id="rId2249" ref="H2242"/>
    <hyperlink r:id="rId2250" ref="H2243"/>
    <hyperlink r:id="rId2251" ref="H2244"/>
    <hyperlink r:id="rId2252" ref="H2245"/>
    <hyperlink r:id="rId2253" ref="H2246"/>
    <hyperlink r:id="rId2254" ref="H2247"/>
    <hyperlink r:id="rId2255" ref="H2248"/>
    <hyperlink r:id="rId2256" ref="H2249"/>
    <hyperlink r:id="rId2257" ref="H2250"/>
    <hyperlink r:id="rId2258" ref="H2251"/>
    <hyperlink r:id="rId2259" ref="H2252"/>
    <hyperlink r:id="rId2260" ref="H2253"/>
    <hyperlink r:id="rId2261" ref="H2254"/>
    <hyperlink r:id="rId2262" ref="H2255"/>
    <hyperlink r:id="rId2263" ref="H2256"/>
    <hyperlink r:id="rId2264" ref="H2257"/>
    <hyperlink r:id="rId2265" ref="H2258"/>
    <hyperlink r:id="rId2266" ref="H2259"/>
    <hyperlink r:id="rId2267" ref="H2260"/>
    <hyperlink r:id="rId2268" ref="H2261"/>
    <hyperlink r:id="rId2269" ref="H2262"/>
    <hyperlink r:id="rId2270" ref="H2263"/>
    <hyperlink r:id="rId2271" ref="H2264"/>
    <hyperlink r:id="rId2272" ref="H2265"/>
    <hyperlink r:id="rId2273" ref="H2266"/>
    <hyperlink r:id="rId2274" ref="H2267"/>
    <hyperlink r:id="rId2275" ref="H2268"/>
    <hyperlink r:id="rId2276" ref="H2269"/>
    <hyperlink r:id="rId2277" ref="H2270"/>
    <hyperlink r:id="rId2278" ref="H2271"/>
    <hyperlink r:id="rId2279" ref="H2272"/>
    <hyperlink r:id="rId2280" ref="H2273"/>
    <hyperlink r:id="rId2281" ref="H2274"/>
    <hyperlink r:id="rId2282" ref="H2275"/>
    <hyperlink r:id="rId2283" ref="H2276"/>
    <hyperlink r:id="rId2284" ref="H2277"/>
    <hyperlink r:id="rId2285" ref="H2278"/>
    <hyperlink r:id="rId2286" ref="H2279"/>
    <hyperlink r:id="rId2287" ref="H2280"/>
    <hyperlink r:id="rId2288" ref="H2281"/>
    <hyperlink r:id="rId2289" ref="H2282"/>
    <hyperlink r:id="rId2290" ref="H2283"/>
    <hyperlink r:id="rId2291" ref="H2284"/>
    <hyperlink r:id="rId2292" ref="H2285"/>
    <hyperlink r:id="rId2293" ref="H2286"/>
    <hyperlink r:id="rId2294" ref="H2287"/>
    <hyperlink r:id="rId2295" ref="H2288"/>
    <hyperlink r:id="rId2296" ref="H2289"/>
    <hyperlink r:id="rId2297" ref="H2290"/>
    <hyperlink r:id="rId2298" ref="H2291"/>
    <hyperlink r:id="rId2299" ref="H2292"/>
    <hyperlink r:id="rId2300" ref="H2293"/>
    <hyperlink r:id="rId2301" ref="H2294"/>
    <hyperlink r:id="rId2302" ref="H2295"/>
    <hyperlink r:id="rId2303" ref="H2296"/>
    <hyperlink r:id="rId2304" ref="H2297"/>
    <hyperlink r:id="rId2305" ref="H2298"/>
    <hyperlink r:id="rId2306" ref="H2299"/>
    <hyperlink r:id="rId2307" ref="H2300"/>
    <hyperlink r:id="rId2308" ref="H2301"/>
    <hyperlink r:id="rId2309" ref="H2302"/>
    <hyperlink r:id="rId2310" ref="H2303"/>
    <hyperlink r:id="rId2311" ref="H2304"/>
    <hyperlink r:id="rId2312" ref="H2305"/>
    <hyperlink r:id="rId2313" ref="H2306"/>
    <hyperlink r:id="rId2314" ref="H2307"/>
    <hyperlink r:id="rId2315" ref="H2308"/>
    <hyperlink r:id="rId2316" ref="H2309"/>
    <hyperlink r:id="rId2317" ref="H2310"/>
    <hyperlink r:id="rId2318" ref="H2311"/>
    <hyperlink r:id="rId2319" ref="H2312"/>
    <hyperlink r:id="rId2320" ref="H2313"/>
    <hyperlink r:id="rId2321" ref="H2314"/>
    <hyperlink r:id="rId2322" ref="H2315"/>
    <hyperlink r:id="rId2323" ref="H2316"/>
    <hyperlink r:id="rId2324" ref="H2317"/>
    <hyperlink r:id="rId2325" ref="H2318"/>
    <hyperlink r:id="rId2326" ref="H2319"/>
    <hyperlink r:id="rId2327" ref="H2320"/>
    <hyperlink r:id="rId2328" ref="H2321"/>
    <hyperlink r:id="rId2329" ref="H2322"/>
    <hyperlink r:id="rId2330" ref="H2323"/>
    <hyperlink r:id="rId2331" ref="H2324"/>
    <hyperlink r:id="rId2332" ref="H2325"/>
    <hyperlink r:id="rId2333" ref="H2326"/>
    <hyperlink r:id="rId2334" ref="H2327"/>
    <hyperlink r:id="rId2335" ref="H2328"/>
    <hyperlink r:id="rId2336" ref="H2329"/>
    <hyperlink r:id="rId2337" ref="H2330"/>
    <hyperlink r:id="rId2338" ref="H2331"/>
    <hyperlink r:id="rId2339" ref="H2332"/>
    <hyperlink r:id="rId2340" ref="H2333"/>
    <hyperlink r:id="rId2341" ref="H2334"/>
    <hyperlink r:id="rId2342" ref="H2335"/>
    <hyperlink r:id="rId2343" ref="H2336"/>
    <hyperlink r:id="rId2344" ref="H2337"/>
    <hyperlink r:id="rId2345" ref="H2338"/>
    <hyperlink r:id="rId2346" ref="H2339"/>
    <hyperlink r:id="rId2347" ref="H2340"/>
    <hyperlink r:id="rId2348" ref="H2341"/>
    <hyperlink r:id="rId2349" ref="H2342"/>
    <hyperlink r:id="rId2350" ref="H2343"/>
    <hyperlink r:id="rId2351" ref="H2344"/>
    <hyperlink r:id="rId2352" ref="H2345"/>
    <hyperlink r:id="rId2353" ref="H2346"/>
    <hyperlink r:id="rId2354" ref="H2347"/>
    <hyperlink r:id="rId2355" ref="H2348"/>
    <hyperlink r:id="rId2356" ref="H2349"/>
    <hyperlink r:id="rId2357" ref="H2350"/>
    <hyperlink r:id="rId2358" ref="H2351"/>
    <hyperlink r:id="rId2359" ref="H2352"/>
    <hyperlink r:id="rId2360" ref="H2353"/>
    <hyperlink r:id="rId2361" ref="H2354"/>
    <hyperlink r:id="rId2362" ref="H2355"/>
    <hyperlink r:id="rId2363" ref="H2356"/>
    <hyperlink r:id="rId2364" ref="H2357"/>
    <hyperlink r:id="rId2365" ref="H2358"/>
    <hyperlink r:id="rId2366" ref="H2359"/>
    <hyperlink r:id="rId2367" ref="H2360"/>
    <hyperlink r:id="rId2368" ref="H2361"/>
    <hyperlink r:id="rId2369" ref="H2362"/>
    <hyperlink r:id="rId2370" ref="H2363"/>
    <hyperlink r:id="rId2371" ref="H2364"/>
    <hyperlink r:id="rId2372" ref="H2365"/>
    <hyperlink r:id="rId2373" ref="H2366"/>
    <hyperlink r:id="rId2374" ref="H2367"/>
    <hyperlink r:id="rId2375" ref="H2368"/>
    <hyperlink r:id="rId2376" ref="H2369"/>
    <hyperlink r:id="rId2377" ref="H2370"/>
    <hyperlink r:id="rId2378" ref="H2371"/>
    <hyperlink r:id="rId2379" ref="H2372"/>
    <hyperlink r:id="rId2380" ref="H2373"/>
    <hyperlink r:id="rId2381" ref="H2374"/>
    <hyperlink r:id="rId2382" ref="H2375"/>
    <hyperlink r:id="rId2383" ref="H2376"/>
    <hyperlink r:id="rId2384" ref="H2377"/>
    <hyperlink r:id="rId2385" ref="H2378"/>
    <hyperlink r:id="rId2386" ref="H2379"/>
    <hyperlink r:id="rId2387" ref="H2380"/>
    <hyperlink r:id="rId2388" ref="H2381"/>
    <hyperlink r:id="rId2389" ref="H2382"/>
    <hyperlink r:id="rId2390" ref="H2383"/>
    <hyperlink r:id="rId2391" ref="H2384"/>
    <hyperlink r:id="rId2392" ref="H2385"/>
    <hyperlink r:id="rId2393" ref="H2386"/>
    <hyperlink r:id="rId2394" ref="H2387"/>
    <hyperlink r:id="rId2395" ref="H2388"/>
    <hyperlink r:id="rId2396" ref="H2389"/>
    <hyperlink r:id="rId2397" ref="H2390"/>
    <hyperlink r:id="rId2398" ref="H2391"/>
    <hyperlink r:id="rId2399" ref="H2392"/>
    <hyperlink r:id="rId2400" ref="H2393"/>
    <hyperlink r:id="rId2401" ref="H2394"/>
    <hyperlink r:id="rId2402" ref="H2395"/>
    <hyperlink r:id="rId2403" ref="H2396"/>
    <hyperlink r:id="rId2404" ref="H2397"/>
    <hyperlink r:id="rId2405" ref="H2398"/>
    <hyperlink r:id="rId2406" ref="H2399"/>
    <hyperlink r:id="rId2407" ref="H2400"/>
    <hyperlink r:id="rId2408" ref="H2401"/>
    <hyperlink r:id="rId2409" ref="H2402"/>
    <hyperlink r:id="rId2410" ref="H2403"/>
    <hyperlink r:id="rId2411" ref="H2404"/>
    <hyperlink r:id="rId2412" ref="H2405"/>
    <hyperlink r:id="rId2413" ref="H2406"/>
    <hyperlink r:id="rId2414" ref="H2407"/>
    <hyperlink r:id="rId2415" ref="H2408"/>
    <hyperlink r:id="rId2416" ref="H2409"/>
    <hyperlink r:id="rId2417" ref="H2410"/>
    <hyperlink r:id="rId2418" ref="H2411"/>
    <hyperlink r:id="rId2419" ref="H2412"/>
    <hyperlink r:id="rId2420" ref="H2413"/>
    <hyperlink r:id="rId2421" ref="H2414"/>
    <hyperlink r:id="rId2422" ref="H2415"/>
    <hyperlink r:id="rId2423" ref="H2416"/>
    <hyperlink r:id="rId2424" ref="H2417"/>
    <hyperlink r:id="rId2425" ref="H2418"/>
    <hyperlink r:id="rId2426" ref="H2419"/>
    <hyperlink r:id="rId2427" ref="H2420"/>
    <hyperlink r:id="rId2428" ref="H2421"/>
    <hyperlink r:id="rId2429" ref="H2422"/>
    <hyperlink r:id="rId2430" ref="H2423"/>
    <hyperlink r:id="rId2431" ref="H2424"/>
    <hyperlink r:id="rId2432" ref="H2425"/>
    <hyperlink r:id="rId2433" ref="H2426"/>
    <hyperlink r:id="rId2434" ref="H2427"/>
    <hyperlink r:id="rId2435" ref="H2428"/>
    <hyperlink r:id="rId2436" ref="H2429"/>
    <hyperlink r:id="rId2437" ref="H2430"/>
    <hyperlink r:id="rId2438" ref="H2431"/>
    <hyperlink r:id="rId2439" ref="H2432"/>
    <hyperlink r:id="rId2440" ref="H2433"/>
    <hyperlink r:id="rId2441" ref="H2434"/>
    <hyperlink r:id="rId2442" ref="H2435"/>
    <hyperlink r:id="rId2443" ref="H2436"/>
    <hyperlink r:id="rId2444" ref="H2437"/>
    <hyperlink r:id="rId2445" ref="H2438"/>
    <hyperlink r:id="rId2446" ref="H2439"/>
    <hyperlink r:id="rId2447" ref="H2440"/>
    <hyperlink r:id="rId2448" ref="H2441"/>
    <hyperlink r:id="rId2449" ref="H2442"/>
    <hyperlink r:id="rId2450" ref="H2443"/>
    <hyperlink r:id="rId2451" ref="H2444"/>
    <hyperlink r:id="rId2452" ref="H2445"/>
    <hyperlink r:id="rId2453" ref="H2446"/>
    <hyperlink r:id="rId2454" ref="H2447"/>
    <hyperlink r:id="rId2455" ref="H2448"/>
    <hyperlink r:id="rId2456" ref="H2449"/>
    <hyperlink r:id="rId2457" ref="H2450"/>
    <hyperlink r:id="rId2458" ref="H2451"/>
    <hyperlink r:id="rId2459" ref="H2452"/>
    <hyperlink r:id="rId2460" ref="H2453"/>
    <hyperlink r:id="rId2461" ref="H2454"/>
    <hyperlink r:id="rId2462" ref="H2455"/>
    <hyperlink r:id="rId2463" ref="H2456"/>
    <hyperlink r:id="rId2464" ref="H2457"/>
    <hyperlink r:id="rId2465" ref="H2458"/>
    <hyperlink r:id="rId2466" ref="H2459"/>
    <hyperlink r:id="rId2467" ref="H2460"/>
    <hyperlink r:id="rId2468" ref="H2461"/>
    <hyperlink r:id="rId2469" ref="H2462"/>
    <hyperlink r:id="rId2470" ref="H2463"/>
    <hyperlink r:id="rId2471" ref="H2464"/>
    <hyperlink r:id="rId2472" ref="H2465"/>
    <hyperlink r:id="rId2473" ref="H2466"/>
    <hyperlink r:id="rId2474" ref="H2467"/>
    <hyperlink r:id="rId2475" ref="H2468"/>
    <hyperlink r:id="rId2476" ref="H2469"/>
    <hyperlink r:id="rId2477" ref="H2470"/>
    <hyperlink r:id="rId2478" ref="H2471"/>
    <hyperlink r:id="rId2479" ref="H2472"/>
    <hyperlink r:id="rId2480" ref="H2473"/>
    <hyperlink r:id="rId2481" ref="H2474"/>
    <hyperlink r:id="rId2482" ref="H2475"/>
    <hyperlink r:id="rId2483" ref="H2476"/>
    <hyperlink r:id="rId2484" ref="H2477"/>
    <hyperlink r:id="rId2485" ref="H2478"/>
    <hyperlink r:id="rId2486" ref="H2479"/>
    <hyperlink r:id="rId2487" ref="H2480"/>
    <hyperlink r:id="rId2488" ref="H2481"/>
    <hyperlink r:id="rId2489" ref="H2482"/>
    <hyperlink r:id="rId2490" ref="H2483"/>
    <hyperlink r:id="rId2491" ref="H2484"/>
    <hyperlink r:id="rId2492" ref="H2485"/>
    <hyperlink r:id="rId2493" ref="H2486"/>
    <hyperlink r:id="rId2494" ref="H2487"/>
    <hyperlink r:id="rId2495" ref="H2488"/>
    <hyperlink r:id="rId2496" ref="H2489"/>
    <hyperlink r:id="rId2497" ref="H2490"/>
    <hyperlink r:id="rId2498" ref="H2491"/>
    <hyperlink r:id="rId2499" ref="H2492"/>
    <hyperlink r:id="rId2500" ref="H2493"/>
    <hyperlink r:id="rId2501" ref="H2494"/>
    <hyperlink r:id="rId2502" ref="H2495"/>
    <hyperlink r:id="rId2503" ref="H2496"/>
    <hyperlink r:id="rId2504" ref="H2497"/>
    <hyperlink r:id="rId2505" ref="H2498"/>
    <hyperlink r:id="rId2506" ref="H2499"/>
    <hyperlink r:id="rId2507" ref="H2500"/>
    <hyperlink r:id="rId2508" ref="H2501"/>
    <hyperlink r:id="rId2509" ref="H2502"/>
    <hyperlink r:id="rId2510" ref="H2503"/>
    <hyperlink r:id="rId2511" ref="H2504"/>
    <hyperlink r:id="rId2512" ref="H2505"/>
    <hyperlink r:id="rId2513" ref="H2506"/>
    <hyperlink r:id="rId2514" ref="H2507"/>
    <hyperlink r:id="rId2515" ref="H2508"/>
    <hyperlink r:id="rId2516" ref="H2509"/>
    <hyperlink r:id="rId2517" ref="H2510"/>
    <hyperlink r:id="rId2518" ref="H2511"/>
    <hyperlink r:id="rId2519" ref="H2512"/>
    <hyperlink r:id="rId2520" ref="H2513"/>
    <hyperlink r:id="rId2521" ref="H2514"/>
    <hyperlink r:id="rId2522" ref="H2515"/>
    <hyperlink r:id="rId2523" ref="H2516"/>
    <hyperlink r:id="rId2524" ref="H2517"/>
    <hyperlink r:id="rId2525" ref="H2518"/>
    <hyperlink r:id="rId2526" ref="H2519"/>
    <hyperlink r:id="rId2527" ref="H2520"/>
    <hyperlink r:id="rId2528" ref="H2521"/>
    <hyperlink r:id="rId2529" ref="H2522"/>
    <hyperlink r:id="rId2530" ref="H2523"/>
    <hyperlink r:id="rId2531" ref="H2524"/>
    <hyperlink r:id="rId2532" ref="H2525"/>
    <hyperlink r:id="rId2533" ref="H2526"/>
    <hyperlink r:id="rId2534" ref="H2527"/>
    <hyperlink r:id="rId2535" ref="H2528"/>
    <hyperlink r:id="rId2536" ref="H2529"/>
    <hyperlink r:id="rId2537" ref="H2530"/>
    <hyperlink r:id="rId2538" ref="H2531"/>
    <hyperlink r:id="rId2539" ref="H2532"/>
    <hyperlink r:id="rId2540" ref="H2533"/>
    <hyperlink r:id="rId2541" ref="H2534"/>
    <hyperlink r:id="rId2542" ref="H2535"/>
    <hyperlink r:id="rId2543" ref="H2536"/>
    <hyperlink r:id="rId2544" ref="H2537"/>
    <hyperlink r:id="rId2545" ref="H2538"/>
    <hyperlink r:id="rId2546" ref="H2539"/>
    <hyperlink r:id="rId2547" ref="H2540"/>
    <hyperlink r:id="rId2548" ref="H2541"/>
    <hyperlink r:id="rId2549" ref="H2542"/>
    <hyperlink r:id="rId2550" ref="H2543"/>
    <hyperlink r:id="rId2551" ref="H2544"/>
    <hyperlink r:id="rId2552" ref="H2545"/>
    <hyperlink r:id="rId2553" ref="H2546"/>
    <hyperlink r:id="rId2554" ref="H2547"/>
    <hyperlink r:id="rId2555" ref="H2548"/>
    <hyperlink r:id="rId2556" ref="H2549"/>
    <hyperlink r:id="rId2557" ref="H2550"/>
    <hyperlink r:id="rId2558" ref="H2551"/>
    <hyperlink r:id="rId2559" ref="H2552"/>
    <hyperlink r:id="rId2560" ref="H2553"/>
    <hyperlink r:id="rId2561" ref="H2554"/>
    <hyperlink r:id="rId2562" ref="H2555"/>
    <hyperlink r:id="rId2563" ref="H2556"/>
    <hyperlink r:id="rId2564" ref="H2557"/>
    <hyperlink r:id="rId2565" ref="H2558"/>
    <hyperlink r:id="rId2566" ref="H2559"/>
    <hyperlink r:id="rId2567" ref="H2560"/>
    <hyperlink r:id="rId2568" ref="H2561"/>
    <hyperlink r:id="rId2569" ref="H2562"/>
    <hyperlink r:id="rId2570" ref="H2563"/>
    <hyperlink r:id="rId2571" ref="H2564"/>
    <hyperlink r:id="rId2572" ref="H2565"/>
    <hyperlink r:id="rId2573" ref="H2566"/>
    <hyperlink r:id="rId2574" ref="H2567"/>
    <hyperlink r:id="rId2575" ref="H2568"/>
    <hyperlink r:id="rId2576" ref="H2569"/>
    <hyperlink r:id="rId2577" ref="H2570"/>
    <hyperlink r:id="rId2578" ref="H2571"/>
    <hyperlink r:id="rId2579" ref="H2572"/>
    <hyperlink r:id="rId2580" ref="H2573"/>
    <hyperlink r:id="rId2581" ref="H2574"/>
    <hyperlink r:id="rId2582" ref="H2575"/>
    <hyperlink r:id="rId2583" ref="H2576"/>
    <hyperlink r:id="rId2584" ref="H2577"/>
    <hyperlink r:id="rId2585" ref="H2578"/>
    <hyperlink r:id="rId2586" ref="H2579"/>
    <hyperlink r:id="rId2587" ref="H2580"/>
    <hyperlink r:id="rId2588" ref="H2581"/>
    <hyperlink r:id="rId2589" ref="H2582"/>
    <hyperlink r:id="rId2590" ref="H2583"/>
    <hyperlink r:id="rId2591" ref="H2584"/>
    <hyperlink r:id="rId2592" ref="H2585"/>
    <hyperlink r:id="rId2593" ref="H2586"/>
    <hyperlink r:id="rId2594" ref="H2587"/>
    <hyperlink r:id="rId2595" ref="H2588"/>
    <hyperlink r:id="rId2596" ref="H2589"/>
    <hyperlink r:id="rId2597" ref="H2590"/>
    <hyperlink r:id="rId2598" ref="H2591"/>
    <hyperlink r:id="rId2599" ref="H2592"/>
    <hyperlink r:id="rId2600" ref="H2593"/>
    <hyperlink r:id="rId2601" ref="H2594"/>
    <hyperlink r:id="rId2602" ref="H2595"/>
    <hyperlink r:id="rId2603" ref="H2596"/>
    <hyperlink r:id="rId2604" ref="H2597"/>
    <hyperlink r:id="rId2605" ref="H2598"/>
    <hyperlink r:id="rId2606" ref="H2599"/>
    <hyperlink r:id="rId2607" ref="H2600"/>
    <hyperlink r:id="rId2608" ref="H2601"/>
    <hyperlink r:id="rId2609" ref="H2602"/>
    <hyperlink r:id="rId2610" ref="H2603"/>
    <hyperlink r:id="rId2611" ref="H2604"/>
    <hyperlink r:id="rId2612" ref="H2605"/>
    <hyperlink r:id="rId2613" ref="H2606"/>
    <hyperlink r:id="rId2614" ref="H2607"/>
    <hyperlink r:id="rId2615" ref="H2608"/>
    <hyperlink r:id="rId2616" ref="H2609"/>
    <hyperlink r:id="rId2617" ref="H2610"/>
    <hyperlink r:id="rId2618" ref="H2611"/>
    <hyperlink r:id="rId2619" ref="H2612"/>
    <hyperlink r:id="rId2620" ref="H2613"/>
    <hyperlink r:id="rId2621" ref="H2614"/>
    <hyperlink r:id="rId2622" ref="H2615"/>
    <hyperlink r:id="rId2623" ref="H2616"/>
    <hyperlink r:id="rId2624" ref="H2617"/>
    <hyperlink r:id="rId2625" ref="H2618"/>
    <hyperlink r:id="rId2626" ref="H2619"/>
    <hyperlink r:id="rId2627" ref="H2620"/>
    <hyperlink r:id="rId2628" ref="H2621"/>
    <hyperlink r:id="rId2629" ref="H2622"/>
    <hyperlink r:id="rId2630" ref="H2623"/>
    <hyperlink r:id="rId2631" ref="H2624"/>
    <hyperlink r:id="rId2632" ref="H2625"/>
    <hyperlink r:id="rId2633" ref="H2626"/>
    <hyperlink r:id="rId2634" ref="H2627"/>
    <hyperlink r:id="rId2635" ref="H2628"/>
    <hyperlink r:id="rId2636" ref="H2629"/>
    <hyperlink r:id="rId2637" ref="H2630"/>
    <hyperlink r:id="rId2638" ref="H2631"/>
    <hyperlink r:id="rId2639" ref="H2632"/>
    <hyperlink r:id="rId2640" ref="H2633"/>
    <hyperlink r:id="rId2641" ref="H2634"/>
    <hyperlink r:id="rId2642" ref="H2635"/>
    <hyperlink r:id="rId2643" ref="H2636"/>
    <hyperlink r:id="rId2644" ref="H2637"/>
    <hyperlink r:id="rId2645" ref="H2638"/>
    <hyperlink r:id="rId2646" ref="H2639"/>
    <hyperlink r:id="rId2647" ref="H2640"/>
    <hyperlink r:id="rId2648" ref="H2641"/>
    <hyperlink r:id="rId2649" ref="H2642"/>
    <hyperlink r:id="rId2650" ref="H2643"/>
    <hyperlink r:id="rId2651" ref="H2644"/>
    <hyperlink r:id="rId2652" ref="H2645"/>
    <hyperlink r:id="rId2653" ref="H2646"/>
    <hyperlink r:id="rId2654" ref="H2647"/>
    <hyperlink r:id="rId2655" ref="H2648"/>
    <hyperlink r:id="rId2656" ref="H2649"/>
    <hyperlink r:id="rId2657" ref="H2650"/>
    <hyperlink r:id="rId2658" ref="H2651"/>
    <hyperlink r:id="rId2659" ref="H2652"/>
    <hyperlink r:id="rId2660" ref="H2653"/>
    <hyperlink r:id="rId2661" ref="H2654"/>
    <hyperlink r:id="rId2662" ref="H2655"/>
    <hyperlink r:id="rId2663" ref="H2656"/>
    <hyperlink r:id="rId2664" ref="H2657"/>
    <hyperlink r:id="rId2665" ref="H2658"/>
    <hyperlink r:id="rId2666" ref="H2659"/>
    <hyperlink r:id="rId2667" ref="H2660"/>
    <hyperlink r:id="rId2668" ref="H2661"/>
    <hyperlink r:id="rId2669" ref="H2662"/>
    <hyperlink r:id="rId2670" ref="H2663"/>
    <hyperlink r:id="rId2671" ref="H2664"/>
    <hyperlink r:id="rId2672" ref="H2665"/>
    <hyperlink r:id="rId2673" ref="H2666"/>
    <hyperlink r:id="rId2674" ref="H2667"/>
    <hyperlink r:id="rId2675" ref="H2668"/>
    <hyperlink r:id="rId2676" ref="H2669"/>
    <hyperlink r:id="rId2677" ref="H2670"/>
    <hyperlink r:id="rId2678" ref="H2671"/>
    <hyperlink r:id="rId2679" ref="H2672"/>
    <hyperlink r:id="rId2680" ref="H2673"/>
    <hyperlink r:id="rId2681" ref="H2674"/>
    <hyperlink r:id="rId2682" ref="H2675"/>
    <hyperlink r:id="rId2683" ref="H2676"/>
    <hyperlink r:id="rId2684" ref="H2677"/>
    <hyperlink r:id="rId2685" ref="H2678"/>
    <hyperlink r:id="rId2686" ref="H2679"/>
    <hyperlink r:id="rId2687" ref="H2680"/>
    <hyperlink r:id="rId2688" ref="H2681"/>
    <hyperlink r:id="rId2689" ref="H2682"/>
    <hyperlink r:id="rId2690" ref="H2683"/>
    <hyperlink r:id="rId2691" ref="H2684"/>
    <hyperlink r:id="rId2692" ref="H2685"/>
    <hyperlink r:id="rId2693" ref="H2686"/>
    <hyperlink r:id="rId2694" ref="H2687"/>
    <hyperlink r:id="rId2695" ref="H2688"/>
    <hyperlink r:id="rId2696" ref="H2689"/>
    <hyperlink r:id="rId2697" ref="H2690"/>
    <hyperlink r:id="rId2698" ref="H2691"/>
    <hyperlink r:id="rId2699" ref="H2692"/>
    <hyperlink r:id="rId2700" ref="H2693"/>
    <hyperlink r:id="rId2701" ref="H2694"/>
    <hyperlink r:id="rId2702" ref="H2695"/>
    <hyperlink r:id="rId2703" ref="H2696"/>
    <hyperlink r:id="rId2704" ref="H2697"/>
    <hyperlink r:id="rId2705" ref="H2698"/>
    <hyperlink r:id="rId2706" ref="H2699"/>
    <hyperlink r:id="rId2707" ref="H2700"/>
    <hyperlink r:id="rId2708" ref="H2701"/>
    <hyperlink r:id="rId2709" ref="H2702"/>
    <hyperlink r:id="rId2710" ref="H2703"/>
    <hyperlink r:id="rId2711" ref="H2704"/>
    <hyperlink r:id="rId2712" ref="H2705"/>
    <hyperlink r:id="rId2713" ref="H2706"/>
    <hyperlink r:id="rId2714" ref="H2707"/>
    <hyperlink r:id="rId2715" ref="H2708"/>
    <hyperlink r:id="rId2716" ref="H2709"/>
    <hyperlink r:id="rId2717" ref="H2710"/>
    <hyperlink r:id="rId2718" ref="H2711"/>
    <hyperlink r:id="rId2719" ref="H2712"/>
    <hyperlink r:id="rId2720" ref="H2713"/>
    <hyperlink r:id="rId2721" ref="H2714"/>
    <hyperlink r:id="rId2722" ref="H2715"/>
    <hyperlink r:id="rId2723" ref="H2716"/>
    <hyperlink r:id="rId2724" ref="H2717"/>
    <hyperlink r:id="rId2725" ref="H2718"/>
    <hyperlink r:id="rId2726" ref="H2719"/>
    <hyperlink r:id="rId2727" ref="H2720"/>
    <hyperlink r:id="rId2728" ref="H2721"/>
    <hyperlink r:id="rId2729" ref="H2722"/>
    <hyperlink r:id="rId2730" ref="H2723"/>
    <hyperlink r:id="rId2731" ref="H2724"/>
    <hyperlink r:id="rId2732" ref="H2725"/>
    <hyperlink r:id="rId2733" ref="H2726"/>
    <hyperlink r:id="rId2734" ref="H2727"/>
    <hyperlink r:id="rId2735" ref="H2728"/>
    <hyperlink r:id="rId2736" ref="H2729"/>
    <hyperlink r:id="rId2737" ref="H2730"/>
    <hyperlink r:id="rId2738" ref="H2731"/>
    <hyperlink r:id="rId2739" ref="H2732"/>
    <hyperlink r:id="rId2740" ref="H2733"/>
    <hyperlink r:id="rId2741" ref="H2734"/>
    <hyperlink r:id="rId2742" ref="H2735"/>
    <hyperlink r:id="rId2743" ref="H2736"/>
    <hyperlink r:id="rId2744" ref="H2737"/>
    <hyperlink r:id="rId2745" ref="H2738"/>
    <hyperlink r:id="rId2746" ref="H2739"/>
    <hyperlink r:id="rId2747" ref="H2740"/>
    <hyperlink r:id="rId2748" ref="H2741"/>
    <hyperlink r:id="rId2749" ref="H2742"/>
    <hyperlink r:id="rId2750" ref="H2743"/>
    <hyperlink r:id="rId2751" ref="H2744"/>
    <hyperlink r:id="rId2752" ref="H2745"/>
    <hyperlink r:id="rId2753" ref="H2746"/>
    <hyperlink r:id="rId2754" ref="H2747"/>
    <hyperlink r:id="rId2755" ref="H2748"/>
    <hyperlink r:id="rId2756" ref="H2749"/>
    <hyperlink r:id="rId2757" ref="H2750"/>
    <hyperlink r:id="rId2758" ref="H2751"/>
    <hyperlink r:id="rId2759" ref="H2752"/>
    <hyperlink r:id="rId2760" ref="H2753"/>
    <hyperlink r:id="rId2761" ref="H2754"/>
    <hyperlink r:id="rId2762" ref="H2755"/>
    <hyperlink r:id="rId2763" ref="H2756"/>
    <hyperlink r:id="rId2764" ref="H2757"/>
    <hyperlink r:id="rId2765" ref="H2758"/>
    <hyperlink r:id="rId2766" ref="H2759"/>
    <hyperlink r:id="rId2767" ref="H2760"/>
    <hyperlink r:id="rId2768" ref="H2761"/>
    <hyperlink r:id="rId2769" ref="H2762"/>
    <hyperlink r:id="rId2770" ref="H2763"/>
    <hyperlink r:id="rId2771" ref="H2764"/>
    <hyperlink r:id="rId2772" ref="H2765"/>
    <hyperlink r:id="rId2773" ref="H2766"/>
    <hyperlink r:id="rId2774" ref="H2767"/>
    <hyperlink r:id="rId2775" ref="H2768"/>
    <hyperlink r:id="rId2776" ref="H2769"/>
    <hyperlink r:id="rId2777" ref="H2770"/>
    <hyperlink r:id="rId2778" ref="H2771"/>
    <hyperlink r:id="rId2779" ref="H2772"/>
    <hyperlink r:id="rId2780" ref="H2773"/>
    <hyperlink r:id="rId2781" ref="H2774"/>
    <hyperlink r:id="rId2782" ref="H2775"/>
    <hyperlink r:id="rId2783" ref="H2776"/>
    <hyperlink r:id="rId2784" ref="H2777"/>
    <hyperlink r:id="rId2785" ref="H2778"/>
    <hyperlink r:id="rId2786" ref="H2779"/>
    <hyperlink r:id="rId2787" ref="H2780"/>
    <hyperlink r:id="rId2788" ref="H2781"/>
    <hyperlink r:id="rId2789" ref="H2782"/>
    <hyperlink r:id="rId2790" ref="H2783"/>
    <hyperlink r:id="rId2791" ref="H2784"/>
    <hyperlink r:id="rId2792" ref="H2785"/>
    <hyperlink r:id="rId2793" ref="H2786"/>
    <hyperlink r:id="rId2794" ref="H2787"/>
    <hyperlink r:id="rId2795" ref="H2788"/>
    <hyperlink r:id="rId2796" ref="H2789"/>
    <hyperlink r:id="rId2797" ref="H2790"/>
    <hyperlink r:id="rId2798" ref="H2791"/>
    <hyperlink r:id="rId2799" ref="H2792"/>
    <hyperlink r:id="rId2800" ref="H2793"/>
    <hyperlink r:id="rId2801" ref="H2794"/>
    <hyperlink r:id="rId2802" ref="H2795"/>
    <hyperlink r:id="rId2803" ref="H2796"/>
    <hyperlink r:id="rId2804" ref="H2797"/>
    <hyperlink r:id="rId2805" ref="H2798"/>
    <hyperlink r:id="rId2806" ref="H2799"/>
    <hyperlink r:id="rId2807" ref="H2800"/>
    <hyperlink r:id="rId2808" ref="H2801"/>
    <hyperlink r:id="rId2809" ref="H2802"/>
    <hyperlink r:id="rId2810" ref="H2803"/>
    <hyperlink r:id="rId2811" ref="H2804"/>
    <hyperlink r:id="rId2812" ref="H2805"/>
    <hyperlink r:id="rId2813" ref="H2806"/>
    <hyperlink r:id="rId2814" ref="H2807"/>
    <hyperlink r:id="rId2815" ref="H2808"/>
    <hyperlink r:id="rId2816" ref="H2809"/>
    <hyperlink r:id="rId2817" ref="H2810"/>
    <hyperlink r:id="rId2818" ref="H2811"/>
    <hyperlink r:id="rId2819" ref="H2812"/>
    <hyperlink r:id="rId2820" ref="H2813"/>
    <hyperlink r:id="rId2821" ref="H2814"/>
    <hyperlink r:id="rId2822" ref="H2815"/>
    <hyperlink r:id="rId2823" ref="H2816"/>
    <hyperlink r:id="rId2824" ref="H2817"/>
    <hyperlink r:id="rId2825" ref="H2818"/>
    <hyperlink r:id="rId2826" ref="H2819"/>
    <hyperlink r:id="rId2827" ref="H2820"/>
    <hyperlink r:id="rId2828" ref="H2821"/>
    <hyperlink r:id="rId2829" ref="H2822"/>
    <hyperlink r:id="rId2830" ref="H2823"/>
    <hyperlink r:id="rId2831" ref="H2824"/>
    <hyperlink r:id="rId2832" ref="H2825"/>
    <hyperlink r:id="rId2833" ref="H2826"/>
    <hyperlink r:id="rId2834" ref="H2827"/>
    <hyperlink r:id="rId2835" ref="H2828"/>
    <hyperlink r:id="rId2836" ref="H2829"/>
    <hyperlink r:id="rId2837" ref="H2830"/>
    <hyperlink r:id="rId2838" ref="H2831"/>
    <hyperlink r:id="rId2839" ref="H2832"/>
    <hyperlink r:id="rId2840" ref="H2833"/>
    <hyperlink r:id="rId2841" ref="H2834"/>
    <hyperlink r:id="rId2842" ref="H2835"/>
    <hyperlink r:id="rId2843" ref="H2836"/>
    <hyperlink r:id="rId2844" ref="H2837"/>
    <hyperlink r:id="rId2845" ref="H2838"/>
    <hyperlink r:id="rId2846" ref="H2839"/>
    <hyperlink r:id="rId2847" ref="H2840"/>
    <hyperlink r:id="rId2848" ref="H2841"/>
    <hyperlink r:id="rId2849" ref="H2842"/>
    <hyperlink r:id="rId2850" ref="H2843"/>
    <hyperlink r:id="rId2851" ref="H2844"/>
    <hyperlink r:id="rId2852" ref="H2845"/>
    <hyperlink r:id="rId2853" ref="H2846"/>
    <hyperlink r:id="rId2854" ref="H2847"/>
    <hyperlink r:id="rId2855" ref="H2848"/>
    <hyperlink r:id="rId2856" ref="H2849"/>
    <hyperlink r:id="rId2857" ref="H2850"/>
    <hyperlink r:id="rId2858" ref="H2851"/>
    <hyperlink r:id="rId2859" ref="H2852"/>
    <hyperlink r:id="rId2860" ref="H2853"/>
    <hyperlink r:id="rId2861" ref="H2854"/>
    <hyperlink r:id="rId2862" ref="H2855"/>
    <hyperlink r:id="rId2863" ref="H2856"/>
    <hyperlink r:id="rId2864" ref="H2857"/>
    <hyperlink r:id="rId2865" ref="H2858"/>
    <hyperlink r:id="rId2866" ref="H2859"/>
    <hyperlink r:id="rId2867" ref="H2860"/>
    <hyperlink r:id="rId2868" ref="H2861"/>
    <hyperlink r:id="rId2869" ref="H2862"/>
    <hyperlink r:id="rId2870" ref="H2863"/>
    <hyperlink r:id="rId2871" ref="H2864"/>
    <hyperlink r:id="rId2872" ref="H2865"/>
    <hyperlink r:id="rId2873" ref="H2866"/>
    <hyperlink r:id="rId2874" ref="H2867"/>
    <hyperlink r:id="rId2875" ref="H2868"/>
    <hyperlink r:id="rId2876" ref="H2869"/>
    <hyperlink r:id="rId2877" ref="H2870"/>
    <hyperlink r:id="rId2878" ref="H2871"/>
    <hyperlink r:id="rId2879" ref="H2872"/>
    <hyperlink r:id="rId2880" ref="H2873"/>
    <hyperlink r:id="rId2881" ref="H2874"/>
    <hyperlink r:id="rId2882" ref="H2875"/>
    <hyperlink r:id="rId2883" ref="H2876"/>
    <hyperlink r:id="rId2884" ref="H2877"/>
    <hyperlink r:id="rId2885" ref="H2878"/>
    <hyperlink r:id="rId2886" ref="H2879"/>
    <hyperlink r:id="rId2887" ref="H2880"/>
    <hyperlink r:id="rId2888" ref="H2881"/>
    <hyperlink r:id="rId2889" ref="H2882"/>
    <hyperlink r:id="rId2890" ref="H2883"/>
    <hyperlink r:id="rId2891" ref="H2884"/>
    <hyperlink r:id="rId2892" ref="H2885"/>
    <hyperlink r:id="rId2893" ref="H2886"/>
    <hyperlink r:id="rId2894" ref="H2887"/>
    <hyperlink r:id="rId2895" ref="H2888"/>
    <hyperlink r:id="rId2896" ref="H2889"/>
    <hyperlink r:id="rId2897" ref="H2890"/>
    <hyperlink r:id="rId2898" ref="H2891"/>
    <hyperlink r:id="rId2899" ref="H2892"/>
    <hyperlink r:id="rId2900" ref="H2893"/>
    <hyperlink r:id="rId2901" ref="H2894"/>
    <hyperlink r:id="rId2902" ref="H2895"/>
    <hyperlink r:id="rId2903" ref="H2896"/>
    <hyperlink r:id="rId2904" ref="H2897"/>
    <hyperlink r:id="rId2905" ref="H2898"/>
    <hyperlink r:id="rId2906" ref="H2899"/>
    <hyperlink r:id="rId2907" ref="H2900"/>
    <hyperlink r:id="rId2908" ref="H2901"/>
    <hyperlink r:id="rId2909" ref="H2902"/>
    <hyperlink r:id="rId2910" ref="H2903"/>
    <hyperlink r:id="rId2911" ref="H2904"/>
    <hyperlink r:id="rId2912" ref="H2905"/>
    <hyperlink r:id="rId2913" ref="H2906"/>
    <hyperlink r:id="rId2914" ref="H2907"/>
    <hyperlink r:id="rId2915" ref="H2908"/>
    <hyperlink r:id="rId2916" ref="H2909"/>
    <hyperlink r:id="rId2917" ref="H2910"/>
    <hyperlink r:id="rId2918" ref="H2911"/>
    <hyperlink r:id="rId2919" ref="H2912"/>
    <hyperlink r:id="rId2920" ref="H2913"/>
    <hyperlink r:id="rId2921" ref="H2914"/>
    <hyperlink r:id="rId2922" ref="H2915"/>
    <hyperlink r:id="rId2923" ref="H2916"/>
    <hyperlink r:id="rId2924" ref="H2917"/>
    <hyperlink r:id="rId2925" ref="H2918"/>
    <hyperlink r:id="rId2926" ref="H2919"/>
    <hyperlink r:id="rId2927" ref="H2920"/>
    <hyperlink r:id="rId2928" ref="H2921"/>
    <hyperlink r:id="rId2929" ref="H2922"/>
    <hyperlink r:id="rId2930" ref="H2923"/>
    <hyperlink r:id="rId2931" ref="H2924"/>
    <hyperlink r:id="rId2932" ref="H2925"/>
    <hyperlink r:id="rId2933" ref="H2926"/>
    <hyperlink r:id="rId2934" ref="H2927"/>
    <hyperlink r:id="rId2935" ref="H2928"/>
    <hyperlink r:id="rId2936" ref="H2929"/>
    <hyperlink r:id="rId2937" ref="H2930"/>
    <hyperlink r:id="rId2938" ref="H2931"/>
    <hyperlink r:id="rId2939" ref="H2932"/>
    <hyperlink r:id="rId2940" ref="H2933"/>
    <hyperlink r:id="rId2941" ref="H2934"/>
    <hyperlink r:id="rId2942" ref="H2935"/>
    <hyperlink r:id="rId2943" ref="H2936"/>
    <hyperlink r:id="rId2944" ref="H2937"/>
    <hyperlink r:id="rId2945" ref="H2938"/>
    <hyperlink r:id="rId2946" ref="H2939"/>
    <hyperlink r:id="rId2947" ref="H2940"/>
    <hyperlink r:id="rId2948" ref="H2941"/>
    <hyperlink r:id="rId2949" ref="H2942"/>
    <hyperlink r:id="rId2950" ref="H2943"/>
    <hyperlink r:id="rId2951" ref="H2944"/>
    <hyperlink r:id="rId2952" ref="H2945"/>
    <hyperlink r:id="rId2953" ref="H2946"/>
    <hyperlink r:id="rId2954" ref="H2947"/>
    <hyperlink r:id="rId2955" ref="H2948"/>
    <hyperlink r:id="rId2956" ref="H2949"/>
    <hyperlink r:id="rId2957" ref="H2950"/>
    <hyperlink r:id="rId2958" ref="H2951"/>
    <hyperlink r:id="rId2959" ref="H2952"/>
    <hyperlink r:id="rId2960" ref="H2953"/>
    <hyperlink r:id="rId2961" ref="H2954"/>
    <hyperlink r:id="rId2962" ref="H2955"/>
    <hyperlink r:id="rId2963" ref="H2956"/>
    <hyperlink r:id="rId2964" ref="H2957"/>
    <hyperlink r:id="rId2965" ref="H2958"/>
    <hyperlink r:id="rId2966" ref="H2959"/>
    <hyperlink r:id="rId2967" ref="H2960"/>
    <hyperlink r:id="rId2968" ref="H2961"/>
    <hyperlink r:id="rId2969" ref="H2962"/>
    <hyperlink r:id="rId2970" ref="H2963"/>
    <hyperlink r:id="rId2971" ref="H2964"/>
    <hyperlink r:id="rId2972" ref="H2965"/>
    <hyperlink r:id="rId2973" ref="H2966"/>
    <hyperlink r:id="rId2974" ref="H2967"/>
    <hyperlink r:id="rId2975" ref="H2968"/>
    <hyperlink r:id="rId2976" ref="H2969"/>
    <hyperlink r:id="rId2977" ref="H2970"/>
    <hyperlink r:id="rId2978" ref="H2971"/>
    <hyperlink r:id="rId2979" ref="H2972"/>
    <hyperlink r:id="rId2980" ref="H2973"/>
    <hyperlink r:id="rId2981" ref="H2974"/>
    <hyperlink r:id="rId2982" ref="H2975"/>
    <hyperlink r:id="rId2983" ref="H2976"/>
    <hyperlink r:id="rId2984" ref="H2977"/>
    <hyperlink r:id="rId2985" ref="H2978"/>
    <hyperlink r:id="rId2986" ref="H2979"/>
    <hyperlink r:id="rId2987" ref="H2980"/>
    <hyperlink r:id="rId2988" ref="H2981"/>
    <hyperlink r:id="rId2989" ref="H2982"/>
    <hyperlink r:id="rId2990" ref="H2983"/>
    <hyperlink r:id="rId2991" ref="H2984"/>
    <hyperlink r:id="rId2992" ref="H2985"/>
    <hyperlink r:id="rId2993" ref="H2986"/>
    <hyperlink r:id="rId2994" ref="H2987"/>
    <hyperlink r:id="rId2995" ref="H2988"/>
    <hyperlink r:id="rId2996" ref="H2989"/>
    <hyperlink r:id="rId2997" ref="H2990"/>
    <hyperlink r:id="rId2998" ref="H2991"/>
    <hyperlink r:id="rId2999" ref="H2992"/>
    <hyperlink r:id="rId3000" ref="H2993"/>
    <hyperlink r:id="rId3001" ref="H2994"/>
    <hyperlink r:id="rId3002" ref="H2995"/>
    <hyperlink r:id="rId3003" ref="H2996"/>
    <hyperlink r:id="rId3004" ref="H2997"/>
    <hyperlink r:id="rId3005" ref="H2998"/>
    <hyperlink r:id="rId3006" ref="H2999"/>
    <hyperlink r:id="rId3007" ref="H3000"/>
    <hyperlink r:id="rId3008" ref="H3001"/>
    <hyperlink r:id="rId3009" ref="H3002"/>
    <hyperlink r:id="rId3010" ref="H3003"/>
    <hyperlink r:id="rId3011" ref="H3004"/>
    <hyperlink r:id="rId3012" ref="H3005"/>
    <hyperlink r:id="rId3013" ref="H3006"/>
    <hyperlink r:id="rId3014" ref="H3007"/>
    <hyperlink r:id="rId3015" ref="H3008"/>
    <hyperlink r:id="rId3016" ref="H3009"/>
    <hyperlink r:id="rId3017" ref="H3010"/>
    <hyperlink r:id="rId3018" ref="H3011"/>
    <hyperlink r:id="rId3019" ref="H3012"/>
    <hyperlink r:id="rId3020" ref="H3013"/>
    <hyperlink r:id="rId3021" ref="H3014"/>
    <hyperlink r:id="rId3022" ref="H3015"/>
    <hyperlink r:id="rId3023" ref="H3016"/>
    <hyperlink r:id="rId3024" ref="H3017"/>
    <hyperlink r:id="rId3025" ref="H3018"/>
    <hyperlink r:id="rId3026" ref="H3019"/>
    <hyperlink r:id="rId3027" ref="H3020"/>
    <hyperlink r:id="rId3028" ref="H3021"/>
    <hyperlink r:id="rId3029" ref="H3022"/>
    <hyperlink r:id="rId3030" ref="H3023"/>
    <hyperlink r:id="rId3031" ref="H3024"/>
    <hyperlink r:id="rId3032" ref="H3025"/>
    <hyperlink r:id="rId3033" ref="H3026"/>
    <hyperlink r:id="rId3034" ref="H3027"/>
    <hyperlink r:id="rId3035" ref="H3028"/>
    <hyperlink r:id="rId3036" ref="H3029"/>
    <hyperlink r:id="rId3037" ref="H3030"/>
    <hyperlink r:id="rId3038" ref="H3031"/>
    <hyperlink r:id="rId3039" ref="H3032"/>
    <hyperlink r:id="rId3040" ref="H3033"/>
    <hyperlink r:id="rId3041" ref="H3034"/>
    <hyperlink r:id="rId3042" ref="H3035"/>
    <hyperlink r:id="rId3043" ref="H3036"/>
    <hyperlink r:id="rId3044" ref="H3037"/>
    <hyperlink r:id="rId3045" ref="H3038"/>
    <hyperlink r:id="rId3046" ref="H3039"/>
    <hyperlink r:id="rId3047" ref="H3040"/>
    <hyperlink r:id="rId3048" ref="H3041"/>
    <hyperlink r:id="rId3049" ref="H3042"/>
    <hyperlink r:id="rId3050" ref="H3043"/>
    <hyperlink r:id="rId3051" ref="H3044"/>
    <hyperlink r:id="rId3052" ref="H3045"/>
    <hyperlink r:id="rId3053" ref="H3046"/>
    <hyperlink r:id="rId3054" ref="H3047"/>
    <hyperlink r:id="rId3055" ref="H3048"/>
    <hyperlink r:id="rId3056" ref="H3049"/>
    <hyperlink r:id="rId3057" ref="H3050"/>
    <hyperlink r:id="rId3058" ref="H3051"/>
    <hyperlink r:id="rId3059" ref="H3052"/>
    <hyperlink r:id="rId3060" ref="H3053"/>
    <hyperlink r:id="rId3061" ref="H3054"/>
    <hyperlink r:id="rId3062" ref="H3055"/>
    <hyperlink r:id="rId3063" ref="H3056"/>
    <hyperlink r:id="rId3064" ref="H3057"/>
    <hyperlink r:id="rId3065" ref="H3058"/>
    <hyperlink r:id="rId3066" ref="H3059"/>
    <hyperlink r:id="rId3067" ref="H3060"/>
    <hyperlink r:id="rId3068" ref="H3061"/>
    <hyperlink r:id="rId3069" ref="H3062"/>
    <hyperlink r:id="rId3070" ref="H3063"/>
    <hyperlink r:id="rId3071" ref="H3064"/>
    <hyperlink r:id="rId3072" ref="H3065"/>
    <hyperlink r:id="rId3073" ref="H3066"/>
    <hyperlink r:id="rId3074" ref="H3067"/>
    <hyperlink r:id="rId3075" ref="H3068"/>
    <hyperlink r:id="rId3076" ref="H3069"/>
    <hyperlink r:id="rId3077" ref="H3070"/>
    <hyperlink r:id="rId3078" ref="H3071"/>
    <hyperlink r:id="rId3079" ref="H3072"/>
    <hyperlink r:id="rId3080" ref="H3073"/>
    <hyperlink r:id="rId3081" ref="H3074"/>
    <hyperlink r:id="rId3082" ref="H3075"/>
    <hyperlink r:id="rId3083" ref="H3076"/>
    <hyperlink r:id="rId3084" ref="H3077"/>
    <hyperlink r:id="rId3085" ref="H3078"/>
    <hyperlink r:id="rId3086" ref="H3079"/>
    <hyperlink r:id="rId3087" ref="H3080"/>
    <hyperlink r:id="rId3088" ref="H3081"/>
    <hyperlink r:id="rId3089" ref="H3082"/>
    <hyperlink r:id="rId3090" ref="H3083"/>
    <hyperlink r:id="rId3091" ref="H3084"/>
    <hyperlink r:id="rId3092" ref="H3085"/>
    <hyperlink r:id="rId3093" ref="H3086"/>
    <hyperlink r:id="rId3094" ref="H3087"/>
    <hyperlink r:id="rId3095" ref="H3088"/>
    <hyperlink r:id="rId3096" ref="H3089"/>
    <hyperlink r:id="rId3097" ref="H3090"/>
    <hyperlink r:id="rId3098" ref="H3091"/>
    <hyperlink r:id="rId3099" ref="H3092"/>
    <hyperlink r:id="rId3100" ref="H3093"/>
    <hyperlink r:id="rId3101" ref="H3094"/>
    <hyperlink r:id="rId3102" ref="H3095"/>
    <hyperlink r:id="rId3103" ref="H3096"/>
    <hyperlink r:id="rId3104" ref="H3097"/>
    <hyperlink r:id="rId3105" ref="H3098"/>
    <hyperlink r:id="rId3106" ref="H3099"/>
    <hyperlink r:id="rId3107" ref="H3100"/>
    <hyperlink r:id="rId3108" ref="H3101"/>
    <hyperlink r:id="rId3109" ref="H3102"/>
    <hyperlink r:id="rId3110" ref="H3103"/>
    <hyperlink r:id="rId3111" ref="H3104"/>
    <hyperlink r:id="rId3112" ref="H3105"/>
    <hyperlink r:id="rId3113" ref="H3106"/>
    <hyperlink r:id="rId3114" ref="H3107"/>
    <hyperlink r:id="rId3115" ref="H3108"/>
    <hyperlink r:id="rId3116" ref="H3109"/>
    <hyperlink r:id="rId3117" ref="H3110"/>
    <hyperlink r:id="rId3118" ref="H3111"/>
    <hyperlink r:id="rId3119" ref="H3112"/>
    <hyperlink r:id="rId3120" ref="H3113"/>
    <hyperlink r:id="rId3121" ref="H3114"/>
    <hyperlink r:id="rId3122" ref="H3115"/>
    <hyperlink r:id="rId3123" ref="H3116"/>
    <hyperlink r:id="rId3124" ref="H3117"/>
    <hyperlink r:id="rId3125" ref="H3118"/>
    <hyperlink r:id="rId3126" ref="H3119"/>
    <hyperlink r:id="rId3127" ref="H3120"/>
    <hyperlink r:id="rId3128" ref="H3121"/>
    <hyperlink r:id="rId3129" ref="H3122"/>
    <hyperlink r:id="rId3130" ref="H3123"/>
    <hyperlink r:id="rId3131" ref="H3124"/>
    <hyperlink r:id="rId3132" ref="H3125"/>
    <hyperlink r:id="rId3133" ref="H3126"/>
    <hyperlink r:id="rId3134" ref="H3127"/>
    <hyperlink r:id="rId3135" ref="H3128"/>
    <hyperlink r:id="rId3136" ref="H3129"/>
    <hyperlink r:id="rId3137" ref="H3130"/>
    <hyperlink r:id="rId3138" ref="H3131"/>
    <hyperlink r:id="rId3139" ref="H3132"/>
    <hyperlink r:id="rId3140" ref="H3133"/>
    <hyperlink r:id="rId3141" ref="H3134"/>
    <hyperlink r:id="rId3142" ref="H3135"/>
    <hyperlink r:id="rId3143" ref="H3136"/>
    <hyperlink r:id="rId3144" ref="H3137"/>
    <hyperlink r:id="rId3145" ref="H3138"/>
    <hyperlink r:id="rId3146" ref="H3139"/>
    <hyperlink r:id="rId3147" ref="H3140"/>
    <hyperlink r:id="rId3148" ref="H3141"/>
    <hyperlink r:id="rId3149" ref="H3142"/>
    <hyperlink r:id="rId3150" ref="H3143"/>
    <hyperlink r:id="rId3151" ref="H3144"/>
    <hyperlink r:id="rId3152" ref="H3145"/>
    <hyperlink r:id="rId3153" ref="H3146"/>
    <hyperlink r:id="rId3154" ref="H3147"/>
    <hyperlink r:id="rId3155" ref="H3148"/>
    <hyperlink r:id="rId3156" ref="H3149"/>
    <hyperlink r:id="rId3157" ref="H3150"/>
    <hyperlink r:id="rId3158" ref="H3151"/>
    <hyperlink r:id="rId3159" ref="H3152"/>
    <hyperlink r:id="rId3160" ref="H3153"/>
    <hyperlink r:id="rId3161" ref="H3154"/>
    <hyperlink r:id="rId3162" ref="H3155"/>
    <hyperlink r:id="rId3163" ref="H3156"/>
    <hyperlink r:id="rId3164" ref="H3157"/>
    <hyperlink r:id="rId3165" ref="H3158"/>
    <hyperlink r:id="rId3166" ref="H3159"/>
    <hyperlink r:id="rId3167" ref="H3160"/>
    <hyperlink r:id="rId3168" ref="H3161"/>
    <hyperlink r:id="rId3169" ref="H3162"/>
    <hyperlink r:id="rId3170" ref="H3163"/>
    <hyperlink r:id="rId3171" ref="H3164"/>
    <hyperlink r:id="rId3172" ref="H3165"/>
    <hyperlink r:id="rId3173" ref="H3166"/>
    <hyperlink r:id="rId3174" ref="H3167"/>
    <hyperlink r:id="rId3175" ref="H3168"/>
    <hyperlink r:id="rId3176" ref="H3169"/>
    <hyperlink r:id="rId3177" ref="H3170"/>
    <hyperlink r:id="rId3178" ref="H3171"/>
    <hyperlink r:id="rId3179" ref="H3172"/>
    <hyperlink r:id="rId3180" ref="H3173"/>
    <hyperlink r:id="rId3181" ref="H3174"/>
    <hyperlink r:id="rId3182" ref="H3175"/>
    <hyperlink r:id="rId3183" ref="H3176"/>
    <hyperlink r:id="rId3184" ref="H3177"/>
    <hyperlink r:id="rId3185" ref="H3178"/>
    <hyperlink r:id="rId3186" ref="H3179"/>
    <hyperlink r:id="rId3187" ref="H3180"/>
    <hyperlink r:id="rId3188" ref="H3181"/>
    <hyperlink r:id="rId3189" ref="H3182"/>
    <hyperlink r:id="rId3190" ref="H3183"/>
    <hyperlink r:id="rId3191" ref="H3184"/>
    <hyperlink r:id="rId3192" ref="H3185"/>
    <hyperlink r:id="rId3193" ref="H3186"/>
    <hyperlink r:id="rId3194" ref="H3187"/>
    <hyperlink r:id="rId3195" ref="H3188"/>
    <hyperlink r:id="rId3196" ref="H3189"/>
    <hyperlink r:id="rId3197" ref="H3190"/>
    <hyperlink r:id="rId3198" ref="H3191"/>
    <hyperlink r:id="rId3199" ref="H3192"/>
    <hyperlink r:id="rId3200" ref="H3193"/>
    <hyperlink r:id="rId3201" ref="H3194"/>
    <hyperlink r:id="rId3202" ref="H3195"/>
    <hyperlink r:id="rId3203" ref="H3196"/>
    <hyperlink r:id="rId3204" ref="H3197"/>
    <hyperlink r:id="rId3205" ref="H3198"/>
    <hyperlink r:id="rId3206" ref="H3199"/>
    <hyperlink r:id="rId3207" ref="H3200"/>
    <hyperlink r:id="rId3208" ref="H3201"/>
    <hyperlink r:id="rId3209" ref="H3202"/>
    <hyperlink r:id="rId3210" ref="H3203"/>
    <hyperlink r:id="rId3211" ref="H3204"/>
    <hyperlink r:id="rId3212" ref="H3205"/>
    <hyperlink r:id="rId3213" ref="H3206"/>
    <hyperlink r:id="rId3214" ref="H3207"/>
    <hyperlink r:id="rId3215" ref="H3208"/>
    <hyperlink r:id="rId3216" ref="H3209"/>
    <hyperlink r:id="rId3217" ref="H3210"/>
    <hyperlink r:id="rId3218" ref="H3211"/>
    <hyperlink r:id="rId3219" ref="H3212"/>
    <hyperlink r:id="rId3220" ref="H3213"/>
    <hyperlink r:id="rId3221" ref="H3214"/>
    <hyperlink r:id="rId3222" ref="H3215"/>
    <hyperlink r:id="rId3223" ref="H3216"/>
    <hyperlink r:id="rId3224" ref="H3217"/>
    <hyperlink r:id="rId3225" ref="H3218"/>
    <hyperlink r:id="rId3226" ref="H3219"/>
    <hyperlink r:id="rId3227" ref="H3220"/>
    <hyperlink r:id="rId3228" ref="H3221"/>
    <hyperlink r:id="rId3229" ref="H3222"/>
    <hyperlink r:id="rId3230" ref="H3223"/>
    <hyperlink r:id="rId3231" ref="H3224"/>
    <hyperlink r:id="rId3232" ref="H3225"/>
    <hyperlink r:id="rId3233" ref="H3226"/>
    <hyperlink r:id="rId3234" ref="H3227"/>
    <hyperlink r:id="rId3235" ref="H3228"/>
    <hyperlink r:id="rId3236" ref="H3229"/>
    <hyperlink r:id="rId3237" ref="H3230"/>
    <hyperlink r:id="rId3238" ref="H3231"/>
    <hyperlink r:id="rId3239" ref="H3232"/>
    <hyperlink r:id="rId3240" ref="H3233"/>
    <hyperlink r:id="rId3241" ref="H3234"/>
    <hyperlink r:id="rId3242" ref="H3235"/>
    <hyperlink r:id="rId3243" ref="H3236"/>
    <hyperlink r:id="rId3244" ref="H3237"/>
    <hyperlink r:id="rId3245" ref="H3238"/>
    <hyperlink r:id="rId3246" ref="H3239"/>
    <hyperlink r:id="rId3247" ref="H3240"/>
    <hyperlink r:id="rId3248" ref="H3241"/>
    <hyperlink r:id="rId3249" ref="H3242"/>
    <hyperlink r:id="rId3250" ref="H3243"/>
    <hyperlink r:id="rId3251" ref="H3244"/>
    <hyperlink r:id="rId3252" ref="H3245"/>
    <hyperlink r:id="rId3253" ref="H3246"/>
    <hyperlink r:id="rId3254" ref="H3247"/>
    <hyperlink r:id="rId3255" ref="H3248"/>
    <hyperlink r:id="rId3256" ref="H3249"/>
    <hyperlink r:id="rId3257" ref="H3250"/>
    <hyperlink r:id="rId3258" ref="H3251"/>
    <hyperlink r:id="rId3259" ref="H3252"/>
    <hyperlink r:id="rId3260" ref="H3253"/>
    <hyperlink r:id="rId3261" ref="H3254"/>
    <hyperlink r:id="rId3262" ref="H3255"/>
    <hyperlink r:id="rId3263" ref="H3256"/>
    <hyperlink r:id="rId3264" ref="H3257"/>
    <hyperlink r:id="rId3265" ref="H3258"/>
    <hyperlink r:id="rId3266" ref="H3259"/>
    <hyperlink r:id="rId3267" ref="H3260"/>
    <hyperlink r:id="rId3268" ref="H3261"/>
    <hyperlink r:id="rId3269" ref="H3262"/>
    <hyperlink r:id="rId3270" ref="H3263"/>
    <hyperlink r:id="rId3271" ref="H3264"/>
    <hyperlink r:id="rId3272" ref="H3265"/>
    <hyperlink r:id="rId3273" ref="H3266"/>
    <hyperlink r:id="rId3274" ref="H3267"/>
    <hyperlink r:id="rId3275" ref="H3268"/>
    <hyperlink r:id="rId3276" ref="H3269"/>
    <hyperlink r:id="rId3277" ref="H3270"/>
    <hyperlink r:id="rId3278" ref="H3271"/>
    <hyperlink r:id="rId3279" ref="H3272"/>
    <hyperlink r:id="rId3280" ref="H3273"/>
    <hyperlink r:id="rId3281" ref="H3274"/>
    <hyperlink r:id="rId3282" ref="H3275"/>
    <hyperlink r:id="rId3283" ref="H3276"/>
    <hyperlink r:id="rId3284" ref="H3277"/>
    <hyperlink r:id="rId3285" ref="H3278"/>
    <hyperlink r:id="rId3286" ref="H3279"/>
    <hyperlink r:id="rId3287" ref="H3280"/>
    <hyperlink r:id="rId3288" ref="H3281"/>
    <hyperlink r:id="rId3289" ref="H3282"/>
    <hyperlink r:id="rId3290" ref="H3283"/>
    <hyperlink r:id="rId3291" ref="H3284"/>
    <hyperlink r:id="rId3292" ref="H3285"/>
    <hyperlink r:id="rId3293" ref="H3286"/>
    <hyperlink r:id="rId3294" ref="H3287"/>
    <hyperlink r:id="rId3295" ref="H3288"/>
    <hyperlink r:id="rId3296" ref="H3289"/>
    <hyperlink r:id="rId3297" ref="H3290"/>
    <hyperlink r:id="rId3298" ref="H3291"/>
    <hyperlink r:id="rId3299" ref="H3292"/>
    <hyperlink r:id="rId3300" ref="H3293"/>
    <hyperlink r:id="rId3301" ref="H3294"/>
    <hyperlink r:id="rId3302" ref="H3295"/>
    <hyperlink r:id="rId3303" ref="H3296"/>
    <hyperlink r:id="rId3304" ref="H3297"/>
    <hyperlink r:id="rId3305" ref="H3298"/>
    <hyperlink r:id="rId3306" ref="H3299"/>
    <hyperlink r:id="rId3307" ref="H3300"/>
    <hyperlink r:id="rId3308" ref="H3301"/>
    <hyperlink r:id="rId3309" ref="H3302"/>
    <hyperlink r:id="rId3310" ref="H3303"/>
    <hyperlink r:id="rId3311" ref="H3304"/>
    <hyperlink r:id="rId3312" ref="H3305"/>
    <hyperlink r:id="rId3313" ref="H3306"/>
    <hyperlink r:id="rId3314" ref="H3307"/>
    <hyperlink r:id="rId3315" ref="H3308"/>
    <hyperlink r:id="rId3316" ref="H3309"/>
    <hyperlink r:id="rId3317" ref="H3310"/>
    <hyperlink r:id="rId3318" ref="H3311"/>
    <hyperlink r:id="rId3319" ref="H3312"/>
    <hyperlink r:id="rId3320" ref="H3313"/>
    <hyperlink r:id="rId3321" ref="H3314"/>
    <hyperlink r:id="rId3322" ref="H3315"/>
    <hyperlink r:id="rId3323" ref="H3316"/>
    <hyperlink r:id="rId3324" ref="H3317"/>
    <hyperlink r:id="rId3325" ref="H3318"/>
    <hyperlink r:id="rId3326" ref="H3319"/>
    <hyperlink r:id="rId3327" ref="H3320"/>
    <hyperlink r:id="rId3328" ref="H3321"/>
    <hyperlink r:id="rId3329" ref="H3322"/>
    <hyperlink r:id="rId3330" ref="H3323"/>
    <hyperlink r:id="rId3331" ref="H3324"/>
    <hyperlink r:id="rId3332" ref="H3325"/>
    <hyperlink r:id="rId3333" ref="H3326"/>
    <hyperlink r:id="rId3334" ref="H3327"/>
    <hyperlink r:id="rId3335" ref="H3328"/>
    <hyperlink r:id="rId3336" ref="H3329"/>
    <hyperlink r:id="rId3337" ref="H3330"/>
    <hyperlink r:id="rId3338" ref="H3331"/>
    <hyperlink r:id="rId3339" ref="H3332"/>
    <hyperlink r:id="rId3340" ref="H3333"/>
    <hyperlink r:id="rId3341" ref="H3334"/>
    <hyperlink r:id="rId3342" ref="H3335"/>
    <hyperlink r:id="rId3343" ref="H3336"/>
    <hyperlink r:id="rId3344" ref="H3337"/>
    <hyperlink r:id="rId3345" ref="H3338"/>
    <hyperlink r:id="rId3346" ref="H3339"/>
    <hyperlink r:id="rId3347" ref="H3340"/>
    <hyperlink r:id="rId3348" ref="H3341"/>
    <hyperlink r:id="rId3349" ref="H3342"/>
    <hyperlink r:id="rId3350" ref="H3343"/>
    <hyperlink r:id="rId3351" ref="H3344"/>
    <hyperlink r:id="rId3352" ref="H3345"/>
    <hyperlink r:id="rId3353" ref="H3346"/>
    <hyperlink r:id="rId3354" ref="H3347"/>
    <hyperlink r:id="rId3355" ref="H3348"/>
    <hyperlink r:id="rId3356" ref="H3349"/>
    <hyperlink r:id="rId3357" ref="H3350"/>
    <hyperlink r:id="rId3358" ref="H3351"/>
    <hyperlink r:id="rId3359" ref="H3352"/>
    <hyperlink r:id="rId3360" ref="H3353"/>
    <hyperlink r:id="rId3361" ref="H3354"/>
    <hyperlink r:id="rId3362" ref="H3355"/>
    <hyperlink r:id="rId3363" ref="H3356"/>
    <hyperlink r:id="rId3364" ref="H3357"/>
    <hyperlink r:id="rId3365" ref="H3358"/>
    <hyperlink r:id="rId3366" ref="H3359"/>
    <hyperlink r:id="rId3367" ref="H3360"/>
    <hyperlink r:id="rId3368" ref="H3361"/>
    <hyperlink r:id="rId3369" ref="H3362"/>
    <hyperlink r:id="rId3370" ref="H3363"/>
    <hyperlink r:id="rId3371" ref="H3364"/>
    <hyperlink r:id="rId3372" ref="H3365"/>
    <hyperlink r:id="rId3373" ref="H3366"/>
    <hyperlink r:id="rId3374" ref="H3367"/>
    <hyperlink r:id="rId3375" ref="H3368"/>
    <hyperlink r:id="rId3376" ref="H3369"/>
    <hyperlink r:id="rId3377" ref="H3370"/>
    <hyperlink r:id="rId3378" ref="H3371"/>
    <hyperlink r:id="rId3379" ref="H3372"/>
    <hyperlink r:id="rId3380" ref="H3373"/>
    <hyperlink r:id="rId3381" ref="H3374"/>
    <hyperlink r:id="rId3382" ref="H3375"/>
    <hyperlink r:id="rId3383" ref="H3376"/>
    <hyperlink r:id="rId3384" ref="H3377"/>
    <hyperlink r:id="rId3385" ref="H3378"/>
    <hyperlink r:id="rId3386" ref="H3379"/>
    <hyperlink r:id="rId3387" ref="H3380"/>
    <hyperlink r:id="rId3388" ref="H3381"/>
    <hyperlink r:id="rId3389" ref="H3382"/>
    <hyperlink r:id="rId3390" ref="H3383"/>
    <hyperlink r:id="rId3391" ref="H3384"/>
    <hyperlink r:id="rId3392" ref="H3385"/>
    <hyperlink r:id="rId3393" ref="H3386"/>
    <hyperlink r:id="rId3394" ref="H3387"/>
    <hyperlink r:id="rId3395" ref="H3388"/>
    <hyperlink r:id="rId3396" ref="H3389"/>
    <hyperlink r:id="rId3397" ref="H3390"/>
    <hyperlink r:id="rId3398" ref="H3391"/>
    <hyperlink r:id="rId3399" ref="H3392"/>
    <hyperlink r:id="rId3400" ref="H3393"/>
    <hyperlink r:id="rId3401" ref="H3394"/>
    <hyperlink r:id="rId3402" ref="H3395"/>
    <hyperlink r:id="rId3403" ref="H3396"/>
    <hyperlink r:id="rId3404" ref="H3397"/>
    <hyperlink r:id="rId3405" ref="H3398"/>
    <hyperlink r:id="rId3406" ref="H3399"/>
    <hyperlink r:id="rId3407" ref="H3400"/>
    <hyperlink r:id="rId3408" ref="H3401"/>
    <hyperlink r:id="rId3409" ref="H3402"/>
    <hyperlink r:id="rId3410" ref="H3403"/>
    <hyperlink r:id="rId3411" ref="H3404"/>
    <hyperlink r:id="rId3412" ref="H3405"/>
    <hyperlink r:id="rId3413" ref="H3406"/>
    <hyperlink r:id="rId3414" ref="H3407"/>
    <hyperlink r:id="rId3415" ref="H3408"/>
    <hyperlink r:id="rId3416" ref="H3409"/>
    <hyperlink r:id="rId3417" ref="H3410"/>
    <hyperlink r:id="rId3418" ref="H3411"/>
    <hyperlink r:id="rId3419" ref="H3412"/>
    <hyperlink r:id="rId3420" ref="H3413"/>
    <hyperlink r:id="rId3421" ref="H3414"/>
    <hyperlink r:id="rId3422" ref="H3415"/>
    <hyperlink r:id="rId3423" ref="H3416"/>
    <hyperlink r:id="rId3424" ref="H3417"/>
    <hyperlink r:id="rId3425" ref="H3418"/>
    <hyperlink r:id="rId3426" ref="H3419"/>
    <hyperlink r:id="rId3427" ref="H3420"/>
    <hyperlink r:id="rId3428" ref="H3421"/>
    <hyperlink r:id="rId3429" ref="H3422"/>
    <hyperlink r:id="rId3430" ref="H3423"/>
    <hyperlink r:id="rId3431" ref="H3424"/>
    <hyperlink r:id="rId3432" ref="H3425"/>
    <hyperlink r:id="rId3433" ref="H3426"/>
    <hyperlink r:id="rId3434" ref="H3427"/>
    <hyperlink r:id="rId3435" ref="H3428"/>
    <hyperlink r:id="rId3436" ref="H3429"/>
    <hyperlink r:id="rId3437" ref="H3430"/>
    <hyperlink r:id="rId3438" ref="H3431"/>
    <hyperlink r:id="rId3439" ref="H3432"/>
    <hyperlink r:id="rId3440" ref="H3433"/>
    <hyperlink r:id="rId3441" ref="H3434"/>
    <hyperlink r:id="rId3442" ref="H3435"/>
    <hyperlink r:id="rId3443" ref="H3436"/>
    <hyperlink r:id="rId3444" ref="H3437"/>
    <hyperlink r:id="rId3445" ref="H3438"/>
    <hyperlink r:id="rId3446" ref="H3439"/>
    <hyperlink r:id="rId3447" ref="H3440"/>
    <hyperlink r:id="rId3448" ref="H3441"/>
    <hyperlink r:id="rId3449" ref="H3442"/>
    <hyperlink r:id="rId3450" ref="H3443"/>
    <hyperlink r:id="rId3451" ref="H3444"/>
    <hyperlink r:id="rId3452" ref="H3445"/>
    <hyperlink r:id="rId3453" ref="H3446"/>
    <hyperlink r:id="rId3454" ref="H3447"/>
    <hyperlink r:id="rId3455" ref="H3448"/>
    <hyperlink r:id="rId3456" ref="H3449"/>
    <hyperlink r:id="rId3457" ref="H3450"/>
    <hyperlink r:id="rId3458" ref="H3451"/>
    <hyperlink r:id="rId3459" ref="H3452"/>
    <hyperlink r:id="rId3460" ref="H3453"/>
    <hyperlink r:id="rId3461" ref="H3454"/>
    <hyperlink r:id="rId3462" ref="H3455"/>
    <hyperlink r:id="rId3463" ref="H3456"/>
    <hyperlink r:id="rId3464" ref="H3457"/>
    <hyperlink r:id="rId3465" ref="H3458"/>
    <hyperlink r:id="rId3466" ref="H3459"/>
    <hyperlink r:id="rId3467" ref="H3460"/>
    <hyperlink r:id="rId3468" ref="H3461"/>
    <hyperlink r:id="rId3469" ref="H3462"/>
    <hyperlink r:id="rId3470" ref="H3463"/>
    <hyperlink r:id="rId3471" ref="H3464"/>
    <hyperlink r:id="rId3472" ref="H3465"/>
    <hyperlink r:id="rId3473" ref="H3466"/>
    <hyperlink r:id="rId3474" ref="H3467"/>
    <hyperlink r:id="rId3475" ref="H3468"/>
    <hyperlink r:id="rId3476" ref="H3469"/>
    <hyperlink r:id="rId3477" ref="H3470"/>
    <hyperlink r:id="rId3478" ref="H3471"/>
    <hyperlink r:id="rId3479" ref="H3472"/>
    <hyperlink r:id="rId3480" ref="H3473"/>
    <hyperlink r:id="rId3481" ref="H3474"/>
    <hyperlink r:id="rId3482" ref="H3475"/>
    <hyperlink r:id="rId3483" ref="H3476"/>
    <hyperlink r:id="rId3484" ref="H3477"/>
    <hyperlink r:id="rId3485" ref="H3478"/>
    <hyperlink r:id="rId3486" ref="H3479"/>
    <hyperlink r:id="rId3487" ref="H3480"/>
    <hyperlink r:id="rId3488" ref="H3481"/>
    <hyperlink r:id="rId3489" ref="H3482"/>
    <hyperlink r:id="rId3490" ref="H3483"/>
    <hyperlink r:id="rId3491" ref="H3484"/>
    <hyperlink r:id="rId3492" ref="H3485"/>
    <hyperlink r:id="rId3493" ref="H3486"/>
    <hyperlink r:id="rId3494" ref="H3487"/>
    <hyperlink r:id="rId3495" ref="H3488"/>
    <hyperlink r:id="rId3496" ref="H3489"/>
    <hyperlink r:id="rId3497" ref="H3490"/>
    <hyperlink r:id="rId3498" ref="H3491"/>
    <hyperlink r:id="rId3499" ref="H3492"/>
    <hyperlink r:id="rId3500" ref="H3493"/>
    <hyperlink r:id="rId3501" ref="H3494"/>
    <hyperlink r:id="rId3502" ref="H3495"/>
    <hyperlink r:id="rId3503" ref="H3496"/>
    <hyperlink r:id="rId3504" ref="H3497"/>
    <hyperlink r:id="rId3505" ref="H3498"/>
    <hyperlink r:id="rId3506" ref="H3499"/>
    <hyperlink r:id="rId3507" ref="H3500"/>
    <hyperlink r:id="rId3508" ref="H3501"/>
    <hyperlink r:id="rId3509" ref="H3502"/>
    <hyperlink r:id="rId3510" ref="H3503"/>
    <hyperlink r:id="rId3511" ref="H3504"/>
    <hyperlink r:id="rId3512" ref="H3505"/>
    <hyperlink r:id="rId3513" ref="H3506"/>
    <hyperlink r:id="rId3514" ref="H3507"/>
    <hyperlink r:id="rId3515" ref="H3508"/>
    <hyperlink r:id="rId3516" ref="H3509"/>
    <hyperlink r:id="rId3517" ref="H3510"/>
    <hyperlink r:id="rId3518" ref="H3511"/>
    <hyperlink r:id="rId3519" ref="H3512"/>
    <hyperlink r:id="rId3520" ref="H3513"/>
    <hyperlink r:id="rId3521" ref="H3514"/>
    <hyperlink r:id="rId3522" ref="H3515"/>
    <hyperlink r:id="rId3523" ref="H3516"/>
    <hyperlink r:id="rId3524" ref="H3517"/>
    <hyperlink r:id="rId3525" ref="H3518"/>
    <hyperlink r:id="rId3526" ref="H3519"/>
    <hyperlink r:id="rId3527" ref="H3520"/>
    <hyperlink r:id="rId3528" ref="H3521"/>
    <hyperlink r:id="rId3529" ref="H3522"/>
    <hyperlink r:id="rId3530" ref="H3523"/>
    <hyperlink r:id="rId3531" ref="H3524"/>
    <hyperlink r:id="rId3532" ref="H3525"/>
    <hyperlink r:id="rId3533" ref="H3526"/>
    <hyperlink r:id="rId3534" ref="H3527"/>
    <hyperlink r:id="rId3535" ref="H3528"/>
    <hyperlink r:id="rId3536" ref="H3529"/>
    <hyperlink r:id="rId3537" ref="H3530"/>
    <hyperlink r:id="rId3538" ref="H3531"/>
    <hyperlink r:id="rId3539" ref="H3532"/>
    <hyperlink r:id="rId3540" ref="H3533"/>
    <hyperlink r:id="rId3541" ref="H3534"/>
    <hyperlink r:id="rId3542" ref="H3535"/>
    <hyperlink r:id="rId3543" ref="H3536"/>
    <hyperlink r:id="rId3544" ref="H3537"/>
    <hyperlink r:id="rId3545" ref="H3538"/>
    <hyperlink r:id="rId3546" ref="H3539"/>
    <hyperlink r:id="rId3547" ref="H3540"/>
    <hyperlink r:id="rId3548" ref="H3541"/>
    <hyperlink r:id="rId3549" ref="H3542"/>
    <hyperlink r:id="rId3550" ref="H3543"/>
    <hyperlink r:id="rId3551" ref="H3544"/>
    <hyperlink r:id="rId3552" ref="H3545"/>
    <hyperlink r:id="rId3553" ref="H3546"/>
    <hyperlink r:id="rId3554" ref="H3547"/>
    <hyperlink r:id="rId3555" ref="H3548"/>
    <hyperlink r:id="rId3556" ref="H3549"/>
    <hyperlink r:id="rId3557" ref="H3550"/>
    <hyperlink r:id="rId3558" ref="H3551"/>
    <hyperlink r:id="rId3559" ref="H3552"/>
    <hyperlink r:id="rId3560" ref="H3553"/>
    <hyperlink r:id="rId3561" ref="H3554"/>
    <hyperlink r:id="rId3562" ref="H3555"/>
    <hyperlink r:id="rId3563" ref="H3556"/>
    <hyperlink r:id="rId3564" ref="H3557"/>
    <hyperlink r:id="rId3565" ref="H3558"/>
    <hyperlink r:id="rId3566" ref="H3559"/>
    <hyperlink r:id="rId3567" ref="H3560"/>
    <hyperlink r:id="rId3568" ref="H3561"/>
    <hyperlink r:id="rId3569" ref="H3562"/>
    <hyperlink r:id="rId3570" ref="H3563"/>
    <hyperlink r:id="rId3571" ref="H3564"/>
    <hyperlink r:id="rId3572" ref="H3565"/>
    <hyperlink r:id="rId3573" ref="H3566"/>
    <hyperlink r:id="rId3574" ref="H3567"/>
    <hyperlink r:id="rId3575" ref="H3568"/>
    <hyperlink r:id="rId3576" ref="H3569"/>
    <hyperlink r:id="rId3577" ref="H3570"/>
    <hyperlink r:id="rId3578" ref="H3571"/>
    <hyperlink r:id="rId3579" ref="H3572"/>
    <hyperlink r:id="rId3580" ref="H3573"/>
    <hyperlink r:id="rId3581" ref="H3574"/>
    <hyperlink r:id="rId3582" ref="H3575"/>
    <hyperlink r:id="rId3583" ref="H3576"/>
    <hyperlink r:id="rId3584" ref="H3577"/>
    <hyperlink r:id="rId3585" ref="H3578"/>
    <hyperlink r:id="rId3586" ref="H3579"/>
    <hyperlink r:id="rId3587" ref="H3580"/>
    <hyperlink r:id="rId3588" ref="H3581"/>
    <hyperlink r:id="rId3589" ref="H3582"/>
    <hyperlink r:id="rId3590" ref="H3583"/>
    <hyperlink r:id="rId3591" ref="H3584"/>
    <hyperlink r:id="rId3592" ref="H3585"/>
    <hyperlink r:id="rId3593" ref="H3586"/>
    <hyperlink r:id="rId3594" ref="H3587"/>
    <hyperlink r:id="rId3595" ref="H3588"/>
    <hyperlink r:id="rId3596" ref="H3589"/>
    <hyperlink r:id="rId3597" ref="H3590"/>
    <hyperlink r:id="rId3598" ref="H3591"/>
    <hyperlink r:id="rId3599" ref="H3592"/>
    <hyperlink r:id="rId3600" ref="H3593"/>
    <hyperlink r:id="rId3601" ref="H3594"/>
    <hyperlink r:id="rId3602" ref="H3595"/>
    <hyperlink r:id="rId3603" ref="H3596"/>
    <hyperlink r:id="rId3604" ref="H3597"/>
    <hyperlink r:id="rId3605" ref="H3598"/>
    <hyperlink r:id="rId3606" ref="H3599"/>
    <hyperlink r:id="rId3607" ref="H3600"/>
    <hyperlink r:id="rId3608" ref="H3601"/>
    <hyperlink r:id="rId3609" ref="H3602"/>
    <hyperlink r:id="rId3610" ref="H3603"/>
    <hyperlink r:id="rId3611" ref="H3604"/>
    <hyperlink r:id="rId3612" ref="H3605"/>
    <hyperlink r:id="rId3613" ref="H3606"/>
    <hyperlink r:id="rId3614" ref="H3607"/>
    <hyperlink r:id="rId3615" ref="H3608"/>
    <hyperlink r:id="rId3616" ref="H3609"/>
    <hyperlink r:id="rId3617" ref="H3610"/>
    <hyperlink r:id="rId3618" ref="H3611"/>
    <hyperlink r:id="rId3619" ref="H3612"/>
    <hyperlink r:id="rId3620" ref="H3613"/>
    <hyperlink r:id="rId3621" ref="H3614"/>
    <hyperlink r:id="rId3622" ref="H3615"/>
    <hyperlink r:id="rId3623" ref="H3616"/>
    <hyperlink r:id="rId3624" ref="H3617"/>
    <hyperlink r:id="rId3625" ref="H3618"/>
    <hyperlink r:id="rId3626" ref="H3619"/>
    <hyperlink r:id="rId3627" ref="H3620"/>
    <hyperlink r:id="rId3628" ref="H3621"/>
    <hyperlink r:id="rId3629" ref="H3622"/>
    <hyperlink r:id="rId3630" ref="H3623"/>
    <hyperlink r:id="rId3631" ref="H3624"/>
    <hyperlink r:id="rId3632" ref="H3625"/>
    <hyperlink r:id="rId3633" ref="H3626"/>
    <hyperlink r:id="rId3634" ref="H3627"/>
    <hyperlink r:id="rId3635" ref="H3628"/>
    <hyperlink r:id="rId3636" ref="H3629"/>
    <hyperlink r:id="rId3637" ref="H3630"/>
    <hyperlink r:id="rId3638" ref="H3631"/>
    <hyperlink r:id="rId3639" ref="H3632"/>
    <hyperlink r:id="rId3640" ref="H3633"/>
    <hyperlink r:id="rId3641" ref="H3634"/>
    <hyperlink r:id="rId3642" ref="H3635"/>
    <hyperlink r:id="rId3643" ref="H3636"/>
    <hyperlink r:id="rId3644" ref="H3637"/>
    <hyperlink r:id="rId3645" ref="H3638"/>
    <hyperlink r:id="rId3646" ref="H3639"/>
    <hyperlink r:id="rId3647" ref="H3640"/>
    <hyperlink r:id="rId3648" ref="H3641"/>
    <hyperlink r:id="rId3649" ref="H3642"/>
    <hyperlink r:id="rId3650" ref="H3643"/>
    <hyperlink r:id="rId3651" ref="H3644"/>
    <hyperlink r:id="rId3652" ref="H3645"/>
    <hyperlink r:id="rId3653" ref="H3646"/>
    <hyperlink r:id="rId3654" ref="H3647"/>
    <hyperlink r:id="rId3655" ref="H3648"/>
    <hyperlink r:id="rId3656" ref="H3649"/>
    <hyperlink r:id="rId3657" ref="H3650"/>
    <hyperlink r:id="rId3658" ref="H3651"/>
    <hyperlink r:id="rId3659" ref="H3652"/>
    <hyperlink r:id="rId3660" ref="H3653"/>
    <hyperlink r:id="rId3661" ref="H3654"/>
    <hyperlink r:id="rId3662" ref="H3655"/>
    <hyperlink r:id="rId3663" ref="H3656"/>
    <hyperlink r:id="rId3664" ref="H3657"/>
    <hyperlink r:id="rId3665" ref="H3658"/>
    <hyperlink r:id="rId3666" ref="H3659"/>
    <hyperlink r:id="rId3667" ref="H3660"/>
    <hyperlink r:id="rId3668" ref="H3661"/>
    <hyperlink r:id="rId3669" ref="H3662"/>
    <hyperlink r:id="rId3670" ref="H3663"/>
    <hyperlink r:id="rId3671" ref="H3664"/>
    <hyperlink r:id="rId3672" ref="H3665"/>
    <hyperlink r:id="rId3673" ref="H3666"/>
    <hyperlink r:id="rId3674" ref="H3667"/>
    <hyperlink r:id="rId3675" ref="H3668"/>
    <hyperlink r:id="rId3676" ref="H3669"/>
    <hyperlink r:id="rId3677" ref="H3670"/>
    <hyperlink r:id="rId3678" ref="H3671"/>
    <hyperlink r:id="rId3679" ref="H3672"/>
    <hyperlink r:id="rId3680" ref="H3673"/>
    <hyperlink r:id="rId3681" ref="H3674"/>
    <hyperlink r:id="rId3682" ref="H3675"/>
    <hyperlink r:id="rId3683" ref="H3676"/>
    <hyperlink r:id="rId3684" ref="H3677"/>
    <hyperlink r:id="rId3685" ref="H3678"/>
    <hyperlink r:id="rId3686" ref="H3679"/>
    <hyperlink r:id="rId3687" ref="H3680"/>
    <hyperlink r:id="rId3688" ref="H3681"/>
    <hyperlink r:id="rId3689" ref="H3682"/>
    <hyperlink r:id="rId3690" ref="H3683"/>
    <hyperlink r:id="rId3691" ref="H3684"/>
    <hyperlink r:id="rId3692" ref="H3685"/>
    <hyperlink r:id="rId3693" ref="H3686"/>
    <hyperlink r:id="rId3694" ref="H3687"/>
    <hyperlink r:id="rId3695" ref="H3688"/>
    <hyperlink r:id="rId3696" ref="H3689"/>
    <hyperlink r:id="rId3697" ref="H3690"/>
    <hyperlink r:id="rId3698" ref="H3691"/>
    <hyperlink r:id="rId3699" ref="H3692"/>
    <hyperlink r:id="rId3700" ref="H3693"/>
    <hyperlink r:id="rId3701" ref="H3694"/>
    <hyperlink r:id="rId3702" ref="H3695"/>
    <hyperlink r:id="rId3703" ref="H3696"/>
    <hyperlink r:id="rId3704" ref="H3697"/>
    <hyperlink r:id="rId3705" ref="H3698"/>
    <hyperlink r:id="rId3706" ref="H3699"/>
    <hyperlink r:id="rId3707" ref="H3700"/>
    <hyperlink r:id="rId3708" ref="H3701"/>
    <hyperlink r:id="rId3709" ref="H3702"/>
    <hyperlink r:id="rId3710" ref="H3703"/>
    <hyperlink r:id="rId3711" ref="H3704"/>
    <hyperlink r:id="rId3712" ref="H3705"/>
    <hyperlink r:id="rId3713" ref="H3706"/>
    <hyperlink r:id="rId3714" ref="H3707"/>
    <hyperlink r:id="rId3715" ref="H3708"/>
    <hyperlink r:id="rId3716" ref="H3709"/>
    <hyperlink r:id="rId3717" ref="H3710"/>
    <hyperlink r:id="rId3718" ref="H3711"/>
    <hyperlink r:id="rId3719" ref="H3712"/>
    <hyperlink r:id="rId3720" ref="H3713"/>
    <hyperlink r:id="rId3721" ref="H3714"/>
    <hyperlink r:id="rId3722" ref="H3715"/>
    <hyperlink r:id="rId3723" ref="H3716"/>
    <hyperlink r:id="rId3724" ref="H3717"/>
    <hyperlink r:id="rId3725" ref="H3718"/>
    <hyperlink r:id="rId3726" ref="H3719"/>
    <hyperlink r:id="rId3727" ref="H3720"/>
    <hyperlink r:id="rId3728" ref="H3721"/>
    <hyperlink r:id="rId3729" ref="H3722"/>
    <hyperlink r:id="rId3730" ref="H3723"/>
    <hyperlink r:id="rId3731" ref="H3724"/>
    <hyperlink r:id="rId3732" ref="H3725"/>
    <hyperlink r:id="rId3733" ref="H3726"/>
    <hyperlink r:id="rId3734" ref="H3727"/>
    <hyperlink r:id="rId3735" ref="H3728"/>
    <hyperlink r:id="rId3736" ref="H3729"/>
    <hyperlink r:id="rId3737" ref="H3730"/>
    <hyperlink r:id="rId3738" ref="H3731"/>
    <hyperlink r:id="rId3739" ref="H3732"/>
    <hyperlink r:id="rId3740" ref="H3733"/>
    <hyperlink r:id="rId3741" ref="H3734"/>
    <hyperlink r:id="rId3742" ref="H3735"/>
    <hyperlink r:id="rId3743" ref="H3736"/>
    <hyperlink r:id="rId3744" ref="H3737"/>
    <hyperlink r:id="rId3745" ref="H3738"/>
    <hyperlink r:id="rId3746" ref="H3739"/>
    <hyperlink r:id="rId3747" ref="H3740"/>
    <hyperlink r:id="rId3748" ref="H3741"/>
    <hyperlink r:id="rId3749" ref="H3742"/>
    <hyperlink r:id="rId3750" ref="H3743"/>
    <hyperlink r:id="rId3751" ref="H3744"/>
    <hyperlink r:id="rId3752" ref="H3745"/>
    <hyperlink r:id="rId3753" ref="H3746"/>
    <hyperlink r:id="rId3754" ref="H3747"/>
    <hyperlink r:id="rId3755" ref="H3748"/>
    <hyperlink r:id="rId3756" ref="H3749"/>
    <hyperlink r:id="rId3757" ref="H3750"/>
    <hyperlink r:id="rId3758" ref="H3751"/>
    <hyperlink r:id="rId3759" ref="H3752"/>
    <hyperlink r:id="rId3760" ref="H3753"/>
    <hyperlink r:id="rId3761" ref="H3754"/>
    <hyperlink r:id="rId3762" ref="H3755"/>
    <hyperlink r:id="rId3763" ref="H3756"/>
    <hyperlink r:id="rId3764" ref="H3757"/>
    <hyperlink r:id="rId3765" ref="H3758"/>
    <hyperlink r:id="rId3766" ref="H3759"/>
    <hyperlink r:id="rId3767" ref="H3760"/>
    <hyperlink r:id="rId3768" ref="H3761"/>
    <hyperlink r:id="rId3769" ref="H3762"/>
    <hyperlink r:id="rId3770" ref="H3763"/>
    <hyperlink r:id="rId3771" ref="H3764"/>
    <hyperlink r:id="rId3772" ref="H3765"/>
    <hyperlink r:id="rId3773" ref="H3766"/>
    <hyperlink r:id="rId3774" ref="H3767"/>
    <hyperlink r:id="rId3775" ref="H3768"/>
    <hyperlink r:id="rId3776" ref="H3769"/>
    <hyperlink r:id="rId3777" ref="H3770"/>
    <hyperlink r:id="rId3778" ref="H3771"/>
    <hyperlink r:id="rId3779" ref="H3772"/>
    <hyperlink r:id="rId3780" ref="H3773"/>
    <hyperlink r:id="rId3781" ref="H3774"/>
    <hyperlink r:id="rId3782" ref="H3775"/>
    <hyperlink r:id="rId3783" ref="H3776"/>
    <hyperlink r:id="rId3784" ref="H3777"/>
    <hyperlink r:id="rId3785" ref="H3778"/>
    <hyperlink r:id="rId3786" ref="H3779"/>
    <hyperlink r:id="rId3787" ref="H3780"/>
    <hyperlink r:id="rId3788" ref="H3781"/>
    <hyperlink r:id="rId3789" ref="H3782"/>
    <hyperlink r:id="rId3790" ref="H3783"/>
    <hyperlink r:id="rId3791" ref="H3784"/>
    <hyperlink r:id="rId3792" ref="H3785"/>
    <hyperlink r:id="rId3793" ref="H3786"/>
    <hyperlink r:id="rId3794" ref="H3787"/>
    <hyperlink r:id="rId3795" ref="H3788"/>
    <hyperlink r:id="rId3796" ref="H3789"/>
    <hyperlink r:id="rId3797" ref="H3790"/>
    <hyperlink r:id="rId3798" ref="H3791"/>
    <hyperlink r:id="rId3799" ref="H3792"/>
    <hyperlink r:id="rId3800" ref="H3793"/>
    <hyperlink r:id="rId3801" ref="H3794"/>
    <hyperlink r:id="rId3802" ref="H3795"/>
    <hyperlink r:id="rId3803" ref="H3796"/>
    <hyperlink r:id="rId3804" ref="H3797"/>
    <hyperlink r:id="rId3805" ref="H3798"/>
    <hyperlink r:id="rId3806" ref="H3799"/>
    <hyperlink r:id="rId3807" ref="H3800"/>
    <hyperlink r:id="rId3808" ref="H3801"/>
    <hyperlink r:id="rId3809" ref="H3802"/>
    <hyperlink r:id="rId3810" ref="H3803"/>
    <hyperlink r:id="rId3811" ref="H3804"/>
    <hyperlink r:id="rId3812" ref="H3805"/>
    <hyperlink r:id="rId3813" ref="H3806"/>
    <hyperlink r:id="rId3814" ref="H3807"/>
    <hyperlink r:id="rId3815" ref="H3808"/>
    <hyperlink r:id="rId3816" ref="H3809"/>
    <hyperlink r:id="rId3817" ref="H3810"/>
    <hyperlink r:id="rId3818" ref="H3811"/>
    <hyperlink r:id="rId3819" ref="H3812"/>
    <hyperlink r:id="rId3820" ref="H3813"/>
    <hyperlink r:id="rId3821" ref="H3814"/>
    <hyperlink r:id="rId3822" ref="H3815"/>
    <hyperlink r:id="rId3823" ref="H3816"/>
    <hyperlink r:id="rId3824" ref="H3817"/>
    <hyperlink r:id="rId3825" ref="H3818"/>
    <hyperlink r:id="rId3826" ref="H3819"/>
    <hyperlink r:id="rId3827" ref="H3820"/>
    <hyperlink r:id="rId3828" ref="H3821"/>
    <hyperlink r:id="rId3829" ref="H3822"/>
    <hyperlink r:id="rId3830" ref="H3823"/>
    <hyperlink r:id="rId3831" ref="H3824"/>
    <hyperlink r:id="rId3832" ref="H3825"/>
    <hyperlink r:id="rId3833" ref="H3826"/>
    <hyperlink r:id="rId3834" ref="H3827"/>
    <hyperlink r:id="rId3835" ref="H3828"/>
    <hyperlink r:id="rId3836" ref="H3829"/>
    <hyperlink r:id="rId3837" ref="H3830"/>
    <hyperlink r:id="rId3838" ref="H3831"/>
    <hyperlink r:id="rId3839" ref="H3832"/>
    <hyperlink r:id="rId3840" ref="H3833"/>
    <hyperlink r:id="rId3841" ref="H3834"/>
    <hyperlink r:id="rId3842" ref="H3835"/>
    <hyperlink r:id="rId3843" ref="H3836"/>
    <hyperlink r:id="rId3844" ref="H3837"/>
    <hyperlink r:id="rId3845" ref="H3838"/>
    <hyperlink r:id="rId3846" ref="H3839"/>
    <hyperlink r:id="rId3847" ref="H3840"/>
    <hyperlink r:id="rId3848" ref="H3841"/>
    <hyperlink r:id="rId3849" ref="H3842"/>
    <hyperlink r:id="rId3850" ref="H3843"/>
    <hyperlink r:id="rId3851" ref="H3844"/>
    <hyperlink r:id="rId3852" ref="H3845"/>
    <hyperlink r:id="rId3853" ref="H3846"/>
    <hyperlink r:id="rId3854" ref="H3847"/>
    <hyperlink r:id="rId3855" ref="H3848"/>
    <hyperlink r:id="rId3856" ref="H3849"/>
    <hyperlink r:id="rId3857" ref="H3850"/>
    <hyperlink r:id="rId3858" ref="H3851"/>
    <hyperlink r:id="rId3859" ref="H3852"/>
    <hyperlink r:id="rId3860" ref="H3853"/>
    <hyperlink r:id="rId3861" ref="H3854"/>
    <hyperlink r:id="rId3862" ref="H3855"/>
    <hyperlink r:id="rId3863" ref="H3856"/>
    <hyperlink r:id="rId3864" ref="H3857"/>
    <hyperlink r:id="rId3865" ref="H3858"/>
    <hyperlink r:id="rId3866" ref="H3859"/>
    <hyperlink r:id="rId3867" ref="H3860"/>
    <hyperlink r:id="rId3868" ref="H3861"/>
    <hyperlink r:id="rId3869" ref="H3862"/>
    <hyperlink r:id="rId3870" ref="H3863"/>
    <hyperlink r:id="rId3871" ref="H3864"/>
    <hyperlink r:id="rId3872" ref="H3865"/>
    <hyperlink r:id="rId3873" ref="H3866"/>
    <hyperlink r:id="rId3874" ref="H3867"/>
    <hyperlink r:id="rId3875" ref="H3868"/>
    <hyperlink r:id="rId3876" ref="H3869"/>
    <hyperlink r:id="rId3877" ref="H3870"/>
    <hyperlink r:id="rId3878" ref="H3871"/>
    <hyperlink r:id="rId3879" ref="H3872"/>
    <hyperlink r:id="rId3880" ref="H3873"/>
    <hyperlink r:id="rId3881" ref="H3874"/>
    <hyperlink r:id="rId3882" ref="H3875"/>
    <hyperlink r:id="rId3883" ref="H3876"/>
    <hyperlink r:id="rId3884" ref="H3877"/>
    <hyperlink r:id="rId3885" ref="H3878"/>
    <hyperlink r:id="rId3886" ref="H3879"/>
    <hyperlink r:id="rId3887" ref="H3880"/>
    <hyperlink r:id="rId3888" ref="H3881"/>
    <hyperlink r:id="rId3889" ref="H3882"/>
    <hyperlink r:id="rId3890" ref="H3883"/>
    <hyperlink r:id="rId3891" ref="H3884"/>
    <hyperlink r:id="rId3892" ref="H3885"/>
    <hyperlink r:id="rId3893" ref="H3886"/>
    <hyperlink r:id="rId3894" ref="H3887"/>
    <hyperlink r:id="rId3895" ref="H3888"/>
    <hyperlink r:id="rId3896" ref="H3889"/>
    <hyperlink r:id="rId3897" ref="H3890"/>
    <hyperlink r:id="rId3898" ref="H3891"/>
    <hyperlink r:id="rId3899" ref="H3892"/>
    <hyperlink r:id="rId3900" ref="H3893"/>
    <hyperlink r:id="rId3901" ref="H3894"/>
    <hyperlink r:id="rId3902" ref="H3895"/>
    <hyperlink r:id="rId3903" ref="H3896"/>
    <hyperlink r:id="rId3904" ref="H3897"/>
    <hyperlink r:id="rId3905" ref="H3898"/>
    <hyperlink r:id="rId3906" ref="H3899"/>
    <hyperlink r:id="rId3907" ref="H3900"/>
    <hyperlink r:id="rId3908" ref="H3901"/>
    <hyperlink r:id="rId3909" ref="H3902"/>
    <hyperlink r:id="rId3910" ref="H3903"/>
    <hyperlink r:id="rId3911" ref="H3904"/>
    <hyperlink r:id="rId3912" ref="H3905"/>
    <hyperlink r:id="rId3913" ref="H3906"/>
    <hyperlink r:id="rId3914" ref="H3907"/>
    <hyperlink r:id="rId3915" ref="H3908"/>
    <hyperlink r:id="rId3916" ref="H3909"/>
    <hyperlink r:id="rId3917" ref="H3910"/>
    <hyperlink r:id="rId3918" ref="H3911"/>
    <hyperlink r:id="rId3919" ref="H3912"/>
    <hyperlink r:id="rId3920" ref="H3913"/>
    <hyperlink r:id="rId3921" ref="H3914"/>
    <hyperlink r:id="rId3922" ref="H3915"/>
    <hyperlink r:id="rId3923" ref="H3916"/>
    <hyperlink r:id="rId3924" ref="H3917"/>
    <hyperlink r:id="rId3925" ref="H3918"/>
    <hyperlink r:id="rId3926" ref="H3919"/>
    <hyperlink r:id="rId3927" ref="H3920"/>
    <hyperlink r:id="rId3928" ref="H3921"/>
    <hyperlink r:id="rId3929" ref="H3922"/>
    <hyperlink r:id="rId3930" ref="H3923"/>
    <hyperlink r:id="rId3931" ref="H3924"/>
    <hyperlink r:id="rId3932" ref="H3925"/>
    <hyperlink r:id="rId3933" ref="H3926"/>
    <hyperlink r:id="rId3934" ref="H3927"/>
    <hyperlink r:id="rId3935" ref="H3928"/>
    <hyperlink r:id="rId3936" ref="H3929"/>
    <hyperlink r:id="rId3937" ref="H3930"/>
    <hyperlink r:id="rId3938" ref="H3931"/>
    <hyperlink r:id="rId3939" ref="H3932"/>
    <hyperlink r:id="rId3940" ref="H3933"/>
    <hyperlink r:id="rId3941" ref="H3934"/>
    <hyperlink r:id="rId3942" ref="H3935"/>
    <hyperlink r:id="rId3943" ref="H3936"/>
    <hyperlink r:id="rId3944" ref="H3937"/>
    <hyperlink r:id="rId3945" ref="H3938"/>
    <hyperlink r:id="rId3946" ref="H3939"/>
    <hyperlink r:id="rId3947" ref="H3940"/>
    <hyperlink r:id="rId3948" ref="H3941"/>
    <hyperlink r:id="rId3949" ref="H3942"/>
    <hyperlink r:id="rId3950" ref="H3943"/>
    <hyperlink r:id="rId3951" ref="H3944"/>
    <hyperlink r:id="rId3952" ref="H3945"/>
    <hyperlink r:id="rId3953" ref="H3946"/>
    <hyperlink r:id="rId3954" ref="H3947"/>
    <hyperlink r:id="rId3955" ref="H3948"/>
    <hyperlink r:id="rId3956" ref="H3949"/>
    <hyperlink r:id="rId3957" ref="H3950"/>
    <hyperlink r:id="rId3958" ref="H3951"/>
    <hyperlink r:id="rId3959" ref="H3952"/>
    <hyperlink r:id="rId3960" ref="H3953"/>
    <hyperlink r:id="rId3961" ref="H3954"/>
    <hyperlink r:id="rId3962" ref="H3955"/>
    <hyperlink r:id="rId3963" ref="H3956"/>
    <hyperlink r:id="rId3964" ref="H3957"/>
    <hyperlink r:id="rId3965" ref="H3958"/>
    <hyperlink r:id="rId3966" ref="H3959"/>
    <hyperlink r:id="rId3967" ref="H3960"/>
    <hyperlink r:id="rId3968" ref="H3961"/>
    <hyperlink r:id="rId3969" ref="H3962"/>
    <hyperlink r:id="rId3970" ref="H3963"/>
    <hyperlink r:id="rId3971" ref="H3964"/>
    <hyperlink r:id="rId3972" ref="H3965"/>
    <hyperlink r:id="rId3973" ref="H3966"/>
    <hyperlink r:id="rId3974" ref="H3967"/>
    <hyperlink r:id="rId3975" ref="H3968"/>
    <hyperlink r:id="rId3976" ref="H3969"/>
    <hyperlink r:id="rId3977" ref="H3970"/>
    <hyperlink r:id="rId3978" ref="H3971"/>
    <hyperlink r:id="rId3979" ref="H3972"/>
    <hyperlink r:id="rId3980" ref="H3973"/>
    <hyperlink r:id="rId3981" ref="H3974"/>
    <hyperlink r:id="rId3982" ref="H3975"/>
    <hyperlink r:id="rId3983" ref="H3976"/>
    <hyperlink r:id="rId3984" ref="H3977"/>
    <hyperlink r:id="rId3985" ref="H3978"/>
    <hyperlink r:id="rId3986" ref="H3979"/>
    <hyperlink r:id="rId3987" ref="H3980"/>
    <hyperlink r:id="rId3988" ref="H3981"/>
    <hyperlink r:id="rId3989" ref="H3982"/>
    <hyperlink r:id="rId3990" ref="H3983"/>
    <hyperlink r:id="rId3991" ref="H3984"/>
    <hyperlink r:id="rId3992" ref="H3985"/>
    <hyperlink r:id="rId3993" ref="H3986"/>
    <hyperlink r:id="rId3994" ref="H3987"/>
    <hyperlink r:id="rId3995" ref="H3988"/>
    <hyperlink r:id="rId3996" ref="H3989"/>
    <hyperlink r:id="rId3997" ref="H3990"/>
    <hyperlink r:id="rId3998" ref="H3991"/>
    <hyperlink r:id="rId3999" ref="H3992"/>
    <hyperlink r:id="rId4000" ref="H3993"/>
    <hyperlink r:id="rId4001" ref="H3994"/>
    <hyperlink r:id="rId4002" ref="H3995"/>
    <hyperlink r:id="rId4003" ref="H3996"/>
    <hyperlink r:id="rId4004" ref="H3997"/>
    <hyperlink r:id="rId4005" ref="H3998"/>
    <hyperlink r:id="rId4006" ref="H3999"/>
    <hyperlink r:id="rId4007" ref="H4000"/>
    <hyperlink r:id="rId4008" ref="H4001"/>
    <hyperlink r:id="rId4009" ref="H4002"/>
    <hyperlink r:id="rId4010" ref="H4003"/>
    <hyperlink r:id="rId4011" ref="H4004"/>
    <hyperlink r:id="rId4012" ref="H4005"/>
    <hyperlink r:id="rId4013" ref="H4006"/>
    <hyperlink r:id="rId4014" ref="H4007"/>
    <hyperlink r:id="rId4015" ref="H4008"/>
    <hyperlink r:id="rId4016" ref="H4009"/>
    <hyperlink r:id="rId4017" ref="H4010"/>
    <hyperlink r:id="rId4018" ref="H4011"/>
    <hyperlink r:id="rId4019" ref="H4012"/>
    <hyperlink r:id="rId4020" ref="H4013"/>
    <hyperlink r:id="rId4021" ref="H4014"/>
    <hyperlink r:id="rId4022" ref="H4015"/>
    <hyperlink r:id="rId4023" ref="H4016"/>
    <hyperlink r:id="rId4024" ref="H4017"/>
    <hyperlink r:id="rId4025" ref="H4018"/>
    <hyperlink r:id="rId4026" ref="H4019"/>
    <hyperlink r:id="rId4027" ref="H4020"/>
    <hyperlink r:id="rId4028" ref="H4021"/>
    <hyperlink r:id="rId4029" ref="H4022"/>
    <hyperlink r:id="rId4030" ref="H4023"/>
    <hyperlink r:id="rId4031" ref="H4024"/>
    <hyperlink r:id="rId4032" ref="H4025"/>
    <hyperlink r:id="rId4033" ref="H4026"/>
    <hyperlink r:id="rId4034" ref="H4027"/>
    <hyperlink r:id="rId4035" ref="H4028"/>
    <hyperlink r:id="rId4036" ref="H4029"/>
    <hyperlink r:id="rId4037" ref="H4030"/>
    <hyperlink r:id="rId4038" ref="H4031"/>
    <hyperlink r:id="rId4039" ref="H4032"/>
    <hyperlink r:id="rId4040" ref="H4033"/>
    <hyperlink r:id="rId4041" ref="H4034"/>
    <hyperlink r:id="rId4042" ref="H4035"/>
    <hyperlink r:id="rId4043" ref="H4036"/>
    <hyperlink r:id="rId4044" ref="H4037"/>
    <hyperlink r:id="rId4045" ref="H4038"/>
    <hyperlink r:id="rId4046" ref="H4039"/>
    <hyperlink r:id="rId4047" ref="H4040"/>
    <hyperlink r:id="rId4048" ref="H4041"/>
    <hyperlink r:id="rId4049" ref="H4042"/>
    <hyperlink r:id="rId4050" ref="H4043"/>
    <hyperlink r:id="rId4051" ref="H4044"/>
    <hyperlink r:id="rId4052" ref="H4045"/>
    <hyperlink r:id="rId4053" ref="H4046"/>
    <hyperlink r:id="rId4054" ref="H4047"/>
    <hyperlink r:id="rId4055" ref="H4048"/>
    <hyperlink r:id="rId4056" ref="H4049"/>
    <hyperlink r:id="rId4057" ref="H4050"/>
    <hyperlink r:id="rId4058" ref="H4051"/>
    <hyperlink r:id="rId4059" ref="H4052"/>
    <hyperlink r:id="rId4060" ref="H4053"/>
    <hyperlink r:id="rId4061" ref="H4054"/>
    <hyperlink r:id="rId4062" ref="H4055"/>
    <hyperlink r:id="rId4063" ref="H4056"/>
    <hyperlink r:id="rId4064" ref="H4057"/>
    <hyperlink r:id="rId4065" ref="H4058"/>
    <hyperlink r:id="rId4066" ref="H4059"/>
    <hyperlink r:id="rId4067" ref="H4060"/>
    <hyperlink r:id="rId4068" ref="H4061"/>
    <hyperlink r:id="rId4069" ref="H4062"/>
    <hyperlink r:id="rId4070" ref="H4063"/>
    <hyperlink r:id="rId4071" ref="H4064"/>
    <hyperlink r:id="rId4072" ref="H4065"/>
    <hyperlink r:id="rId4073" ref="H4066"/>
    <hyperlink r:id="rId4074" ref="H4067"/>
    <hyperlink r:id="rId4075" ref="H4068"/>
    <hyperlink r:id="rId4076" ref="H4069"/>
    <hyperlink r:id="rId4077" ref="H4070"/>
    <hyperlink r:id="rId4078" ref="H4071"/>
    <hyperlink r:id="rId4079" ref="H4072"/>
    <hyperlink r:id="rId4080" ref="H4073"/>
    <hyperlink r:id="rId4081" ref="H4074"/>
    <hyperlink r:id="rId4082" ref="H4075"/>
    <hyperlink r:id="rId4083" ref="H4076"/>
    <hyperlink r:id="rId4084" ref="H4077"/>
    <hyperlink r:id="rId4085" ref="H4078"/>
    <hyperlink r:id="rId4086" ref="H4079"/>
    <hyperlink r:id="rId4087" ref="H4080"/>
    <hyperlink r:id="rId4088" ref="H4081"/>
    <hyperlink r:id="rId4089" ref="H4082"/>
    <hyperlink r:id="rId4090" ref="H4083"/>
    <hyperlink r:id="rId4091" ref="H4084"/>
    <hyperlink r:id="rId4092" ref="H4085"/>
    <hyperlink r:id="rId4093" ref="H4086"/>
    <hyperlink r:id="rId4094" ref="H4087"/>
    <hyperlink r:id="rId4095" ref="H4088"/>
    <hyperlink r:id="rId4096" ref="H4089"/>
    <hyperlink r:id="rId4097" ref="H4090"/>
    <hyperlink r:id="rId4098" ref="H4091"/>
    <hyperlink r:id="rId4099" ref="H4092"/>
    <hyperlink r:id="rId4100" ref="H4093"/>
    <hyperlink r:id="rId4101" ref="H4094"/>
    <hyperlink r:id="rId4102" ref="H4095"/>
    <hyperlink r:id="rId4103" ref="H4096"/>
    <hyperlink r:id="rId4104" ref="H4097"/>
    <hyperlink r:id="rId4105" ref="H4098"/>
    <hyperlink r:id="rId4106" ref="H4099"/>
    <hyperlink r:id="rId4107" ref="H4100"/>
    <hyperlink r:id="rId4108" ref="H4101"/>
    <hyperlink r:id="rId4109" ref="H4102"/>
    <hyperlink r:id="rId4110" ref="H4103"/>
    <hyperlink r:id="rId4111" ref="H4104"/>
    <hyperlink r:id="rId4112" ref="H4105"/>
    <hyperlink r:id="rId4113" ref="H4106"/>
    <hyperlink r:id="rId4114" ref="H4107"/>
    <hyperlink r:id="rId4115" ref="H4108"/>
    <hyperlink r:id="rId4116" ref="H4109"/>
    <hyperlink r:id="rId4117" ref="H4110"/>
    <hyperlink r:id="rId4118" ref="H4111"/>
    <hyperlink r:id="rId4119" ref="H4112"/>
    <hyperlink r:id="rId4120" ref="H4113"/>
    <hyperlink r:id="rId4121" ref="H4114"/>
    <hyperlink r:id="rId4122" ref="H4115"/>
    <hyperlink r:id="rId4123" ref="H4116"/>
    <hyperlink r:id="rId4124" ref="H4117"/>
    <hyperlink r:id="rId4125" ref="H4118"/>
    <hyperlink r:id="rId4126" ref="H4119"/>
    <hyperlink r:id="rId4127" ref="H4120"/>
    <hyperlink r:id="rId4128" ref="H4121"/>
    <hyperlink r:id="rId4129" ref="H4122"/>
    <hyperlink r:id="rId4130" ref="H4123"/>
    <hyperlink r:id="rId4131" ref="H4124"/>
    <hyperlink r:id="rId4132" ref="H4125"/>
    <hyperlink r:id="rId4133" ref="H4126"/>
    <hyperlink r:id="rId4134" ref="H4127"/>
    <hyperlink r:id="rId4135" ref="H4128"/>
    <hyperlink r:id="rId4136" ref="H4129"/>
    <hyperlink r:id="rId4137" ref="H4130"/>
    <hyperlink r:id="rId4138" ref="H4131"/>
    <hyperlink r:id="rId4139" ref="H4132"/>
    <hyperlink r:id="rId4140" ref="H4133"/>
    <hyperlink r:id="rId4141" ref="H4134"/>
    <hyperlink r:id="rId4142" ref="H4135"/>
    <hyperlink r:id="rId4143" ref="H4136"/>
    <hyperlink r:id="rId4144" ref="H4137"/>
    <hyperlink r:id="rId4145" ref="H4138"/>
    <hyperlink r:id="rId4146" ref="H4139"/>
    <hyperlink r:id="rId4147" ref="H4140"/>
    <hyperlink r:id="rId4148" ref="H4141"/>
    <hyperlink r:id="rId4149" ref="H4142"/>
    <hyperlink r:id="rId4150" ref="H4143"/>
    <hyperlink r:id="rId4151" ref="H4144"/>
    <hyperlink r:id="rId4152" ref="H4145"/>
    <hyperlink r:id="rId4153" ref="H4146"/>
    <hyperlink r:id="rId4154" ref="H4147"/>
    <hyperlink r:id="rId4155" ref="H4148"/>
    <hyperlink r:id="rId4156" ref="H4149"/>
    <hyperlink r:id="rId4157" ref="H4150"/>
    <hyperlink r:id="rId4158" ref="H4151"/>
    <hyperlink r:id="rId4159" ref="H4152"/>
    <hyperlink r:id="rId4160" ref="H4153"/>
    <hyperlink r:id="rId4161" ref="H4154"/>
    <hyperlink r:id="rId4162" ref="H4155"/>
    <hyperlink r:id="rId4163" ref="H4156"/>
    <hyperlink r:id="rId4164" ref="H4157"/>
    <hyperlink r:id="rId4165" ref="H4158"/>
    <hyperlink r:id="rId4166" ref="H4159"/>
    <hyperlink r:id="rId4167" ref="H4160"/>
    <hyperlink r:id="rId4168" ref="H4161"/>
    <hyperlink r:id="rId4169" ref="H4162"/>
    <hyperlink r:id="rId4170" ref="H4163"/>
    <hyperlink r:id="rId4171" ref="H4164"/>
    <hyperlink r:id="rId4172" ref="H4165"/>
    <hyperlink r:id="rId4173" ref="H4166"/>
    <hyperlink r:id="rId4174" ref="H4167"/>
    <hyperlink r:id="rId4175" ref="H4168"/>
    <hyperlink r:id="rId4176" ref="H4169"/>
    <hyperlink r:id="rId4177" ref="H4170"/>
    <hyperlink r:id="rId4178" ref="H4171"/>
    <hyperlink r:id="rId4179" ref="H4172"/>
    <hyperlink r:id="rId4180" ref="H4173"/>
    <hyperlink r:id="rId4181" ref="H4174"/>
    <hyperlink r:id="rId4182" ref="H4175"/>
    <hyperlink r:id="rId4183" ref="H4176"/>
    <hyperlink r:id="rId4184" ref="H4177"/>
    <hyperlink r:id="rId4185" ref="H4178"/>
    <hyperlink r:id="rId4186" ref="H4179"/>
    <hyperlink r:id="rId4187" ref="H4180"/>
    <hyperlink r:id="rId4188" ref="H4181"/>
    <hyperlink r:id="rId4189" ref="H4182"/>
    <hyperlink r:id="rId4190" ref="H4183"/>
    <hyperlink r:id="rId4191" ref="H4184"/>
    <hyperlink r:id="rId4192" ref="H4185"/>
    <hyperlink r:id="rId4193" ref="H4186"/>
    <hyperlink r:id="rId4194" ref="H4187"/>
    <hyperlink r:id="rId4195" ref="H4188"/>
    <hyperlink r:id="rId4196" ref="H4189"/>
    <hyperlink r:id="rId4197" ref="H4190"/>
    <hyperlink r:id="rId4198" ref="H4191"/>
    <hyperlink r:id="rId4199" ref="H4192"/>
    <hyperlink r:id="rId4200" ref="H4193"/>
    <hyperlink r:id="rId4201" ref="H4194"/>
    <hyperlink r:id="rId4202" ref="H4195"/>
    <hyperlink r:id="rId4203" ref="H4196"/>
    <hyperlink r:id="rId4204" ref="H4197"/>
    <hyperlink r:id="rId4205" ref="H4198"/>
    <hyperlink r:id="rId4206" ref="H4199"/>
    <hyperlink r:id="rId4207" ref="H4200"/>
    <hyperlink r:id="rId4208" ref="H4201"/>
    <hyperlink r:id="rId4209" ref="H4202"/>
    <hyperlink r:id="rId4210" ref="H4203"/>
    <hyperlink r:id="rId4211" ref="H4204"/>
    <hyperlink r:id="rId4212" ref="H4205"/>
    <hyperlink r:id="rId4213" ref="H4206"/>
    <hyperlink r:id="rId4214" ref="H4207"/>
    <hyperlink r:id="rId4215" ref="H4208"/>
    <hyperlink r:id="rId4216" ref="H4209"/>
    <hyperlink r:id="rId4217" ref="H4210"/>
    <hyperlink r:id="rId4218" ref="H4211"/>
    <hyperlink r:id="rId4219" ref="H4212"/>
    <hyperlink r:id="rId4220" ref="H4213"/>
    <hyperlink r:id="rId4221" ref="H4214"/>
    <hyperlink r:id="rId4222" ref="H4215"/>
    <hyperlink r:id="rId4223" ref="H4216"/>
    <hyperlink r:id="rId4224" ref="H4217"/>
    <hyperlink r:id="rId4225" ref="H4218"/>
    <hyperlink r:id="rId4226" ref="H4219"/>
    <hyperlink r:id="rId4227" ref="H4220"/>
    <hyperlink r:id="rId4228" ref="H4221"/>
    <hyperlink r:id="rId4229" ref="H4222"/>
    <hyperlink r:id="rId4230" ref="H4223"/>
    <hyperlink r:id="rId4231" ref="H4224"/>
    <hyperlink r:id="rId4232" ref="H4225"/>
    <hyperlink r:id="rId4233" ref="H4226"/>
    <hyperlink r:id="rId4234" ref="H4227"/>
    <hyperlink r:id="rId4235" ref="H4228"/>
    <hyperlink r:id="rId4236" ref="H4229"/>
    <hyperlink r:id="rId4237" ref="H4230"/>
    <hyperlink r:id="rId4238" ref="H4231"/>
    <hyperlink r:id="rId4239" ref="H4232"/>
    <hyperlink r:id="rId4240" ref="H4233"/>
    <hyperlink r:id="rId4241" ref="H4234"/>
    <hyperlink r:id="rId4242" ref="H4235"/>
    <hyperlink r:id="rId4243" ref="H4236"/>
    <hyperlink r:id="rId4244" ref="H4237"/>
    <hyperlink r:id="rId4245" ref="H4238"/>
    <hyperlink r:id="rId4246" ref="H4239"/>
    <hyperlink r:id="rId4247" ref="H4240"/>
    <hyperlink r:id="rId4248" ref="H4241"/>
    <hyperlink r:id="rId4249" ref="H4242"/>
    <hyperlink r:id="rId4250" ref="H4243"/>
    <hyperlink r:id="rId4251" ref="H4244"/>
    <hyperlink r:id="rId4252" ref="H4245"/>
    <hyperlink r:id="rId4253" ref="H4246"/>
    <hyperlink r:id="rId4254" ref="H4247"/>
    <hyperlink r:id="rId4255" ref="H4248"/>
    <hyperlink r:id="rId4256" ref="H4249"/>
    <hyperlink r:id="rId4257" ref="H4250"/>
    <hyperlink r:id="rId4258" ref="H4251"/>
    <hyperlink r:id="rId4259" ref="H4252"/>
    <hyperlink r:id="rId4260" ref="H4253"/>
    <hyperlink r:id="rId4261" ref="H4254"/>
    <hyperlink r:id="rId4262" ref="H4255"/>
    <hyperlink r:id="rId4263" ref="H4256"/>
    <hyperlink r:id="rId4264" ref="H4257"/>
    <hyperlink r:id="rId4265" ref="H4258"/>
    <hyperlink r:id="rId4266" ref="H4259"/>
    <hyperlink r:id="rId4267" ref="H4260"/>
    <hyperlink r:id="rId4268" ref="H4261"/>
    <hyperlink r:id="rId4269" ref="H4262"/>
    <hyperlink r:id="rId4270" ref="H4263"/>
    <hyperlink r:id="rId4271" ref="H4264"/>
    <hyperlink r:id="rId4272" ref="H4265"/>
    <hyperlink r:id="rId4273" ref="H4266"/>
    <hyperlink r:id="rId4274" ref="H4267"/>
    <hyperlink r:id="rId4275" ref="H4268"/>
    <hyperlink r:id="rId4276" ref="H4269"/>
    <hyperlink r:id="rId4277" ref="H4270"/>
    <hyperlink r:id="rId4278" ref="H4271"/>
    <hyperlink r:id="rId4279" ref="H4272"/>
    <hyperlink r:id="rId4280" ref="H4273"/>
    <hyperlink r:id="rId4281" ref="H4274"/>
    <hyperlink r:id="rId4282" ref="H4275"/>
    <hyperlink r:id="rId4283" ref="H4276"/>
    <hyperlink r:id="rId4284" ref="H4277"/>
    <hyperlink r:id="rId4285" ref="H4278"/>
    <hyperlink r:id="rId4286" ref="H4279"/>
    <hyperlink r:id="rId4287" ref="H4280"/>
    <hyperlink r:id="rId4288" ref="H4281"/>
    <hyperlink r:id="rId4289" ref="H4282"/>
    <hyperlink r:id="rId4290" ref="H4283"/>
    <hyperlink r:id="rId4291" ref="H4284"/>
    <hyperlink r:id="rId4292" ref="H4285"/>
    <hyperlink r:id="rId4293" ref="H4286"/>
    <hyperlink r:id="rId4294" ref="H4287"/>
    <hyperlink r:id="rId4295" ref="H4288"/>
    <hyperlink r:id="rId4296" ref="H4289"/>
    <hyperlink r:id="rId4297" ref="H4290"/>
    <hyperlink r:id="rId4298" ref="H4291"/>
    <hyperlink r:id="rId4299" ref="H4292"/>
    <hyperlink r:id="rId4300" ref="H4293"/>
    <hyperlink r:id="rId4301" ref="H4294"/>
    <hyperlink r:id="rId4302" ref="H4295"/>
    <hyperlink r:id="rId4303" ref="H4296"/>
    <hyperlink r:id="rId4304" ref="H4297"/>
    <hyperlink r:id="rId4305" ref="H4298"/>
    <hyperlink r:id="rId4306" ref="H4299"/>
    <hyperlink r:id="rId4307" ref="H4300"/>
    <hyperlink r:id="rId4308" ref="H4301"/>
    <hyperlink r:id="rId4309" ref="H4302"/>
    <hyperlink r:id="rId4310" ref="H4303"/>
    <hyperlink r:id="rId4311" ref="H4304"/>
    <hyperlink r:id="rId4312" ref="H4305"/>
    <hyperlink r:id="rId4313" ref="H4306"/>
    <hyperlink r:id="rId4314" ref="H4307"/>
    <hyperlink r:id="rId4315" ref="H4308"/>
    <hyperlink r:id="rId4316" ref="H4309"/>
    <hyperlink r:id="rId4317" ref="H4310"/>
    <hyperlink r:id="rId4318" ref="H4311"/>
    <hyperlink r:id="rId4319" ref="H4312"/>
    <hyperlink r:id="rId4320" ref="H4313"/>
    <hyperlink r:id="rId4321" ref="H4314"/>
    <hyperlink r:id="rId4322" ref="H4315"/>
    <hyperlink r:id="rId4323" ref="H4316"/>
    <hyperlink r:id="rId4324" ref="H4317"/>
    <hyperlink r:id="rId4325" ref="H4318"/>
    <hyperlink r:id="rId4326" ref="H4319"/>
    <hyperlink r:id="rId4327" ref="H4320"/>
    <hyperlink r:id="rId4328" ref="H4321"/>
    <hyperlink r:id="rId4329" ref="H4322"/>
    <hyperlink r:id="rId4330" ref="H4323"/>
    <hyperlink r:id="rId4331" ref="H4324"/>
    <hyperlink r:id="rId4332" ref="H4325"/>
    <hyperlink r:id="rId4333" ref="H4326"/>
    <hyperlink r:id="rId4334" ref="H4327"/>
    <hyperlink r:id="rId4335" ref="H4328"/>
    <hyperlink r:id="rId4336" ref="H4329"/>
    <hyperlink r:id="rId4337" ref="H4330"/>
    <hyperlink r:id="rId4338" ref="H4331"/>
    <hyperlink r:id="rId4339" ref="H4332"/>
    <hyperlink r:id="rId4340" ref="H4333"/>
    <hyperlink r:id="rId4341" ref="H4334"/>
    <hyperlink r:id="rId4342" ref="H4335"/>
    <hyperlink r:id="rId4343" ref="H4336"/>
    <hyperlink r:id="rId4344" ref="H4337"/>
    <hyperlink r:id="rId4345" ref="H4338"/>
    <hyperlink r:id="rId4346" ref="H4339"/>
    <hyperlink r:id="rId4347" ref="H4340"/>
    <hyperlink r:id="rId4348" ref="H4341"/>
    <hyperlink r:id="rId4349" ref="H4342"/>
    <hyperlink r:id="rId4350" ref="H4343"/>
    <hyperlink r:id="rId4351" ref="H4344"/>
    <hyperlink r:id="rId4352" ref="H4345"/>
    <hyperlink r:id="rId4353" ref="H4346"/>
    <hyperlink r:id="rId4354" ref="H4347"/>
    <hyperlink r:id="rId4355" ref="H4348"/>
    <hyperlink r:id="rId4356" ref="H4349"/>
    <hyperlink r:id="rId4357" ref="H4350"/>
    <hyperlink r:id="rId4358" ref="H4351"/>
    <hyperlink r:id="rId4359" ref="H4352"/>
    <hyperlink r:id="rId4360" ref="H4353"/>
    <hyperlink r:id="rId4361" ref="H4354"/>
    <hyperlink r:id="rId4362" ref="H4355"/>
    <hyperlink r:id="rId4363" ref="H4356"/>
    <hyperlink r:id="rId4364" ref="H4357"/>
    <hyperlink r:id="rId4365" ref="H4358"/>
    <hyperlink r:id="rId4366" ref="H4359"/>
    <hyperlink r:id="rId4367" ref="H4360"/>
    <hyperlink r:id="rId4368" ref="H4361"/>
    <hyperlink r:id="rId4369" ref="H4362"/>
    <hyperlink r:id="rId4370" ref="H4363"/>
    <hyperlink r:id="rId4371" ref="H4364"/>
    <hyperlink r:id="rId4372" ref="H4365"/>
    <hyperlink r:id="rId4373" ref="H4366"/>
    <hyperlink r:id="rId4374" ref="H4367"/>
    <hyperlink r:id="rId4375" ref="H4368"/>
    <hyperlink r:id="rId4376" ref="H4369"/>
    <hyperlink r:id="rId4377" ref="H4370"/>
    <hyperlink r:id="rId4378" ref="H4371"/>
    <hyperlink r:id="rId4379" ref="H4372"/>
    <hyperlink r:id="rId4380" ref="H4373"/>
    <hyperlink r:id="rId4381" ref="H4374"/>
    <hyperlink r:id="rId4382" ref="H4375"/>
    <hyperlink r:id="rId4383" ref="H4376"/>
    <hyperlink r:id="rId4384" ref="H4377"/>
    <hyperlink r:id="rId4385" ref="H4378"/>
    <hyperlink r:id="rId4386" ref="H4379"/>
    <hyperlink r:id="rId4387" ref="H4380"/>
    <hyperlink r:id="rId4388" ref="H4381"/>
    <hyperlink r:id="rId4389" ref="H4382"/>
    <hyperlink r:id="rId4390" ref="H4383"/>
    <hyperlink r:id="rId4391" ref="H4384"/>
    <hyperlink r:id="rId4392" ref="H4385"/>
    <hyperlink r:id="rId4393" ref="H4386"/>
    <hyperlink r:id="rId4394" ref="H4387"/>
    <hyperlink r:id="rId4395" ref="H4388"/>
    <hyperlink r:id="rId4396" ref="H4389"/>
    <hyperlink r:id="rId4397" ref="H4390"/>
    <hyperlink r:id="rId4398" ref="H4391"/>
    <hyperlink r:id="rId4399" ref="H4392"/>
    <hyperlink r:id="rId4400" ref="H4393"/>
    <hyperlink r:id="rId4401" ref="H4394"/>
    <hyperlink r:id="rId4402" ref="H4395"/>
    <hyperlink r:id="rId4403" ref="H4396"/>
    <hyperlink r:id="rId4404" ref="H4397"/>
    <hyperlink r:id="rId4405" ref="H4398"/>
    <hyperlink r:id="rId4406" ref="H4399"/>
    <hyperlink r:id="rId4407" ref="H4400"/>
    <hyperlink r:id="rId4408" ref="H4401"/>
    <hyperlink r:id="rId4409" ref="H4402"/>
    <hyperlink r:id="rId4410" ref="H4403"/>
    <hyperlink r:id="rId4411" ref="H4404"/>
    <hyperlink r:id="rId4412" ref="H4405"/>
    <hyperlink r:id="rId4413" ref="H4406"/>
    <hyperlink r:id="rId4414" ref="H4407"/>
    <hyperlink r:id="rId4415" ref="H4408"/>
    <hyperlink r:id="rId4416" ref="H4409"/>
    <hyperlink r:id="rId4417" ref="H4410"/>
    <hyperlink r:id="rId4418" ref="H4411"/>
    <hyperlink r:id="rId4419" ref="H4412"/>
    <hyperlink r:id="rId4420" ref="H4413"/>
    <hyperlink r:id="rId4421" ref="H4414"/>
    <hyperlink r:id="rId4422" ref="H4415"/>
    <hyperlink r:id="rId4423" ref="H4416"/>
    <hyperlink r:id="rId4424" ref="H4417"/>
    <hyperlink r:id="rId4425" ref="H4418"/>
    <hyperlink r:id="rId4426" ref="H4419"/>
    <hyperlink r:id="rId4427" ref="H4420"/>
    <hyperlink r:id="rId4428" ref="H4421"/>
    <hyperlink r:id="rId4429" ref="H4422"/>
    <hyperlink r:id="rId4430" ref="H4423"/>
    <hyperlink r:id="rId4431" ref="H4424"/>
    <hyperlink r:id="rId4432" ref="H4425"/>
    <hyperlink r:id="rId4433" ref="H4426"/>
    <hyperlink r:id="rId4434" ref="H4427"/>
    <hyperlink r:id="rId4435" ref="H4428"/>
    <hyperlink r:id="rId4436" ref="H4429"/>
    <hyperlink r:id="rId4437" ref="H4430"/>
    <hyperlink r:id="rId4438" ref="H4431"/>
    <hyperlink r:id="rId4439" ref="H4432"/>
    <hyperlink r:id="rId4440" ref="H4433"/>
    <hyperlink r:id="rId4441" ref="H4434"/>
    <hyperlink r:id="rId4442" ref="H4435"/>
    <hyperlink r:id="rId4443" ref="H4436"/>
    <hyperlink r:id="rId4444" ref="H4437"/>
    <hyperlink r:id="rId4445" ref="H4438"/>
    <hyperlink r:id="rId4446" ref="H4439"/>
    <hyperlink r:id="rId4447" ref="H4440"/>
    <hyperlink r:id="rId4448" ref="H4441"/>
    <hyperlink r:id="rId4449" ref="H4442"/>
    <hyperlink r:id="rId4450" ref="H4443"/>
    <hyperlink r:id="rId4451" ref="H4444"/>
    <hyperlink r:id="rId4452" ref="H4445"/>
    <hyperlink r:id="rId4453" ref="H4446"/>
    <hyperlink r:id="rId4454" ref="H4447"/>
    <hyperlink r:id="rId4455" ref="H4448"/>
    <hyperlink r:id="rId4456" ref="H4449"/>
    <hyperlink r:id="rId4457" ref="H4450"/>
    <hyperlink r:id="rId4458" ref="H4451"/>
    <hyperlink r:id="rId4459" ref="H4452"/>
    <hyperlink r:id="rId4460" ref="H4453"/>
    <hyperlink r:id="rId4461" ref="H4454"/>
    <hyperlink r:id="rId4462" ref="H4455"/>
    <hyperlink r:id="rId4463" ref="H4456"/>
    <hyperlink r:id="rId4464" ref="H4457"/>
    <hyperlink r:id="rId4465" ref="H4458"/>
    <hyperlink r:id="rId4466" ref="H4459"/>
    <hyperlink r:id="rId4467" ref="H4460"/>
    <hyperlink r:id="rId4468" ref="H4461"/>
    <hyperlink r:id="rId4469" ref="H4462"/>
    <hyperlink r:id="rId4470" ref="H4463"/>
    <hyperlink r:id="rId4471" ref="H4464"/>
    <hyperlink r:id="rId4472" ref="H4465"/>
    <hyperlink r:id="rId4473" ref="H4466"/>
    <hyperlink r:id="rId4474" ref="H4467"/>
    <hyperlink r:id="rId4475" ref="H4468"/>
    <hyperlink r:id="rId4476" ref="H4469"/>
    <hyperlink r:id="rId4477" ref="H4470"/>
    <hyperlink r:id="rId4478" ref="H4471"/>
    <hyperlink r:id="rId4479" ref="H4472"/>
    <hyperlink r:id="rId4480" ref="H4473"/>
    <hyperlink r:id="rId4481" ref="H4474"/>
    <hyperlink r:id="rId4482" ref="H4475"/>
    <hyperlink r:id="rId4483" ref="H4476"/>
    <hyperlink r:id="rId4484" ref="H4477"/>
    <hyperlink r:id="rId4485" ref="H4478"/>
    <hyperlink r:id="rId4486" ref="H4479"/>
    <hyperlink r:id="rId4487" ref="H4480"/>
    <hyperlink r:id="rId4488" ref="H4481"/>
    <hyperlink r:id="rId4489" ref="H4482"/>
    <hyperlink r:id="rId4490" ref="H4483"/>
    <hyperlink r:id="rId4491" ref="H4484"/>
    <hyperlink r:id="rId4492" ref="H4485"/>
    <hyperlink r:id="rId4493" ref="H4486"/>
    <hyperlink r:id="rId4494" ref="H4487"/>
    <hyperlink r:id="rId4495" ref="H4488"/>
    <hyperlink r:id="rId4496" ref="H4489"/>
    <hyperlink r:id="rId4497" ref="H4490"/>
    <hyperlink r:id="rId4498" ref="H4491"/>
    <hyperlink r:id="rId4499" ref="H4492"/>
    <hyperlink r:id="rId4500" ref="H4493"/>
    <hyperlink r:id="rId4501" ref="H4494"/>
    <hyperlink r:id="rId4502" ref="H4495"/>
    <hyperlink r:id="rId4503" ref="H4496"/>
    <hyperlink r:id="rId4504" ref="H4497"/>
    <hyperlink r:id="rId4505" ref="H4498"/>
    <hyperlink r:id="rId4506" ref="H4499"/>
    <hyperlink r:id="rId4507" ref="H4500"/>
    <hyperlink r:id="rId4508" ref="H4501"/>
    <hyperlink r:id="rId4509" ref="H4502"/>
    <hyperlink r:id="rId4510" ref="H4503"/>
    <hyperlink r:id="rId4511" ref="H4504"/>
    <hyperlink r:id="rId4512" ref="H4505"/>
    <hyperlink r:id="rId4513" ref="H4506"/>
    <hyperlink r:id="rId4514" ref="H4507"/>
    <hyperlink r:id="rId4515" ref="H4508"/>
    <hyperlink r:id="rId4516" ref="H4509"/>
    <hyperlink r:id="rId4517" ref="H4510"/>
    <hyperlink r:id="rId4518" ref="H4511"/>
    <hyperlink r:id="rId4519" ref="H4512"/>
    <hyperlink r:id="rId4520" ref="H4513"/>
    <hyperlink r:id="rId4521" ref="H4514"/>
    <hyperlink r:id="rId4522" ref="H4515"/>
    <hyperlink r:id="rId4523" ref="H4516"/>
    <hyperlink r:id="rId4524" ref="H4517"/>
    <hyperlink r:id="rId4525" ref="H4518"/>
    <hyperlink r:id="rId4526" ref="H4519"/>
    <hyperlink r:id="rId4527" ref="H4520"/>
    <hyperlink r:id="rId4528" ref="H4521"/>
    <hyperlink r:id="rId4529" ref="H4522"/>
    <hyperlink r:id="rId4530" ref="H4523"/>
    <hyperlink r:id="rId4531" ref="H4524"/>
    <hyperlink r:id="rId4532" ref="H4525"/>
    <hyperlink r:id="rId4533" ref="H4526"/>
    <hyperlink r:id="rId4534" ref="H4527"/>
    <hyperlink r:id="rId4535" ref="H4528"/>
    <hyperlink r:id="rId4536" ref="H4529"/>
    <hyperlink r:id="rId4537" ref="H4530"/>
    <hyperlink r:id="rId4538" ref="H4531"/>
    <hyperlink r:id="rId4539" ref="H4532"/>
    <hyperlink r:id="rId4540" ref="H4533"/>
    <hyperlink r:id="rId4541" ref="H4534"/>
    <hyperlink r:id="rId4542" ref="H4535"/>
    <hyperlink r:id="rId4543" ref="H4536"/>
    <hyperlink r:id="rId4544" ref="H4537"/>
    <hyperlink r:id="rId4545" ref="H4538"/>
    <hyperlink r:id="rId4546" ref="H4539"/>
    <hyperlink r:id="rId4547" ref="H4540"/>
    <hyperlink r:id="rId4548" ref="H4541"/>
    <hyperlink r:id="rId4549" ref="H4542"/>
    <hyperlink r:id="rId4550" ref="H4543"/>
    <hyperlink r:id="rId4551" ref="H4544"/>
    <hyperlink r:id="rId4552" ref="H4545"/>
    <hyperlink r:id="rId4553" ref="H4546"/>
    <hyperlink r:id="rId4554" ref="H4547"/>
    <hyperlink r:id="rId4555" ref="H4548"/>
    <hyperlink r:id="rId4556" ref="H4549"/>
    <hyperlink r:id="rId4557" ref="H4550"/>
    <hyperlink r:id="rId4558" ref="H4551"/>
    <hyperlink r:id="rId4559" ref="H4552"/>
    <hyperlink r:id="rId4560" ref="H4553"/>
    <hyperlink r:id="rId4561" ref="H4554"/>
    <hyperlink r:id="rId4562" ref="H4555"/>
    <hyperlink r:id="rId4563" ref="H4556"/>
    <hyperlink r:id="rId4564" ref="H4557"/>
    <hyperlink r:id="rId4565" ref="H4558"/>
    <hyperlink r:id="rId4566" ref="H4559"/>
    <hyperlink r:id="rId4567" ref="H4560"/>
    <hyperlink r:id="rId4568" ref="H4561"/>
    <hyperlink r:id="rId4569" ref="H4562"/>
    <hyperlink r:id="rId4570" ref="H4563"/>
    <hyperlink r:id="rId4571" ref="H4564"/>
    <hyperlink r:id="rId4572" ref="H4565"/>
    <hyperlink r:id="rId4573" ref="H4566"/>
    <hyperlink r:id="rId4574" ref="H4567"/>
    <hyperlink r:id="rId4575" ref="H4568"/>
    <hyperlink r:id="rId4576" ref="H4569"/>
    <hyperlink r:id="rId4577" ref="H4570"/>
    <hyperlink r:id="rId4578" ref="H4571"/>
    <hyperlink r:id="rId4579" ref="H4572"/>
    <hyperlink r:id="rId4580" ref="H4573"/>
    <hyperlink r:id="rId4581" ref="H4574"/>
    <hyperlink r:id="rId4582" ref="H4575"/>
    <hyperlink r:id="rId4583" ref="H4576"/>
    <hyperlink r:id="rId4584" ref="H4577"/>
    <hyperlink r:id="rId4585" ref="H4578"/>
    <hyperlink r:id="rId4586" ref="H4579"/>
    <hyperlink r:id="rId4587" ref="H4580"/>
    <hyperlink r:id="rId4588" ref="H4581"/>
    <hyperlink r:id="rId4589" ref="H4582"/>
    <hyperlink r:id="rId4590" ref="H4583"/>
    <hyperlink r:id="rId4591" ref="H4584"/>
    <hyperlink r:id="rId4592" ref="H4585"/>
    <hyperlink r:id="rId4593" ref="H4586"/>
    <hyperlink r:id="rId4594" ref="H4587"/>
    <hyperlink r:id="rId4595" ref="H4588"/>
    <hyperlink r:id="rId4596" ref="H4589"/>
    <hyperlink r:id="rId4597" ref="H4590"/>
    <hyperlink r:id="rId4598" ref="H4591"/>
    <hyperlink r:id="rId4599" ref="H4592"/>
    <hyperlink r:id="rId4600" ref="H4593"/>
    <hyperlink r:id="rId4601" ref="H4594"/>
    <hyperlink r:id="rId4602" ref="H4595"/>
    <hyperlink r:id="rId4603" ref="H4596"/>
    <hyperlink r:id="rId4604" ref="H4597"/>
    <hyperlink r:id="rId4605" ref="H4598"/>
    <hyperlink r:id="rId4606" ref="H4599"/>
    <hyperlink r:id="rId4607" ref="H4600"/>
    <hyperlink r:id="rId4608" ref="H4601"/>
    <hyperlink r:id="rId4609" ref="H4602"/>
    <hyperlink r:id="rId4610" ref="H4603"/>
    <hyperlink r:id="rId4611" ref="H4604"/>
    <hyperlink r:id="rId4612" ref="H4605"/>
    <hyperlink r:id="rId4613" ref="H4606"/>
    <hyperlink r:id="rId4614" ref="H4607"/>
    <hyperlink r:id="rId4615" ref="H4608"/>
    <hyperlink r:id="rId4616" ref="H4609"/>
    <hyperlink r:id="rId4617" ref="H4610"/>
    <hyperlink r:id="rId4618" ref="H4611"/>
    <hyperlink r:id="rId4619" ref="H4612"/>
    <hyperlink r:id="rId4620" ref="H4613"/>
    <hyperlink r:id="rId4621" ref="H4614"/>
    <hyperlink r:id="rId4622" ref="H4615"/>
    <hyperlink r:id="rId4623" ref="H4616"/>
    <hyperlink r:id="rId4624" ref="H4617"/>
    <hyperlink r:id="rId4625" ref="H4618"/>
    <hyperlink r:id="rId4626" ref="H4619"/>
    <hyperlink r:id="rId4627" ref="H4620"/>
    <hyperlink r:id="rId4628" ref="H4621"/>
    <hyperlink r:id="rId4629" ref="H4622"/>
    <hyperlink r:id="rId4630" ref="H4623"/>
    <hyperlink r:id="rId4631" ref="H4624"/>
    <hyperlink r:id="rId4632" ref="H4625"/>
    <hyperlink r:id="rId4633" ref="H4626"/>
    <hyperlink r:id="rId4634" ref="H4627"/>
    <hyperlink r:id="rId4635" ref="H4628"/>
    <hyperlink r:id="rId4636" ref="H4629"/>
    <hyperlink r:id="rId4637" ref="H4630"/>
    <hyperlink r:id="rId4638" ref="H4631"/>
    <hyperlink r:id="rId4639" ref="H4632"/>
    <hyperlink r:id="rId4640" ref="H4633"/>
    <hyperlink r:id="rId4641" ref="H4634"/>
    <hyperlink r:id="rId4642" ref="H4635"/>
    <hyperlink r:id="rId4643" ref="H4636"/>
    <hyperlink r:id="rId4644" ref="H4637"/>
    <hyperlink r:id="rId4645" ref="H4638"/>
    <hyperlink r:id="rId4646" ref="H4639"/>
    <hyperlink r:id="rId4647" ref="H4640"/>
    <hyperlink r:id="rId4648" ref="H4641"/>
    <hyperlink r:id="rId4649" ref="H4642"/>
    <hyperlink r:id="rId4650" ref="H4643"/>
    <hyperlink r:id="rId4651" ref="H4644"/>
    <hyperlink r:id="rId4652" ref="H4645"/>
    <hyperlink r:id="rId4653" ref="H4646"/>
    <hyperlink r:id="rId4654" ref="H4647"/>
    <hyperlink r:id="rId4655" ref="H4648"/>
    <hyperlink r:id="rId4656" ref="H4649"/>
    <hyperlink r:id="rId4657" ref="H4650"/>
    <hyperlink r:id="rId4658" ref="H4651"/>
    <hyperlink r:id="rId4659" ref="H4652"/>
    <hyperlink r:id="rId4660" ref="H4653"/>
    <hyperlink r:id="rId4661" ref="H4654"/>
    <hyperlink r:id="rId4662" ref="H4655"/>
    <hyperlink r:id="rId4663" ref="H4656"/>
    <hyperlink r:id="rId4664" ref="H4657"/>
    <hyperlink r:id="rId4665" ref="H4658"/>
    <hyperlink r:id="rId4666" ref="H4659"/>
    <hyperlink r:id="rId4667" ref="H4660"/>
    <hyperlink r:id="rId4668" ref="H4661"/>
    <hyperlink r:id="rId4669" ref="H4662"/>
    <hyperlink r:id="rId4670" ref="H4663"/>
    <hyperlink r:id="rId4671" ref="H4664"/>
    <hyperlink r:id="rId4672" ref="H4665"/>
    <hyperlink r:id="rId4673" ref="H4666"/>
    <hyperlink r:id="rId4674" ref="H4667"/>
    <hyperlink r:id="rId4675" ref="H4668"/>
    <hyperlink r:id="rId4676" ref="H4669"/>
    <hyperlink r:id="rId4677" ref="H4670"/>
    <hyperlink r:id="rId4678" ref="H4671"/>
    <hyperlink r:id="rId4679" ref="H4672"/>
    <hyperlink r:id="rId4680" ref="H4673"/>
    <hyperlink r:id="rId4681" ref="H4674"/>
    <hyperlink r:id="rId4682" ref="H4675"/>
    <hyperlink r:id="rId4683" ref="H4676"/>
    <hyperlink r:id="rId4684" ref="H4677"/>
    <hyperlink r:id="rId4685" ref="H4678"/>
    <hyperlink r:id="rId4686" ref="H4679"/>
    <hyperlink r:id="rId4687" ref="H4680"/>
    <hyperlink r:id="rId4688" ref="H4681"/>
    <hyperlink r:id="rId4689" ref="H4682"/>
    <hyperlink r:id="rId4690" ref="H4683"/>
    <hyperlink r:id="rId4691" ref="H4684"/>
    <hyperlink r:id="rId4692" ref="H4685"/>
    <hyperlink r:id="rId4693" ref="H4686"/>
    <hyperlink r:id="rId4694" ref="H4687"/>
    <hyperlink r:id="rId4695" ref="H4688"/>
    <hyperlink r:id="rId4696" ref="H4689"/>
    <hyperlink r:id="rId4697" ref="H4690"/>
    <hyperlink r:id="rId4698" ref="H4691"/>
    <hyperlink r:id="rId4699" ref="H4692"/>
    <hyperlink r:id="rId4700" ref="H4693"/>
    <hyperlink r:id="rId4701" ref="H4694"/>
    <hyperlink r:id="rId4702" ref="H4695"/>
    <hyperlink r:id="rId4703" ref="H4696"/>
    <hyperlink r:id="rId4704" ref="H4697"/>
    <hyperlink r:id="rId4705" ref="H4698"/>
    <hyperlink r:id="rId4706" ref="H4699"/>
    <hyperlink r:id="rId4707" ref="H4700"/>
    <hyperlink r:id="rId4708" ref="H4701"/>
    <hyperlink r:id="rId4709" ref="H4702"/>
    <hyperlink r:id="rId4710" ref="H4703"/>
    <hyperlink r:id="rId4711" ref="H4704"/>
    <hyperlink r:id="rId4712" ref="H4705"/>
    <hyperlink r:id="rId4713" ref="H4706"/>
    <hyperlink r:id="rId4714" ref="H4707"/>
    <hyperlink r:id="rId4715" ref="H4708"/>
    <hyperlink r:id="rId4716" ref="H4709"/>
    <hyperlink r:id="rId4717" ref="H4710"/>
    <hyperlink r:id="rId4718" ref="H4711"/>
    <hyperlink r:id="rId4719" ref="H4712"/>
    <hyperlink r:id="rId4720" ref="H4713"/>
    <hyperlink r:id="rId4721" ref="H4714"/>
    <hyperlink r:id="rId4722" ref="H4715"/>
    <hyperlink r:id="rId4723" ref="H4716"/>
    <hyperlink r:id="rId4724" ref="H4717"/>
    <hyperlink r:id="rId4725" ref="H4718"/>
    <hyperlink r:id="rId4726" ref="H4719"/>
    <hyperlink r:id="rId4727" ref="H4720"/>
    <hyperlink r:id="rId4728" ref="H4721"/>
    <hyperlink r:id="rId4729" ref="H4722"/>
    <hyperlink r:id="rId4730" ref="H4723"/>
    <hyperlink r:id="rId4731" ref="H4724"/>
    <hyperlink r:id="rId4732" ref="H4725"/>
    <hyperlink r:id="rId4733" ref="H4726"/>
    <hyperlink r:id="rId4734" ref="H4727"/>
    <hyperlink r:id="rId4735" ref="H4728"/>
    <hyperlink r:id="rId4736" ref="H4729"/>
    <hyperlink r:id="rId4737" ref="H4730"/>
    <hyperlink r:id="rId4738" ref="H4731"/>
    <hyperlink r:id="rId4739" ref="H4732"/>
    <hyperlink r:id="rId4740" ref="H4733"/>
    <hyperlink r:id="rId4741" ref="H4734"/>
    <hyperlink r:id="rId4742" ref="H4735"/>
    <hyperlink r:id="rId4743" ref="H4736"/>
    <hyperlink r:id="rId4744" ref="H4737"/>
    <hyperlink r:id="rId4745" ref="H4738"/>
    <hyperlink r:id="rId4746" ref="H4739"/>
    <hyperlink r:id="rId4747" ref="H4740"/>
    <hyperlink r:id="rId4748" ref="H4741"/>
    <hyperlink r:id="rId4749" ref="H4742"/>
    <hyperlink r:id="rId4750" ref="H4743"/>
    <hyperlink r:id="rId4751" ref="H4744"/>
    <hyperlink r:id="rId4752" ref="H4745"/>
    <hyperlink r:id="rId4753" ref="H4746"/>
    <hyperlink r:id="rId4754" ref="H4747"/>
    <hyperlink r:id="rId4755" ref="H4748"/>
    <hyperlink r:id="rId4756" ref="H4749"/>
    <hyperlink r:id="rId4757" ref="H4750"/>
    <hyperlink r:id="rId4758" ref="H4751"/>
    <hyperlink r:id="rId4759" ref="H4752"/>
    <hyperlink r:id="rId4760" ref="H4753"/>
    <hyperlink r:id="rId4761" ref="H4754"/>
    <hyperlink r:id="rId4762" ref="H4755"/>
    <hyperlink r:id="rId4763" ref="H4756"/>
    <hyperlink r:id="rId4764" ref="H4757"/>
    <hyperlink r:id="rId4765" ref="H4758"/>
    <hyperlink r:id="rId4766" ref="H4759"/>
    <hyperlink r:id="rId4767" ref="H4760"/>
    <hyperlink r:id="rId4768" ref="H4761"/>
    <hyperlink r:id="rId4769" ref="H4762"/>
    <hyperlink r:id="rId4770" ref="H4763"/>
    <hyperlink r:id="rId4771" ref="H4764"/>
    <hyperlink r:id="rId4772" ref="H4765"/>
    <hyperlink r:id="rId4773" ref="H4766"/>
    <hyperlink r:id="rId4774" ref="H4767"/>
    <hyperlink r:id="rId4775" ref="H4768"/>
    <hyperlink r:id="rId4776" ref="H4769"/>
    <hyperlink r:id="rId4777" ref="H4770"/>
    <hyperlink r:id="rId4778" ref="H4771"/>
    <hyperlink r:id="rId4779" ref="H4772"/>
    <hyperlink r:id="rId4780" ref="H4773"/>
    <hyperlink r:id="rId4781" ref="H4774"/>
    <hyperlink r:id="rId4782" ref="H4775"/>
    <hyperlink r:id="rId4783" ref="H4776"/>
    <hyperlink r:id="rId4784" ref="H4777"/>
    <hyperlink r:id="rId4785" ref="H4778"/>
    <hyperlink r:id="rId4786" ref="H4779"/>
    <hyperlink r:id="rId4787" ref="H4780"/>
    <hyperlink r:id="rId4788" ref="H4781"/>
    <hyperlink r:id="rId4789" ref="H4782"/>
    <hyperlink r:id="rId4790" ref="H4783"/>
    <hyperlink r:id="rId4791" ref="H4784"/>
    <hyperlink r:id="rId4792" ref="H4785"/>
    <hyperlink r:id="rId4793" ref="H4786"/>
    <hyperlink r:id="rId4794" ref="H4787"/>
    <hyperlink r:id="rId4795" ref="H4788"/>
    <hyperlink r:id="rId4796" ref="H4789"/>
    <hyperlink r:id="rId4797" ref="H4790"/>
    <hyperlink r:id="rId4798" ref="H4791"/>
    <hyperlink r:id="rId4799" ref="H4792"/>
    <hyperlink r:id="rId4800" ref="H4793"/>
    <hyperlink r:id="rId4801" ref="H4794"/>
    <hyperlink r:id="rId4802" ref="H4795"/>
    <hyperlink r:id="rId4803" ref="H4796"/>
    <hyperlink r:id="rId4804" ref="H4797"/>
    <hyperlink r:id="rId4805" ref="H4798"/>
    <hyperlink r:id="rId4806" ref="H4799"/>
    <hyperlink r:id="rId4807" ref="H4800"/>
    <hyperlink r:id="rId4808" ref="H4801"/>
    <hyperlink r:id="rId4809" ref="H4802"/>
    <hyperlink r:id="rId4810" ref="H4803"/>
    <hyperlink r:id="rId4811" ref="H4804"/>
    <hyperlink r:id="rId4812" ref="H4805"/>
    <hyperlink r:id="rId4813" ref="H4806"/>
    <hyperlink r:id="rId4814" ref="H4807"/>
    <hyperlink r:id="rId4815" ref="H4808"/>
    <hyperlink r:id="rId4816" ref="H4809"/>
    <hyperlink r:id="rId4817" ref="H4810"/>
    <hyperlink r:id="rId4818" ref="H4811"/>
    <hyperlink r:id="rId4819" ref="H4812"/>
    <hyperlink r:id="rId4820" ref="H4813"/>
    <hyperlink r:id="rId4821" ref="H4814"/>
    <hyperlink r:id="rId4822" ref="H4815"/>
    <hyperlink r:id="rId4823" ref="H4816"/>
    <hyperlink r:id="rId4824" ref="H4817"/>
    <hyperlink r:id="rId4825" ref="H4818"/>
    <hyperlink r:id="rId4826" ref="H4819"/>
    <hyperlink r:id="rId4827" ref="H4820"/>
    <hyperlink r:id="rId4828" ref="H4821"/>
    <hyperlink r:id="rId4829" ref="H4822"/>
    <hyperlink r:id="rId4830" ref="H4823"/>
    <hyperlink r:id="rId4831" ref="H4824"/>
    <hyperlink r:id="rId4832" ref="H4825"/>
    <hyperlink r:id="rId4833" ref="H4826"/>
    <hyperlink r:id="rId4834" ref="H4827"/>
    <hyperlink r:id="rId4835" ref="H4828"/>
    <hyperlink r:id="rId4836" ref="H4829"/>
    <hyperlink r:id="rId4837" ref="H4830"/>
    <hyperlink r:id="rId4838" ref="H4831"/>
    <hyperlink r:id="rId4839" ref="H4832"/>
    <hyperlink r:id="rId4840" ref="H4833"/>
    <hyperlink r:id="rId4841" ref="H4834"/>
    <hyperlink r:id="rId4842" ref="H4835"/>
    <hyperlink r:id="rId4843" ref="H4836"/>
    <hyperlink r:id="rId4844" ref="H4837"/>
    <hyperlink r:id="rId4845" ref="H4838"/>
    <hyperlink r:id="rId4846" ref="H4839"/>
    <hyperlink r:id="rId4847" ref="H4840"/>
    <hyperlink r:id="rId4848" ref="H4841"/>
    <hyperlink r:id="rId4849" ref="H4842"/>
    <hyperlink r:id="rId4850" ref="H4843"/>
    <hyperlink r:id="rId4851" ref="H4844"/>
    <hyperlink r:id="rId4852" ref="H4845"/>
    <hyperlink r:id="rId4853" ref="H4846"/>
    <hyperlink r:id="rId4854" ref="H4847"/>
    <hyperlink r:id="rId4855" ref="H4848"/>
    <hyperlink r:id="rId4856" ref="H4849"/>
    <hyperlink r:id="rId4857" ref="H4850"/>
    <hyperlink r:id="rId4858" ref="H4851"/>
    <hyperlink r:id="rId4859" ref="H4852"/>
    <hyperlink r:id="rId4860" ref="H4853"/>
    <hyperlink r:id="rId4861" ref="H4854"/>
    <hyperlink r:id="rId4862" ref="H4855"/>
    <hyperlink r:id="rId4863" ref="H4856"/>
    <hyperlink r:id="rId4864" ref="H4857"/>
    <hyperlink r:id="rId4865" ref="H4858"/>
    <hyperlink r:id="rId4866" ref="H4859"/>
    <hyperlink r:id="rId4867" ref="H4860"/>
    <hyperlink r:id="rId4868" ref="H4861"/>
    <hyperlink r:id="rId4869" ref="H4862"/>
    <hyperlink r:id="rId4870" ref="H4863"/>
    <hyperlink r:id="rId4871" ref="H4864"/>
    <hyperlink r:id="rId4872" ref="H4865"/>
    <hyperlink r:id="rId4873" ref="H4866"/>
    <hyperlink r:id="rId4874" ref="H4867"/>
    <hyperlink r:id="rId4875" ref="H4868"/>
    <hyperlink r:id="rId4876" ref="H4869"/>
    <hyperlink r:id="rId4877" ref="H4870"/>
    <hyperlink r:id="rId4878" ref="H4871"/>
    <hyperlink r:id="rId4879" ref="H4872"/>
    <hyperlink r:id="rId4880" ref="H4873"/>
    <hyperlink r:id="rId4881" ref="H4874"/>
    <hyperlink r:id="rId4882" ref="H4875"/>
    <hyperlink r:id="rId4883" ref="H4876"/>
    <hyperlink r:id="rId4884" ref="H4877"/>
    <hyperlink r:id="rId4885" ref="H4878"/>
    <hyperlink r:id="rId4886" ref="H4879"/>
    <hyperlink r:id="rId4887" ref="H4880"/>
    <hyperlink r:id="rId4888" ref="H4881"/>
    <hyperlink r:id="rId4889" ref="H4882"/>
    <hyperlink r:id="rId4890" ref="H4883"/>
    <hyperlink r:id="rId4891" ref="H4884"/>
    <hyperlink r:id="rId4892" ref="H4885"/>
    <hyperlink r:id="rId4893" ref="H4886"/>
    <hyperlink r:id="rId4894" ref="H4887"/>
    <hyperlink r:id="rId4895" ref="H4888"/>
    <hyperlink r:id="rId4896" ref="H4889"/>
    <hyperlink r:id="rId4897" ref="H4890"/>
    <hyperlink r:id="rId4898" ref="H4891"/>
    <hyperlink r:id="rId4899" ref="H4892"/>
    <hyperlink r:id="rId4900" ref="H4893"/>
    <hyperlink r:id="rId4901" ref="H4894"/>
    <hyperlink r:id="rId4902" ref="H4895"/>
    <hyperlink r:id="rId4903" ref="H4896"/>
    <hyperlink r:id="rId4904" ref="H4897"/>
    <hyperlink r:id="rId4905" ref="H4898"/>
    <hyperlink r:id="rId4906" ref="H4899"/>
    <hyperlink r:id="rId4907" ref="H4900"/>
    <hyperlink r:id="rId4908" ref="H4901"/>
    <hyperlink r:id="rId4909" ref="H4902"/>
    <hyperlink r:id="rId4910" ref="H4903"/>
    <hyperlink r:id="rId4911" ref="H4904"/>
    <hyperlink r:id="rId4912" ref="H4905"/>
    <hyperlink r:id="rId4913" ref="H4906"/>
    <hyperlink r:id="rId4914" ref="H4907"/>
    <hyperlink r:id="rId4915" ref="H4908"/>
    <hyperlink r:id="rId4916" ref="H4909"/>
    <hyperlink r:id="rId4917" ref="H4910"/>
    <hyperlink r:id="rId4918" ref="H4911"/>
    <hyperlink r:id="rId4919" ref="H4912"/>
    <hyperlink r:id="rId4920" ref="H4913"/>
    <hyperlink r:id="rId4921" ref="H4914"/>
    <hyperlink r:id="rId4922" ref="H4915"/>
    <hyperlink r:id="rId4923" ref="H4916"/>
    <hyperlink r:id="rId4924" ref="H4917"/>
    <hyperlink r:id="rId4925" ref="H4918"/>
    <hyperlink r:id="rId4926" ref="H4919"/>
    <hyperlink r:id="rId4927" ref="H4920"/>
    <hyperlink r:id="rId4928" ref="H4921"/>
    <hyperlink r:id="rId4929" ref="H4922"/>
    <hyperlink r:id="rId4930" ref="H4923"/>
    <hyperlink r:id="rId4931" ref="H4924"/>
    <hyperlink r:id="rId4932" ref="H4925"/>
    <hyperlink r:id="rId4933" ref="H4926"/>
    <hyperlink r:id="rId4934" ref="H4927"/>
    <hyperlink r:id="rId4935" ref="H4928"/>
    <hyperlink r:id="rId4936" ref="H4929"/>
    <hyperlink r:id="rId4937" ref="H4930"/>
    <hyperlink r:id="rId4938" ref="H4931"/>
    <hyperlink r:id="rId4939" ref="H4932"/>
    <hyperlink r:id="rId4940" ref="H4933"/>
    <hyperlink r:id="rId4941" ref="H4934"/>
    <hyperlink r:id="rId4942" ref="H4935"/>
    <hyperlink r:id="rId4943" ref="H4936"/>
    <hyperlink r:id="rId4944" ref="H4937"/>
    <hyperlink r:id="rId4945" ref="H4938"/>
    <hyperlink r:id="rId4946" ref="H4939"/>
    <hyperlink r:id="rId4947" ref="H4940"/>
    <hyperlink r:id="rId4948" ref="H4941"/>
    <hyperlink r:id="rId4949" ref="H4942"/>
    <hyperlink r:id="rId4950" ref="H4943"/>
    <hyperlink r:id="rId4951" ref="H4944"/>
    <hyperlink r:id="rId4952" ref="H4945"/>
    <hyperlink r:id="rId4953" ref="H4946"/>
    <hyperlink r:id="rId4954" ref="H4947"/>
    <hyperlink r:id="rId4955" ref="H4948"/>
    <hyperlink r:id="rId4956" ref="H4949"/>
    <hyperlink r:id="rId4957" ref="H4950"/>
    <hyperlink r:id="rId4958" ref="H4951"/>
    <hyperlink r:id="rId4959" ref="H4952"/>
    <hyperlink r:id="rId4960" ref="H4953"/>
    <hyperlink r:id="rId4961" ref="H4954"/>
    <hyperlink r:id="rId4962" ref="H4955"/>
    <hyperlink r:id="rId4963" ref="H4956"/>
    <hyperlink r:id="rId4964" ref="H4957"/>
    <hyperlink r:id="rId4965" ref="H4958"/>
    <hyperlink r:id="rId4966" ref="H4959"/>
    <hyperlink r:id="rId4967" ref="H4960"/>
    <hyperlink r:id="rId4968" ref="H4961"/>
    <hyperlink r:id="rId4969" ref="H4962"/>
    <hyperlink r:id="rId4970" ref="H4963"/>
    <hyperlink r:id="rId4971" ref="H4964"/>
    <hyperlink r:id="rId4972" ref="H4965"/>
    <hyperlink r:id="rId4973" ref="H4966"/>
    <hyperlink r:id="rId4974" ref="H4967"/>
    <hyperlink r:id="rId4975" ref="H4968"/>
    <hyperlink r:id="rId4976" ref="H4969"/>
    <hyperlink r:id="rId4977" ref="H4970"/>
    <hyperlink r:id="rId4978" ref="H4971"/>
    <hyperlink r:id="rId4979" ref="H4972"/>
    <hyperlink r:id="rId4980" ref="H4973"/>
    <hyperlink r:id="rId4981" ref="H4974"/>
    <hyperlink r:id="rId4982" ref="H4975"/>
    <hyperlink r:id="rId4983" ref="H4976"/>
    <hyperlink r:id="rId4984" ref="H4977"/>
    <hyperlink r:id="rId4985" ref="H4978"/>
    <hyperlink r:id="rId4986" ref="H4979"/>
    <hyperlink r:id="rId4987" ref="H4980"/>
    <hyperlink r:id="rId4988" ref="H4981"/>
    <hyperlink r:id="rId4989" ref="H4982"/>
    <hyperlink r:id="rId4990" ref="H4983"/>
    <hyperlink r:id="rId4991" ref="H4984"/>
    <hyperlink r:id="rId4992" ref="H4985"/>
    <hyperlink r:id="rId4993" ref="H4986"/>
    <hyperlink r:id="rId4994" ref="H4987"/>
    <hyperlink r:id="rId4995" ref="H4988"/>
    <hyperlink r:id="rId4996" ref="H4989"/>
    <hyperlink r:id="rId4997" ref="H4990"/>
    <hyperlink r:id="rId4998" ref="H4991"/>
    <hyperlink r:id="rId4999" ref="H4992"/>
    <hyperlink r:id="rId5000" ref="H4993"/>
    <hyperlink r:id="rId5001" ref="H4994"/>
    <hyperlink r:id="rId5002" ref="H4995"/>
    <hyperlink r:id="rId5003" ref="H4996"/>
    <hyperlink r:id="rId5004" ref="H4997"/>
    <hyperlink r:id="rId5005" ref="H4998"/>
    <hyperlink r:id="rId5006" ref="H4999"/>
    <hyperlink r:id="rId5007" ref="H5000"/>
    <hyperlink r:id="rId5008" ref="H5001"/>
    <hyperlink r:id="rId5009" ref="H5002"/>
    <hyperlink r:id="rId5010" ref="H5003"/>
    <hyperlink r:id="rId5011" ref="H5004"/>
    <hyperlink r:id="rId5012" ref="H5005"/>
    <hyperlink r:id="rId5013" ref="H5006"/>
    <hyperlink r:id="rId5014" ref="H5007"/>
    <hyperlink r:id="rId5015" ref="H5008"/>
    <hyperlink r:id="rId5016" ref="H5009"/>
    <hyperlink r:id="rId5017" ref="H5010"/>
    <hyperlink r:id="rId5018" ref="H5011"/>
    <hyperlink r:id="rId5019" ref="H5012"/>
    <hyperlink r:id="rId5020" ref="H5013"/>
    <hyperlink r:id="rId5021" ref="H5014"/>
    <hyperlink r:id="rId5022" ref="H5015"/>
    <hyperlink r:id="rId5023" ref="H5016"/>
    <hyperlink r:id="rId5024" ref="H5017"/>
    <hyperlink r:id="rId5025" ref="H5018"/>
    <hyperlink r:id="rId5026" ref="H5019"/>
    <hyperlink r:id="rId5027" ref="H5020"/>
    <hyperlink r:id="rId5028" ref="H5021"/>
    <hyperlink r:id="rId5029" ref="H5022"/>
    <hyperlink r:id="rId5030" ref="H5023"/>
    <hyperlink r:id="rId5031" ref="H5024"/>
    <hyperlink r:id="rId5032" ref="H5025"/>
    <hyperlink r:id="rId5033" ref="H5026"/>
    <hyperlink r:id="rId5034" ref="H5027"/>
    <hyperlink r:id="rId5035" ref="H5028"/>
    <hyperlink r:id="rId5036" ref="H5029"/>
    <hyperlink r:id="rId5037" ref="H5030"/>
    <hyperlink r:id="rId5038" ref="H5031"/>
    <hyperlink r:id="rId5039" ref="H5032"/>
    <hyperlink r:id="rId5040" ref="H5033"/>
    <hyperlink r:id="rId5041" ref="H5034"/>
    <hyperlink r:id="rId5042" ref="H5035"/>
    <hyperlink r:id="rId5043" ref="H5036"/>
    <hyperlink r:id="rId5044" ref="H5037"/>
    <hyperlink r:id="rId5045" ref="H5038"/>
    <hyperlink r:id="rId5046" ref="H5039"/>
    <hyperlink r:id="rId5047" ref="H5040"/>
    <hyperlink r:id="rId5048" ref="H5041"/>
    <hyperlink r:id="rId5049" ref="H5042"/>
    <hyperlink r:id="rId5050" ref="H5043"/>
    <hyperlink r:id="rId5051" ref="H5044"/>
    <hyperlink r:id="rId5052" ref="H5045"/>
    <hyperlink r:id="rId5053" ref="H5046"/>
    <hyperlink r:id="rId5054" ref="H5047"/>
    <hyperlink r:id="rId5055" ref="H5048"/>
    <hyperlink r:id="rId5056" ref="H5049"/>
    <hyperlink r:id="rId5057" ref="H5050"/>
    <hyperlink r:id="rId5058" ref="H5051"/>
    <hyperlink r:id="rId5059" ref="H5052"/>
    <hyperlink r:id="rId5060" ref="H5053"/>
    <hyperlink r:id="rId5061" ref="H5054"/>
    <hyperlink r:id="rId5062" ref="H5055"/>
    <hyperlink r:id="rId5063" ref="H5056"/>
    <hyperlink r:id="rId5064" ref="H5057"/>
    <hyperlink r:id="rId5065" ref="H5058"/>
    <hyperlink r:id="rId5066" ref="H5059"/>
    <hyperlink r:id="rId5067" ref="H5060"/>
    <hyperlink r:id="rId5068" ref="H5061"/>
    <hyperlink r:id="rId5069" ref="H5062"/>
    <hyperlink r:id="rId5070" ref="H5063"/>
    <hyperlink r:id="rId5071" ref="H5064"/>
    <hyperlink r:id="rId5072" ref="H5065"/>
    <hyperlink r:id="rId5073" ref="H5066"/>
    <hyperlink r:id="rId5074" ref="H5067"/>
    <hyperlink r:id="rId5075" ref="H5068"/>
    <hyperlink r:id="rId5076" ref="H5069"/>
    <hyperlink r:id="rId5077" ref="H5070"/>
    <hyperlink r:id="rId5078" ref="H5071"/>
    <hyperlink r:id="rId5079" ref="H5072"/>
    <hyperlink r:id="rId5080" ref="H5073"/>
    <hyperlink r:id="rId5081" ref="H5074"/>
    <hyperlink r:id="rId5082" ref="H5075"/>
    <hyperlink r:id="rId5083" ref="H5076"/>
    <hyperlink r:id="rId5084" ref="H5077"/>
    <hyperlink r:id="rId5085" ref="H5078"/>
    <hyperlink r:id="rId5086" ref="H5079"/>
    <hyperlink r:id="rId5087" ref="H5080"/>
    <hyperlink r:id="rId5088" ref="H5081"/>
    <hyperlink r:id="rId5089" ref="H5082"/>
    <hyperlink r:id="rId5090" ref="H5083"/>
    <hyperlink r:id="rId5091" ref="H5084"/>
    <hyperlink r:id="rId5092" ref="H5085"/>
    <hyperlink r:id="rId5093" ref="H5086"/>
    <hyperlink r:id="rId5094" ref="H5087"/>
    <hyperlink r:id="rId5095" ref="H5088"/>
    <hyperlink r:id="rId5096" ref="H5089"/>
    <hyperlink r:id="rId5097" ref="H5090"/>
    <hyperlink r:id="rId5098" ref="H5091"/>
    <hyperlink r:id="rId5099" ref="H5092"/>
    <hyperlink r:id="rId5100" ref="H5093"/>
    <hyperlink r:id="rId5101" ref="H5094"/>
    <hyperlink r:id="rId5102" ref="H5095"/>
    <hyperlink r:id="rId5103" ref="H5096"/>
    <hyperlink r:id="rId5104" ref="H5097"/>
    <hyperlink r:id="rId5105" ref="H5098"/>
    <hyperlink r:id="rId5106" ref="H5099"/>
    <hyperlink r:id="rId5107" ref="H5100"/>
    <hyperlink r:id="rId5108" ref="H5101"/>
    <hyperlink r:id="rId5109" ref="H5102"/>
    <hyperlink r:id="rId5110" ref="H5103"/>
    <hyperlink r:id="rId5111" ref="H5104"/>
    <hyperlink r:id="rId5112" ref="H5105"/>
    <hyperlink r:id="rId5113" ref="H5106"/>
    <hyperlink r:id="rId5114" ref="H5107"/>
    <hyperlink r:id="rId5115" ref="H5108"/>
    <hyperlink r:id="rId5116" ref="H5109"/>
    <hyperlink r:id="rId5117" ref="H5110"/>
    <hyperlink r:id="rId5118" ref="H5111"/>
    <hyperlink r:id="rId5119" ref="H5112"/>
    <hyperlink r:id="rId5120" ref="H5113"/>
    <hyperlink r:id="rId5121" ref="H5114"/>
    <hyperlink r:id="rId5122" ref="H5115"/>
    <hyperlink r:id="rId5123" ref="H5116"/>
    <hyperlink r:id="rId5124" ref="H5117"/>
    <hyperlink r:id="rId5125" ref="H5118"/>
    <hyperlink r:id="rId5126" ref="H5119"/>
    <hyperlink r:id="rId5127" ref="H5120"/>
    <hyperlink r:id="rId5128" ref="H5121"/>
    <hyperlink r:id="rId5129" ref="H5122"/>
    <hyperlink r:id="rId5130" ref="H5123"/>
    <hyperlink r:id="rId5131" ref="H5124"/>
    <hyperlink r:id="rId5132" ref="H5125"/>
    <hyperlink r:id="rId5133" ref="H5126"/>
    <hyperlink r:id="rId5134" ref="H5127"/>
    <hyperlink r:id="rId5135" ref="H5128"/>
    <hyperlink r:id="rId5136" ref="H5129"/>
    <hyperlink r:id="rId5137" ref="H5130"/>
    <hyperlink r:id="rId5138" ref="H5131"/>
    <hyperlink r:id="rId5139" ref="H5132"/>
    <hyperlink r:id="rId5140" ref="H5133"/>
    <hyperlink r:id="rId5141" ref="H5134"/>
    <hyperlink r:id="rId5142" ref="H5135"/>
    <hyperlink r:id="rId5143" ref="H5136"/>
    <hyperlink r:id="rId5144" ref="H5137"/>
    <hyperlink r:id="rId5145" ref="H5138"/>
    <hyperlink r:id="rId5146" ref="H5139"/>
    <hyperlink r:id="rId5147" ref="H5140"/>
    <hyperlink r:id="rId5148" ref="H5141"/>
    <hyperlink r:id="rId5149" ref="H5142"/>
    <hyperlink r:id="rId5150" ref="H5143"/>
    <hyperlink r:id="rId5151" ref="H5144"/>
    <hyperlink r:id="rId5152" ref="H5145"/>
    <hyperlink r:id="rId5153" ref="H5146"/>
    <hyperlink r:id="rId5154" ref="H5147"/>
    <hyperlink r:id="rId5155" ref="H5148"/>
    <hyperlink r:id="rId5156" ref="H5149"/>
    <hyperlink r:id="rId5157" ref="H5150"/>
    <hyperlink r:id="rId5158" ref="H5151"/>
    <hyperlink r:id="rId5159" ref="H5152"/>
    <hyperlink r:id="rId5160" ref="H5153"/>
    <hyperlink r:id="rId5161" ref="H5154"/>
    <hyperlink r:id="rId5162" ref="H5155"/>
    <hyperlink r:id="rId5163" ref="H5156"/>
    <hyperlink r:id="rId5164" ref="H5157"/>
    <hyperlink r:id="rId5165" ref="H5158"/>
    <hyperlink r:id="rId5166" ref="H5159"/>
    <hyperlink r:id="rId5167" ref="H5160"/>
    <hyperlink r:id="rId5168" ref="H5161"/>
    <hyperlink r:id="rId5169" ref="H5162"/>
    <hyperlink r:id="rId5170" ref="H5163"/>
    <hyperlink r:id="rId5171" ref="H5164"/>
    <hyperlink r:id="rId5172" ref="H5165"/>
    <hyperlink r:id="rId5173" ref="H5166"/>
    <hyperlink r:id="rId5174" ref="H5167"/>
    <hyperlink r:id="rId5175" ref="H5168"/>
    <hyperlink r:id="rId5176" ref="H5169"/>
    <hyperlink r:id="rId5177" ref="H5170"/>
    <hyperlink r:id="rId5178" ref="H5171"/>
    <hyperlink r:id="rId5179" ref="H5172"/>
    <hyperlink r:id="rId5180" ref="H5173"/>
    <hyperlink r:id="rId5181" ref="H5174"/>
    <hyperlink r:id="rId5182" ref="H5175"/>
    <hyperlink r:id="rId5183" ref="H5176"/>
    <hyperlink r:id="rId5184" ref="H5177"/>
    <hyperlink r:id="rId5185" ref="H5178"/>
    <hyperlink r:id="rId5186" ref="H5179"/>
    <hyperlink r:id="rId5187" ref="H5180"/>
    <hyperlink r:id="rId5188" ref="H5181"/>
    <hyperlink r:id="rId5189" ref="H5182"/>
    <hyperlink r:id="rId5190" ref="H5183"/>
    <hyperlink r:id="rId5191" ref="H5184"/>
    <hyperlink r:id="rId5192" ref="H5185"/>
    <hyperlink r:id="rId5193" ref="H5186"/>
    <hyperlink r:id="rId5194" ref="H5187"/>
    <hyperlink r:id="rId5195" ref="H5188"/>
    <hyperlink r:id="rId5196" ref="H5189"/>
    <hyperlink r:id="rId5197" ref="H5190"/>
    <hyperlink r:id="rId5198" ref="H5191"/>
    <hyperlink r:id="rId5199" ref="H5192"/>
    <hyperlink r:id="rId5200" ref="H5193"/>
    <hyperlink r:id="rId5201" ref="H5194"/>
    <hyperlink r:id="rId5202" ref="H5195"/>
    <hyperlink r:id="rId5203" ref="H5196"/>
    <hyperlink r:id="rId5204" ref="H5197"/>
    <hyperlink r:id="rId5205" ref="H5198"/>
    <hyperlink r:id="rId5206" ref="H5199"/>
    <hyperlink r:id="rId5207" ref="H5200"/>
    <hyperlink r:id="rId5208" ref="H5201"/>
    <hyperlink r:id="rId5209" ref="H5202"/>
    <hyperlink r:id="rId5210" ref="H5203"/>
    <hyperlink r:id="rId5211" ref="H5204"/>
    <hyperlink r:id="rId5212" ref="H5205"/>
    <hyperlink r:id="rId5213" ref="H5206"/>
    <hyperlink r:id="rId5214" ref="H5207"/>
    <hyperlink r:id="rId5215" ref="H5208"/>
    <hyperlink r:id="rId5216" ref="H5209"/>
    <hyperlink r:id="rId5217" ref="H5210"/>
    <hyperlink r:id="rId5218" ref="H5211"/>
    <hyperlink r:id="rId5219" ref="H5212"/>
    <hyperlink r:id="rId5220" ref="H5213"/>
    <hyperlink r:id="rId5221" ref="H5214"/>
    <hyperlink r:id="rId5222" ref="H5215"/>
    <hyperlink r:id="rId5223" ref="H5216"/>
    <hyperlink r:id="rId5224" ref="H5217"/>
    <hyperlink r:id="rId5225" ref="H5218"/>
    <hyperlink r:id="rId5226" ref="H5219"/>
    <hyperlink r:id="rId5227" ref="H5220"/>
    <hyperlink r:id="rId5228" ref="H5221"/>
    <hyperlink r:id="rId5229" ref="H5222"/>
    <hyperlink r:id="rId5230" ref="H5223"/>
    <hyperlink r:id="rId5231" ref="H5224"/>
    <hyperlink r:id="rId5232" ref="H5225"/>
    <hyperlink r:id="rId5233" ref="H5226"/>
    <hyperlink r:id="rId5234" ref="H5227"/>
    <hyperlink r:id="rId5235" ref="H5228"/>
    <hyperlink r:id="rId5236" ref="H5229"/>
    <hyperlink r:id="rId5237" ref="H5230"/>
    <hyperlink r:id="rId5238" ref="H5231"/>
    <hyperlink r:id="rId5239" ref="H5232"/>
    <hyperlink r:id="rId5240" ref="H5233"/>
    <hyperlink r:id="rId5241" ref="H5234"/>
    <hyperlink r:id="rId5242" ref="H5235"/>
    <hyperlink r:id="rId5243" ref="H5236"/>
    <hyperlink r:id="rId5244" ref="H5237"/>
    <hyperlink r:id="rId5245" ref="H5238"/>
    <hyperlink r:id="rId5246" ref="H5239"/>
    <hyperlink r:id="rId5247" ref="H5240"/>
    <hyperlink r:id="rId5248" ref="H5241"/>
    <hyperlink r:id="rId5249" ref="H5242"/>
    <hyperlink r:id="rId5250" ref="H5243"/>
    <hyperlink r:id="rId5251" ref="H5244"/>
    <hyperlink r:id="rId5252" ref="H5245"/>
    <hyperlink r:id="rId5253" ref="H5246"/>
    <hyperlink r:id="rId5254" ref="H5247"/>
    <hyperlink r:id="rId5255" ref="H5248"/>
    <hyperlink r:id="rId5256" ref="H5249"/>
    <hyperlink r:id="rId5257" ref="H5250"/>
    <hyperlink r:id="rId5258" ref="H5251"/>
    <hyperlink r:id="rId5259" ref="H5252"/>
    <hyperlink r:id="rId5260" ref="H5253"/>
    <hyperlink r:id="rId5261" ref="H5254"/>
    <hyperlink r:id="rId5262" ref="H5255"/>
    <hyperlink r:id="rId5263" ref="H5256"/>
    <hyperlink r:id="rId5264" ref="H5257"/>
    <hyperlink r:id="rId5265" ref="H5258"/>
    <hyperlink r:id="rId5266" ref="H5259"/>
    <hyperlink r:id="rId5267" ref="H5260"/>
    <hyperlink r:id="rId5268" ref="H5261"/>
    <hyperlink r:id="rId5269" ref="H5262"/>
    <hyperlink r:id="rId5270" ref="H5263"/>
    <hyperlink r:id="rId5271" ref="H5264"/>
    <hyperlink r:id="rId5272" ref="H5265"/>
    <hyperlink r:id="rId5273" ref="H5266"/>
    <hyperlink r:id="rId5274" ref="H5267"/>
    <hyperlink r:id="rId5275" ref="H5268"/>
    <hyperlink r:id="rId5276" ref="H5269"/>
    <hyperlink r:id="rId5277" ref="H5270"/>
    <hyperlink r:id="rId5278" ref="H5271"/>
    <hyperlink r:id="rId5279" ref="H5272"/>
    <hyperlink r:id="rId5280" ref="H5273"/>
    <hyperlink r:id="rId5281" ref="H5274"/>
    <hyperlink r:id="rId5282" ref="H5275"/>
    <hyperlink r:id="rId5283" ref="H5276"/>
    <hyperlink r:id="rId5284" ref="H5277"/>
    <hyperlink r:id="rId5285" ref="H5278"/>
    <hyperlink r:id="rId5286" ref="H5279"/>
    <hyperlink r:id="rId5287" ref="H5280"/>
    <hyperlink r:id="rId5288" ref="H5281"/>
    <hyperlink r:id="rId5289" ref="H5282"/>
    <hyperlink r:id="rId5290" ref="H5283"/>
    <hyperlink r:id="rId5291" ref="H5284"/>
    <hyperlink r:id="rId5292" ref="H5285"/>
    <hyperlink r:id="rId5293" ref="H5286"/>
    <hyperlink r:id="rId5294" ref="H5287"/>
    <hyperlink r:id="rId5295" ref="H5288"/>
    <hyperlink r:id="rId5296" ref="H5289"/>
    <hyperlink r:id="rId5297" ref="H5290"/>
    <hyperlink r:id="rId5298" ref="H5291"/>
    <hyperlink r:id="rId5299" ref="H5292"/>
    <hyperlink r:id="rId5300" ref="H5293"/>
    <hyperlink r:id="rId5301" ref="H5294"/>
    <hyperlink r:id="rId5302" ref="H5295"/>
    <hyperlink r:id="rId5303" ref="H5296"/>
    <hyperlink r:id="rId5304" ref="H5297"/>
    <hyperlink r:id="rId5305" ref="H5298"/>
    <hyperlink r:id="rId5306" ref="H5299"/>
    <hyperlink r:id="rId5307" ref="H5300"/>
    <hyperlink r:id="rId5308" ref="H5301"/>
    <hyperlink r:id="rId5309" ref="H5302"/>
    <hyperlink r:id="rId5310" ref="H5303"/>
    <hyperlink r:id="rId5311" ref="H5304"/>
    <hyperlink r:id="rId5312" ref="H5305"/>
    <hyperlink r:id="rId5313" ref="H5306"/>
    <hyperlink r:id="rId5314" ref="H5307"/>
    <hyperlink r:id="rId5315" ref="H5308"/>
    <hyperlink r:id="rId5316" ref="H5309"/>
    <hyperlink r:id="rId5317" ref="H5310"/>
    <hyperlink r:id="rId5318" ref="H5311"/>
    <hyperlink r:id="rId5319" ref="H5312"/>
    <hyperlink r:id="rId5320" ref="H5313"/>
    <hyperlink r:id="rId5321" ref="H5314"/>
    <hyperlink r:id="rId5322" ref="H5315"/>
    <hyperlink r:id="rId5323" ref="H5316"/>
    <hyperlink r:id="rId5324" ref="H5317"/>
    <hyperlink r:id="rId5325" ref="H5318"/>
    <hyperlink r:id="rId5326" ref="H5319"/>
    <hyperlink r:id="rId5327" ref="H5320"/>
    <hyperlink r:id="rId5328" ref="H5321"/>
    <hyperlink r:id="rId5329" ref="H5322"/>
    <hyperlink r:id="rId5330" ref="H5323"/>
    <hyperlink r:id="rId5331" ref="H5324"/>
    <hyperlink r:id="rId5332" ref="H5325"/>
    <hyperlink r:id="rId5333" ref="H5326"/>
    <hyperlink r:id="rId5334" ref="H5327"/>
    <hyperlink r:id="rId5335" ref="H5328"/>
    <hyperlink r:id="rId5336" ref="H5329"/>
    <hyperlink r:id="rId5337" ref="H5330"/>
    <hyperlink r:id="rId5338" ref="H5331"/>
    <hyperlink r:id="rId5339" ref="H5332"/>
    <hyperlink r:id="rId5340" ref="H5333"/>
    <hyperlink r:id="rId5341" ref="H5334"/>
    <hyperlink r:id="rId5342" ref="H5335"/>
    <hyperlink r:id="rId5343" ref="H5336"/>
    <hyperlink r:id="rId5344" ref="H5337"/>
    <hyperlink r:id="rId5345" ref="H5338"/>
    <hyperlink r:id="rId5346" ref="H5339"/>
    <hyperlink r:id="rId5347" ref="H5340"/>
    <hyperlink r:id="rId5348" ref="H5341"/>
    <hyperlink r:id="rId5349" ref="H5342"/>
    <hyperlink r:id="rId5350" ref="H5343"/>
    <hyperlink r:id="rId5351" ref="H5344"/>
    <hyperlink r:id="rId5352" ref="H5345"/>
    <hyperlink r:id="rId5353" ref="H5346"/>
    <hyperlink r:id="rId5354" ref="H5347"/>
    <hyperlink r:id="rId5355" ref="H5348"/>
    <hyperlink r:id="rId5356" ref="H5349"/>
    <hyperlink r:id="rId5357" ref="H5350"/>
    <hyperlink r:id="rId5358" ref="H5351"/>
    <hyperlink r:id="rId5359" ref="H5352"/>
    <hyperlink r:id="rId5360" ref="H5353"/>
    <hyperlink r:id="rId5361" ref="H5354"/>
    <hyperlink r:id="rId5362" ref="H5355"/>
    <hyperlink r:id="rId5363" ref="H5356"/>
    <hyperlink r:id="rId5364" ref="H5357"/>
    <hyperlink r:id="rId5365" ref="H5358"/>
    <hyperlink r:id="rId5366" ref="H5359"/>
    <hyperlink r:id="rId5367" ref="H5360"/>
    <hyperlink r:id="rId5368" ref="H5361"/>
    <hyperlink r:id="rId5369" ref="H5362"/>
    <hyperlink r:id="rId5370" ref="H5363"/>
    <hyperlink r:id="rId5371" ref="H5364"/>
    <hyperlink r:id="rId5372" ref="H5365"/>
    <hyperlink r:id="rId5373" ref="H5366"/>
    <hyperlink r:id="rId5374" ref="H5367"/>
    <hyperlink r:id="rId5375" ref="H5368"/>
    <hyperlink r:id="rId5376" ref="H5369"/>
    <hyperlink r:id="rId5377" ref="H5370"/>
    <hyperlink r:id="rId5378" ref="H5371"/>
    <hyperlink r:id="rId5379" ref="H5372"/>
    <hyperlink r:id="rId5380" ref="H5373"/>
    <hyperlink r:id="rId5381" ref="H5374"/>
    <hyperlink r:id="rId5382" ref="H5375"/>
    <hyperlink r:id="rId5383" ref="H5376"/>
    <hyperlink r:id="rId5384" ref="H5377"/>
    <hyperlink r:id="rId5385" ref="H5378"/>
    <hyperlink r:id="rId5386" ref="H5379"/>
    <hyperlink r:id="rId5387" ref="H5380"/>
    <hyperlink r:id="rId5388" ref="H5381"/>
    <hyperlink r:id="rId5389" ref="H5382"/>
    <hyperlink r:id="rId5390" ref="H5383"/>
    <hyperlink r:id="rId5391" ref="H5384"/>
    <hyperlink r:id="rId5392" ref="H5385"/>
    <hyperlink r:id="rId5393" ref="H5386"/>
    <hyperlink r:id="rId5394" ref="H5387"/>
    <hyperlink r:id="rId5395" ref="H5388"/>
    <hyperlink r:id="rId5396" ref="H5389"/>
    <hyperlink r:id="rId5397" ref="H5390"/>
    <hyperlink r:id="rId5398" ref="H5391"/>
    <hyperlink r:id="rId5399" ref="H5392"/>
    <hyperlink r:id="rId5400" ref="H5393"/>
    <hyperlink r:id="rId5401" ref="H5394"/>
    <hyperlink r:id="rId5402" ref="H5395"/>
    <hyperlink r:id="rId5403" ref="H5396"/>
    <hyperlink r:id="rId5404" ref="H5397"/>
    <hyperlink r:id="rId5405" ref="H5398"/>
    <hyperlink r:id="rId5406" ref="H5399"/>
    <hyperlink r:id="rId5407" ref="H5400"/>
    <hyperlink r:id="rId5408" ref="H5401"/>
    <hyperlink r:id="rId5409" ref="H5402"/>
    <hyperlink r:id="rId5410" ref="H5403"/>
    <hyperlink r:id="rId5411" ref="H5404"/>
    <hyperlink r:id="rId5412" ref="H5405"/>
    <hyperlink r:id="rId5413" ref="H5406"/>
    <hyperlink r:id="rId5414" ref="H5407"/>
    <hyperlink r:id="rId5415" ref="H5408"/>
    <hyperlink r:id="rId5416" ref="H5409"/>
    <hyperlink r:id="rId5417" ref="H5410"/>
    <hyperlink r:id="rId5418" ref="H5411"/>
    <hyperlink r:id="rId5419" ref="H5412"/>
    <hyperlink r:id="rId5420" ref="H5413"/>
    <hyperlink r:id="rId5421" ref="H5414"/>
    <hyperlink r:id="rId5422" ref="H5415"/>
    <hyperlink r:id="rId5423" ref="H5416"/>
    <hyperlink r:id="rId5424" ref="H5417"/>
    <hyperlink r:id="rId5425" ref="H5418"/>
    <hyperlink r:id="rId5426" ref="H5419"/>
    <hyperlink r:id="rId5427" ref="H5420"/>
    <hyperlink r:id="rId5428" ref="H5421"/>
    <hyperlink r:id="rId5429" ref="H5422"/>
    <hyperlink r:id="rId5430" ref="H5423"/>
    <hyperlink r:id="rId5431" ref="H5424"/>
    <hyperlink r:id="rId5432" ref="H5425"/>
    <hyperlink r:id="rId5433" ref="H5426"/>
    <hyperlink r:id="rId5434" ref="H5427"/>
    <hyperlink r:id="rId5435" ref="H5428"/>
    <hyperlink r:id="rId5436" ref="H5429"/>
    <hyperlink r:id="rId5437" ref="H5430"/>
    <hyperlink r:id="rId5438" ref="H5431"/>
    <hyperlink r:id="rId5439" ref="H5432"/>
    <hyperlink r:id="rId5440" ref="H5433"/>
    <hyperlink r:id="rId5441" ref="H5434"/>
    <hyperlink r:id="rId5442" ref="H5435"/>
    <hyperlink r:id="rId5443" ref="H5436"/>
    <hyperlink r:id="rId5444" ref="H5437"/>
    <hyperlink r:id="rId5445" ref="H5438"/>
    <hyperlink r:id="rId5446" ref="H5439"/>
    <hyperlink r:id="rId5447" ref="H5440"/>
    <hyperlink r:id="rId5448" ref="H5441"/>
    <hyperlink r:id="rId5449" ref="H5442"/>
    <hyperlink r:id="rId5450" ref="H5443"/>
    <hyperlink r:id="rId5451" ref="H5444"/>
    <hyperlink r:id="rId5452" ref="H5445"/>
    <hyperlink r:id="rId5453" ref="H5446"/>
    <hyperlink r:id="rId5454" ref="H5447"/>
    <hyperlink r:id="rId5455" ref="H5448"/>
    <hyperlink r:id="rId5456" ref="H5449"/>
    <hyperlink r:id="rId5457" ref="H5450"/>
    <hyperlink r:id="rId5458" ref="H5451"/>
    <hyperlink r:id="rId5459" ref="H5452"/>
    <hyperlink r:id="rId5460" ref="H5453"/>
    <hyperlink r:id="rId5461" ref="H5454"/>
    <hyperlink r:id="rId5462" ref="H5455"/>
    <hyperlink r:id="rId5463" ref="H5456"/>
    <hyperlink r:id="rId5464" ref="H5457"/>
    <hyperlink r:id="rId5465" ref="H5458"/>
    <hyperlink r:id="rId5466" ref="H5459"/>
    <hyperlink r:id="rId5467" ref="H5460"/>
    <hyperlink r:id="rId5468" ref="H5461"/>
    <hyperlink r:id="rId5469" ref="H5462"/>
    <hyperlink r:id="rId5470" ref="H5463"/>
    <hyperlink r:id="rId5471" ref="H5464"/>
    <hyperlink r:id="rId5472" ref="H5465"/>
    <hyperlink r:id="rId5473" ref="H5466"/>
    <hyperlink r:id="rId5474" ref="H5467"/>
    <hyperlink r:id="rId5475" ref="H5468"/>
    <hyperlink r:id="rId5476" ref="H5469"/>
    <hyperlink r:id="rId5477" ref="H5470"/>
    <hyperlink r:id="rId5478" ref="H5471"/>
    <hyperlink r:id="rId5479" ref="H5472"/>
    <hyperlink r:id="rId5480" ref="H5473"/>
    <hyperlink r:id="rId5481" ref="H5474"/>
    <hyperlink r:id="rId5482" ref="H5475"/>
    <hyperlink r:id="rId5483" ref="H5476"/>
    <hyperlink r:id="rId5484" ref="H5477"/>
    <hyperlink r:id="rId5485" ref="H5478"/>
    <hyperlink r:id="rId5486" ref="H5479"/>
    <hyperlink r:id="rId5487" ref="H5480"/>
    <hyperlink r:id="rId5488" ref="H5481"/>
    <hyperlink r:id="rId5489" ref="H5482"/>
    <hyperlink r:id="rId5490" ref="H5483"/>
    <hyperlink r:id="rId5491" ref="H5484"/>
    <hyperlink r:id="rId5492" ref="H5485"/>
    <hyperlink r:id="rId5493" ref="H5486"/>
    <hyperlink r:id="rId5494" ref="H5487"/>
    <hyperlink r:id="rId5495" ref="H5488"/>
    <hyperlink r:id="rId5496" ref="H5489"/>
    <hyperlink r:id="rId5497" ref="H5490"/>
    <hyperlink r:id="rId5498" ref="H5491"/>
    <hyperlink r:id="rId5499" ref="H5492"/>
    <hyperlink r:id="rId5500" ref="H5493"/>
    <hyperlink r:id="rId5501" ref="H5494"/>
    <hyperlink r:id="rId5502" ref="H5495"/>
    <hyperlink r:id="rId5503" ref="H5496"/>
    <hyperlink r:id="rId5504" ref="H5497"/>
    <hyperlink r:id="rId5505" ref="H5498"/>
    <hyperlink r:id="rId5506" ref="H5499"/>
    <hyperlink r:id="rId5507" ref="H5500"/>
    <hyperlink r:id="rId5508" ref="H5501"/>
    <hyperlink r:id="rId5509" ref="H5502"/>
    <hyperlink r:id="rId5510" ref="H5503"/>
    <hyperlink r:id="rId5511" ref="H5504"/>
    <hyperlink r:id="rId5512" ref="H5505"/>
    <hyperlink r:id="rId5513" ref="H5506"/>
    <hyperlink r:id="rId5514" ref="H5507"/>
    <hyperlink r:id="rId5515" ref="H5508"/>
    <hyperlink r:id="rId5516" ref="H5509"/>
    <hyperlink r:id="rId5517" ref="H5510"/>
    <hyperlink r:id="rId5518" ref="H5511"/>
    <hyperlink r:id="rId5519" ref="H5512"/>
    <hyperlink r:id="rId5520" ref="H5513"/>
    <hyperlink r:id="rId5521" ref="H5514"/>
    <hyperlink r:id="rId5522" ref="H5515"/>
    <hyperlink r:id="rId5523" ref="H5516"/>
    <hyperlink r:id="rId5524" ref="H5517"/>
    <hyperlink r:id="rId5525" ref="H5518"/>
    <hyperlink r:id="rId5526" ref="H5519"/>
    <hyperlink r:id="rId5527" ref="H5520"/>
    <hyperlink r:id="rId5528" ref="H5521"/>
    <hyperlink r:id="rId5529" ref="H5522"/>
    <hyperlink r:id="rId5530" ref="H5523"/>
    <hyperlink r:id="rId5531" ref="H5524"/>
    <hyperlink r:id="rId5532" ref="H5525"/>
    <hyperlink r:id="rId5533" ref="H5526"/>
    <hyperlink r:id="rId5534" ref="H5527"/>
    <hyperlink r:id="rId5535" ref="H5528"/>
    <hyperlink r:id="rId5536" ref="H5529"/>
    <hyperlink r:id="rId5537" ref="H5530"/>
    <hyperlink r:id="rId5538" ref="H5531"/>
    <hyperlink r:id="rId5539" ref="H5532"/>
    <hyperlink r:id="rId5540" ref="H5533"/>
    <hyperlink r:id="rId5541" ref="H5534"/>
    <hyperlink r:id="rId5542" ref="H5535"/>
    <hyperlink r:id="rId5543" ref="H5536"/>
    <hyperlink r:id="rId5544" ref="H5537"/>
    <hyperlink r:id="rId5545" ref="H5538"/>
    <hyperlink r:id="rId5546" ref="H5539"/>
    <hyperlink r:id="rId5547" ref="H5540"/>
    <hyperlink r:id="rId5548" ref="H5541"/>
    <hyperlink r:id="rId5549" ref="H5542"/>
    <hyperlink r:id="rId5550" ref="H5543"/>
    <hyperlink r:id="rId5551" ref="H5544"/>
    <hyperlink r:id="rId5552" ref="H5545"/>
    <hyperlink r:id="rId5553" ref="H5546"/>
    <hyperlink r:id="rId5554" ref="H5547"/>
    <hyperlink r:id="rId5555" ref="H5548"/>
    <hyperlink r:id="rId5556" ref="H5549"/>
    <hyperlink r:id="rId5557" ref="H5550"/>
    <hyperlink r:id="rId5558" ref="H5551"/>
    <hyperlink r:id="rId5559" ref="H5552"/>
    <hyperlink r:id="rId5560" ref="H5553"/>
    <hyperlink r:id="rId5561" ref="H5554"/>
    <hyperlink r:id="rId5562" ref="H5555"/>
    <hyperlink r:id="rId5563" ref="H5556"/>
    <hyperlink r:id="rId5564" ref="H5557"/>
    <hyperlink r:id="rId5565" ref="H5558"/>
    <hyperlink r:id="rId5566" ref="H5559"/>
    <hyperlink r:id="rId5567" ref="H5560"/>
    <hyperlink r:id="rId5568" ref="H5561"/>
    <hyperlink r:id="rId5569" ref="H5562"/>
    <hyperlink r:id="rId5570" ref="H5563"/>
    <hyperlink r:id="rId5571" ref="H5564"/>
    <hyperlink r:id="rId5572" ref="H5565"/>
    <hyperlink r:id="rId5573" ref="H5566"/>
    <hyperlink r:id="rId5574" ref="H5567"/>
    <hyperlink r:id="rId5575" ref="H5568"/>
    <hyperlink r:id="rId5576" ref="H5569"/>
    <hyperlink r:id="rId5577" ref="H5570"/>
    <hyperlink r:id="rId5578" ref="H5571"/>
    <hyperlink r:id="rId5579" ref="H5572"/>
    <hyperlink r:id="rId5580" ref="H5573"/>
    <hyperlink r:id="rId5581" ref="H5574"/>
    <hyperlink r:id="rId5582" ref="H5575"/>
    <hyperlink r:id="rId5583" ref="H5576"/>
    <hyperlink r:id="rId5584" ref="H5577"/>
    <hyperlink r:id="rId5585" ref="H5578"/>
    <hyperlink r:id="rId5586" ref="H5579"/>
    <hyperlink r:id="rId5587" ref="H5580"/>
    <hyperlink r:id="rId5588" ref="H5581"/>
    <hyperlink r:id="rId5589" ref="H5582"/>
    <hyperlink r:id="rId5590" ref="H5583"/>
    <hyperlink r:id="rId5591" ref="H5584"/>
    <hyperlink r:id="rId5592" ref="H5585"/>
    <hyperlink r:id="rId5593" ref="H5586"/>
    <hyperlink r:id="rId5594" ref="H5587"/>
    <hyperlink r:id="rId5595" ref="H5588"/>
    <hyperlink r:id="rId5596" ref="H5589"/>
    <hyperlink r:id="rId5597" ref="H5590"/>
    <hyperlink r:id="rId5598" ref="H5591"/>
    <hyperlink r:id="rId5599" ref="H5592"/>
    <hyperlink r:id="rId5600" ref="H5593"/>
    <hyperlink r:id="rId5601" ref="H5594"/>
    <hyperlink r:id="rId5602" ref="H5595"/>
    <hyperlink r:id="rId5603" ref="H5596"/>
    <hyperlink r:id="rId5604" ref="H5597"/>
    <hyperlink r:id="rId5605" ref="H5598"/>
    <hyperlink r:id="rId5606" ref="H5599"/>
    <hyperlink r:id="rId5607" ref="H5600"/>
    <hyperlink r:id="rId5608" ref="H5601"/>
    <hyperlink r:id="rId5609" ref="H5602"/>
    <hyperlink r:id="rId5610" ref="H5603"/>
    <hyperlink r:id="rId5611" ref="H5604"/>
    <hyperlink r:id="rId5612" ref="H5605"/>
    <hyperlink r:id="rId5613" ref="H5606"/>
    <hyperlink r:id="rId5614" ref="H5607"/>
    <hyperlink r:id="rId5615" ref="H5608"/>
    <hyperlink r:id="rId5616" ref="H5609"/>
    <hyperlink r:id="rId5617" ref="H5610"/>
    <hyperlink r:id="rId5618" ref="H5611"/>
    <hyperlink r:id="rId5619" ref="H5612"/>
    <hyperlink r:id="rId5620" ref="H5613"/>
    <hyperlink r:id="rId5621" ref="H5614"/>
    <hyperlink r:id="rId5622" ref="H5615"/>
    <hyperlink r:id="rId5623" ref="H5616"/>
    <hyperlink r:id="rId5624" ref="H5617"/>
    <hyperlink r:id="rId5625" ref="H5618"/>
    <hyperlink r:id="rId5626" ref="H5619"/>
    <hyperlink r:id="rId5627" ref="H5620"/>
    <hyperlink r:id="rId5628" ref="H5621"/>
    <hyperlink r:id="rId5629" ref="H5622"/>
    <hyperlink r:id="rId5630" ref="H5623"/>
    <hyperlink r:id="rId5631" ref="H5624"/>
    <hyperlink r:id="rId5632" ref="H5625"/>
    <hyperlink r:id="rId5633" ref="H5626"/>
    <hyperlink r:id="rId5634" ref="H5627"/>
    <hyperlink r:id="rId5635" ref="H5628"/>
    <hyperlink r:id="rId5636" ref="H5629"/>
    <hyperlink r:id="rId5637" ref="H5630"/>
    <hyperlink r:id="rId5638" ref="H5631"/>
    <hyperlink r:id="rId5639" ref="H5632"/>
    <hyperlink r:id="rId5640" ref="H5633"/>
    <hyperlink r:id="rId5641" ref="H5634"/>
    <hyperlink r:id="rId5642" ref="H5635"/>
    <hyperlink r:id="rId5643" ref="H5636"/>
    <hyperlink r:id="rId5644" ref="H5637"/>
    <hyperlink r:id="rId5645" ref="H5638"/>
    <hyperlink r:id="rId5646" ref="H5639"/>
    <hyperlink r:id="rId5647" ref="H5640"/>
    <hyperlink r:id="rId5648" ref="H5641"/>
    <hyperlink r:id="rId5649" ref="H5642"/>
    <hyperlink r:id="rId5650" ref="H5643"/>
    <hyperlink r:id="rId5651" ref="H5644"/>
    <hyperlink r:id="rId5652" ref="H5645"/>
    <hyperlink r:id="rId5653" ref="H5646"/>
    <hyperlink r:id="rId5654" ref="H5647"/>
    <hyperlink r:id="rId5655" ref="H5648"/>
    <hyperlink r:id="rId5656" ref="H5649"/>
    <hyperlink r:id="rId5657" ref="H5650"/>
    <hyperlink r:id="rId5658" ref="H5651"/>
    <hyperlink r:id="rId5659" ref="H5652"/>
    <hyperlink r:id="rId5660" ref="H5653"/>
    <hyperlink r:id="rId5661" ref="H5654"/>
    <hyperlink r:id="rId5662" ref="H5655"/>
    <hyperlink r:id="rId5663" ref="H5656"/>
    <hyperlink r:id="rId5664" ref="H5657"/>
    <hyperlink r:id="rId5665" ref="H5658"/>
    <hyperlink r:id="rId5666" ref="H5659"/>
    <hyperlink r:id="rId5667" ref="H5660"/>
    <hyperlink r:id="rId5668" ref="H5661"/>
    <hyperlink r:id="rId5669" ref="H5662"/>
    <hyperlink r:id="rId5670" ref="H5663"/>
    <hyperlink r:id="rId5671" ref="H5664"/>
    <hyperlink r:id="rId5672" ref="H5665"/>
    <hyperlink r:id="rId5673" ref="H5666"/>
    <hyperlink r:id="rId5674" ref="H5667"/>
    <hyperlink r:id="rId5675" ref="H5668"/>
    <hyperlink r:id="rId5676" ref="H5669"/>
    <hyperlink r:id="rId5677" ref="H5670"/>
    <hyperlink r:id="rId5678" ref="H5671"/>
    <hyperlink r:id="rId5679" ref="H5672"/>
    <hyperlink r:id="rId5680" ref="H5673"/>
    <hyperlink r:id="rId5681" ref="H5674"/>
    <hyperlink r:id="rId5682" ref="H5675"/>
    <hyperlink r:id="rId5683" ref="H5676"/>
    <hyperlink r:id="rId5684" ref="H5677"/>
    <hyperlink r:id="rId5685" ref="H5678"/>
    <hyperlink r:id="rId5686" ref="H5679"/>
    <hyperlink r:id="rId5687" ref="H5680"/>
    <hyperlink r:id="rId5688" ref="H5681"/>
    <hyperlink r:id="rId5689" ref="H5682"/>
    <hyperlink r:id="rId5690" ref="H5683"/>
    <hyperlink r:id="rId5691" ref="H5684"/>
    <hyperlink r:id="rId5692" ref="H5685"/>
    <hyperlink r:id="rId5693" ref="H5686"/>
    <hyperlink r:id="rId5694" ref="H5687"/>
    <hyperlink r:id="rId5695" ref="H5688"/>
    <hyperlink r:id="rId5696" ref="H5689"/>
    <hyperlink r:id="rId5697" ref="H5690"/>
    <hyperlink r:id="rId5698" ref="H5691"/>
    <hyperlink r:id="rId5699" ref="H5692"/>
    <hyperlink r:id="rId5700" ref="H5693"/>
    <hyperlink r:id="rId5701" ref="H5694"/>
    <hyperlink r:id="rId5702" ref="H5695"/>
    <hyperlink r:id="rId5703" ref="H5696"/>
    <hyperlink r:id="rId5704" ref="H5697"/>
    <hyperlink r:id="rId5705" ref="H5698"/>
    <hyperlink r:id="rId5706" ref="H5699"/>
    <hyperlink r:id="rId5707" ref="H5700"/>
    <hyperlink r:id="rId5708" ref="H5701"/>
    <hyperlink r:id="rId5709" ref="H5702"/>
    <hyperlink r:id="rId5710" ref="H5703"/>
    <hyperlink r:id="rId5711" ref="H5704"/>
    <hyperlink r:id="rId5712" ref="H5705"/>
    <hyperlink r:id="rId5713" ref="H5706"/>
    <hyperlink r:id="rId5714" ref="H5707"/>
    <hyperlink r:id="rId5715" ref="H5708"/>
    <hyperlink r:id="rId5716" ref="H5709"/>
    <hyperlink r:id="rId5717" ref="H5710"/>
    <hyperlink r:id="rId5718" ref="H5711"/>
    <hyperlink r:id="rId5719" ref="H5712"/>
    <hyperlink r:id="rId5720" ref="H5713"/>
    <hyperlink r:id="rId5721" ref="H5714"/>
    <hyperlink r:id="rId5722" ref="H5715"/>
    <hyperlink r:id="rId5723" ref="H5716"/>
    <hyperlink r:id="rId5724" ref="H5717"/>
    <hyperlink r:id="rId5725" ref="H5718"/>
    <hyperlink r:id="rId5726" ref="H5719"/>
    <hyperlink r:id="rId5727" ref="H5720"/>
    <hyperlink r:id="rId5728" ref="H5721"/>
    <hyperlink r:id="rId5729" ref="H5722"/>
    <hyperlink r:id="rId5730" ref="H5723"/>
    <hyperlink r:id="rId5731" ref="H5724"/>
    <hyperlink r:id="rId5732" ref="H5725"/>
    <hyperlink r:id="rId5733" ref="H5726"/>
    <hyperlink r:id="rId5734" ref="H5727"/>
    <hyperlink r:id="rId5735" ref="H5728"/>
    <hyperlink r:id="rId5736" ref="H5729"/>
    <hyperlink r:id="rId5737" ref="H5730"/>
    <hyperlink r:id="rId5738" ref="H5731"/>
    <hyperlink r:id="rId5739" ref="H5732"/>
    <hyperlink r:id="rId5740" ref="H5733"/>
    <hyperlink r:id="rId5741" ref="H5734"/>
    <hyperlink r:id="rId5742" ref="H5735"/>
    <hyperlink r:id="rId5743" ref="H5736"/>
    <hyperlink r:id="rId5744" ref="H5737"/>
    <hyperlink r:id="rId5745" ref="H5738"/>
    <hyperlink r:id="rId5746" ref="H5739"/>
    <hyperlink r:id="rId5747" ref="H5740"/>
    <hyperlink r:id="rId5748" ref="H5741"/>
    <hyperlink r:id="rId5749" ref="H5742"/>
    <hyperlink r:id="rId5750" ref="H5743"/>
    <hyperlink r:id="rId5751" ref="H5744"/>
    <hyperlink r:id="rId5752" ref="H5745"/>
    <hyperlink r:id="rId5753" ref="H5746"/>
    <hyperlink r:id="rId5754" ref="H5747"/>
    <hyperlink r:id="rId5755" ref="H5748"/>
    <hyperlink r:id="rId5756" ref="H5749"/>
    <hyperlink r:id="rId5757" ref="H5750"/>
    <hyperlink r:id="rId5758" ref="H5751"/>
    <hyperlink r:id="rId5759" ref="H5752"/>
    <hyperlink r:id="rId5760" ref="H5753"/>
    <hyperlink r:id="rId5761" ref="H5754"/>
    <hyperlink r:id="rId5762" ref="H5755"/>
    <hyperlink r:id="rId5763" ref="H5756"/>
    <hyperlink r:id="rId5764" ref="H5757"/>
    <hyperlink r:id="rId5765" ref="H5758"/>
    <hyperlink r:id="rId5766" ref="H5759"/>
    <hyperlink r:id="rId5767" ref="H5760"/>
    <hyperlink r:id="rId5768" ref="H5761"/>
    <hyperlink r:id="rId5769" ref="H5762"/>
    <hyperlink r:id="rId5770" ref="H5763"/>
    <hyperlink r:id="rId5771" ref="H5764"/>
    <hyperlink r:id="rId5772" ref="H5765"/>
    <hyperlink r:id="rId5773" ref="H5766"/>
    <hyperlink r:id="rId5774" ref="H5767"/>
    <hyperlink r:id="rId5775" ref="H5768"/>
    <hyperlink r:id="rId5776" ref="H5769"/>
    <hyperlink r:id="rId5777" ref="H5770"/>
    <hyperlink r:id="rId5778" ref="H5771"/>
    <hyperlink r:id="rId5779" ref="H5772"/>
    <hyperlink r:id="rId5780" ref="H5773"/>
    <hyperlink r:id="rId5781" ref="H5774"/>
    <hyperlink r:id="rId5782" ref="H5775"/>
    <hyperlink r:id="rId5783" ref="H5776"/>
    <hyperlink r:id="rId5784" ref="H5777"/>
    <hyperlink r:id="rId5785" ref="H5778"/>
    <hyperlink r:id="rId5786" ref="H5779"/>
    <hyperlink r:id="rId5787" ref="H5780"/>
    <hyperlink r:id="rId5788" ref="H5781"/>
    <hyperlink r:id="rId5789" ref="H5782"/>
    <hyperlink r:id="rId5790" ref="H5783"/>
    <hyperlink r:id="rId5791" ref="H5784"/>
    <hyperlink r:id="rId5792" ref="H5785"/>
    <hyperlink r:id="rId5793" ref="H5786"/>
    <hyperlink r:id="rId5794" ref="H5787"/>
    <hyperlink r:id="rId5795" ref="H5788"/>
    <hyperlink r:id="rId5796" ref="H5789"/>
    <hyperlink r:id="rId5797" ref="H5790"/>
    <hyperlink r:id="rId5798" ref="H5791"/>
    <hyperlink r:id="rId5799" ref="H5792"/>
    <hyperlink r:id="rId5800" ref="H5793"/>
    <hyperlink r:id="rId5801" ref="H5794"/>
    <hyperlink r:id="rId5802" ref="H5795"/>
    <hyperlink r:id="rId5803" ref="H5796"/>
    <hyperlink r:id="rId5804" ref="H5797"/>
    <hyperlink r:id="rId5805" ref="H5798"/>
    <hyperlink r:id="rId5806" ref="H5799"/>
    <hyperlink r:id="rId5807" ref="H5800"/>
    <hyperlink r:id="rId5808" ref="H5801"/>
    <hyperlink r:id="rId5809" ref="H5802"/>
    <hyperlink r:id="rId5810" ref="H5803"/>
    <hyperlink r:id="rId5811" ref="H5804"/>
    <hyperlink r:id="rId5812" ref="H5805"/>
    <hyperlink r:id="rId5813" ref="H5806"/>
    <hyperlink r:id="rId5814" ref="H5807"/>
    <hyperlink r:id="rId5815" ref="H5808"/>
    <hyperlink r:id="rId5816" ref="H5809"/>
    <hyperlink r:id="rId5817" ref="H5810"/>
    <hyperlink r:id="rId5818" ref="H5811"/>
    <hyperlink r:id="rId5819" ref="H5812"/>
    <hyperlink r:id="rId5820" ref="H5813"/>
    <hyperlink r:id="rId5821" ref="H5814"/>
    <hyperlink r:id="rId5822" ref="H5815"/>
    <hyperlink r:id="rId5823" ref="H5816"/>
    <hyperlink r:id="rId5824" ref="H5817"/>
    <hyperlink r:id="rId5825" ref="H5818"/>
    <hyperlink r:id="rId5826" ref="H5819"/>
    <hyperlink r:id="rId5827" ref="H5820"/>
    <hyperlink r:id="rId5828" ref="H5821"/>
    <hyperlink r:id="rId5829" ref="H5822"/>
    <hyperlink r:id="rId5830" ref="H5823"/>
    <hyperlink r:id="rId5831" ref="H5824"/>
    <hyperlink r:id="rId5832" ref="H5825"/>
    <hyperlink r:id="rId5833" ref="H5826"/>
    <hyperlink r:id="rId5834" ref="H5827"/>
    <hyperlink r:id="rId5835" ref="H5828"/>
    <hyperlink r:id="rId5836" ref="H5829"/>
    <hyperlink r:id="rId5837" ref="H5830"/>
    <hyperlink r:id="rId5838" ref="H5831"/>
    <hyperlink r:id="rId5839" ref="H5832"/>
    <hyperlink r:id="rId5840" ref="H5833"/>
    <hyperlink r:id="rId5841" ref="H5834"/>
    <hyperlink r:id="rId5842" ref="H5835"/>
    <hyperlink r:id="rId5843" ref="H5836"/>
    <hyperlink r:id="rId5844" ref="H5837"/>
    <hyperlink r:id="rId5845" ref="H5838"/>
    <hyperlink r:id="rId5846" ref="H5839"/>
    <hyperlink r:id="rId5847" ref="H5840"/>
    <hyperlink r:id="rId5848" ref="H5841"/>
    <hyperlink r:id="rId5849" ref="H5842"/>
    <hyperlink r:id="rId5850" ref="H5843"/>
    <hyperlink r:id="rId5851" ref="H5844"/>
    <hyperlink r:id="rId5852" ref="H5845"/>
    <hyperlink r:id="rId5853" ref="H5846"/>
    <hyperlink r:id="rId5854" ref="H5847"/>
    <hyperlink r:id="rId5855" ref="H5848"/>
    <hyperlink r:id="rId5856" ref="H5849"/>
    <hyperlink r:id="rId5857" ref="H5850"/>
    <hyperlink r:id="rId5858" ref="H5851"/>
    <hyperlink r:id="rId5859" ref="H5852"/>
    <hyperlink r:id="rId5860" ref="H5853"/>
    <hyperlink r:id="rId5861" ref="H5854"/>
    <hyperlink r:id="rId5862" ref="H5855"/>
    <hyperlink r:id="rId5863" ref="H5856"/>
    <hyperlink r:id="rId5864" ref="H5857"/>
    <hyperlink r:id="rId5865" ref="H5858"/>
    <hyperlink r:id="rId5866" ref="H5859"/>
    <hyperlink r:id="rId5867" ref="H5860"/>
    <hyperlink r:id="rId5868" ref="H5861"/>
    <hyperlink r:id="rId5869" ref="H5862"/>
    <hyperlink r:id="rId5870" ref="H5863"/>
    <hyperlink r:id="rId5871" ref="H5864"/>
    <hyperlink r:id="rId5872" ref="H5865"/>
    <hyperlink r:id="rId5873" ref="H5866"/>
    <hyperlink r:id="rId5874" ref="H5867"/>
    <hyperlink r:id="rId5875" ref="H5868"/>
    <hyperlink r:id="rId5876" ref="H5869"/>
    <hyperlink r:id="rId5877" ref="H5870"/>
    <hyperlink r:id="rId5878" ref="H5871"/>
    <hyperlink r:id="rId5879" ref="H5872"/>
    <hyperlink r:id="rId5880" ref="H5873"/>
    <hyperlink r:id="rId5881" ref="H5874"/>
    <hyperlink r:id="rId5882" ref="H5875"/>
    <hyperlink r:id="rId5883" ref="H5876"/>
    <hyperlink r:id="rId5884" ref="H5877"/>
    <hyperlink r:id="rId5885" ref="H5878"/>
    <hyperlink r:id="rId5886" ref="H5879"/>
    <hyperlink r:id="rId5887" ref="H5880"/>
    <hyperlink r:id="rId5888" ref="H5881"/>
    <hyperlink r:id="rId5889" ref="H5882"/>
    <hyperlink r:id="rId5890" ref="H5883"/>
    <hyperlink r:id="rId5891" ref="H5884"/>
    <hyperlink r:id="rId5892" ref="H5885"/>
    <hyperlink r:id="rId5893" ref="H5886"/>
    <hyperlink r:id="rId5894" ref="H5887"/>
    <hyperlink r:id="rId5895" ref="H5888"/>
    <hyperlink r:id="rId5896" ref="H5889"/>
    <hyperlink r:id="rId5897" ref="H5890"/>
    <hyperlink r:id="rId5898" ref="H5891"/>
    <hyperlink r:id="rId5899" ref="H5892"/>
    <hyperlink r:id="rId5900" ref="H5893"/>
    <hyperlink r:id="rId5901" ref="H5894"/>
    <hyperlink r:id="rId5902" ref="H5895"/>
    <hyperlink r:id="rId5903" ref="H5896"/>
    <hyperlink r:id="rId5904" ref="H5897"/>
    <hyperlink r:id="rId5905" ref="H5898"/>
    <hyperlink r:id="rId5906" ref="H5899"/>
    <hyperlink r:id="rId5907" ref="H5900"/>
    <hyperlink r:id="rId5908" ref="H5901"/>
    <hyperlink r:id="rId5909" ref="H5902"/>
    <hyperlink r:id="rId5910" ref="H5903"/>
    <hyperlink r:id="rId5911" ref="H5904"/>
    <hyperlink r:id="rId5912" ref="H5905"/>
    <hyperlink r:id="rId5913" ref="H5906"/>
    <hyperlink r:id="rId5914" ref="H5907"/>
    <hyperlink r:id="rId5915" ref="H5908"/>
    <hyperlink r:id="rId5916" ref="H5909"/>
    <hyperlink r:id="rId5917" ref="H5910"/>
    <hyperlink r:id="rId5918" ref="H5911"/>
    <hyperlink r:id="rId5919" ref="H5912"/>
    <hyperlink r:id="rId5920" ref="H5913"/>
    <hyperlink r:id="rId5921" ref="H5914"/>
    <hyperlink r:id="rId5922" ref="H5915"/>
    <hyperlink r:id="rId5923" ref="H5916"/>
    <hyperlink r:id="rId5924" ref="H5917"/>
    <hyperlink r:id="rId5925" ref="H5918"/>
    <hyperlink r:id="rId5926" ref="H5919"/>
    <hyperlink r:id="rId5927" ref="H5920"/>
    <hyperlink r:id="rId5928" ref="H5921"/>
    <hyperlink r:id="rId5929" ref="H5922"/>
    <hyperlink r:id="rId5930" ref="H5923"/>
    <hyperlink r:id="rId5931" ref="H5924"/>
    <hyperlink r:id="rId5932" ref="H5925"/>
    <hyperlink r:id="rId5933" ref="H5926"/>
    <hyperlink r:id="rId5934" ref="H5927"/>
    <hyperlink r:id="rId5935" ref="H5928"/>
    <hyperlink r:id="rId5936" ref="H5929"/>
    <hyperlink r:id="rId5937" ref="H5930"/>
    <hyperlink r:id="rId5938" ref="H5931"/>
    <hyperlink r:id="rId5939" ref="H5932"/>
    <hyperlink r:id="rId5940" ref="H5933"/>
    <hyperlink r:id="rId5941" ref="H5934"/>
    <hyperlink r:id="rId5942" ref="H5935"/>
    <hyperlink r:id="rId5943" ref="H5936"/>
    <hyperlink r:id="rId5944" ref="H5937"/>
    <hyperlink r:id="rId5945" ref="H5938"/>
    <hyperlink r:id="rId5946" ref="H5939"/>
    <hyperlink r:id="rId5947" ref="H5940"/>
    <hyperlink r:id="rId5948" ref="H5941"/>
    <hyperlink r:id="rId5949" ref="H5942"/>
    <hyperlink r:id="rId5950" ref="H5943"/>
    <hyperlink r:id="rId5951" ref="H5944"/>
    <hyperlink r:id="rId5952" ref="H5945"/>
    <hyperlink r:id="rId5953" ref="H5946"/>
    <hyperlink r:id="rId5954" ref="H5947"/>
    <hyperlink r:id="rId5955" ref="H5948"/>
    <hyperlink r:id="rId5956" ref="H5949"/>
    <hyperlink r:id="rId5957" ref="H5950"/>
    <hyperlink r:id="rId5958" ref="H5951"/>
    <hyperlink r:id="rId5959" ref="H5952"/>
    <hyperlink r:id="rId5960" ref="H5953"/>
    <hyperlink r:id="rId5961" ref="H5954"/>
    <hyperlink r:id="rId5962" ref="H5955"/>
    <hyperlink r:id="rId5963" ref="H5956"/>
    <hyperlink r:id="rId5964" ref="H5957"/>
    <hyperlink r:id="rId5965" ref="H5958"/>
    <hyperlink r:id="rId5966" ref="H5959"/>
    <hyperlink r:id="rId5967" ref="H5960"/>
    <hyperlink r:id="rId5968" ref="H5961"/>
    <hyperlink r:id="rId5969" ref="H5962"/>
    <hyperlink r:id="rId5970" ref="H5963"/>
    <hyperlink r:id="rId5971" ref="H5964"/>
    <hyperlink r:id="rId5972" ref="H5965"/>
    <hyperlink r:id="rId5973" ref="H5966"/>
    <hyperlink r:id="rId5974" ref="H5967"/>
    <hyperlink r:id="rId5975" ref="H5968"/>
    <hyperlink r:id="rId5976" ref="H5969"/>
    <hyperlink r:id="rId5977" ref="H5970"/>
    <hyperlink r:id="rId5978" ref="H5971"/>
    <hyperlink r:id="rId5979" ref="H5972"/>
    <hyperlink r:id="rId5980" ref="H5973"/>
    <hyperlink r:id="rId5981" ref="H5974"/>
    <hyperlink r:id="rId5982" ref="H5975"/>
    <hyperlink r:id="rId5983" ref="H5976"/>
    <hyperlink r:id="rId5984" ref="H5977"/>
    <hyperlink r:id="rId5985" ref="H5978"/>
    <hyperlink r:id="rId5986" ref="H5979"/>
    <hyperlink r:id="rId5987" ref="H5980"/>
    <hyperlink r:id="rId5988" ref="H5981"/>
    <hyperlink r:id="rId5989" ref="H5982"/>
    <hyperlink r:id="rId5990" ref="H5983"/>
    <hyperlink r:id="rId5991" ref="H5984"/>
    <hyperlink r:id="rId5992" ref="H5985"/>
    <hyperlink r:id="rId5993" ref="H5986"/>
    <hyperlink r:id="rId5994" ref="H5987"/>
    <hyperlink r:id="rId5995" ref="H5988"/>
    <hyperlink r:id="rId5996" ref="H5989"/>
    <hyperlink r:id="rId5997" ref="H5990"/>
    <hyperlink r:id="rId5998" ref="H5991"/>
    <hyperlink r:id="rId5999" ref="H5992"/>
    <hyperlink r:id="rId6000" ref="H5993"/>
    <hyperlink r:id="rId6001" ref="H5994"/>
    <hyperlink r:id="rId6002" ref="H5995"/>
    <hyperlink r:id="rId6003" ref="H5996"/>
    <hyperlink r:id="rId6004" ref="H5997"/>
    <hyperlink r:id="rId6005" ref="H5998"/>
    <hyperlink r:id="rId6006" ref="H5999"/>
    <hyperlink r:id="rId6007" ref="H6000"/>
    <hyperlink r:id="rId6008" ref="H6001"/>
    <hyperlink r:id="rId6009" ref="H6002"/>
    <hyperlink r:id="rId6010" ref="H6003"/>
    <hyperlink r:id="rId6011" ref="H6004"/>
    <hyperlink r:id="rId6012" ref="H6005"/>
    <hyperlink r:id="rId6013" ref="H6006"/>
    <hyperlink r:id="rId6014" ref="H6007"/>
    <hyperlink r:id="rId6015" ref="H6008"/>
    <hyperlink r:id="rId6016" ref="H6009"/>
    <hyperlink r:id="rId6017" ref="H6010"/>
    <hyperlink r:id="rId6018" ref="H6011"/>
    <hyperlink r:id="rId6019" ref="H6012"/>
    <hyperlink r:id="rId6020" ref="H6013"/>
    <hyperlink r:id="rId6021" ref="H6014"/>
    <hyperlink r:id="rId6022" ref="H6015"/>
    <hyperlink r:id="rId6023" ref="H6016"/>
    <hyperlink r:id="rId6024" ref="H6017"/>
    <hyperlink r:id="rId6025" ref="H6018"/>
    <hyperlink r:id="rId6026" ref="H6019"/>
    <hyperlink r:id="rId6027" ref="H6020"/>
    <hyperlink r:id="rId6028" ref="H6021"/>
    <hyperlink r:id="rId6029" ref="H6022"/>
    <hyperlink r:id="rId6030" ref="H6023"/>
    <hyperlink r:id="rId6031" ref="H6024"/>
    <hyperlink r:id="rId6032" ref="H6025"/>
    <hyperlink r:id="rId6033" ref="H6026"/>
    <hyperlink r:id="rId6034" ref="H6027"/>
    <hyperlink r:id="rId6035" ref="H6028"/>
    <hyperlink r:id="rId6036" ref="H6029"/>
    <hyperlink r:id="rId6037" ref="H6030"/>
    <hyperlink r:id="rId6038" ref="H6031"/>
    <hyperlink r:id="rId6039" ref="H6032"/>
    <hyperlink r:id="rId6040" ref="H6033"/>
    <hyperlink r:id="rId6041" ref="H6034"/>
    <hyperlink r:id="rId6042" ref="H6035"/>
    <hyperlink r:id="rId6043" ref="H6036"/>
    <hyperlink r:id="rId6044" ref="H6037"/>
    <hyperlink r:id="rId6045" ref="H6038"/>
    <hyperlink r:id="rId6046" ref="H6039"/>
    <hyperlink r:id="rId6047" ref="H6040"/>
    <hyperlink r:id="rId6048" ref="H6041"/>
    <hyperlink r:id="rId6049" ref="H6042"/>
    <hyperlink r:id="rId6050" ref="H6043"/>
    <hyperlink r:id="rId6051" ref="H6044"/>
    <hyperlink r:id="rId6052" ref="H6045"/>
    <hyperlink r:id="rId6053" ref="H6046"/>
    <hyperlink r:id="rId6054" ref="H6047"/>
    <hyperlink r:id="rId6055" ref="H6048"/>
    <hyperlink r:id="rId6056" ref="H6049"/>
    <hyperlink r:id="rId6057" ref="H6050"/>
    <hyperlink r:id="rId6058" ref="H6051"/>
    <hyperlink r:id="rId6059" ref="H6052"/>
    <hyperlink r:id="rId6060" ref="H6053"/>
    <hyperlink r:id="rId6061" ref="H6054"/>
    <hyperlink r:id="rId6062" ref="H6055"/>
    <hyperlink r:id="rId6063" ref="H6056"/>
    <hyperlink r:id="rId6064" ref="H6057"/>
    <hyperlink r:id="rId6065" ref="H6058"/>
    <hyperlink r:id="rId6066" ref="H6059"/>
    <hyperlink r:id="rId6067" ref="H6060"/>
    <hyperlink r:id="rId6068" ref="H6061"/>
    <hyperlink r:id="rId6069" ref="H6062"/>
    <hyperlink r:id="rId6070" ref="H6063"/>
    <hyperlink r:id="rId6071" ref="H6064"/>
    <hyperlink r:id="rId6072" ref="H6065"/>
    <hyperlink r:id="rId6073" ref="H6066"/>
    <hyperlink r:id="rId6074" ref="H6067"/>
    <hyperlink r:id="rId6075" ref="H6068"/>
    <hyperlink r:id="rId6076" ref="H6069"/>
    <hyperlink r:id="rId6077" ref="H6070"/>
    <hyperlink r:id="rId6078" ref="H6071"/>
    <hyperlink r:id="rId6079" ref="H6072"/>
    <hyperlink r:id="rId6080" ref="H6073"/>
    <hyperlink r:id="rId6081" ref="H6074"/>
    <hyperlink r:id="rId6082" ref="H6075"/>
    <hyperlink r:id="rId6083" ref="H6076"/>
    <hyperlink r:id="rId6084" ref="H6077"/>
    <hyperlink r:id="rId6085" ref="H6078"/>
    <hyperlink r:id="rId6086" ref="H6079"/>
    <hyperlink r:id="rId6087" ref="H6080"/>
    <hyperlink r:id="rId6088" ref="H6081"/>
    <hyperlink r:id="rId6089" ref="H6082"/>
    <hyperlink r:id="rId6090" ref="H6083"/>
    <hyperlink r:id="rId6091" ref="H6084"/>
    <hyperlink r:id="rId6092" ref="H6085"/>
    <hyperlink r:id="rId6093" ref="H6086"/>
    <hyperlink r:id="rId6094" ref="H6087"/>
    <hyperlink r:id="rId6095" ref="H6088"/>
    <hyperlink r:id="rId6096" ref="H6089"/>
    <hyperlink r:id="rId6097" ref="H6090"/>
    <hyperlink r:id="rId6098" ref="H6091"/>
    <hyperlink r:id="rId6099" ref="H6092"/>
    <hyperlink r:id="rId6100" ref="H6093"/>
    <hyperlink r:id="rId6101" ref="H6094"/>
    <hyperlink r:id="rId6102" ref="H6095"/>
    <hyperlink r:id="rId6103" ref="H6096"/>
    <hyperlink r:id="rId6104" ref="H6097"/>
    <hyperlink r:id="rId6105" ref="H6098"/>
    <hyperlink r:id="rId6106" ref="H6099"/>
    <hyperlink r:id="rId6107" ref="H6100"/>
    <hyperlink r:id="rId6108" ref="H6101"/>
    <hyperlink r:id="rId6109" ref="H6102"/>
    <hyperlink r:id="rId6110" ref="H6103"/>
    <hyperlink r:id="rId6111" ref="H6104"/>
    <hyperlink r:id="rId6112" ref="H6105"/>
    <hyperlink r:id="rId6113" ref="H6106"/>
    <hyperlink r:id="rId6114" ref="H6107"/>
    <hyperlink r:id="rId6115" ref="H6108"/>
    <hyperlink r:id="rId6116" ref="H6109"/>
    <hyperlink r:id="rId6117" ref="H6110"/>
    <hyperlink r:id="rId6118" ref="H6111"/>
    <hyperlink r:id="rId6119" ref="H6112"/>
    <hyperlink r:id="rId6120" ref="H6113"/>
    <hyperlink r:id="rId6121" ref="H6114"/>
    <hyperlink r:id="rId6122" ref="H6115"/>
    <hyperlink r:id="rId6123" ref="H6116"/>
    <hyperlink r:id="rId6124" ref="H6117"/>
    <hyperlink r:id="rId6125" ref="H6118"/>
    <hyperlink r:id="rId6126" ref="H6119"/>
    <hyperlink r:id="rId6127" ref="H6120"/>
    <hyperlink r:id="rId6128" ref="H6121"/>
    <hyperlink r:id="rId6129" ref="H6122"/>
    <hyperlink r:id="rId6130" ref="H6123"/>
    <hyperlink r:id="rId6131" ref="H6124"/>
    <hyperlink r:id="rId6132" ref="H6125"/>
    <hyperlink r:id="rId6133" ref="H6126"/>
    <hyperlink r:id="rId6134" ref="H6127"/>
    <hyperlink r:id="rId6135" ref="H6128"/>
    <hyperlink r:id="rId6136" ref="H6129"/>
    <hyperlink r:id="rId6137" ref="H6130"/>
    <hyperlink r:id="rId6138" ref="H6131"/>
    <hyperlink r:id="rId6139" ref="H6132"/>
    <hyperlink r:id="rId6140" ref="H6133"/>
    <hyperlink r:id="rId6141" ref="H6134"/>
    <hyperlink r:id="rId6142" ref="H6135"/>
    <hyperlink r:id="rId6143" ref="H6136"/>
    <hyperlink r:id="rId6144" ref="H6137"/>
    <hyperlink r:id="rId6145" ref="H6138"/>
    <hyperlink r:id="rId6146" ref="H6139"/>
    <hyperlink r:id="rId6147" ref="H6140"/>
    <hyperlink r:id="rId6148" ref="H6141"/>
    <hyperlink r:id="rId6149" ref="H6142"/>
    <hyperlink r:id="rId6150" ref="H6143"/>
    <hyperlink r:id="rId6151" ref="H6144"/>
    <hyperlink r:id="rId6152" ref="H6145"/>
    <hyperlink r:id="rId6153" ref="H6146"/>
    <hyperlink r:id="rId6154" ref="H6147"/>
    <hyperlink r:id="rId6155" ref="H6148"/>
    <hyperlink r:id="rId6156" ref="H6149"/>
    <hyperlink r:id="rId6157" ref="H6150"/>
    <hyperlink r:id="rId6158" ref="H6151"/>
    <hyperlink r:id="rId6159" ref="H6152"/>
    <hyperlink r:id="rId6160" ref="H6153"/>
    <hyperlink r:id="rId6161" ref="H6154"/>
    <hyperlink r:id="rId6162" ref="H6155"/>
    <hyperlink r:id="rId6163" ref="H6156"/>
    <hyperlink r:id="rId6164" ref="H6157"/>
    <hyperlink r:id="rId6165" ref="H6158"/>
    <hyperlink r:id="rId6166" ref="H6159"/>
    <hyperlink r:id="rId6167" ref="H6160"/>
    <hyperlink r:id="rId6168" ref="H6161"/>
    <hyperlink r:id="rId6169" ref="H6162"/>
    <hyperlink r:id="rId6170" ref="H6163"/>
    <hyperlink r:id="rId6171" ref="H6164"/>
    <hyperlink r:id="rId6172" ref="H6165"/>
    <hyperlink r:id="rId6173" ref="H6166"/>
    <hyperlink r:id="rId6174" ref="H6167"/>
    <hyperlink r:id="rId6175" ref="H6168"/>
    <hyperlink r:id="rId6176" ref="H6169"/>
    <hyperlink r:id="rId6177" ref="H6170"/>
    <hyperlink r:id="rId6178" ref="H6171"/>
    <hyperlink r:id="rId6179" ref="H6172"/>
    <hyperlink r:id="rId6180" ref="H6173"/>
    <hyperlink r:id="rId6181" ref="H6174"/>
    <hyperlink r:id="rId6182" ref="H6175"/>
    <hyperlink r:id="rId6183" ref="H6176"/>
    <hyperlink r:id="rId6184" ref="H6177"/>
    <hyperlink r:id="rId6185" ref="H6178"/>
    <hyperlink r:id="rId6186" ref="H6179"/>
    <hyperlink r:id="rId6187" ref="H6180"/>
    <hyperlink r:id="rId6188" ref="H6181"/>
    <hyperlink r:id="rId6189" ref="H6182"/>
    <hyperlink r:id="rId6190" ref="H6183"/>
    <hyperlink r:id="rId6191" ref="H6184"/>
    <hyperlink r:id="rId6192" ref="H6185"/>
    <hyperlink r:id="rId6193" ref="H6186"/>
    <hyperlink r:id="rId6194" ref="H6187"/>
    <hyperlink r:id="rId6195" ref="H6188"/>
    <hyperlink r:id="rId6196" ref="H6189"/>
    <hyperlink r:id="rId6197" ref="H6190"/>
    <hyperlink r:id="rId6198" ref="H6191"/>
    <hyperlink r:id="rId6199" ref="H6192"/>
    <hyperlink r:id="rId6200" ref="H6193"/>
    <hyperlink r:id="rId6201" ref="H6194"/>
    <hyperlink r:id="rId6202" ref="H6195"/>
    <hyperlink r:id="rId6203" ref="H6196"/>
    <hyperlink r:id="rId6204" ref="H6197"/>
    <hyperlink r:id="rId6205" ref="H6198"/>
    <hyperlink r:id="rId6206" ref="H6199"/>
    <hyperlink r:id="rId6207" ref="H6200"/>
    <hyperlink r:id="rId6208" ref="H6201"/>
    <hyperlink r:id="rId6209" ref="H6202"/>
    <hyperlink r:id="rId6210" ref="H6203"/>
    <hyperlink r:id="rId6211" ref="H6204"/>
    <hyperlink r:id="rId6212" ref="H6205"/>
    <hyperlink r:id="rId6213" ref="H6206"/>
    <hyperlink r:id="rId6214" ref="H6207"/>
    <hyperlink r:id="rId6215" ref="H6208"/>
    <hyperlink r:id="rId6216" ref="H6209"/>
    <hyperlink r:id="rId6217" ref="H6210"/>
    <hyperlink r:id="rId6218" ref="H6211"/>
    <hyperlink r:id="rId6219" ref="H6212"/>
    <hyperlink r:id="rId6220" ref="H6213"/>
    <hyperlink r:id="rId6221" ref="H6214"/>
    <hyperlink r:id="rId6222" ref="H6215"/>
    <hyperlink r:id="rId6223" ref="H6216"/>
    <hyperlink r:id="rId6224" ref="H6217"/>
    <hyperlink r:id="rId6225" ref="H6218"/>
    <hyperlink r:id="rId6226" ref="H6219"/>
    <hyperlink r:id="rId6227" ref="H6220"/>
    <hyperlink r:id="rId6228" ref="H6221"/>
    <hyperlink r:id="rId6229" ref="H6222"/>
    <hyperlink r:id="rId6230" ref="H6223"/>
    <hyperlink r:id="rId6231" ref="H6224"/>
    <hyperlink r:id="rId6232" ref="H6225"/>
    <hyperlink r:id="rId6233" ref="H6226"/>
    <hyperlink r:id="rId6234" ref="H6227"/>
    <hyperlink r:id="rId6235" ref="H6228"/>
    <hyperlink r:id="rId6236" ref="H6229"/>
    <hyperlink r:id="rId6237" ref="H6230"/>
    <hyperlink r:id="rId6238" ref="H6231"/>
    <hyperlink r:id="rId6239" ref="H6232"/>
    <hyperlink r:id="rId6240" ref="H6233"/>
    <hyperlink r:id="rId6241" ref="H6234"/>
    <hyperlink r:id="rId6242" ref="H6235"/>
    <hyperlink r:id="rId6243" ref="H6236"/>
    <hyperlink r:id="rId6244" ref="H6237"/>
    <hyperlink r:id="rId6245" ref="H6238"/>
    <hyperlink r:id="rId6246" ref="H6239"/>
    <hyperlink r:id="rId6247" ref="H6240"/>
    <hyperlink r:id="rId6248" ref="H6241"/>
    <hyperlink r:id="rId6249" ref="H6242"/>
    <hyperlink r:id="rId6250" ref="H6243"/>
    <hyperlink r:id="rId6251" ref="H6244"/>
    <hyperlink r:id="rId6252" ref="H6245"/>
    <hyperlink r:id="rId6253" ref="H6246"/>
    <hyperlink r:id="rId6254" ref="H6247"/>
    <hyperlink r:id="rId6255" ref="H6248"/>
    <hyperlink r:id="rId6256" ref="H6249"/>
    <hyperlink r:id="rId6257" ref="H6250"/>
    <hyperlink r:id="rId6258" ref="H6251"/>
    <hyperlink r:id="rId6259" ref="H6252"/>
    <hyperlink r:id="rId6260" ref="H6253"/>
    <hyperlink r:id="rId6261" ref="H6254"/>
    <hyperlink r:id="rId6262" ref="H6255"/>
    <hyperlink r:id="rId6263" ref="H6256"/>
    <hyperlink r:id="rId6264" ref="H6257"/>
    <hyperlink r:id="rId6265" ref="H6258"/>
    <hyperlink r:id="rId6266" ref="H6259"/>
    <hyperlink r:id="rId6267" ref="H6260"/>
    <hyperlink r:id="rId6268" ref="H6261"/>
    <hyperlink r:id="rId6269" ref="H6262"/>
    <hyperlink r:id="rId6270" ref="H6263"/>
    <hyperlink r:id="rId6271" ref="H6264"/>
    <hyperlink r:id="rId6272" ref="H6265"/>
    <hyperlink r:id="rId6273" ref="H6266"/>
    <hyperlink r:id="rId6274" ref="H6267"/>
    <hyperlink r:id="rId6275" ref="H6268"/>
    <hyperlink r:id="rId6276" ref="H6269"/>
    <hyperlink r:id="rId6277" ref="H6270"/>
    <hyperlink r:id="rId6278" ref="H6271"/>
    <hyperlink r:id="rId6279" ref="H6272"/>
    <hyperlink r:id="rId6280" ref="H6273"/>
    <hyperlink r:id="rId6281" ref="H6274"/>
    <hyperlink r:id="rId6282" ref="H6275"/>
    <hyperlink r:id="rId6283" ref="H6276"/>
    <hyperlink r:id="rId6284" ref="H6277"/>
    <hyperlink r:id="rId6285" ref="H6278"/>
    <hyperlink r:id="rId6286" ref="H6279"/>
    <hyperlink r:id="rId6287" ref="H6280"/>
    <hyperlink r:id="rId6288" ref="H6281"/>
    <hyperlink r:id="rId6289" ref="H6282"/>
    <hyperlink r:id="rId6290" ref="H6283"/>
    <hyperlink r:id="rId6291" ref="H6284"/>
    <hyperlink r:id="rId6292" ref="H6285"/>
    <hyperlink r:id="rId6293" ref="H6286"/>
    <hyperlink r:id="rId6294" ref="H6287"/>
    <hyperlink r:id="rId6295" ref="H6288"/>
    <hyperlink r:id="rId6296" ref="H6289"/>
    <hyperlink r:id="rId6297" ref="H6290"/>
    <hyperlink r:id="rId6298" ref="H6291"/>
    <hyperlink r:id="rId6299" ref="H6292"/>
    <hyperlink r:id="rId6300" ref="H6293"/>
    <hyperlink r:id="rId6301" ref="H6294"/>
    <hyperlink r:id="rId6302" ref="H6295"/>
    <hyperlink r:id="rId6303" ref="H6296"/>
    <hyperlink r:id="rId6304" ref="H6297"/>
    <hyperlink r:id="rId6305" ref="H6298"/>
    <hyperlink r:id="rId6306" ref="H6299"/>
    <hyperlink r:id="rId6307" ref="H6300"/>
    <hyperlink r:id="rId6308" ref="H6301"/>
    <hyperlink r:id="rId6309" ref="H6302"/>
    <hyperlink r:id="rId6310" ref="H6303"/>
    <hyperlink r:id="rId6311" ref="H6304"/>
    <hyperlink r:id="rId6312" ref="H6305"/>
    <hyperlink r:id="rId6313" ref="H6306"/>
    <hyperlink r:id="rId6314" ref="H6307"/>
    <hyperlink r:id="rId6315" ref="H6308"/>
    <hyperlink r:id="rId6316" ref="H6309"/>
    <hyperlink r:id="rId6317" ref="H6310"/>
    <hyperlink r:id="rId6318" ref="H6311"/>
    <hyperlink r:id="rId6319" ref="H6312"/>
    <hyperlink r:id="rId6320" ref="H6313"/>
    <hyperlink r:id="rId6321" ref="H6314"/>
    <hyperlink r:id="rId6322" ref="H6315"/>
    <hyperlink r:id="rId6323" ref="H6316"/>
    <hyperlink r:id="rId6324" ref="H6317"/>
    <hyperlink r:id="rId6325" ref="H6318"/>
    <hyperlink r:id="rId6326" ref="H6319"/>
    <hyperlink r:id="rId6327" ref="H6320"/>
    <hyperlink r:id="rId6328" ref="H6321"/>
    <hyperlink r:id="rId6329" ref="H6322"/>
    <hyperlink r:id="rId6330" ref="H6323"/>
    <hyperlink r:id="rId6331" ref="H6324"/>
    <hyperlink r:id="rId6332" ref="H6325"/>
    <hyperlink r:id="rId6333" ref="H6326"/>
    <hyperlink r:id="rId6334" ref="H6327"/>
    <hyperlink r:id="rId6335" ref="H6328"/>
    <hyperlink r:id="rId6336" ref="H6329"/>
    <hyperlink r:id="rId6337" ref="H6330"/>
    <hyperlink r:id="rId6338" ref="H6331"/>
    <hyperlink r:id="rId6339" ref="H6332"/>
    <hyperlink r:id="rId6340" ref="H6333"/>
    <hyperlink r:id="rId6341" ref="H6334"/>
    <hyperlink r:id="rId6342" ref="H6335"/>
    <hyperlink r:id="rId6343" ref="H6336"/>
    <hyperlink r:id="rId6344" ref="H6337"/>
    <hyperlink r:id="rId6345" ref="H6338"/>
    <hyperlink r:id="rId6346" ref="H6339"/>
    <hyperlink r:id="rId6347" ref="H6340"/>
    <hyperlink r:id="rId6348" ref="H6341"/>
    <hyperlink r:id="rId6349" ref="H6342"/>
    <hyperlink r:id="rId6350" ref="H6343"/>
    <hyperlink r:id="rId6351" ref="H6344"/>
    <hyperlink r:id="rId6352" ref="H6345"/>
    <hyperlink r:id="rId6353" ref="H6346"/>
    <hyperlink r:id="rId6354" ref="H6347"/>
    <hyperlink r:id="rId6355" ref="H6348"/>
    <hyperlink r:id="rId6356" ref="H6349"/>
    <hyperlink r:id="rId6357" ref="H6350"/>
    <hyperlink r:id="rId6358" ref="H6351"/>
    <hyperlink r:id="rId6359" ref="H6352"/>
    <hyperlink r:id="rId6360" ref="H6353"/>
    <hyperlink r:id="rId6361" ref="H6354"/>
    <hyperlink r:id="rId6362" ref="H6355"/>
    <hyperlink r:id="rId6363" ref="H6356"/>
    <hyperlink r:id="rId6364" ref="H6357"/>
    <hyperlink r:id="rId6365" ref="H6358"/>
    <hyperlink r:id="rId6366" ref="H6359"/>
    <hyperlink r:id="rId6367" ref="H6360"/>
    <hyperlink r:id="rId6368" ref="H6361"/>
    <hyperlink r:id="rId6369" ref="H6362"/>
    <hyperlink r:id="rId6370" ref="H6363"/>
    <hyperlink r:id="rId6371" ref="H6364"/>
    <hyperlink r:id="rId6372" ref="H6365"/>
    <hyperlink r:id="rId6373" ref="H6366"/>
    <hyperlink r:id="rId6374" ref="H6367"/>
    <hyperlink r:id="rId6375" ref="H6368"/>
    <hyperlink r:id="rId6376" ref="H6369"/>
    <hyperlink r:id="rId6377" ref="H6370"/>
    <hyperlink r:id="rId6378" ref="H6371"/>
    <hyperlink r:id="rId6379" ref="H6372"/>
    <hyperlink r:id="rId6380" ref="H6373"/>
    <hyperlink r:id="rId6381" ref="H6374"/>
    <hyperlink r:id="rId6382" ref="H6375"/>
    <hyperlink r:id="rId6383" ref="H6376"/>
    <hyperlink r:id="rId6384" ref="H6377"/>
    <hyperlink r:id="rId6385" ref="H6378"/>
    <hyperlink r:id="rId6386" ref="H6379"/>
    <hyperlink r:id="rId6387" ref="H6380"/>
    <hyperlink r:id="rId6388" ref="H6381"/>
    <hyperlink r:id="rId6389" ref="H6382"/>
    <hyperlink r:id="rId6390" ref="H6383"/>
    <hyperlink r:id="rId6391" ref="H6384"/>
    <hyperlink r:id="rId6392" ref="H6385"/>
    <hyperlink r:id="rId6393" ref="H6386"/>
    <hyperlink r:id="rId6394" ref="H6387"/>
    <hyperlink r:id="rId6395" ref="H6388"/>
    <hyperlink r:id="rId6396" ref="H6389"/>
    <hyperlink r:id="rId6397" ref="H6390"/>
    <hyperlink r:id="rId6398" ref="H6391"/>
    <hyperlink r:id="rId6399" ref="H6392"/>
    <hyperlink r:id="rId6400" ref="H6393"/>
    <hyperlink r:id="rId6401" ref="H6394"/>
    <hyperlink r:id="rId6402" ref="H6395"/>
    <hyperlink r:id="rId6403" ref="H6396"/>
    <hyperlink r:id="rId6404" ref="H6397"/>
    <hyperlink r:id="rId6405" ref="H6398"/>
    <hyperlink r:id="rId6406" ref="H6399"/>
    <hyperlink r:id="rId6407" ref="H6400"/>
    <hyperlink r:id="rId6408" ref="H6401"/>
    <hyperlink r:id="rId6409" ref="H6402"/>
    <hyperlink r:id="rId6410" ref="H6403"/>
    <hyperlink r:id="rId6411" ref="H6404"/>
    <hyperlink r:id="rId6412" ref="H6405"/>
    <hyperlink r:id="rId6413" ref="H6406"/>
    <hyperlink r:id="rId6414" ref="H6407"/>
    <hyperlink r:id="rId6415" ref="H6408"/>
    <hyperlink r:id="rId6416" ref="H6409"/>
    <hyperlink r:id="rId6417" ref="H6410"/>
    <hyperlink r:id="rId6418" ref="H6411"/>
    <hyperlink r:id="rId6419" ref="H6412"/>
    <hyperlink r:id="rId6420" ref="H6413"/>
    <hyperlink r:id="rId6421" ref="H6414"/>
    <hyperlink r:id="rId6422" ref="H6415"/>
    <hyperlink r:id="rId6423" ref="H6416"/>
    <hyperlink r:id="rId6424" ref="H6417"/>
    <hyperlink r:id="rId6425" ref="H6418"/>
    <hyperlink r:id="rId6426" ref="H6419"/>
    <hyperlink r:id="rId6427" ref="H6420"/>
    <hyperlink r:id="rId6428" ref="H6421"/>
    <hyperlink r:id="rId6429" ref="H6422"/>
    <hyperlink r:id="rId6430" ref="H6423"/>
    <hyperlink r:id="rId6431" ref="H6424"/>
    <hyperlink r:id="rId6432" ref="H6425"/>
    <hyperlink r:id="rId6433" ref="H6426"/>
    <hyperlink r:id="rId6434" ref="H6427"/>
    <hyperlink r:id="rId6435" ref="H6428"/>
    <hyperlink r:id="rId6436" ref="H6429"/>
    <hyperlink r:id="rId6437" ref="H6430"/>
    <hyperlink r:id="rId6438" ref="H6431"/>
    <hyperlink r:id="rId6439" ref="H6432"/>
    <hyperlink r:id="rId6440" ref="H6433"/>
    <hyperlink r:id="rId6441" ref="H6434"/>
    <hyperlink r:id="rId6442" ref="H6435"/>
    <hyperlink r:id="rId6443" ref="H6436"/>
    <hyperlink r:id="rId6444" ref="H6437"/>
    <hyperlink r:id="rId6445" ref="H6438"/>
    <hyperlink r:id="rId6446" ref="H6439"/>
    <hyperlink r:id="rId6447" ref="H6440"/>
    <hyperlink r:id="rId6448" ref="H6441"/>
    <hyperlink r:id="rId6449" ref="H6442"/>
    <hyperlink r:id="rId6450" ref="H6443"/>
    <hyperlink r:id="rId6451" ref="H6444"/>
    <hyperlink r:id="rId6452" ref="H6445"/>
    <hyperlink r:id="rId6453" ref="H6446"/>
    <hyperlink r:id="rId6454" ref="H6447"/>
    <hyperlink r:id="rId6455" ref="H6448"/>
    <hyperlink r:id="rId6456" ref="H6449"/>
    <hyperlink r:id="rId6457" ref="H6450"/>
    <hyperlink r:id="rId6458" ref="H6451"/>
    <hyperlink r:id="rId6459" ref="H6452"/>
    <hyperlink r:id="rId6460" ref="H6453"/>
    <hyperlink r:id="rId6461" ref="H6454"/>
    <hyperlink r:id="rId6462" ref="H6455"/>
    <hyperlink r:id="rId6463" ref="H6456"/>
    <hyperlink r:id="rId6464" ref="H6457"/>
    <hyperlink r:id="rId6465" ref="H6458"/>
    <hyperlink r:id="rId6466" ref="H6459"/>
    <hyperlink r:id="rId6467" ref="H6460"/>
    <hyperlink r:id="rId6468" ref="H6461"/>
    <hyperlink r:id="rId6469" ref="H6462"/>
    <hyperlink r:id="rId6470" ref="H6463"/>
    <hyperlink r:id="rId6471" ref="H6464"/>
    <hyperlink r:id="rId6472" ref="H6465"/>
    <hyperlink r:id="rId6473" ref="H6466"/>
    <hyperlink r:id="rId6474" ref="H6467"/>
    <hyperlink r:id="rId6475" ref="H6468"/>
    <hyperlink r:id="rId6476" ref="H6469"/>
    <hyperlink r:id="rId6477" ref="H6470"/>
    <hyperlink r:id="rId6478" ref="H6471"/>
    <hyperlink r:id="rId6479" ref="H6472"/>
    <hyperlink r:id="rId6480" ref="H6473"/>
    <hyperlink r:id="rId6481" ref="H6474"/>
    <hyperlink r:id="rId6482" ref="H6475"/>
    <hyperlink r:id="rId6483" ref="H6476"/>
    <hyperlink r:id="rId6484" ref="H6477"/>
    <hyperlink r:id="rId6485" ref="H6478"/>
    <hyperlink r:id="rId6486" ref="H6479"/>
    <hyperlink r:id="rId6487" ref="H6480"/>
    <hyperlink r:id="rId6488" ref="H6481"/>
    <hyperlink r:id="rId6489" ref="H6482"/>
    <hyperlink r:id="rId6490" ref="H6483"/>
    <hyperlink r:id="rId6491" ref="H6484"/>
    <hyperlink r:id="rId6492" ref="H6485"/>
    <hyperlink r:id="rId6493" ref="H6486"/>
    <hyperlink r:id="rId6494" ref="H6487"/>
    <hyperlink r:id="rId6495" ref="H6488"/>
    <hyperlink r:id="rId6496" ref="H6489"/>
    <hyperlink r:id="rId6497" ref="H6490"/>
    <hyperlink r:id="rId6498" ref="H6491"/>
    <hyperlink r:id="rId6499" ref="H6492"/>
    <hyperlink r:id="rId6500" ref="H6493"/>
    <hyperlink r:id="rId6501" ref="H6494"/>
    <hyperlink r:id="rId6502" ref="H6495"/>
    <hyperlink r:id="rId6503" ref="H6496"/>
    <hyperlink r:id="rId6504" ref="H6497"/>
    <hyperlink r:id="rId6505" ref="H6498"/>
    <hyperlink r:id="rId6506" ref="H6499"/>
    <hyperlink r:id="rId6507" ref="H6500"/>
    <hyperlink r:id="rId6508" ref="H6501"/>
    <hyperlink r:id="rId6509" ref="H6502"/>
    <hyperlink r:id="rId6510" ref="H6503"/>
    <hyperlink r:id="rId6511" ref="H6504"/>
    <hyperlink r:id="rId6512" ref="H6505"/>
    <hyperlink r:id="rId6513" ref="H6506"/>
    <hyperlink r:id="rId6514" ref="H6507"/>
    <hyperlink r:id="rId6515" ref="H6508"/>
    <hyperlink r:id="rId6516" ref="H6509"/>
    <hyperlink r:id="rId6517" ref="H6510"/>
    <hyperlink r:id="rId6518" ref="H6511"/>
    <hyperlink r:id="rId6519" ref="H6512"/>
    <hyperlink r:id="rId6520" ref="H6513"/>
    <hyperlink r:id="rId6521" ref="H6514"/>
    <hyperlink r:id="rId6522" ref="H6515"/>
    <hyperlink r:id="rId6523" ref="H6516"/>
    <hyperlink r:id="rId6524" ref="H6517"/>
    <hyperlink r:id="rId6525" ref="H6518"/>
    <hyperlink r:id="rId6526" ref="H6519"/>
    <hyperlink r:id="rId6527" ref="H6520"/>
    <hyperlink r:id="rId6528" ref="H6521"/>
    <hyperlink r:id="rId6529" ref="H6522"/>
    <hyperlink r:id="rId6530" ref="H6523"/>
    <hyperlink r:id="rId6531" ref="H6524"/>
    <hyperlink r:id="rId6532" ref="H6525"/>
    <hyperlink r:id="rId6533" ref="H6526"/>
    <hyperlink r:id="rId6534" ref="H6527"/>
    <hyperlink r:id="rId6535" ref="H6528"/>
    <hyperlink r:id="rId6536" ref="H6529"/>
    <hyperlink r:id="rId6537" ref="H6530"/>
    <hyperlink r:id="rId6538" ref="H6531"/>
    <hyperlink r:id="rId6539" ref="H6532"/>
    <hyperlink r:id="rId6540" ref="H6533"/>
    <hyperlink r:id="rId6541" ref="H6534"/>
    <hyperlink r:id="rId6542" ref="H6535"/>
    <hyperlink r:id="rId6543" ref="H6536"/>
    <hyperlink r:id="rId6544" ref="H6537"/>
    <hyperlink r:id="rId6545" ref="H6538"/>
    <hyperlink r:id="rId6546" ref="H6539"/>
    <hyperlink r:id="rId6547" ref="H6540"/>
    <hyperlink r:id="rId6548" ref="H6541"/>
    <hyperlink r:id="rId6549" ref="H6542"/>
    <hyperlink r:id="rId6550" ref="H6543"/>
    <hyperlink r:id="rId6551" ref="H6544"/>
    <hyperlink r:id="rId6552" ref="H6545"/>
    <hyperlink r:id="rId6553" ref="H6546"/>
    <hyperlink r:id="rId6554" ref="H6547"/>
    <hyperlink r:id="rId6555" ref="H6548"/>
    <hyperlink r:id="rId6556" ref="H6549"/>
    <hyperlink r:id="rId6557" ref="H6550"/>
    <hyperlink r:id="rId6558" ref="H6551"/>
    <hyperlink r:id="rId6559" ref="H6552"/>
    <hyperlink r:id="rId6560" ref="H6553"/>
    <hyperlink r:id="rId6561" ref="H6554"/>
    <hyperlink r:id="rId6562" ref="H6555"/>
    <hyperlink r:id="rId6563" ref="H6556"/>
    <hyperlink r:id="rId6564" ref="H6557"/>
    <hyperlink r:id="rId6565" ref="H6558"/>
    <hyperlink r:id="rId6566" ref="H6559"/>
    <hyperlink r:id="rId6567" ref="H6560"/>
    <hyperlink r:id="rId6568" ref="H6561"/>
    <hyperlink r:id="rId6569" ref="H6562"/>
    <hyperlink r:id="rId6570" ref="H6563"/>
    <hyperlink r:id="rId6571" ref="H6564"/>
    <hyperlink r:id="rId6572" ref="H6565"/>
    <hyperlink r:id="rId6573" ref="H6566"/>
    <hyperlink r:id="rId6574" ref="H6567"/>
    <hyperlink r:id="rId6575" ref="H6568"/>
    <hyperlink r:id="rId6576" ref="H6569"/>
    <hyperlink r:id="rId6577" ref="H6570"/>
    <hyperlink r:id="rId6578" ref="H6571"/>
    <hyperlink r:id="rId6579" ref="H6572"/>
    <hyperlink r:id="rId6580" ref="H6573"/>
    <hyperlink r:id="rId6581" ref="H6574"/>
    <hyperlink r:id="rId6582" ref="H6575"/>
    <hyperlink r:id="rId6583" ref="H6576"/>
    <hyperlink r:id="rId6584" ref="H6577"/>
    <hyperlink r:id="rId6585" ref="H6578"/>
    <hyperlink r:id="rId6586" ref="H6579"/>
    <hyperlink r:id="rId6587" ref="H6580"/>
    <hyperlink r:id="rId6588" ref="H6581"/>
    <hyperlink r:id="rId6589" ref="H6582"/>
    <hyperlink r:id="rId6590" ref="H6583"/>
    <hyperlink r:id="rId6591" ref="H6584"/>
    <hyperlink r:id="rId6592" ref="H6585"/>
    <hyperlink r:id="rId6593" ref="H6586"/>
    <hyperlink r:id="rId6594" ref="H6587"/>
    <hyperlink r:id="rId6595" ref="H6588"/>
    <hyperlink r:id="rId6596" ref="H6589"/>
    <hyperlink r:id="rId6597" ref="H6590"/>
    <hyperlink r:id="rId6598" ref="H6591"/>
    <hyperlink r:id="rId6599" ref="H6592"/>
    <hyperlink r:id="rId6600" ref="H6593"/>
    <hyperlink r:id="rId6601" ref="H6594"/>
    <hyperlink r:id="rId6602" ref="H6595"/>
    <hyperlink r:id="rId6603" ref="H6596"/>
    <hyperlink r:id="rId6604" ref="H6597"/>
    <hyperlink r:id="rId6605" ref="H6598"/>
    <hyperlink r:id="rId6606" ref="H6599"/>
    <hyperlink r:id="rId6607" ref="H6600"/>
    <hyperlink r:id="rId6608" ref="H6601"/>
    <hyperlink r:id="rId6609" ref="H6602"/>
    <hyperlink r:id="rId6610" ref="H6603"/>
    <hyperlink r:id="rId6611" ref="H6604"/>
    <hyperlink r:id="rId6612" ref="H6605"/>
    <hyperlink r:id="rId6613" ref="H6606"/>
    <hyperlink r:id="rId6614" ref="H6607"/>
    <hyperlink r:id="rId6615" ref="H6608"/>
    <hyperlink r:id="rId6616" ref="H6609"/>
    <hyperlink r:id="rId6617" ref="H6610"/>
    <hyperlink r:id="rId6618" ref="H6611"/>
    <hyperlink r:id="rId6619" ref="H6612"/>
    <hyperlink r:id="rId6620" ref="H6613"/>
    <hyperlink r:id="rId6621" ref="H6614"/>
    <hyperlink r:id="rId6622" ref="H6615"/>
    <hyperlink r:id="rId6623" ref="H6616"/>
    <hyperlink r:id="rId6624" ref="H6617"/>
    <hyperlink r:id="rId6625" ref="H6618"/>
    <hyperlink r:id="rId6626" ref="H6619"/>
    <hyperlink r:id="rId6627" ref="H6620"/>
    <hyperlink r:id="rId6628" ref="H6621"/>
    <hyperlink r:id="rId6629" ref="H6622"/>
    <hyperlink r:id="rId6630" ref="H6623"/>
    <hyperlink r:id="rId6631" ref="H6624"/>
    <hyperlink r:id="rId6632" ref="H6625"/>
    <hyperlink r:id="rId6633" ref="H6626"/>
    <hyperlink r:id="rId6634" ref="H6627"/>
    <hyperlink r:id="rId6635" ref="H6628"/>
    <hyperlink r:id="rId6636" ref="H6629"/>
    <hyperlink r:id="rId6637" ref="H6630"/>
    <hyperlink r:id="rId6638" ref="H6631"/>
    <hyperlink r:id="rId6639" ref="H6632"/>
    <hyperlink r:id="rId6640" ref="H6633"/>
    <hyperlink r:id="rId6641" ref="H6634"/>
    <hyperlink r:id="rId6642" ref="H6635"/>
    <hyperlink r:id="rId6643" ref="H6636"/>
    <hyperlink r:id="rId6644" ref="H6637"/>
    <hyperlink r:id="rId6645" ref="H6638"/>
    <hyperlink r:id="rId6646" ref="H6639"/>
    <hyperlink r:id="rId6647" ref="H6640"/>
    <hyperlink r:id="rId6648" ref="H6641"/>
    <hyperlink r:id="rId6649" ref="H6642"/>
    <hyperlink r:id="rId6650" ref="H6643"/>
    <hyperlink r:id="rId6651" ref="H6644"/>
    <hyperlink r:id="rId6652" ref="H6645"/>
    <hyperlink r:id="rId6653" ref="H6646"/>
    <hyperlink r:id="rId6654" ref="H6647"/>
    <hyperlink r:id="rId6655" ref="H6648"/>
    <hyperlink r:id="rId6656" ref="H6649"/>
    <hyperlink r:id="rId6657" ref="H6650"/>
    <hyperlink r:id="rId6658" ref="H6651"/>
    <hyperlink r:id="rId6659" ref="H6652"/>
    <hyperlink r:id="rId6660" ref="H6653"/>
    <hyperlink r:id="rId6661" ref="H6654"/>
    <hyperlink r:id="rId6662" ref="H6655"/>
    <hyperlink r:id="rId6663" ref="H6656"/>
    <hyperlink r:id="rId6664" ref="H6657"/>
    <hyperlink r:id="rId6665" ref="H6658"/>
    <hyperlink r:id="rId6666" ref="H6659"/>
    <hyperlink r:id="rId6667" ref="H6660"/>
    <hyperlink r:id="rId6668" ref="H6661"/>
    <hyperlink r:id="rId6669" ref="H6662"/>
    <hyperlink r:id="rId6670" ref="H6663"/>
    <hyperlink r:id="rId6671" ref="H6664"/>
    <hyperlink r:id="rId6672" ref="H6665"/>
    <hyperlink r:id="rId6673" ref="H6666"/>
    <hyperlink r:id="rId6674" ref="H6667"/>
    <hyperlink r:id="rId6675" ref="H6668"/>
    <hyperlink r:id="rId6676" ref="H6669"/>
    <hyperlink r:id="rId6677" ref="H6670"/>
    <hyperlink r:id="rId6678" ref="H6671"/>
    <hyperlink r:id="rId6679" ref="H6672"/>
    <hyperlink r:id="rId6680" ref="H6673"/>
    <hyperlink r:id="rId6681" ref="H6674"/>
    <hyperlink r:id="rId6682" ref="H6675"/>
    <hyperlink r:id="rId6683" ref="H6676"/>
    <hyperlink r:id="rId6684" ref="H6677"/>
    <hyperlink r:id="rId6685" ref="H6678"/>
    <hyperlink r:id="rId6686" ref="H6679"/>
    <hyperlink r:id="rId6687" ref="H6680"/>
    <hyperlink r:id="rId6688" ref="H6681"/>
    <hyperlink r:id="rId6689" ref="H6682"/>
    <hyperlink r:id="rId6690" ref="H6683"/>
    <hyperlink r:id="rId6691" ref="H6684"/>
    <hyperlink r:id="rId6692" ref="H6685"/>
    <hyperlink r:id="rId6693" ref="H6686"/>
    <hyperlink r:id="rId6694" ref="H6687"/>
    <hyperlink r:id="rId6695" ref="H6688"/>
    <hyperlink r:id="rId6696" ref="H6689"/>
    <hyperlink r:id="rId6697" ref="H6690"/>
    <hyperlink r:id="rId6698" ref="H6691"/>
    <hyperlink r:id="rId6699" ref="H6692"/>
    <hyperlink r:id="rId6700" ref="H6693"/>
    <hyperlink r:id="rId6701" ref="H6694"/>
    <hyperlink r:id="rId6702" ref="H6695"/>
    <hyperlink r:id="rId6703" ref="H6696"/>
    <hyperlink r:id="rId6704" ref="H6697"/>
    <hyperlink r:id="rId6705" ref="H6698"/>
    <hyperlink r:id="rId6706" ref="H6699"/>
    <hyperlink r:id="rId6707" ref="H6700"/>
    <hyperlink r:id="rId6708" ref="H6701"/>
    <hyperlink r:id="rId6709" ref="H6702"/>
    <hyperlink r:id="rId6710" ref="H6703"/>
    <hyperlink r:id="rId6711" ref="H6704"/>
    <hyperlink r:id="rId6712" ref="H6705"/>
    <hyperlink r:id="rId6713" ref="H6706"/>
    <hyperlink r:id="rId6714" ref="H6707"/>
    <hyperlink r:id="rId6715" ref="H6708"/>
    <hyperlink r:id="rId6716" ref="H6709"/>
    <hyperlink r:id="rId6717" ref="H6710"/>
    <hyperlink r:id="rId6718" ref="H6711"/>
    <hyperlink r:id="rId6719" ref="H6712"/>
    <hyperlink r:id="rId6720" ref="H6713"/>
    <hyperlink r:id="rId6721" ref="H6714"/>
    <hyperlink r:id="rId6722" ref="H6715"/>
    <hyperlink r:id="rId6723" ref="H6716"/>
    <hyperlink r:id="rId6724" ref="H6717"/>
    <hyperlink r:id="rId6725" ref="H6718"/>
    <hyperlink r:id="rId6726" ref="H6719"/>
    <hyperlink r:id="rId6727" ref="H6720"/>
    <hyperlink r:id="rId6728" ref="H6721"/>
    <hyperlink r:id="rId6729" ref="H6722"/>
    <hyperlink r:id="rId6730" ref="H6723"/>
    <hyperlink r:id="rId6731" ref="H6724"/>
    <hyperlink r:id="rId6732" ref="H6725"/>
    <hyperlink r:id="rId6733" ref="H6726"/>
    <hyperlink r:id="rId6734" ref="H6727"/>
    <hyperlink r:id="rId6735" ref="H6728"/>
    <hyperlink r:id="rId6736" ref="H6729"/>
    <hyperlink r:id="rId6737" ref="H6730"/>
    <hyperlink r:id="rId6738" ref="H6731"/>
    <hyperlink r:id="rId6739" ref="H6732"/>
    <hyperlink r:id="rId6740" ref="H6733"/>
    <hyperlink r:id="rId6741" ref="H6734"/>
    <hyperlink r:id="rId6742" ref="H6735"/>
    <hyperlink r:id="rId6743" ref="H6736"/>
    <hyperlink r:id="rId6744" ref="H6737"/>
    <hyperlink r:id="rId6745" ref="H6738"/>
    <hyperlink r:id="rId6746" ref="H6739"/>
    <hyperlink r:id="rId6747" ref="H6740"/>
    <hyperlink r:id="rId6748" ref="H6741"/>
    <hyperlink r:id="rId6749" ref="H6742"/>
    <hyperlink r:id="rId6750" ref="H6743"/>
    <hyperlink r:id="rId6751" ref="H6744"/>
    <hyperlink r:id="rId6752" ref="H6745"/>
    <hyperlink r:id="rId6753" ref="H6746"/>
    <hyperlink r:id="rId6754" ref="H6747"/>
    <hyperlink r:id="rId6755" ref="H6748"/>
    <hyperlink r:id="rId6756" ref="H6749"/>
    <hyperlink r:id="rId6757" ref="H6750"/>
    <hyperlink r:id="rId6758" ref="H6751"/>
    <hyperlink r:id="rId6759" ref="H6752"/>
    <hyperlink r:id="rId6760" ref="H6753"/>
    <hyperlink r:id="rId6761" ref="H6754"/>
    <hyperlink r:id="rId6762" ref="H6755"/>
    <hyperlink r:id="rId6763" ref="H6756"/>
    <hyperlink r:id="rId6764" ref="H6757"/>
    <hyperlink r:id="rId6765" ref="H6758"/>
    <hyperlink r:id="rId6766" ref="H6759"/>
    <hyperlink r:id="rId6767" ref="H6760"/>
    <hyperlink r:id="rId6768" ref="H6761"/>
    <hyperlink r:id="rId6769" ref="H6762"/>
    <hyperlink r:id="rId6770" ref="H6763"/>
    <hyperlink r:id="rId6771" ref="H6764"/>
    <hyperlink r:id="rId6772" ref="H6765"/>
    <hyperlink r:id="rId6773" ref="H6766"/>
    <hyperlink r:id="rId6774" ref="H6767"/>
    <hyperlink r:id="rId6775" ref="H6768"/>
    <hyperlink r:id="rId6776" ref="H6769"/>
    <hyperlink r:id="rId6777" ref="H6770"/>
    <hyperlink r:id="rId6778" ref="H6771"/>
    <hyperlink r:id="rId6779" ref="H6772"/>
    <hyperlink r:id="rId6780" ref="H6773"/>
    <hyperlink r:id="rId6781" ref="H6774"/>
    <hyperlink r:id="rId6782" ref="H6775"/>
    <hyperlink r:id="rId6783" ref="H6776"/>
    <hyperlink r:id="rId6784" ref="H6777"/>
    <hyperlink r:id="rId6785" ref="H6778"/>
    <hyperlink r:id="rId6786" ref="H6779"/>
    <hyperlink r:id="rId6787" ref="H6780"/>
    <hyperlink r:id="rId6788" ref="H6781"/>
    <hyperlink r:id="rId6789" ref="H6782"/>
    <hyperlink r:id="rId6790" ref="H6783"/>
    <hyperlink r:id="rId6791" ref="H6784"/>
    <hyperlink r:id="rId6792" ref="H6785"/>
    <hyperlink r:id="rId6793" ref="H6786"/>
    <hyperlink r:id="rId6794" ref="H6787"/>
    <hyperlink r:id="rId6795" ref="H6788"/>
    <hyperlink r:id="rId6796" ref="H6789"/>
    <hyperlink r:id="rId6797" ref="H6790"/>
    <hyperlink r:id="rId6798" ref="H6791"/>
    <hyperlink r:id="rId6799" ref="H6792"/>
    <hyperlink r:id="rId6800" ref="H6793"/>
    <hyperlink r:id="rId6801" ref="H6794"/>
    <hyperlink r:id="rId6802" ref="H6795"/>
    <hyperlink r:id="rId6803" ref="H6796"/>
    <hyperlink r:id="rId6804" ref="H6797"/>
    <hyperlink r:id="rId6805" ref="H6798"/>
    <hyperlink r:id="rId6806" ref="H6799"/>
    <hyperlink r:id="rId6807" ref="H6800"/>
    <hyperlink r:id="rId6808" ref="H6801"/>
    <hyperlink r:id="rId6809" ref="H6802"/>
    <hyperlink r:id="rId6810" ref="H6803"/>
    <hyperlink r:id="rId6811" ref="H6804"/>
    <hyperlink r:id="rId6812" ref="H6805"/>
    <hyperlink r:id="rId6813" ref="H6806"/>
    <hyperlink r:id="rId6814" ref="H6807"/>
    <hyperlink r:id="rId6815" ref="H6808"/>
    <hyperlink r:id="rId6816" ref="H6809"/>
    <hyperlink r:id="rId6817" ref="H6810"/>
    <hyperlink r:id="rId6818" ref="H6811"/>
    <hyperlink r:id="rId6819" ref="H6812"/>
    <hyperlink r:id="rId6820" ref="H6813"/>
    <hyperlink r:id="rId6821" ref="H6814"/>
    <hyperlink r:id="rId6822" ref="H6815"/>
    <hyperlink r:id="rId6823" ref="H6816"/>
    <hyperlink r:id="rId6824" ref="H6817"/>
    <hyperlink r:id="rId6825" ref="H6818"/>
    <hyperlink r:id="rId6826" ref="H6819"/>
    <hyperlink r:id="rId6827" ref="H6820"/>
    <hyperlink r:id="rId6828" ref="H6821"/>
    <hyperlink r:id="rId6829" ref="H6822"/>
    <hyperlink r:id="rId6830" ref="H6823"/>
    <hyperlink r:id="rId6831" ref="H6824"/>
    <hyperlink r:id="rId6832" ref="H6825"/>
    <hyperlink r:id="rId6833" ref="H6826"/>
    <hyperlink r:id="rId6834" ref="H6827"/>
    <hyperlink r:id="rId6835" ref="H6828"/>
    <hyperlink r:id="rId6836" ref="H6829"/>
    <hyperlink r:id="rId6837" ref="H6830"/>
    <hyperlink r:id="rId6838" ref="H6831"/>
    <hyperlink r:id="rId6839" ref="H6832"/>
    <hyperlink r:id="rId6840" ref="H6833"/>
    <hyperlink r:id="rId6841" ref="H6834"/>
    <hyperlink r:id="rId6842" ref="H6835"/>
    <hyperlink r:id="rId6843" ref="H6836"/>
    <hyperlink r:id="rId6844" ref="H6837"/>
    <hyperlink r:id="rId6845" ref="H6838"/>
    <hyperlink r:id="rId6846" ref="H6839"/>
    <hyperlink r:id="rId6847" ref="H6840"/>
    <hyperlink r:id="rId6848" ref="H6841"/>
    <hyperlink r:id="rId6849" ref="H6842"/>
    <hyperlink r:id="rId6850" ref="H6843"/>
    <hyperlink r:id="rId6851" ref="H6844"/>
    <hyperlink r:id="rId6852" ref="H6845"/>
    <hyperlink r:id="rId6853" ref="H6846"/>
    <hyperlink r:id="rId6854" ref="H6847"/>
    <hyperlink r:id="rId6855" ref="H6848"/>
    <hyperlink r:id="rId6856" ref="H6849"/>
    <hyperlink r:id="rId6857" ref="H6850"/>
    <hyperlink r:id="rId6858" ref="H6851"/>
    <hyperlink r:id="rId6859" ref="H6852"/>
    <hyperlink r:id="rId6860" ref="H6853"/>
    <hyperlink r:id="rId6861" ref="H6854"/>
    <hyperlink r:id="rId6862" ref="H6855"/>
    <hyperlink r:id="rId6863" ref="H6856"/>
    <hyperlink r:id="rId6864" ref="H6857"/>
    <hyperlink r:id="rId6865" ref="H6858"/>
    <hyperlink r:id="rId6866" ref="H6859"/>
    <hyperlink r:id="rId6867" ref="H6860"/>
    <hyperlink r:id="rId6868" ref="H6861"/>
    <hyperlink r:id="rId6869" ref="H6862"/>
    <hyperlink r:id="rId6870" ref="H6863"/>
    <hyperlink r:id="rId6871" ref="H6864"/>
    <hyperlink r:id="rId6872" ref="H6865"/>
    <hyperlink r:id="rId6873" ref="H6866"/>
    <hyperlink r:id="rId6874" ref="H6867"/>
    <hyperlink r:id="rId6875" ref="H6868"/>
    <hyperlink r:id="rId6876" ref="H6869"/>
    <hyperlink r:id="rId6877" ref="H6870"/>
    <hyperlink r:id="rId6878" ref="H6871"/>
    <hyperlink r:id="rId6879" ref="H6872"/>
    <hyperlink r:id="rId6880" ref="H6873"/>
    <hyperlink r:id="rId6881" ref="H6874"/>
    <hyperlink r:id="rId6882" ref="H6875"/>
    <hyperlink r:id="rId6883" ref="H6876"/>
    <hyperlink r:id="rId6884" ref="H6877"/>
    <hyperlink r:id="rId6885" ref="H6878"/>
    <hyperlink r:id="rId6886" ref="H6879"/>
    <hyperlink r:id="rId6887" ref="H6880"/>
    <hyperlink r:id="rId6888" ref="H6881"/>
    <hyperlink r:id="rId6889" ref="H6882"/>
    <hyperlink r:id="rId6890" ref="H6883"/>
    <hyperlink r:id="rId6891" ref="H6884"/>
    <hyperlink r:id="rId6892" ref="H6885"/>
    <hyperlink r:id="rId6893" ref="H6886"/>
    <hyperlink r:id="rId6894" ref="H6887"/>
    <hyperlink r:id="rId6895" ref="H6888"/>
    <hyperlink r:id="rId6896" ref="H6889"/>
    <hyperlink r:id="rId6897" ref="H6890"/>
    <hyperlink r:id="rId6898" ref="H6891"/>
    <hyperlink r:id="rId6899" ref="H6892"/>
    <hyperlink r:id="rId6900" ref="H6893"/>
    <hyperlink r:id="rId6901" ref="H6894"/>
    <hyperlink r:id="rId6902" ref="H6895"/>
    <hyperlink r:id="rId6903" ref="H6896"/>
    <hyperlink r:id="rId6904" ref="H6897"/>
    <hyperlink r:id="rId6905" ref="H6898"/>
    <hyperlink r:id="rId6906" ref="H6899"/>
    <hyperlink r:id="rId6907" ref="H6900"/>
    <hyperlink r:id="rId6908" ref="H6901"/>
    <hyperlink r:id="rId6909" ref="H6902"/>
    <hyperlink r:id="rId6910" ref="H6903"/>
    <hyperlink r:id="rId6911" ref="H6904"/>
    <hyperlink r:id="rId6912" ref="H6905"/>
    <hyperlink r:id="rId6913" ref="H6906"/>
    <hyperlink r:id="rId6914" ref="H6907"/>
    <hyperlink r:id="rId6915" ref="H6908"/>
    <hyperlink r:id="rId6916" ref="H6909"/>
    <hyperlink r:id="rId6917" ref="H6910"/>
    <hyperlink r:id="rId6918" ref="H6911"/>
    <hyperlink r:id="rId6919" ref="H6912"/>
    <hyperlink r:id="rId6920" ref="H6913"/>
    <hyperlink r:id="rId6921" ref="H6914"/>
    <hyperlink r:id="rId6922" ref="H6915"/>
    <hyperlink r:id="rId6923" ref="H6916"/>
    <hyperlink r:id="rId6924" ref="H6917"/>
    <hyperlink r:id="rId6925" ref="H6918"/>
    <hyperlink r:id="rId6926" ref="H6919"/>
    <hyperlink r:id="rId6927" ref="H6920"/>
    <hyperlink r:id="rId6928" ref="H6921"/>
    <hyperlink r:id="rId6929" ref="H6922"/>
    <hyperlink r:id="rId6930" ref="H6923"/>
    <hyperlink r:id="rId6931" ref="H6924"/>
    <hyperlink r:id="rId6932" ref="H6925"/>
    <hyperlink r:id="rId6933" ref="H6926"/>
    <hyperlink r:id="rId6934" ref="H6927"/>
    <hyperlink r:id="rId6935" ref="H6928"/>
    <hyperlink r:id="rId6936" ref="H6929"/>
    <hyperlink r:id="rId6937" ref="H6930"/>
    <hyperlink r:id="rId6938" ref="H6931"/>
    <hyperlink r:id="rId6939" ref="H6932"/>
    <hyperlink r:id="rId6940" ref="H6933"/>
    <hyperlink r:id="rId6941" ref="H6934"/>
    <hyperlink r:id="rId6942" ref="H6935"/>
    <hyperlink r:id="rId6943" ref="H6936"/>
    <hyperlink r:id="rId6944" ref="H6937"/>
    <hyperlink r:id="rId6945" ref="H6938"/>
    <hyperlink r:id="rId6946" ref="H6939"/>
    <hyperlink r:id="rId6947" ref="H6940"/>
    <hyperlink r:id="rId6948" ref="H6941"/>
    <hyperlink r:id="rId6949" ref="H6942"/>
    <hyperlink r:id="rId6950" ref="H6943"/>
    <hyperlink r:id="rId6951" ref="H6944"/>
    <hyperlink r:id="rId6952" ref="H6945"/>
    <hyperlink r:id="rId6953" ref="H6946"/>
    <hyperlink r:id="rId6954" ref="H6947"/>
    <hyperlink r:id="rId6955" ref="H6948"/>
    <hyperlink r:id="rId6956" ref="H6949"/>
    <hyperlink r:id="rId6957" ref="H6950"/>
    <hyperlink r:id="rId6958" ref="H6951"/>
    <hyperlink r:id="rId6959" ref="H6952"/>
    <hyperlink r:id="rId6960" ref="H6953"/>
    <hyperlink r:id="rId6961" ref="H6954"/>
    <hyperlink r:id="rId6962" ref="H6955"/>
    <hyperlink r:id="rId6963" ref="H6956"/>
    <hyperlink r:id="rId6964" ref="H6957"/>
    <hyperlink r:id="rId6965" ref="H6958"/>
    <hyperlink r:id="rId6966" ref="H6959"/>
    <hyperlink r:id="rId6967" ref="H6960"/>
    <hyperlink r:id="rId6968" ref="H6961"/>
    <hyperlink r:id="rId6969" ref="H6962"/>
    <hyperlink r:id="rId6970" ref="H6963"/>
    <hyperlink r:id="rId6971" ref="H6964"/>
    <hyperlink r:id="rId6972" ref="H6965"/>
    <hyperlink r:id="rId6973" ref="H6966"/>
    <hyperlink r:id="rId6974" ref="H6967"/>
    <hyperlink r:id="rId6975" ref="H6968"/>
    <hyperlink r:id="rId6976" ref="H6969"/>
    <hyperlink r:id="rId6977" ref="H6970"/>
    <hyperlink r:id="rId6978" ref="H6971"/>
    <hyperlink r:id="rId6979" ref="H6972"/>
    <hyperlink r:id="rId6980" ref="H6973"/>
    <hyperlink r:id="rId6981" ref="H6974"/>
    <hyperlink r:id="rId6982" ref="H6975"/>
    <hyperlink r:id="rId6983" ref="H6976"/>
    <hyperlink r:id="rId6984" ref="H6977"/>
    <hyperlink r:id="rId6985" ref="H6978"/>
    <hyperlink r:id="rId6986" ref="H6979"/>
    <hyperlink r:id="rId6987" ref="H6980"/>
    <hyperlink r:id="rId6988" ref="H6981"/>
    <hyperlink r:id="rId6989" ref="H6982"/>
    <hyperlink r:id="rId6990" ref="H6983"/>
    <hyperlink r:id="rId6991" ref="H6984"/>
    <hyperlink r:id="rId6992" ref="H6985"/>
    <hyperlink r:id="rId6993" ref="H6986"/>
    <hyperlink r:id="rId6994" ref="H6987"/>
    <hyperlink r:id="rId6995" ref="H6988"/>
    <hyperlink r:id="rId6996" ref="H6989"/>
    <hyperlink r:id="rId6997" ref="H6990"/>
    <hyperlink r:id="rId6998" ref="H6991"/>
    <hyperlink r:id="rId6999" ref="H6992"/>
    <hyperlink r:id="rId7000" ref="H6993"/>
    <hyperlink r:id="rId7001" ref="H6994"/>
    <hyperlink r:id="rId7002" ref="H6995"/>
    <hyperlink r:id="rId7003" ref="H6996"/>
    <hyperlink r:id="rId7004" ref="H6997"/>
    <hyperlink r:id="rId7005" ref="H6998"/>
    <hyperlink r:id="rId7006" ref="H6999"/>
    <hyperlink r:id="rId7007" ref="H7000"/>
    <hyperlink r:id="rId7008" ref="H7001"/>
    <hyperlink r:id="rId7009" ref="H7002"/>
    <hyperlink r:id="rId7010" ref="H7003"/>
    <hyperlink r:id="rId7011" ref="H7004"/>
    <hyperlink r:id="rId7012" ref="H7005"/>
    <hyperlink r:id="rId7013" ref="H7006"/>
    <hyperlink r:id="rId7014" ref="H7007"/>
    <hyperlink r:id="rId7015" ref="H7008"/>
    <hyperlink r:id="rId7016" ref="H7009"/>
    <hyperlink r:id="rId7017" ref="H7010"/>
    <hyperlink r:id="rId7018" ref="H7011"/>
    <hyperlink r:id="rId7019" ref="H7012"/>
    <hyperlink r:id="rId7020" ref="H7013"/>
    <hyperlink r:id="rId7021" ref="H7014"/>
    <hyperlink r:id="rId7022" ref="H7015"/>
    <hyperlink r:id="rId7023" ref="H7016"/>
    <hyperlink r:id="rId7024" ref="H7017"/>
    <hyperlink r:id="rId7025" ref="H7018"/>
    <hyperlink r:id="rId7026" ref="H7019"/>
    <hyperlink r:id="rId7027" ref="H7020"/>
    <hyperlink r:id="rId7028" ref="H7021"/>
    <hyperlink r:id="rId7029" ref="H7022"/>
    <hyperlink r:id="rId7030" ref="H7023"/>
    <hyperlink r:id="rId7031" ref="H7024"/>
    <hyperlink r:id="rId7032" ref="H7025"/>
    <hyperlink r:id="rId7033" ref="H7026"/>
    <hyperlink r:id="rId7034" ref="H7027"/>
    <hyperlink r:id="rId7035" ref="H7028"/>
    <hyperlink r:id="rId7036" ref="H7029"/>
    <hyperlink r:id="rId7037" ref="H7030"/>
    <hyperlink r:id="rId7038" ref="H7031"/>
    <hyperlink r:id="rId7039" ref="H7032"/>
    <hyperlink r:id="rId7040" ref="H7033"/>
    <hyperlink r:id="rId7041" ref="H7034"/>
    <hyperlink r:id="rId7042" ref="H7035"/>
    <hyperlink r:id="rId7043" ref="H7036"/>
    <hyperlink r:id="rId7044" ref="H7037"/>
    <hyperlink r:id="rId7045" ref="H7038"/>
    <hyperlink r:id="rId7046" ref="H7039"/>
    <hyperlink r:id="rId7047" ref="H7040"/>
    <hyperlink r:id="rId7048" ref="H7041"/>
    <hyperlink r:id="rId7049" ref="H7042"/>
    <hyperlink r:id="rId7050" ref="H7043"/>
    <hyperlink r:id="rId7051" ref="H7044"/>
    <hyperlink r:id="rId7052" ref="H7045"/>
    <hyperlink r:id="rId7053" ref="H7046"/>
    <hyperlink r:id="rId7054" ref="H7047"/>
    <hyperlink r:id="rId7055" ref="H7048"/>
    <hyperlink r:id="rId7056" ref="H7049"/>
    <hyperlink r:id="rId7057" ref="H7050"/>
    <hyperlink r:id="rId7058" ref="H7051"/>
    <hyperlink r:id="rId7059" ref="H7052"/>
    <hyperlink r:id="rId7060" ref="H7053"/>
    <hyperlink r:id="rId7061" ref="H7054"/>
    <hyperlink r:id="rId7062" ref="H7055"/>
    <hyperlink r:id="rId7063" ref="H7056"/>
    <hyperlink r:id="rId7064" ref="H7057"/>
    <hyperlink r:id="rId7065" ref="H7058"/>
    <hyperlink r:id="rId7066" ref="H7059"/>
    <hyperlink r:id="rId7067" ref="H7060"/>
    <hyperlink r:id="rId7068" ref="H7061"/>
    <hyperlink r:id="rId7069" ref="H7062"/>
    <hyperlink r:id="rId7070" ref="H7063"/>
    <hyperlink r:id="rId7071" ref="H7064"/>
    <hyperlink r:id="rId7072" ref="H7065"/>
    <hyperlink r:id="rId7073" ref="H7066"/>
    <hyperlink r:id="rId7074" ref="H7067"/>
    <hyperlink r:id="rId7075" ref="H7068"/>
    <hyperlink r:id="rId7076" ref="H7069"/>
    <hyperlink r:id="rId7077" ref="H7070"/>
    <hyperlink r:id="rId7078" ref="H7071"/>
    <hyperlink r:id="rId7079" ref="H7072"/>
    <hyperlink r:id="rId7080" ref="H7073"/>
    <hyperlink r:id="rId7081" ref="H7074"/>
    <hyperlink r:id="rId7082" ref="H7075"/>
    <hyperlink r:id="rId7083" ref="H7076"/>
    <hyperlink r:id="rId7084" ref="H7077"/>
    <hyperlink r:id="rId7085" ref="H7078"/>
    <hyperlink r:id="rId7086" ref="H7079"/>
    <hyperlink r:id="rId7087" ref="H7080"/>
    <hyperlink r:id="rId7088" ref="H7081"/>
    <hyperlink r:id="rId7089" ref="H7082"/>
    <hyperlink r:id="rId7090" ref="H7083"/>
    <hyperlink r:id="rId7091" ref="H7084"/>
    <hyperlink r:id="rId7092" ref="H7085"/>
    <hyperlink r:id="rId7093" ref="H7086"/>
    <hyperlink r:id="rId7094" ref="H7087"/>
    <hyperlink r:id="rId7095" ref="H7088"/>
    <hyperlink r:id="rId7096" ref="H7089"/>
    <hyperlink r:id="rId7097" ref="H7090"/>
    <hyperlink r:id="rId7098" ref="H7091"/>
    <hyperlink r:id="rId7099" ref="H7092"/>
    <hyperlink r:id="rId7100" ref="H7093"/>
    <hyperlink r:id="rId7101" ref="H7094"/>
    <hyperlink r:id="rId7102" ref="H7095"/>
    <hyperlink r:id="rId7103" ref="H7096"/>
    <hyperlink r:id="rId7104" ref="H7097"/>
    <hyperlink r:id="rId7105" ref="H7098"/>
    <hyperlink r:id="rId7106" ref="H7099"/>
    <hyperlink r:id="rId7107" ref="H7100"/>
    <hyperlink r:id="rId7108" ref="H7101"/>
    <hyperlink r:id="rId7109" ref="H7102"/>
    <hyperlink r:id="rId7110" ref="H7103"/>
    <hyperlink r:id="rId7111" ref="H7104"/>
    <hyperlink r:id="rId7112" ref="H7105"/>
    <hyperlink r:id="rId7113" ref="H7106"/>
    <hyperlink r:id="rId7114" ref="H7107"/>
    <hyperlink r:id="rId7115" ref="H7108"/>
    <hyperlink r:id="rId7116" ref="H7109"/>
    <hyperlink r:id="rId7117" ref="H7110"/>
    <hyperlink r:id="rId7118" ref="H7111"/>
    <hyperlink r:id="rId7119" ref="H7112"/>
    <hyperlink r:id="rId7120" ref="H7113"/>
    <hyperlink r:id="rId7121" ref="H7114"/>
    <hyperlink r:id="rId7122" ref="H7115"/>
    <hyperlink r:id="rId7123" ref="H7116"/>
    <hyperlink r:id="rId7124" ref="H7117"/>
    <hyperlink r:id="rId7125" ref="H7118"/>
    <hyperlink r:id="rId7126" ref="H7119"/>
    <hyperlink r:id="rId7127" ref="H7120"/>
    <hyperlink r:id="rId7128" ref="H7121"/>
    <hyperlink r:id="rId7129" ref="H7122"/>
    <hyperlink r:id="rId7130" ref="H7123"/>
    <hyperlink r:id="rId7131" ref="H7124"/>
    <hyperlink r:id="rId7132" ref="H7125"/>
    <hyperlink r:id="rId7133" ref="H7126"/>
    <hyperlink r:id="rId7134" ref="H7127"/>
    <hyperlink r:id="rId7135" ref="H7128"/>
    <hyperlink r:id="rId7136" ref="H7129"/>
    <hyperlink r:id="rId7137" ref="H7130"/>
    <hyperlink r:id="rId7138" ref="H7131"/>
    <hyperlink r:id="rId7139" ref="H7132"/>
    <hyperlink r:id="rId7140" ref="H7133"/>
    <hyperlink r:id="rId7141" ref="H7134"/>
    <hyperlink r:id="rId7142" ref="H7135"/>
    <hyperlink r:id="rId7143" ref="H7136"/>
    <hyperlink r:id="rId7144" ref="H7137"/>
    <hyperlink r:id="rId7145" ref="H7138"/>
    <hyperlink r:id="rId7146" ref="H7139"/>
    <hyperlink r:id="rId7147" ref="H7140"/>
    <hyperlink r:id="rId7148" ref="H7141"/>
    <hyperlink r:id="rId7149" ref="H7142"/>
    <hyperlink r:id="rId7150" ref="H7143"/>
    <hyperlink r:id="rId7151" ref="H7144"/>
    <hyperlink r:id="rId7152" ref="H7145"/>
    <hyperlink r:id="rId7153" ref="H7146"/>
    <hyperlink r:id="rId7154" ref="H7147"/>
    <hyperlink r:id="rId7155" ref="H7148"/>
    <hyperlink r:id="rId7156" ref="H7149"/>
    <hyperlink r:id="rId7157" ref="H7150"/>
    <hyperlink r:id="rId7158" ref="H7151"/>
    <hyperlink r:id="rId7159" ref="H7152"/>
    <hyperlink r:id="rId7160" ref="H7153"/>
    <hyperlink r:id="rId7161" ref="H7154"/>
    <hyperlink r:id="rId7162" ref="H7155"/>
    <hyperlink r:id="rId7163" ref="H7156"/>
    <hyperlink r:id="rId7164" ref="H7157"/>
    <hyperlink r:id="rId7165" ref="H7158"/>
    <hyperlink r:id="rId7166" ref="H7159"/>
    <hyperlink r:id="rId7167" ref="H7160"/>
    <hyperlink r:id="rId7168" ref="H7161"/>
    <hyperlink r:id="rId7169" ref="H7162"/>
    <hyperlink r:id="rId7170" ref="H7163"/>
    <hyperlink r:id="rId7171" ref="H7164"/>
    <hyperlink r:id="rId7172" ref="H7165"/>
    <hyperlink r:id="rId7173" ref="H7166"/>
    <hyperlink r:id="rId7174" ref="H7167"/>
    <hyperlink r:id="rId7175" ref="H7168"/>
    <hyperlink r:id="rId7176" ref="H7169"/>
    <hyperlink r:id="rId7177" ref="H7170"/>
    <hyperlink r:id="rId7178" ref="H7171"/>
    <hyperlink r:id="rId7179" ref="H7172"/>
    <hyperlink r:id="rId7180" ref="H7173"/>
    <hyperlink r:id="rId7181" ref="H7174"/>
    <hyperlink r:id="rId7182" ref="H7175"/>
    <hyperlink r:id="rId7183" ref="H7176"/>
    <hyperlink r:id="rId7184" ref="H7177"/>
    <hyperlink r:id="rId7185" ref="H7178"/>
    <hyperlink r:id="rId7186" ref="H7179"/>
    <hyperlink r:id="rId7187" ref="H7180"/>
    <hyperlink r:id="rId7188" ref="H7181"/>
    <hyperlink r:id="rId7189" ref="H7182"/>
    <hyperlink r:id="rId7190" ref="H7183"/>
    <hyperlink r:id="rId7191" ref="H7184"/>
    <hyperlink r:id="rId7192" ref="H7185"/>
    <hyperlink r:id="rId7193" ref="H7186"/>
    <hyperlink r:id="rId7194" ref="H7187"/>
    <hyperlink r:id="rId7195" ref="H7188"/>
    <hyperlink r:id="rId7196" ref="H7189"/>
    <hyperlink r:id="rId7197" ref="H7190"/>
    <hyperlink r:id="rId7198" ref="H7191"/>
    <hyperlink r:id="rId7199" ref="H7192"/>
    <hyperlink r:id="rId7200" ref="H7193"/>
    <hyperlink r:id="rId7201" ref="H7194"/>
    <hyperlink r:id="rId7202" ref="H7195"/>
    <hyperlink r:id="rId7203" ref="H7196"/>
    <hyperlink r:id="rId7204" ref="H7197"/>
    <hyperlink r:id="rId7205" ref="H7198"/>
    <hyperlink r:id="rId7206" ref="H7199"/>
    <hyperlink r:id="rId7207" ref="H7200"/>
    <hyperlink r:id="rId7208" ref="H7201"/>
    <hyperlink r:id="rId7209" ref="H7202"/>
    <hyperlink r:id="rId7210" ref="H7203"/>
    <hyperlink r:id="rId7211" ref="H7204"/>
    <hyperlink r:id="rId7212" ref="H7205"/>
    <hyperlink r:id="rId7213" ref="H7206"/>
    <hyperlink r:id="rId7214" ref="H7207"/>
    <hyperlink r:id="rId7215" ref="H7208"/>
    <hyperlink r:id="rId7216" ref="H7209"/>
    <hyperlink r:id="rId7217" ref="H7210"/>
    <hyperlink r:id="rId7218" ref="H7211"/>
    <hyperlink r:id="rId7219" ref="H7212"/>
    <hyperlink r:id="rId7220" ref="H7213"/>
    <hyperlink r:id="rId7221" ref="H7214"/>
    <hyperlink r:id="rId7222" ref="H7215"/>
    <hyperlink r:id="rId7223" ref="H7216"/>
    <hyperlink r:id="rId7224" ref="H7217"/>
    <hyperlink r:id="rId7225" ref="H7218"/>
    <hyperlink r:id="rId7226" ref="H7219"/>
    <hyperlink r:id="rId7227" ref="H7220"/>
    <hyperlink r:id="rId7228" ref="H7221"/>
    <hyperlink r:id="rId7229" ref="H7222"/>
    <hyperlink r:id="rId7230" ref="H7223"/>
    <hyperlink r:id="rId7231" ref="H7224"/>
    <hyperlink r:id="rId7232" ref="H7225"/>
    <hyperlink r:id="rId7233" ref="H7226"/>
    <hyperlink r:id="rId7234" ref="H7227"/>
    <hyperlink r:id="rId7235" ref="H7228"/>
    <hyperlink r:id="rId7236" ref="H7229"/>
    <hyperlink r:id="rId7237" ref="H7230"/>
    <hyperlink r:id="rId7238" ref="H7231"/>
    <hyperlink r:id="rId7239" ref="H7232"/>
    <hyperlink r:id="rId7240" ref="H7233"/>
    <hyperlink r:id="rId7241" ref="H7234"/>
    <hyperlink r:id="rId7242" ref="H7235"/>
    <hyperlink r:id="rId7243" ref="H7236"/>
    <hyperlink r:id="rId7244" ref="H7237"/>
    <hyperlink r:id="rId7245" ref="H7238"/>
    <hyperlink r:id="rId7246" ref="H7239"/>
    <hyperlink r:id="rId7247" ref="H7240"/>
    <hyperlink r:id="rId7248" ref="H7241"/>
    <hyperlink r:id="rId7249" ref="H7242"/>
    <hyperlink r:id="rId7250" ref="H7243"/>
    <hyperlink r:id="rId7251" ref="H7244"/>
    <hyperlink r:id="rId7252" ref="H7245"/>
    <hyperlink r:id="rId7253" ref="H7246"/>
    <hyperlink r:id="rId7254" ref="H7247"/>
    <hyperlink r:id="rId7255" ref="H7248"/>
    <hyperlink r:id="rId7256" ref="H7249"/>
    <hyperlink r:id="rId7257" ref="H7250"/>
    <hyperlink r:id="rId7258" ref="H7251"/>
    <hyperlink r:id="rId7259" ref="H7252"/>
    <hyperlink r:id="rId7260" ref="H7253"/>
    <hyperlink r:id="rId7261" ref="H7254"/>
    <hyperlink r:id="rId7262" ref="H7255"/>
    <hyperlink r:id="rId7263" ref="H7256"/>
    <hyperlink r:id="rId7264" ref="H7257"/>
    <hyperlink r:id="rId7265" ref="H7258"/>
    <hyperlink r:id="rId7266" ref="H7259"/>
    <hyperlink r:id="rId7267" ref="H7260"/>
    <hyperlink r:id="rId7268" ref="H7261"/>
    <hyperlink r:id="rId7269" ref="H7262"/>
    <hyperlink r:id="rId7270" ref="H7263"/>
    <hyperlink r:id="rId7271" ref="H7264"/>
    <hyperlink r:id="rId7272" ref="H7265"/>
    <hyperlink r:id="rId7273" ref="H7266"/>
    <hyperlink r:id="rId7274" ref="H7267"/>
    <hyperlink r:id="rId7275" ref="H7268"/>
    <hyperlink r:id="rId7276" ref="H7269"/>
    <hyperlink r:id="rId7277" ref="H7270"/>
    <hyperlink r:id="rId7278" ref="H7271"/>
    <hyperlink r:id="rId7279" ref="H7272"/>
    <hyperlink r:id="rId7280" ref="H7273"/>
    <hyperlink r:id="rId7281" ref="H7274"/>
    <hyperlink r:id="rId7282" ref="H7275"/>
    <hyperlink r:id="rId7283" ref="H7276"/>
    <hyperlink r:id="rId7284" ref="H7277"/>
    <hyperlink r:id="rId7285" ref="H7278"/>
    <hyperlink r:id="rId7286" ref="H7279"/>
    <hyperlink r:id="rId7287" ref="H7280"/>
    <hyperlink r:id="rId7288" ref="H7281"/>
    <hyperlink r:id="rId7289" ref="H7282"/>
    <hyperlink r:id="rId7290" ref="H7283"/>
    <hyperlink r:id="rId7291" ref="H7284"/>
    <hyperlink r:id="rId7292" ref="H7285"/>
    <hyperlink r:id="rId7293" ref="H7286"/>
    <hyperlink r:id="rId7294" ref="H7287"/>
    <hyperlink r:id="rId7295" ref="H7288"/>
    <hyperlink r:id="rId7296" ref="H7289"/>
    <hyperlink r:id="rId7297" ref="H7290"/>
    <hyperlink r:id="rId7298" ref="H7291"/>
    <hyperlink r:id="rId7299" ref="H7292"/>
    <hyperlink r:id="rId7300" ref="H7293"/>
    <hyperlink r:id="rId7301" ref="H7294"/>
    <hyperlink r:id="rId7302" ref="H7295"/>
    <hyperlink r:id="rId7303" ref="H7296"/>
    <hyperlink r:id="rId7304" ref="H7297"/>
    <hyperlink r:id="rId7305" ref="H7298"/>
    <hyperlink r:id="rId7306" ref="H7299"/>
    <hyperlink r:id="rId7307" ref="H7300"/>
    <hyperlink r:id="rId7308" ref="H7301"/>
    <hyperlink r:id="rId7309" ref="H7302"/>
    <hyperlink r:id="rId7310" ref="H7303"/>
    <hyperlink r:id="rId7311" ref="H7304"/>
    <hyperlink r:id="rId7312" ref="H7305"/>
    <hyperlink r:id="rId7313" ref="H7306"/>
    <hyperlink r:id="rId7314" ref="H7307"/>
    <hyperlink r:id="rId7315" ref="H7308"/>
    <hyperlink r:id="rId7316" ref="H7309"/>
    <hyperlink r:id="rId7317" ref="H7310"/>
    <hyperlink r:id="rId7318" ref="H7311"/>
    <hyperlink r:id="rId7319" ref="H7312"/>
    <hyperlink r:id="rId7320" ref="H7313"/>
    <hyperlink r:id="rId7321" ref="H7314"/>
    <hyperlink r:id="rId7322" ref="H7315"/>
    <hyperlink r:id="rId7323" ref="H7316"/>
    <hyperlink r:id="rId7324" ref="H7317"/>
    <hyperlink r:id="rId7325" ref="H7318"/>
    <hyperlink r:id="rId7326" ref="H7319"/>
    <hyperlink r:id="rId7327" ref="H7320"/>
    <hyperlink r:id="rId7328" ref="H7321"/>
    <hyperlink r:id="rId7329" ref="H7322"/>
    <hyperlink r:id="rId7330" ref="H7323"/>
    <hyperlink r:id="rId7331" ref="H7324"/>
    <hyperlink r:id="rId7332" ref="H7325"/>
    <hyperlink r:id="rId7333" ref="H7326"/>
    <hyperlink r:id="rId7334" ref="H7327"/>
    <hyperlink r:id="rId7335" ref="H7328"/>
    <hyperlink r:id="rId7336" ref="H7329"/>
    <hyperlink r:id="rId7337" ref="H7330"/>
    <hyperlink r:id="rId7338" ref="H7331"/>
    <hyperlink r:id="rId7339" ref="H7332"/>
    <hyperlink r:id="rId7340" ref="H7333"/>
    <hyperlink r:id="rId7341" ref="H7334"/>
    <hyperlink r:id="rId7342" ref="H7335"/>
    <hyperlink r:id="rId7343" ref="H7336"/>
    <hyperlink r:id="rId7344" ref="H7337"/>
    <hyperlink r:id="rId7345" ref="H7338"/>
    <hyperlink r:id="rId7346" ref="H7339"/>
    <hyperlink r:id="rId7347" ref="H7340"/>
    <hyperlink r:id="rId7348" ref="H7341"/>
    <hyperlink r:id="rId7349" ref="H7342"/>
    <hyperlink r:id="rId7350" ref="H7343"/>
    <hyperlink r:id="rId7351" ref="H7344"/>
    <hyperlink r:id="rId7352" ref="H7345"/>
    <hyperlink r:id="rId7353" ref="H7346"/>
    <hyperlink r:id="rId7354" ref="H7347"/>
    <hyperlink r:id="rId7355" ref="H7348"/>
    <hyperlink r:id="rId7356" ref="H7349"/>
    <hyperlink r:id="rId7357" ref="H7350"/>
    <hyperlink r:id="rId7358" ref="H7351"/>
    <hyperlink r:id="rId7359" ref="H7352"/>
    <hyperlink r:id="rId7360" ref="H7353"/>
    <hyperlink r:id="rId7361" ref="H7354"/>
    <hyperlink r:id="rId7362" ref="H7355"/>
    <hyperlink r:id="rId7363" ref="H7356"/>
    <hyperlink r:id="rId7364" ref="H7357"/>
    <hyperlink r:id="rId7365" ref="H7358"/>
    <hyperlink r:id="rId7366" ref="H7359"/>
    <hyperlink r:id="rId7367" ref="H7360"/>
    <hyperlink r:id="rId7368" ref="H7361"/>
    <hyperlink r:id="rId7369" ref="H7362"/>
    <hyperlink r:id="rId7370" ref="H7363"/>
    <hyperlink r:id="rId7371" ref="H7364"/>
    <hyperlink r:id="rId7372" ref="H7365"/>
    <hyperlink r:id="rId7373" ref="H7366"/>
    <hyperlink r:id="rId7374" ref="H7367"/>
    <hyperlink r:id="rId7375" ref="H7368"/>
    <hyperlink r:id="rId7376" ref="H7369"/>
    <hyperlink r:id="rId7377" ref="H7370"/>
    <hyperlink r:id="rId7378" ref="H7371"/>
    <hyperlink r:id="rId7379" ref="H7372"/>
    <hyperlink r:id="rId7380" ref="H7373"/>
    <hyperlink r:id="rId7381" ref="H7374"/>
    <hyperlink r:id="rId7382" ref="H7375"/>
    <hyperlink r:id="rId7383" ref="H7376"/>
    <hyperlink r:id="rId7384" ref="H7377"/>
    <hyperlink r:id="rId7385" ref="H7378"/>
    <hyperlink r:id="rId7386" ref="H7379"/>
    <hyperlink r:id="rId7387" ref="H7380"/>
    <hyperlink r:id="rId7388" ref="H7381"/>
    <hyperlink r:id="rId7389" ref="H7382"/>
    <hyperlink r:id="rId7390" ref="H7383"/>
    <hyperlink r:id="rId7391" ref="H7384"/>
    <hyperlink r:id="rId7392" ref="H7385"/>
    <hyperlink r:id="rId7393" ref="H7386"/>
    <hyperlink r:id="rId7394" ref="H7387"/>
    <hyperlink r:id="rId7395" ref="H7388"/>
    <hyperlink r:id="rId7396" ref="H7389"/>
    <hyperlink r:id="rId7397" ref="H7390"/>
    <hyperlink r:id="rId7398" ref="H7391"/>
    <hyperlink r:id="rId7399" ref="H7392"/>
    <hyperlink r:id="rId7400" ref="H7393"/>
    <hyperlink r:id="rId7401" ref="H7394"/>
    <hyperlink r:id="rId7402" ref="H7395"/>
    <hyperlink r:id="rId7403" ref="H7396"/>
    <hyperlink r:id="rId7404" ref="H7397"/>
    <hyperlink r:id="rId7405" ref="H7398"/>
    <hyperlink r:id="rId7406" ref="H7399"/>
    <hyperlink r:id="rId7407" ref="H7400"/>
    <hyperlink r:id="rId7408" ref="H7401"/>
    <hyperlink r:id="rId7409" ref="H7402"/>
    <hyperlink r:id="rId7410" ref="H7403"/>
    <hyperlink r:id="rId7411" ref="H7404"/>
    <hyperlink r:id="rId7412" ref="H7405"/>
    <hyperlink r:id="rId7413" ref="H7406"/>
    <hyperlink r:id="rId7414" ref="H7407"/>
    <hyperlink r:id="rId7415" ref="H7408"/>
    <hyperlink r:id="rId7416" ref="H7409"/>
    <hyperlink r:id="rId7417" ref="H7410"/>
    <hyperlink r:id="rId7418" ref="H7411"/>
    <hyperlink r:id="rId7419" ref="H7412"/>
    <hyperlink r:id="rId7420" ref="H7413"/>
    <hyperlink r:id="rId7421" ref="H7414"/>
    <hyperlink r:id="rId7422" ref="H7415"/>
    <hyperlink r:id="rId7423" ref="H7416"/>
    <hyperlink r:id="rId7424" ref="H7417"/>
    <hyperlink r:id="rId7425" ref="H7418"/>
    <hyperlink r:id="rId7426" ref="H7419"/>
    <hyperlink r:id="rId7427" ref="H7420"/>
    <hyperlink r:id="rId7428" ref="H7421"/>
    <hyperlink r:id="rId7429" ref="H7422"/>
    <hyperlink r:id="rId7430" ref="H7423"/>
    <hyperlink r:id="rId7431" ref="H7424"/>
    <hyperlink r:id="rId7432" ref="H7425"/>
    <hyperlink r:id="rId7433" ref="H7426"/>
    <hyperlink r:id="rId7434" ref="H7427"/>
    <hyperlink r:id="rId7435" ref="H7428"/>
    <hyperlink r:id="rId7436" ref="H7429"/>
    <hyperlink r:id="rId7437" ref="H7430"/>
    <hyperlink r:id="rId7438" ref="H7431"/>
    <hyperlink r:id="rId7439" ref="H7432"/>
    <hyperlink r:id="rId7440" ref="H7433"/>
    <hyperlink r:id="rId7441" ref="H7434"/>
    <hyperlink r:id="rId7442" ref="H7435"/>
    <hyperlink r:id="rId7443" ref="H7436"/>
    <hyperlink r:id="rId7444" ref="H7437"/>
    <hyperlink r:id="rId7445" ref="H7438"/>
    <hyperlink r:id="rId7446" ref="H7439"/>
    <hyperlink r:id="rId7447" ref="H7440"/>
    <hyperlink r:id="rId7448" ref="H7441"/>
    <hyperlink r:id="rId7449" ref="H7442"/>
    <hyperlink r:id="rId7450" ref="H7443"/>
    <hyperlink r:id="rId7451" ref="H7444"/>
    <hyperlink r:id="rId7452" ref="H7445"/>
    <hyperlink r:id="rId7453" ref="H7446"/>
    <hyperlink r:id="rId7454" ref="H7447"/>
    <hyperlink r:id="rId7455" ref="H7448"/>
    <hyperlink r:id="rId7456" ref="H7449"/>
    <hyperlink r:id="rId7457" ref="H7450"/>
    <hyperlink r:id="rId7458" ref="H7451"/>
    <hyperlink r:id="rId7459" ref="H7452"/>
    <hyperlink r:id="rId7460" ref="H7453"/>
    <hyperlink r:id="rId7461" ref="H7454"/>
    <hyperlink r:id="rId7462" ref="H7455"/>
    <hyperlink r:id="rId7463" ref="H7456"/>
    <hyperlink r:id="rId7464" ref="H7457"/>
    <hyperlink r:id="rId7465" ref="H7458"/>
    <hyperlink r:id="rId7466" ref="H7459"/>
    <hyperlink r:id="rId7467" ref="H7460"/>
    <hyperlink r:id="rId7468" ref="H7461"/>
    <hyperlink r:id="rId7469" ref="H7462"/>
    <hyperlink r:id="rId7470" ref="H7463"/>
    <hyperlink r:id="rId7471" ref="H7464"/>
    <hyperlink r:id="rId7472" ref="H7465"/>
    <hyperlink r:id="rId7473" ref="H7466"/>
    <hyperlink r:id="rId7474" ref="H7467"/>
    <hyperlink r:id="rId7475" ref="H7468"/>
    <hyperlink r:id="rId7476" ref="H7469"/>
    <hyperlink r:id="rId7477" ref="H7470"/>
    <hyperlink r:id="rId7478" ref="H7471"/>
    <hyperlink r:id="rId7479" ref="H7472"/>
    <hyperlink r:id="rId7480" ref="H7473"/>
    <hyperlink r:id="rId7481" ref="H7474"/>
    <hyperlink r:id="rId7482" ref="H7475"/>
    <hyperlink r:id="rId7483" ref="H7476"/>
    <hyperlink r:id="rId7484" ref="H7477"/>
    <hyperlink r:id="rId7485" ref="H7478"/>
    <hyperlink r:id="rId7486" ref="H7479"/>
    <hyperlink r:id="rId7487" ref="H7480"/>
    <hyperlink r:id="rId7488" ref="H7481"/>
    <hyperlink r:id="rId7489" ref="H7482"/>
    <hyperlink r:id="rId7490" ref="H7483"/>
    <hyperlink r:id="rId7491" ref="H7484"/>
    <hyperlink r:id="rId7492" ref="H7485"/>
    <hyperlink r:id="rId7493" ref="H7486"/>
    <hyperlink r:id="rId7494" ref="H7487"/>
    <hyperlink r:id="rId7495" ref="H7488"/>
    <hyperlink r:id="rId7496" ref="H7489"/>
    <hyperlink r:id="rId7497" ref="H7490"/>
    <hyperlink r:id="rId7498" ref="H7491"/>
    <hyperlink r:id="rId7499" ref="H7492"/>
    <hyperlink r:id="rId7500" ref="H7493"/>
    <hyperlink r:id="rId7501" ref="H7494"/>
    <hyperlink r:id="rId7502" ref="H7495"/>
    <hyperlink r:id="rId7503" ref="H7496"/>
    <hyperlink r:id="rId7504" ref="H7497"/>
    <hyperlink r:id="rId7505" ref="H7498"/>
    <hyperlink r:id="rId7506" ref="H7499"/>
    <hyperlink r:id="rId7507" ref="H7500"/>
    <hyperlink r:id="rId7508" ref="H7501"/>
    <hyperlink r:id="rId7509" ref="H7502"/>
    <hyperlink r:id="rId7510" ref="H7503"/>
    <hyperlink r:id="rId7511" ref="H7504"/>
    <hyperlink r:id="rId7512" ref="H7505"/>
    <hyperlink r:id="rId7513" ref="H7506"/>
    <hyperlink r:id="rId7514" ref="H7507"/>
    <hyperlink r:id="rId7515" ref="H7508"/>
    <hyperlink r:id="rId7516" ref="H7509"/>
    <hyperlink r:id="rId7517" ref="H7510"/>
    <hyperlink r:id="rId7518" ref="H7511"/>
    <hyperlink r:id="rId7519" ref="H7512"/>
    <hyperlink r:id="rId7520" ref="H7513"/>
    <hyperlink r:id="rId7521" ref="H7514"/>
    <hyperlink r:id="rId7522" ref="H7515"/>
    <hyperlink r:id="rId7523" ref="H7516"/>
    <hyperlink r:id="rId7524" ref="H7517"/>
    <hyperlink r:id="rId7525" ref="H7518"/>
    <hyperlink r:id="rId7526" ref="H7519"/>
    <hyperlink r:id="rId7527" ref="H7520"/>
    <hyperlink r:id="rId7528" ref="H7521"/>
    <hyperlink r:id="rId7529" ref="H7522"/>
    <hyperlink r:id="rId7530" ref="H7523"/>
    <hyperlink r:id="rId7531" ref="H7524"/>
    <hyperlink r:id="rId7532" ref="H7525"/>
    <hyperlink r:id="rId7533" ref="H7526"/>
    <hyperlink r:id="rId7534" ref="H7527"/>
    <hyperlink r:id="rId7535" ref="H7528"/>
    <hyperlink r:id="rId7536" ref="H7529"/>
    <hyperlink r:id="rId7537" ref="H7530"/>
    <hyperlink r:id="rId7538" ref="H7531"/>
    <hyperlink r:id="rId7539" ref="H7532"/>
    <hyperlink r:id="rId7540" ref="H7533"/>
    <hyperlink r:id="rId7541" ref="H7534"/>
    <hyperlink r:id="rId7542" ref="H7535"/>
    <hyperlink r:id="rId7543" ref="H7536"/>
    <hyperlink r:id="rId7544" ref="H7537"/>
    <hyperlink r:id="rId7545" ref="H7538"/>
    <hyperlink r:id="rId7546" ref="H7539"/>
    <hyperlink r:id="rId7547" ref="H7540"/>
    <hyperlink r:id="rId7548" ref="H7541"/>
    <hyperlink r:id="rId7549" ref="H7542"/>
    <hyperlink r:id="rId7550" ref="H7543"/>
    <hyperlink r:id="rId7551" ref="H7544"/>
    <hyperlink r:id="rId7552" ref="H7545"/>
    <hyperlink r:id="rId7553" ref="H7546"/>
    <hyperlink r:id="rId7554" ref="H7547"/>
    <hyperlink r:id="rId7555" ref="H7548"/>
    <hyperlink r:id="rId7556" ref="H7549"/>
    <hyperlink r:id="rId7557" ref="H7550"/>
    <hyperlink r:id="rId7558" ref="H7551"/>
    <hyperlink r:id="rId7559" ref="H7552"/>
    <hyperlink r:id="rId7560" ref="H7553"/>
    <hyperlink r:id="rId7561" ref="H7554"/>
    <hyperlink r:id="rId7562" ref="H7555"/>
    <hyperlink r:id="rId7563" ref="H7556"/>
    <hyperlink r:id="rId7564" ref="H7557"/>
    <hyperlink r:id="rId7565" ref="H7558"/>
    <hyperlink r:id="rId7566" ref="H7559"/>
    <hyperlink r:id="rId7567" ref="H7560"/>
    <hyperlink r:id="rId7568" ref="H7561"/>
    <hyperlink r:id="rId7569" ref="H7562"/>
    <hyperlink r:id="rId7570" ref="H7563"/>
    <hyperlink r:id="rId7571" ref="H7564"/>
    <hyperlink r:id="rId7572" ref="H7565"/>
    <hyperlink r:id="rId7573" ref="H7566"/>
    <hyperlink r:id="rId7574" ref="H7567"/>
    <hyperlink r:id="rId7575" ref="H7568"/>
    <hyperlink r:id="rId7576" ref="H7569"/>
    <hyperlink r:id="rId7577" ref="H7570"/>
    <hyperlink r:id="rId7578" ref="H7571"/>
    <hyperlink r:id="rId7579" ref="H7572"/>
    <hyperlink r:id="rId7580" ref="H7573"/>
    <hyperlink r:id="rId7581" ref="H7574"/>
    <hyperlink r:id="rId7582" ref="H7575"/>
    <hyperlink r:id="rId7583" ref="H7576"/>
    <hyperlink r:id="rId7584" ref="H7577"/>
    <hyperlink r:id="rId7585" ref="H7578"/>
    <hyperlink r:id="rId7586" ref="H7579"/>
    <hyperlink r:id="rId7587" ref="H7580"/>
    <hyperlink r:id="rId7588" ref="H7581"/>
    <hyperlink r:id="rId7589" ref="H7582"/>
    <hyperlink r:id="rId7590" ref="H7583"/>
    <hyperlink r:id="rId7591" ref="H7584"/>
    <hyperlink r:id="rId7592" ref="H7585"/>
    <hyperlink r:id="rId7593" ref="H7586"/>
    <hyperlink r:id="rId7594" ref="H7587"/>
    <hyperlink r:id="rId7595" ref="H7588"/>
    <hyperlink r:id="rId7596" ref="H7589"/>
    <hyperlink r:id="rId7597" ref="H7590"/>
    <hyperlink r:id="rId7598" ref="H7591"/>
    <hyperlink r:id="rId7599" ref="H7592"/>
    <hyperlink r:id="rId7600" ref="H7593"/>
    <hyperlink r:id="rId7601" ref="H7594"/>
    <hyperlink r:id="rId7602" ref="H7595"/>
    <hyperlink r:id="rId7603" ref="H7596"/>
    <hyperlink r:id="rId7604" ref="H7597"/>
    <hyperlink r:id="rId7605" ref="H7598"/>
    <hyperlink r:id="rId7606" ref="H7599"/>
    <hyperlink r:id="rId7607" ref="H7600"/>
    <hyperlink r:id="rId7608" ref="H7601"/>
    <hyperlink r:id="rId7609" ref="H7602"/>
    <hyperlink r:id="rId7610" ref="H7603"/>
    <hyperlink r:id="rId7611" ref="H7604"/>
    <hyperlink r:id="rId7612" ref="H7605"/>
    <hyperlink r:id="rId7613" ref="H7606"/>
    <hyperlink r:id="rId7614" ref="H7607"/>
    <hyperlink r:id="rId7615" ref="H7608"/>
    <hyperlink r:id="rId7616" ref="H7609"/>
    <hyperlink r:id="rId7617" ref="C7610"/>
    <hyperlink r:id="rId7618" ref="H7610"/>
    <hyperlink r:id="rId7619" ref="H7611"/>
    <hyperlink r:id="rId7620" ref="H7612"/>
    <hyperlink r:id="rId7621" ref="H7613"/>
    <hyperlink r:id="rId7622" ref="H7614"/>
    <hyperlink r:id="rId7623" ref="H7615"/>
    <hyperlink r:id="rId7624" ref="H7616"/>
    <hyperlink r:id="rId7625" ref="H7617"/>
    <hyperlink r:id="rId7626" ref="H7618"/>
    <hyperlink r:id="rId7627" ref="H7619"/>
    <hyperlink r:id="rId7628" ref="H7620"/>
    <hyperlink r:id="rId7629" ref="H7621"/>
    <hyperlink r:id="rId7630" ref="H7622"/>
    <hyperlink r:id="rId7631" ref="H7623"/>
    <hyperlink r:id="rId7632" ref="H7624"/>
    <hyperlink r:id="rId7633" ref="H7625"/>
    <hyperlink r:id="rId7634" ref="H7626"/>
    <hyperlink r:id="rId7635" ref="H7627"/>
    <hyperlink r:id="rId7636" ref="H7628"/>
    <hyperlink r:id="rId7637" ref="H7629"/>
    <hyperlink r:id="rId7638" ref="H7630"/>
    <hyperlink r:id="rId7639" ref="H7631"/>
    <hyperlink r:id="rId7640" ref="H7632"/>
    <hyperlink r:id="rId7641" ref="H7633"/>
    <hyperlink r:id="rId7642" ref="H7634"/>
    <hyperlink r:id="rId7643" ref="H7635"/>
    <hyperlink r:id="rId7644" ref="H7636"/>
    <hyperlink r:id="rId7645" ref="H7637"/>
    <hyperlink r:id="rId7646" ref="H7638"/>
    <hyperlink r:id="rId7647" ref="H7639"/>
    <hyperlink r:id="rId7648" ref="H7640"/>
    <hyperlink r:id="rId7649" ref="H7641"/>
    <hyperlink r:id="rId7650" ref="H7642"/>
    <hyperlink r:id="rId7651" ref="H7643"/>
    <hyperlink r:id="rId7652" ref="H7644"/>
    <hyperlink r:id="rId7653" ref="H7645"/>
    <hyperlink r:id="rId7654" ref="H7646"/>
    <hyperlink r:id="rId7655" ref="H7647"/>
    <hyperlink r:id="rId7656" ref="H7648"/>
    <hyperlink r:id="rId7657" ref="H7649"/>
    <hyperlink r:id="rId7658" ref="H7650"/>
    <hyperlink r:id="rId7659" ref="H7651"/>
    <hyperlink r:id="rId7660" ref="H7652"/>
    <hyperlink r:id="rId7661" ref="H7653"/>
    <hyperlink r:id="rId7662" ref="H7654"/>
    <hyperlink r:id="rId7663" ref="H7655"/>
    <hyperlink r:id="rId7664" ref="H7656"/>
    <hyperlink r:id="rId7665" ref="H7657"/>
    <hyperlink r:id="rId7666" ref="H7658"/>
    <hyperlink r:id="rId7667" ref="H7659"/>
    <hyperlink r:id="rId7668" ref="H7660"/>
    <hyperlink r:id="rId7669" ref="H7661"/>
    <hyperlink r:id="rId7670" ref="H7662"/>
    <hyperlink r:id="rId7671" ref="H7663"/>
    <hyperlink r:id="rId7672" ref="H7664"/>
    <hyperlink r:id="rId7673" ref="H7665"/>
    <hyperlink r:id="rId7674" ref="H7666"/>
    <hyperlink r:id="rId7675" ref="H7667"/>
    <hyperlink r:id="rId7676" ref="H7668"/>
    <hyperlink r:id="rId7677" ref="H7669"/>
    <hyperlink r:id="rId7678" ref="H7670"/>
    <hyperlink r:id="rId7679" ref="H7671"/>
    <hyperlink r:id="rId7680" ref="H7672"/>
    <hyperlink r:id="rId7681" ref="H7673"/>
    <hyperlink r:id="rId7682" ref="H7674"/>
    <hyperlink r:id="rId7683" ref="H7675"/>
    <hyperlink r:id="rId7684" ref="H7676"/>
    <hyperlink r:id="rId7685" ref="H7677"/>
    <hyperlink r:id="rId7686" ref="H7678"/>
    <hyperlink r:id="rId7687" ref="H7679"/>
    <hyperlink r:id="rId7688" ref="H7680"/>
    <hyperlink r:id="rId7689" ref="H7681"/>
    <hyperlink r:id="rId7690" ref="H7682"/>
    <hyperlink r:id="rId7691" ref="H7683"/>
    <hyperlink r:id="rId7692" ref="H7684"/>
    <hyperlink r:id="rId7693" ref="H7685"/>
    <hyperlink r:id="rId7694" ref="H7686"/>
    <hyperlink r:id="rId7695" ref="H7687"/>
    <hyperlink r:id="rId7696" ref="H7688"/>
    <hyperlink r:id="rId7697" ref="H7689"/>
    <hyperlink r:id="rId7698" ref="H7690"/>
    <hyperlink r:id="rId7699" ref="H7691"/>
    <hyperlink r:id="rId7700" ref="H7692"/>
    <hyperlink r:id="rId7701" ref="H7693"/>
    <hyperlink r:id="rId7702" ref="H7694"/>
    <hyperlink r:id="rId7703" ref="H7695"/>
    <hyperlink r:id="rId7704" ref="H7696"/>
    <hyperlink r:id="rId7705" ref="H7697"/>
    <hyperlink r:id="rId7706" ref="H7698"/>
    <hyperlink r:id="rId7707" ref="H7699"/>
    <hyperlink r:id="rId7708" ref="H7700"/>
    <hyperlink r:id="rId7709" ref="H7701"/>
    <hyperlink r:id="rId7710" ref="H7702"/>
    <hyperlink r:id="rId7711" ref="H7703"/>
    <hyperlink r:id="rId7712" ref="H7704"/>
    <hyperlink r:id="rId7713" ref="H7705"/>
    <hyperlink r:id="rId7714" ref="H7706"/>
    <hyperlink r:id="rId7715" ref="H7707"/>
    <hyperlink r:id="rId7716" ref="H7708"/>
    <hyperlink r:id="rId7717" ref="H7709"/>
    <hyperlink r:id="rId7718" ref="H7710"/>
    <hyperlink r:id="rId7719" ref="H7711"/>
    <hyperlink r:id="rId7720" ref="H7712"/>
    <hyperlink r:id="rId7721" ref="H7713"/>
    <hyperlink r:id="rId7722" ref="H7714"/>
    <hyperlink r:id="rId7723" ref="H7715"/>
    <hyperlink r:id="rId7724" ref="H7716"/>
    <hyperlink r:id="rId7725" ref="H7717"/>
    <hyperlink r:id="rId7726" ref="H7718"/>
    <hyperlink r:id="rId7727" ref="H7719"/>
    <hyperlink r:id="rId7728" ref="H7720"/>
    <hyperlink r:id="rId7729" ref="H7721"/>
    <hyperlink r:id="rId7730" ref="H7722"/>
    <hyperlink r:id="rId7731" ref="H7723"/>
    <hyperlink r:id="rId7732" ref="H7724"/>
    <hyperlink r:id="rId7733" ref="H7725"/>
    <hyperlink r:id="rId7734" ref="H7726"/>
    <hyperlink r:id="rId7735" ref="H7727"/>
    <hyperlink r:id="rId7736" ref="H7728"/>
    <hyperlink r:id="rId7737" ref="H7729"/>
    <hyperlink r:id="rId7738" ref="H7730"/>
    <hyperlink r:id="rId7739" ref="H7731"/>
    <hyperlink r:id="rId7740" ref="H7732"/>
    <hyperlink r:id="rId7741" ref="H7733"/>
    <hyperlink r:id="rId7742" ref="H7734"/>
    <hyperlink r:id="rId7743" ref="H7735"/>
    <hyperlink r:id="rId7744" ref="H7736"/>
    <hyperlink r:id="rId7745" ref="H7737"/>
    <hyperlink r:id="rId7746" ref="H7738"/>
    <hyperlink r:id="rId7747" ref="H7739"/>
    <hyperlink r:id="rId7748" ref="H7740"/>
    <hyperlink r:id="rId7749" ref="H7741"/>
    <hyperlink r:id="rId7750" ref="H7742"/>
    <hyperlink r:id="rId7751" ref="H7743"/>
    <hyperlink r:id="rId7752" ref="H7744"/>
    <hyperlink r:id="rId7753" ref="H7745"/>
    <hyperlink r:id="rId7754" ref="H7746"/>
    <hyperlink r:id="rId7755" ref="H7747"/>
    <hyperlink r:id="rId7756" ref="H7748"/>
    <hyperlink r:id="rId7757" ref="H7749"/>
    <hyperlink r:id="rId7758" ref="H7750"/>
    <hyperlink r:id="rId7759" ref="H7751"/>
    <hyperlink r:id="rId7760" ref="H7752"/>
    <hyperlink r:id="rId7761" ref="H7753"/>
    <hyperlink r:id="rId7762" ref="H7754"/>
    <hyperlink r:id="rId7763" ref="H7755"/>
    <hyperlink r:id="rId7764" ref="H7756"/>
    <hyperlink r:id="rId7765" ref="H7757"/>
    <hyperlink r:id="rId7766" ref="H7758"/>
    <hyperlink r:id="rId7767" ref="H7759"/>
    <hyperlink r:id="rId7768" ref="H7760"/>
    <hyperlink r:id="rId7769" ref="H7761"/>
    <hyperlink r:id="rId7770" ref="H7762"/>
    <hyperlink r:id="rId7771" ref="H7763"/>
    <hyperlink r:id="rId7772" ref="H7764"/>
    <hyperlink r:id="rId7773" ref="H7765"/>
    <hyperlink r:id="rId7774" ref="H7766"/>
    <hyperlink r:id="rId7775" ref="H7767"/>
    <hyperlink r:id="rId7776" ref="H7768"/>
    <hyperlink r:id="rId7777" ref="H7769"/>
    <hyperlink r:id="rId7778" ref="H7770"/>
    <hyperlink r:id="rId7779" ref="H7771"/>
    <hyperlink r:id="rId7780" ref="H7772"/>
    <hyperlink r:id="rId7781" ref="H7773"/>
    <hyperlink r:id="rId7782" ref="H7774"/>
    <hyperlink r:id="rId7783" ref="H7775"/>
    <hyperlink r:id="rId7784" ref="H7776"/>
    <hyperlink r:id="rId7785" ref="H7777"/>
    <hyperlink r:id="rId7786" ref="H7778"/>
    <hyperlink r:id="rId7787" ref="H7779"/>
    <hyperlink r:id="rId7788" ref="H7780"/>
    <hyperlink r:id="rId7789" ref="H7781"/>
    <hyperlink r:id="rId7790" ref="H7782"/>
    <hyperlink r:id="rId7791" ref="H7783"/>
    <hyperlink r:id="rId7792" ref="H7784"/>
    <hyperlink r:id="rId7793" ref="H7785"/>
    <hyperlink r:id="rId7794" ref="H7786"/>
    <hyperlink r:id="rId7795" ref="H7787"/>
    <hyperlink r:id="rId7796" ref="H7788"/>
    <hyperlink r:id="rId7797" ref="H7789"/>
    <hyperlink r:id="rId7798" ref="H7790"/>
    <hyperlink r:id="rId7799" ref="H7791"/>
    <hyperlink r:id="rId7800" ref="H7792"/>
    <hyperlink r:id="rId7801" ref="H7793"/>
    <hyperlink r:id="rId7802" ref="H7794"/>
    <hyperlink r:id="rId7803" ref="H7795"/>
    <hyperlink r:id="rId7804" ref="H7796"/>
    <hyperlink r:id="rId7805" ref="H7797"/>
    <hyperlink r:id="rId7806" ref="H7798"/>
    <hyperlink r:id="rId7807" ref="H7799"/>
    <hyperlink r:id="rId7808" ref="H7800"/>
    <hyperlink r:id="rId7809" ref="H7801"/>
    <hyperlink r:id="rId7810" ref="H7802"/>
    <hyperlink r:id="rId7811" ref="H7803"/>
    <hyperlink r:id="rId7812" ref="H7804"/>
    <hyperlink r:id="rId7813" ref="H7805"/>
    <hyperlink r:id="rId7814" ref="H7806"/>
    <hyperlink r:id="rId7815" ref="H7807"/>
    <hyperlink r:id="rId7816" ref="H7808"/>
    <hyperlink r:id="rId7817" ref="H7809"/>
    <hyperlink r:id="rId7818" ref="H7810"/>
    <hyperlink r:id="rId7819" ref="H7811"/>
    <hyperlink r:id="rId7820" ref="H7812"/>
    <hyperlink r:id="rId7821" ref="H7813"/>
    <hyperlink r:id="rId7822" ref="H7814"/>
    <hyperlink r:id="rId7823" ref="H7815"/>
    <hyperlink r:id="rId7824" ref="H7816"/>
    <hyperlink r:id="rId7825" ref="H7817"/>
    <hyperlink r:id="rId7826" ref="H7818"/>
    <hyperlink r:id="rId7827" ref="H7819"/>
    <hyperlink r:id="rId7828" ref="H7820"/>
    <hyperlink r:id="rId7829" ref="H7821"/>
    <hyperlink r:id="rId7830" ref="H7822"/>
    <hyperlink r:id="rId7831" ref="H7823"/>
    <hyperlink r:id="rId7832" ref="H7824"/>
    <hyperlink r:id="rId7833" ref="H7825"/>
    <hyperlink r:id="rId7834" ref="H7826"/>
    <hyperlink r:id="rId7835" ref="H7827"/>
    <hyperlink r:id="rId7836" ref="H7828"/>
    <hyperlink r:id="rId7837" ref="H7829"/>
    <hyperlink r:id="rId7838" ref="H7830"/>
    <hyperlink r:id="rId7839" ref="H7831"/>
    <hyperlink r:id="rId7840" ref="H7832"/>
    <hyperlink r:id="rId7841" ref="H7833"/>
    <hyperlink r:id="rId7842" ref="H7834"/>
    <hyperlink r:id="rId7843" ref="H7835"/>
    <hyperlink r:id="rId7844" ref="H7836"/>
    <hyperlink r:id="rId7845" ref="H7837"/>
    <hyperlink r:id="rId7846" ref="H7838"/>
    <hyperlink r:id="rId7847" ref="H7839"/>
    <hyperlink r:id="rId7848" ref="H7840"/>
    <hyperlink r:id="rId7849" ref="H7841"/>
    <hyperlink r:id="rId7850" ref="H7842"/>
    <hyperlink r:id="rId7851" ref="H7843"/>
    <hyperlink r:id="rId7852" ref="H7844"/>
    <hyperlink r:id="rId7853" ref="H7845"/>
    <hyperlink r:id="rId7854" ref="H7846"/>
    <hyperlink r:id="rId7855" ref="H7847"/>
    <hyperlink r:id="rId7856" ref="H7848"/>
    <hyperlink r:id="rId7857" ref="H7849"/>
    <hyperlink r:id="rId7858" ref="H7850"/>
    <hyperlink r:id="rId7859" ref="H7851"/>
    <hyperlink r:id="rId7860" ref="H7852"/>
    <hyperlink r:id="rId7861" ref="H7853"/>
    <hyperlink r:id="rId7862" ref="H7854"/>
    <hyperlink r:id="rId7863" ref="H7855"/>
    <hyperlink r:id="rId7864" ref="H7856"/>
    <hyperlink r:id="rId7865" ref="H7857"/>
    <hyperlink r:id="rId7866" ref="H7858"/>
    <hyperlink r:id="rId7867" ref="H7859"/>
    <hyperlink r:id="rId7868" ref="H7860"/>
    <hyperlink r:id="rId7869" ref="H7861"/>
    <hyperlink r:id="rId7870" ref="H7862"/>
    <hyperlink r:id="rId7871" ref="H7863"/>
    <hyperlink r:id="rId7872" ref="H7864"/>
    <hyperlink r:id="rId7873" ref="H7865"/>
    <hyperlink r:id="rId7874" ref="H7866"/>
    <hyperlink r:id="rId7875" ref="H7867"/>
    <hyperlink r:id="rId7876" ref="H7868"/>
    <hyperlink r:id="rId7877" ref="H7869"/>
    <hyperlink r:id="rId7878" ref="H7870"/>
    <hyperlink r:id="rId7879" ref="H7871"/>
    <hyperlink r:id="rId7880" ref="H7872"/>
    <hyperlink r:id="rId7881" ref="H7873"/>
    <hyperlink r:id="rId7882" ref="H7874"/>
    <hyperlink r:id="rId7883" ref="H7875"/>
    <hyperlink r:id="rId7884" ref="H7876"/>
    <hyperlink r:id="rId7885" ref="H7877"/>
    <hyperlink r:id="rId7886" ref="H7878"/>
    <hyperlink r:id="rId7887" ref="H7879"/>
    <hyperlink r:id="rId7888" ref="H7880"/>
    <hyperlink r:id="rId7889" ref="H7881"/>
    <hyperlink r:id="rId7890" ref="H7882"/>
    <hyperlink r:id="rId7891" ref="H7883"/>
    <hyperlink r:id="rId7892" ref="H7884"/>
    <hyperlink r:id="rId7893" ref="H7885"/>
    <hyperlink r:id="rId7894" ref="H7886"/>
    <hyperlink r:id="rId7895" ref="H7887"/>
    <hyperlink r:id="rId7896" ref="H7888"/>
    <hyperlink r:id="rId7897" ref="H7889"/>
    <hyperlink r:id="rId7898" ref="H7890"/>
    <hyperlink r:id="rId7899" ref="H7891"/>
    <hyperlink r:id="rId7900" ref="H7892"/>
    <hyperlink r:id="rId7901" ref="C7893"/>
    <hyperlink r:id="rId7902" ref="H7893"/>
    <hyperlink r:id="rId7903" ref="H7894"/>
    <hyperlink r:id="rId7904" ref="H7895"/>
    <hyperlink r:id="rId7905" ref="H7896"/>
    <hyperlink r:id="rId7906" ref="H7897"/>
    <hyperlink r:id="rId7907" ref="H7898"/>
    <hyperlink r:id="rId7908" ref="H7899"/>
    <hyperlink r:id="rId7909" ref="H7900"/>
    <hyperlink r:id="rId7910" ref="H7901"/>
    <hyperlink r:id="rId7911" ref="H7902"/>
    <hyperlink r:id="rId7912" ref="H7903"/>
    <hyperlink r:id="rId7913" ref="H7904"/>
    <hyperlink r:id="rId7914" ref="H7905"/>
    <hyperlink r:id="rId7915" ref="H7906"/>
    <hyperlink r:id="rId7916" ref="H7907"/>
    <hyperlink r:id="rId7917" ref="H7908"/>
    <hyperlink r:id="rId7918" ref="H7909"/>
    <hyperlink r:id="rId7919" ref="H7910"/>
    <hyperlink r:id="rId7920" ref="H7911"/>
    <hyperlink r:id="rId7921" ref="H7912"/>
    <hyperlink r:id="rId7922" ref="H7913"/>
    <hyperlink r:id="rId7923" ref="H7914"/>
    <hyperlink r:id="rId7924" ref="H7915"/>
    <hyperlink r:id="rId7925" ref="H7916"/>
    <hyperlink r:id="rId7926" ref="H7917"/>
    <hyperlink r:id="rId7927" ref="H7918"/>
    <hyperlink r:id="rId7928" ref="H7919"/>
    <hyperlink r:id="rId7929" ref="H7920"/>
    <hyperlink r:id="rId7930" ref="H7921"/>
    <hyperlink r:id="rId7931" ref="H7922"/>
    <hyperlink r:id="rId7932" ref="H7923"/>
    <hyperlink r:id="rId7933" ref="H7924"/>
    <hyperlink r:id="rId7934" ref="H7925"/>
    <hyperlink r:id="rId7935" ref="H7926"/>
    <hyperlink r:id="rId7936" ref="H7927"/>
    <hyperlink r:id="rId7937" ref="H7928"/>
    <hyperlink r:id="rId7938" ref="H7929"/>
    <hyperlink r:id="rId7939" ref="H7930"/>
    <hyperlink r:id="rId7940" ref="H7931"/>
    <hyperlink r:id="rId7941" ref="H7932"/>
    <hyperlink r:id="rId7942" ref="H7933"/>
    <hyperlink r:id="rId7943" ref="H7934"/>
    <hyperlink r:id="rId7944" ref="H7935"/>
    <hyperlink r:id="rId7945" ref="H7936"/>
    <hyperlink r:id="rId7946" ref="H7937"/>
    <hyperlink r:id="rId7947" ref="H7938"/>
    <hyperlink r:id="rId7948" ref="H7939"/>
    <hyperlink r:id="rId7949" ref="H7940"/>
    <hyperlink r:id="rId7950" ref="H7941"/>
    <hyperlink r:id="rId7951" ref="H7942"/>
    <hyperlink r:id="rId7952" ref="H7943"/>
    <hyperlink r:id="rId7953" ref="H7944"/>
    <hyperlink r:id="rId7954" ref="H7945"/>
    <hyperlink r:id="rId7955" ref="H7946"/>
    <hyperlink r:id="rId7956" ref="H7947"/>
    <hyperlink r:id="rId7957" ref="H7948"/>
    <hyperlink r:id="rId7958" ref="H7949"/>
    <hyperlink r:id="rId7959" ref="H7950"/>
    <hyperlink r:id="rId7960" ref="H7951"/>
    <hyperlink r:id="rId7961" ref="H7952"/>
    <hyperlink r:id="rId7962" ref="H7953"/>
    <hyperlink r:id="rId7963" ref="H7954"/>
    <hyperlink r:id="rId7964" ref="H7955"/>
    <hyperlink r:id="rId7965" ref="H7956"/>
    <hyperlink r:id="rId7966" ref="H7957"/>
    <hyperlink r:id="rId7967" ref="H7958"/>
    <hyperlink r:id="rId7968" ref="H7959"/>
    <hyperlink r:id="rId7969" ref="H7960"/>
    <hyperlink r:id="rId7970" ref="H7961"/>
    <hyperlink r:id="rId7971" ref="H7962"/>
    <hyperlink r:id="rId7972" ref="H7963"/>
    <hyperlink r:id="rId7973" ref="H7964"/>
    <hyperlink r:id="rId7974" ref="H7965"/>
    <hyperlink r:id="rId7975" ref="H7966"/>
    <hyperlink r:id="rId7976" ref="H7967"/>
    <hyperlink r:id="rId7977" ref="H7968"/>
    <hyperlink r:id="rId7978" ref="H7969"/>
    <hyperlink r:id="rId7979" ref="H7970"/>
    <hyperlink r:id="rId7980" ref="H7971"/>
    <hyperlink r:id="rId7981" ref="H7972"/>
    <hyperlink r:id="rId7982" ref="H7973"/>
    <hyperlink r:id="rId7983" ref="H7974"/>
    <hyperlink r:id="rId7984" ref="H7975"/>
    <hyperlink r:id="rId7985" ref="H7976"/>
    <hyperlink r:id="rId7986" ref="H7977"/>
    <hyperlink r:id="rId7987" ref="H7978"/>
    <hyperlink r:id="rId7988" ref="H7979"/>
    <hyperlink r:id="rId7989" ref="H7980"/>
    <hyperlink r:id="rId7990" ref="H7981"/>
    <hyperlink r:id="rId7991" ref="H7982"/>
    <hyperlink r:id="rId7992" ref="H7983"/>
    <hyperlink r:id="rId7993" ref="H7984"/>
    <hyperlink r:id="rId7994" ref="H7985"/>
    <hyperlink r:id="rId7995" ref="H7986"/>
    <hyperlink r:id="rId7996" ref="H7987"/>
    <hyperlink r:id="rId7997" ref="H7988"/>
    <hyperlink r:id="rId7998" ref="H7989"/>
    <hyperlink r:id="rId7999" ref="H7990"/>
    <hyperlink r:id="rId8000" ref="H7991"/>
    <hyperlink r:id="rId8001" ref="H7992"/>
    <hyperlink r:id="rId8002" ref="H7993"/>
    <hyperlink r:id="rId8003" ref="H7994"/>
    <hyperlink r:id="rId8004" ref="H7995"/>
    <hyperlink r:id="rId8005" ref="H7996"/>
    <hyperlink r:id="rId8006" ref="H7997"/>
    <hyperlink r:id="rId8007" ref="H7998"/>
    <hyperlink r:id="rId8008" ref="H7999"/>
    <hyperlink r:id="rId8009" ref="H8000"/>
    <hyperlink r:id="rId8010" ref="H8001"/>
    <hyperlink r:id="rId8011" ref="H8002"/>
    <hyperlink r:id="rId8012" ref="H8003"/>
    <hyperlink r:id="rId8013" ref="H8004"/>
    <hyperlink r:id="rId8014" ref="H8005"/>
    <hyperlink r:id="rId8015" ref="H8006"/>
    <hyperlink r:id="rId8016" ref="H8007"/>
    <hyperlink r:id="rId8017" ref="H8008"/>
    <hyperlink r:id="rId8018" ref="H8009"/>
    <hyperlink r:id="rId8019" ref="H8010"/>
    <hyperlink r:id="rId8020" ref="H8011"/>
    <hyperlink r:id="rId8021" ref="H8012"/>
    <hyperlink r:id="rId8022" ref="H8013"/>
    <hyperlink r:id="rId8023" ref="H8014"/>
    <hyperlink r:id="rId8024" ref="H8015"/>
    <hyperlink r:id="rId8025" ref="H8016"/>
    <hyperlink r:id="rId8026" ref="H8017"/>
    <hyperlink r:id="rId8027" ref="H8018"/>
    <hyperlink r:id="rId8028" ref="H8019"/>
    <hyperlink r:id="rId8029" ref="H8020"/>
    <hyperlink r:id="rId8030" ref="H8021"/>
    <hyperlink r:id="rId8031" ref="H8022"/>
    <hyperlink r:id="rId8032" ref="H8023"/>
    <hyperlink r:id="rId8033" ref="H8024"/>
    <hyperlink r:id="rId8034" ref="H8025"/>
    <hyperlink r:id="rId8035" ref="H8026"/>
    <hyperlink r:id="rId8036" ref="H8027"/>
    <hyperlink r:id="rId8037" ref="H8028"/>
    <hyperlink r:id="rId8038" ref="H8029"/>
    <hyperlink r:id="rId8039" ref="H8030"/>
    <hyperlink r:id="rId8040" ref="H8031"/>
    <hyperlink r:id="rId8041" ref="H8032"/>
    <hyperlink r:id="rId8042" ref="H8033"/>
    <hyperlink r:id="rId8043" ref="H8034"/>
    <hyperlink r:id="rId8044" ref="H8035"/>
    <hyperlink r:id="rId8045" ref="H8036"/>
    <hyperlink r:id="rId8046" ref="H8037"/>
    <hyperlink r:id="rId8047" ref="H8038"/>
    <hyperlink r:id="rId8048" ref="H8039"/>
    <hyperlink r:id="rId8049" ref="H8040"/>
    <hyperlink r:id="rId8050" ref="H8041"/>
    <hyperlink r:id="rId8051" ref="H8042"/>
    <hyperlink r:id="rId8052" ref="H8043"/>
    <hyperlink r:id="rId8053" ref="H8044"/>
    <hyperlink r:id="rId8054" ref="H8045"/>
    <hyperlink r:id="rId8055" ref="H8046"/>
    <hyperlink r:id="rId8056" ref="H8047"/>
    <hyperlink r:id="rId8057" ref="H8048"/>
    <hyperlink r:id="rId8058" ref="H8049"/>
    <hyperlink r:id="rId8059" ref="H8050"/>
    <hyperlink r:id="rId8060" ref="H8051"/>
    <hyperlink r:id="rId8061" ref="H8052"/>
    <hyperlink r:id="rId8062" ref="H8053"/>
    <hyperlink r:id="rId8063" ref="H8054"/>
    <hyperlink r:id="rId8064" ref="H8055"/>
    <hyperlink r:id="rId8065" ref="H8056"/>
    <hyperlink r:id="rId8066" ref="H8057"/>
    <hyperlink r:id="rId8067" ref="H8058"/>
    <hyperlink r:id="rId8068" ref="H8059"/>
    <hyperlink r:id="rId8069" ref="H8060"/>
    <hyperlink r:id="rId8070" ref="H8061"/>
    <hyperlink r:id="rId8071" ref="H8062"/>
    <hyperlink r:id="rId8072" ref="H8063"/>
    <hyperlink r:id="rId8073" ref="H8064"/>
    <hyperlink r:id="rId8074" ref="H8065"/>
    <hyperlink r:id="rId8075" ref="H8066"/>
    <hyperlink r:id="rId8076" ref="H8067"/>
    <hyperlink r:id="rId8077" ref="H8068"/>
    <hyperlink r:id="rId8078" ref="C8069"/>
    <hyperlink r:id="rId8079" ref="H8069"/>
    <hyperlink r:id="rId8080" ref="H8070"/>
    <hyperlink r:id="rId8081" ref="H8071"/>
    <hyperlink r:id="rId8082" ref="H8072"/>
    <hyperlink r:id="rId8083" ref="H8073"/>
    <hyperlink r:id="rId8084" ref="H8074"/>
    <hyperlink r:id="rId8085" ref="H8075"/>
    <hyperlink r:id="rId8086" ref="H8076"/>
    <hyperlink r:id="rId8087" ref="H8077"/>
    <hyperlink r:id="rId8088" ref="H8078"/>
    <hyperlink r:id="rId8089" ref="H8079"/>
    <hyperlink r:id="rId8090" ref="H8080"/>
    <hyperlink r:id="rId8091" ref="H8081"/>
    <hyperlink r:id="rId8092" ref="H8082"/>
    <hyperlink r:id="rId8093" ref="H8083"/>
    <hyperlink r:id="rId8094" ref="H8084"/>
    <hyperlink r:id="rId8095" ref="H8085"/>
    <hyperlink r:id="rId8096" ref="H8086"/>
    <hyperlink r:id="rId8097" ref="H8087"/>
    <hyperlink r:id="rId8098" ref="H8088"/>
    <hyperlink r:id="rId8099" ref="H8089"/>
    <hyperlink r:id="rId8100" ref="H8090"/>
    <hyperlink r:id="rId8101" ref="H8091"/>
    <hyperlink r:id="rId8102" ref="H8092"/>
    <hyperlink r:id="rId8103" ref="H8093"/>
    <hyperlink r:id="rId8104" ref="H8094"/>
    <hyperlink r:id="rId8105" ref="H8095"/>
    <hyperlink r:id="rId8106" ref="H8096"/>
    <hyperlink r:id="rId8107" ref="H8097"/>
    <hyperlink r:id="rId8108" ref="H8098"/>
    <hyperlink r:id="rId8109" ref="H8099"/>
    <hyperlink r:id="rId8110" ref="H8100"/>
    <hyperlink r:id="rId8111" ref="H8101"/>
    <hyperlink r:id="rId8112" ref="H8102"/>
    <hyperlink r:id="rId8113" ref="H8103"/>
    <hyperlink r:id="rId8114" ref="H8104"/>
    <hyperlink r:id="rId8115" ref="H8105"/>
    <hyperlink r:id="rId8116" ref="H8106"/>
    <hyperlink r:id="rId8117" ref="H8107"/>
    <hyperlink r:id="rId8118" ref="H8108"/>
    <hyperlink r:id="rId8119" ref="H8109"/>
    <hyperlink r:id="rId8120" ref="H8110"/>
    <hyperlink r:id="rId8121" ref="H8111"/>
    <hyperlink r:id="rId8122" ref="H8112"/>
    <hyperlink r:id="rId8123" ref="H8113"/>
    <hyperlink r:id="rId8124" ref="H8114"/>
    <hyperlink r:id="rId8125" ref="H8115"/>
    <hyperlink r:id="rId8126" ref="H8116"/>
    <hyperlink r:id="rId8127" ref="H8117"/>
    <hyperlink r:id="rId8128" ref="H8118"/>
    <hyperlink r:id="rId8129" ref="H8119"/>
    <hyperlink r:id="rId8130" ref="H8120"/>
    <hyperlink r:id="rId8131" ref="H8121"/>
    <hyperlink r:id="rId8132" ref="H8122"/>
    <hyperlink r:id="rId8133" ref="H8123"/>
    <hyperlink r:id="rId8134" ref="H8124"/>
    <hyperlink r:id="rId8135" ref="H8125"/>
    <hyperlink r:id="rId8136" ref="H8126"/>
    <hyperlink r:id="rId8137" ref="H8127"/>
    <hyperlink r:id="rId8138" ref="H8128"/>
    <hyperlink r:id="rId8139" ref="H8129"/>
    <hyperlink r:id="rId8140" ref="H8130"/>
    <hyperlink r:id="rId8141" ref="H8131"/>
    <hyperlink r:id="rId8142" ref="H8132"/>
    <hyperlink r:id="rId8143" ref="H8133"/>
    <hyperlink r:id="rId8144" ref="H8134"/>
    <hyperlink r:id="rId8145" ref="H8135"/>
    <hyperlink r:id="rId8146" ref="H8136"/>
    <hyperlink r:id="rId8147" ref="H8137"/>
    <hyperlink r:id="rId8148" ref="H8138"/>
    <hyperlink r:id="rId8149" ref="H8139"/>
    <hyperlink r:id="rId8150" ref="H8140"/>
    <hyperlink r:id="rId8151" ref="H8141"/>
    <hyperlink r:id="rId8152" ref="H8142"/>
    <hyperlink r:id="rId8153" ref="H8143"/>
    <hyperlink r:id="rId8154" ref="H8144"/>
    <hyperlink r:id="rId8155" ref="H8145"/>
    <hyperlink r:id="rId8156" ref="H8146"/>
    <hyperlink r:id="rId8157" ref="H8147"/>
    <hyperlink r:id="rId8158" ref="H8148"/>
    <hyperlink r:id="rId8159" ref="H8149"/>
    <hyperlink r:id="rId8160" ref="H8150"/>
    <hyperlink r:id="rId8161" ref="H8151"/>
    <hyperlink r:id="rId8162" ref="H8152"/>
    <hyperlink r:id="rId8163" ref="H8153"/>
    <hyperlink r:id="rId8164" ref="H8154"/>
    <hyperlink r:id="rId8165" ref="H8155"/>
    <hyperlink r:id="rId8166" ref="H8156"/>
    <hyperlink r:id="rId8167" ref="H8157"/>
    <hyperlink r:id="rId8168" ref="H8158"/>
    <hyperlink r:id="rId8169" ref="H8159"/>
    <hyperlink r:id="rId8170" ref="H8160"/>
    <hyperlink r:id="rId8171" ref="H8161"/>
    <hyperlink r:id="rId8172" ref="H8162"/>
    <hyperlink r:id="rId8173" ref="H8163"/>
    <hyperlink r:id="rId8174" ref="H8164"/>
    <hyperlink r:id="rId8175" ref="H8165"/>
    <hyperlink r:id="rId8176" ref="H8166"/>
    <hyperlink r:id="rId8177" ref="H8167"/>
    <hyperlink r:id="rId8178" ref="H8168"/>
    <hyperlink r:id="rId8179" ref="H8169"/>
    <hyperlink r:id="rId8180" ref="H8170"/>
    <hyperlink r:id="rId8181" ref="H8171"/>
    <hyperlink r:id="rId8182" ref="H8172"/>
    <hyperlink r:id="rId8183" ref="H8173"/>
    <hyperlink r:id="rId8184" ref="H8174"/>
    <hyperlink r:id="rId8185" ref="H8175"/>
    <hyperlink r:id="rId8186" ref="H8176"/>
    <hyperlink r:id="rId8187" ref="H8177"/>
    <hyperlink r:id="rId8188" ref="H8178"/>
    <hyperlink r:id="rId8189" ref="H8179"/>
    <hyperlink r:id="rId8190" ref="H8180"/>
    <hyperlink r:id="rId8191" ref="H8181"/>
    <hyperlink r:id="rId8192" ref="H8182"/>
    <hyperlink r:id="rId8193" ref="H8183"/>
    <hyperlink r:id="rId8194" ref="H8184"/>
    <hyperlink r:id="rId8195" ref="H8185"/>
    <hyperlink r:id="rId8196" ref="H8186"/>
    <hyperlink r:id="rId8197" ref="H8187"/>
    <hyperlink r:id="rId8198" ref="H8188"/>
    <hyperlink r:id="rId8199" ref="H8189"/>
    <hyperlink r:id="rId8200" ref="H8190"/>
    <hyperlink r:id="rId8201" ref="H8191"/>
    <hyperlink r:id="rId8202" ref="H8192"/>
    <hyperlink r:id="rId8203" ref="H8193"/>
    <hyperlink r:id="rId8204" ref="H8194"/>
    <hyperlink r:id="rId8205" ref="H8195"/>
    <hyperlink r:id="rId8206" ref="H8196"/>
    <hyperlink r:id="rId8207" ref="H8197"/>
    <hyperlink r:id="rId8208" ref="H8198"/>
    <hyperlink r:id="rId8209" ref="H8199"/>
    <hyperlink r:id="rId8210" ref="H8200"/>
    <hyperlink r:id="rId8211" ref="H8201"/>
    <hyperlink r:id="rId8212" ref="H8202"/>
    <hyperlink r:id="rId8213" ref="H8203"/>
    <hyperlink r:id="rId8214" ref="H8204"/>
    <hyperlink r:id="rId8215" ref="H8205"/>
    <hyperlink r:id="rId8216" ref="H8206"/>
    <hyperlink r:id="rId8217" ref="H8207"/>
    <hyperlink r:id="rId8218" ref="H8208"/>
    <hyperlink r:id="rId8219" ref="H8209"/>
    <hyperlink r:id="rId8220" ref="H8210"/>
    <hyperlink r:id="rId8221" ref="H8211"/>
    <hyperlink r:id="rId8222" ref="H8212"/>
    <hyperlink r:id="rId8223" ref="H8213"/>
    <hyperlink r:id="rId8224" ref="H8214"/>
    <hyperlink r:id="rId8225" ref="H8215"/>
    <hyperlink r:id="rId8226" ref="H8216"/>
    <hyperlink r:id="rId8227" ref="H8217"/>
    <hyperlink r:id="rId8228" ref="H8218"/>
    <hyperlink r:id="rId8229" ref="H8219"/>
    <hyperlink r:id="rId8230" ref="H8220"/>
    <hyperlink r:id="rId8231" ref="H8221"/>
    <hyperlink r:id="rId8232" ref="H8222"/>
    <hyperlink r:id="rId8233" ref="H8223"/>
    <hyperlink r:id="rId8234" ref="H8224"/>
    <hyperlink r:id="rId8235" ref="H8225"/>
    <hyperlink r:id="rId8236" ref="H8226"/>
    <hyperlink r:id="rId8237" ref="H8227"/>
    <hyperlink r:id="rId8238" ref="H8228"/>
    <hyperlink r:id="rId8239" ref="H8229"/>
    <hyperlink r:id="rId8240" ref="H8230"/>
    <hyperlink r:id="rId8241" ref="H8231"/>
    <hyperlink r:id="rId8242" ref="H8232"/>
    <hyperlink r:id="rId8243" ref="H8233"/>
    <hyperlink r:id="rId8244" ref="H8234"/>
    <hyperlink r:id="rId8245" ref="H8235"/>
    <hyperlink r:id="rId8246" ref="H8236"/>
    <hyperlink r:id="rId8247" ref="H8237"/>
    <hyperlink r:id="rId8248" ref="H8238"/>
    <hyperlink r:id="rId8249" ref="H8239"/>
    <hyperlink r:id="rId8250" ref="H8240"/>
    <hyperlink r:id="rId8251" ref="H8241"/>
    <hyperlink r:id="rId8252" ref="H8242"/>
    <hyperlink r:id="rId8253" ref="H8243"/>
    <hyperlink r:id="rId8254" ref="H8244"/>
    <hyperlink r:id="rId8255" ref="H8245"/>
    <hyperlink r:id="rId8256" ref="H8246"/>
    <hyperlink r:id="rId8257" ref="H8247"/>
    <hyperlink r:id="rId8258" ref="H8248"/>
    <hyperlink r:id="rId8259" ref="H8249"/>
    <hyperlink r:id="rId8260" ref="H8250"/>
    <hyperlink r:id="rId8261" ref="H8251"/>
    <hyperlink r:id="rId8262" ref="H8252"/>
    <hyperlink r:id="rId8263" ref="H8253"/>
    <hyperlink r:id="rId8264" ref="H8254"/>
    <hyperlink r:id="rId8265" ref="H8255"/>
    <hyperlink r:id="rId8266" ref="H8256"/>
    <hyperlink r:id="rId8267" ref="H8257"/>
    <hyperlink r:id="rId8268" ref="H8258"/>
    <hyperlink r:id="rId8269" ref="H8259"/>
    <hyperlink r:id="rId8270" ref="H8260"/>
    <hyperlink r:id="rId8271" ref="H8261"/>
    <hyperlink r:id="rId8272" ref="H8262"/>
    <hyperlink r:id="rId8273" ref="H8263"/>
    <hyperlink r:id="rId8274" ref="H8264"/>
    <hyperlink r:id="rId8275" ref="H8265"/>
    <hyperlink r:id="rId8276" ref="H8266"/>
    <hyperlink r:id="rId8277" ref="H8267"/>
    <hyperlink r:id="rId8278" ref="H8268"/>
    <hyperlink r:id="rId8279" ref="H8269"/>
    <hyperlink r:id="rId8280" ref="H8270"/>
    <hyperlink r:id="rId8281" ref="H8271"/>
    <hyperlink r:id="rId8282" ref="H8272"/>
    <hyperlink r:id="rId8283" ref="H8273"/>
    <hyperlink r:id="rId8284" ref="H8274"/>
    <hyperlink r:id="rId8285" ref="H8275"/>
    <hyperlink r:id="rId8286" ref="H8276"/>
    <hyperlink r:id="rId8287" ref="H8277"/>
    <hyperlink r:id="rId8288" ref="H8278"/>
    <hyperlink r:id="rId8289" ref="H8279"/>
    <hyperlink r:id="rId8290" ref="H8280"/>
    <hyperlink r:id="rId8291" ref="H8281"/>
    <hyperlink r:id="rId8292" ref="H8282"/>
    <hyperlink r:id="rId8293" ref="H8283"/>
    <hyperlink r:id="rId8294" ref="H8284"/>
    <hyperlink r:id="rId8295" ref="H8285"/>
    <hyperlink r:id="rId8296" ref="H8286"/>
    <hyperlink r:id="rId8297" ref="H8287"/>
    <hyperlink r:id="rId8298" ref="H8288"/>
    <hyperlink r:id="rId8299" ref="H8289"/>
    <hyperlink r:id="rId8300" ref="H8290"/>
    <hyperlink r:id="rId8301" ref="H8291"/>
    <hyperlink r:id="rId8302" ref="H8292"/>
    <hyperlink r:id="rId8303" ref="H8293"/>
    <hyperlink r:id="rId8304" ref="H8294"/>
    <hyperlink r:id="rId8305" ref="H8295"/>
    <hyperlink r:id="rId8306" ref="H8296"/>
    <hyperlink r:id="rId8307" ref="H8297"/>
    <hyperlink r:id="rId8308" ref="H8298"/>
    <hyperlink r:id="rId8309" ref="H8299"/>
    <hyperlink r:id="rId8310" ref="H8300"/>
    <hyperlink r:id="rId8311" ref="H8301"/>
    <hyperlink r:id="rId8312" ref="H8302"/>
    <hyperlink r:id="rId8313" ref="H8303"/>
    <hyperlink r:id="rId8314" ref="H8304"/>
    <hyperlink r:id="rId8315" ref="H8305"/>
    <hyperlink r:id="rId8316" ref="H8306"/>
    <hyperlink r:id="rId8317" ref="H8307"/>
    <hyperlink r:id="rId8318" ref="H8308"/>
    <hyperlink r:id="rId8319" ref="H8309"/>
    <hyperlink r:id="rId8320" ref="H8310"/>
    <hyperlink r:id="rId8321" ref="H8311"/>
    <hyperlink r:id="rId8322" ref="H8312"/>
    <hyperlink r:id="rId8323" ref="H8313"/>
    <hyperlink r:id="rId8324" ref="H8314"/>
    <hyperlink r:id="rId8325" ref="H8315"/>
    <hyperlink r:id="rId8326" ref="H8316"/>
    <hyperlink r:id="rId8327" ref="H8317"/>
    <hyperlink r:id="rId8328" ref="H8318"/>
    <hyperlink r:id="rId8329" ref="H8319"/>
    <hyperlink r:id="rId8330" ref="H8320"/>
    <hyperlink r:id="rId8331" ref="H8321"/>
    <hyperlink r:id="rId8332" ref="H8322"/>
    <hyperlink r:id="rId8333" ref="H8323"/>
    <hyperlink r:id="rId8334" ref="H8324"/>
    <hyperlink r:id="rId8335" ref="H8325"/>
    <hyperlink r:id="rId8336" ref="H8326"/>
    <hyperlink r:id="rId8337" ref="H8327"/>
    <hyperlink r:id="rId8338" ref="H8328"/>
    <hyperlink r:id="rId8339" ref="H8329"/>
    <hyperlink r:id="rId8340" ref="H8330"/>
    <hyperlink r:id="rId8341" ref="H8331"/>
    <hyperlink r:id="rId8342" ref="H8332"/>
    <hyperlink r:id="rId8343" ref="H8333"/>
    <hyperlink r:id="rId8344" ref="H8334"/>
    <hyperlink r:id="rId8345" ref="H8335"/>
    <hyperlink r:id="rId8346" ref="H8336"/>
    <hyperlink r:id="rId8347" ref="H8337"/>
    <hyperlink r:id="rId8348" ref="H8338"/>
    <hyperlink r:id="rId8349" ref="H8339"/>
    <hyperlink r:id="rId8350" ref="H8340"/>
    <hyperlink r:id="rId8351" ref="H8341"/>
    <hyperlink r:id="rId8352" ref="H8342"/>
    <hyperlink r:id="rId8353" ref="H8343"/>
    <hyperlink r:id="rId8354" ref="H8344"/>
    <hyperlink r:id="rId8355" ref="H8345"/>
    <hyperlink r:id="rId8356" ref="H8346"/>
    <hyperlink r:id="rId8357" ref="H8347"/>
    <hyperlink r:id="rId8358" ref="H8348"/>
    <hyperlink r:id="rId8359" ref="H8349"/>
    <hyperlink r:id="rId8360" ref="H8350"/>
    <hyperlink r:id="rId8361" ref="H8351"/>
    <hyperlink r:id="rId8362" ref="H8352"/>
    <hyperlink r:id="rId8363" ref="H8353"/>
    <hyperlink r:id="rId8364" ref="H8354"/>
    <hyperlink r:id="rId8365" ref="H8355"/>
    <hyperlink r:id="rId8366" ref="H8356"/>
    <hyperlink r:id="rId8367" ref="H8357"/>
    <hyperlink r:id="rId8368" ref="H8358"/>
    <hyperlink r:id="rId8369" ref="H8359"/>
    <hyperlink r:id="rId8370" ref="H8360"/>
    <hyperlink r:id="rId8371" ref="H8361"/>
    <hyperlink r:id="rId8372" ref="H8362"/>
    <hyperlink r:id="rId8373" ref="H8363"/>
    <hyperlink r:id="rId8374" ref="H8364"/>
    <hyperlink r:id="rId8375" ref="H8365"/>
    <hyperlink r:id="rId8376" ref="H8366"/>
    <hyperlink r:id="rId8377" ref="H8367"/>
    <hyperlink r:id="rId8378" ref="H8368"/>
    <hyperlink r:id="rId8379" ref="H8369"/>
    <hyperlink r:id="rId8380" ref="H8370"/>
    <hyperlink r:id="rId8381" ref="H8371"/>
    <hyperlink r:id="rId8382" ref="H8372"/>
    <hyperlink r:id="rId8383" ref="H8373"/>
    <hyperlink r:id="rId8384" ref="H8374"/>
    <hyperlink r:id="rId8385" ref="H8375"/>
    <hyperlink r:id="rId8386" ref="H8376"/>
    <hyperlink r:id="rId8387" ref="H8377"/>
    <hyperlink r:id="rId8388" ref="H8378"/>
    <hyperlink r:id="rId8389" ref="H8379"/>
    <hyperlink r:id="rId8390" ref="H8380"/>
    <hyperlink r:id="rId8391" ref="H8381"/>
    <hyperlink r:id="rId8392" ref="H8382"/>
    <hyperlink r:id="rId8393" ref="H8383"/>
    <hyperlink r:id="rId8394" ref="H8384"/>
    <hyperlink r:id="rId8395" ref="H8385"/>
    <hyperlink r:id="rId8396" ref="H8386"/>
    <hyperlink r:id="rId8397" ref="H8387"/>
    <hyperlink r:id="rId8398" ref="H8388"/>
    <hyperlink r:id="rId8399" ref="H8389"/>
    <hyperlink r:id="rId8400" ref="H8390"/>
    <hyperlink r:id="rId8401" ref="H8391"/>
    <hyperlink r:id="rId8402" ref="H8392"/>
    <hyperlink r:id="rId8403" ref="H8393"/>
    <hyperlink r:id="rId8404" ref="H8394"/>
    <hyperlink r:id="rId8405" ref="H8395"/>
    <hyperlink r:id="rId8406" ref="H8396"/>
    <hyperlink r:id="rId8407" ref="H8397"/>
    <hyperlink r:id="rId8408" ref="H8398"/>
    <hyperlink r:id="rId8409" ref="H8399"/>
    <hyperlink r:id="rId8410" ref="H8400"/>
    <hyperlink r:id="rId8411" ref="H8401"/>
    <hyperlink r:id="rId8412" ref="H8402"/>
    <hyperlink r:id="rId8413" ref="H8403"/>
    <hyperlink r:id="rId8414" ref="H8404"/>
    <hyperlink r:id="rId8415" ref="H8405"/>
    <hyperlink r:id="rId8416" ref="H8406"/>
    <hyperlink r:id="rId8417" ref="H8407"/>
    <hyperlink r:id="rId8418" ref="H8408"/>
    <hyperlink r:id="rId8419" ref="H8409"/>
    <hyperlink r:id="rId8420" ref="H8410"/>
    <hyperlink r:id="rId8421" ref="H8411"/>
    <hyperlink r:id="rId8422" ref="H8412"/>
    <hyperlink r:id="rId8423" ref="H8413"/>
    <hyperlink r:id="rId8424" ref="H8414"/>
    <hyperlink r:id="rId8425" ref="H8415"/>
    <hyperlink r:id="rId8426" ref="H8416"/>
    <hyperlink r:id="rId8427" ref="H8417"/>
    <hyperlink r:id="rId8428" ref="H8418"/>
    <hyperlink r:id="rId8429" ref="H8419"/>
    <hyperlink r:id="rId8430" ref="H8420"/>
    <hyperlink r:id="rId8431" ref="H8421"/>
    <hyperlink r:id="rId8432" ref="H8422"/>
    <hyperlink r:id="rId8433" ref="H8423"/>
    <hyperlink r:id="rId8434" ref="H8424"/>
    <hyperlink r:id="rId8435" ref="H8425"/>
    <hyperlink r:id="rId8436" ref="H8426"/>
    <hyperlink r:id="rId8437" ref="H8427"/>
    <hyperlink r:id="rId8438" ref="H8428"/>
    <hyperlink r:id="rId8439" ref="H8429"/>
    <hyperlink r:id="rId8440" ref="H8430"/>
    <hyperlink r:id="rId8441" ref="H8431"/>
    <hyperlink r:id="rId8442" ref="H8432"/>
    <hyperlink r:id="rId8443" ref="H8433"/>
    <hyperlink r:id="rId8444" ref="H8434"/>
    <hyperlink r:id="rId8445" ref="H8435"/>
    <hyperlink r:id="rId8446" ref="H8436"/>
    <hyperlink r:id="rId8447" ref="H8437"/>
    <hyperlink r:id="rId8448" ref="H8438"/>
    <hyperlink r:id="rId8449" ref="H8439"/>
    <hyperlink r:id="rId8450" ref="H8440"/>
    <hyperlink r:id="rId8451" ref="H8441"/>
    <hyperlink r:id="rId8452" ref="H8442"/>
    <hyperlink r:id="rId8453" ref="H8443"/>
    <hyperlink r:id="rId8454" ref="H8444"/>
    <hyperlink r:id="rId8455" ref="H8445"/>
    <hyperlink r:id="rId8456" ref="H8446"/>
    <hyperlink r:id="rId8457" ref="H8447"/>
    <hyperlink r:id="rId8458" ref="H8448"/>
    <hyperlink r:id="rId8459" ref="H8449"/>
    <hyperlink r:id="rId8460" ref="H8450"/>
    <hyperlink r:id="rId8461" ref="H8451"/>
    <hyperlink r:id="rId8462" ref="H8452"/>
    <hyperlink r:id="rId8463" ref="H8453"/>
    <hyperlink r:id="rId8464" ref="H8454"/>
    <hyperlink r:id="rId8465" ref="H8455"/>
    <hyperlink r:id="rId8466" ref="H8456"/>
    <hyperlink r:id="rId8467" ref="H8457"/>
    <hyperlink r:id="rId8468" ref="H8458"/>
    <hyperlink r:id="rId8469" ref="H8459"/>
    <hyperlink r:id="rId8470" ref="H8460"/>
    <hyperlink r:id="rId8471" ref="H8461"/>
    <hyperlink r:id="rId8472" ref="H8462"/>
    <hyperlink r:id="rId8473" ref="H8463"/>
    <hyperlink r:id="rId8474" ref="H8464"/>
    <hyperlink r:id="rId8475" ref="H8465"/>
    <hyperlink r:id="rId8476" ref="H8466"/>
    <hyperlink r:id="rId8477" ref="H8467"/>
    <hyperlink r:id="rId8478" ref="H8468"/>
    <hyperlink r:id="rId8479" ref="H8469"/>
    <hyperlink r:id="rId8480" ref="H8470"/>
    <hyperlink r:id="rId8481" ref="H8471"/>
    <hyperlink r:id="rId8482" ref="H8472"/>
    <hyperlink r:id="rId8483" ref="H8473"/>
    <hyperlink r:id="rId8484" ref="H8474"/>
    <hyperlink r:id="rId8485" ref="H8475"/>
    <hyperlink r:id="rId8486" ref="H8476"/>
    <hyperlink r:id="rId8487" ref="H8477"/>
    <hyperlink r:id="rId8488" ref="H8478"/>
    <hyperlink r:id="rId8489" ref="H8479"/>
    <hyperlink r:id="rId8490" ref="H8480"/>
    <hyperlink r:id="rId8491" ref="H8481"/>
    <hyperlink r:id="rId8492" ref="H8482"/>
    <hyperlink r:id="rId8493" ref="H8483"/>
    <hyperlink r:id="rId8494" ref="H8484"/>
    <hyperlink r:id="rId8495" ref="H8485"/>
    <hyperlink r:id="rId8496" ref="H8486"/>
    <hyperlink r:id="rId8497" ref="H8487"/>
    <hyperlink r:id="rId8498" ref="H8488"/>
    <hyperlink r:id="rId8499" ref="H8489"/>
    <hyperlink r:id="rId8500" ref="H8490"/>
    <hyperlink r:id="rId8501" ref="H8491"/>
    <hyperlink r:id="rId8502" ref="H8492"/>
    <hyperlink r:id="rId8503" ref="H8493"/>
    <hyperlink r:id="rId8504" ref="H8494"/>
    <hyperlink r:id="rId8505" ref="H8495"/>
    <hyperlink r:id="rId8506" ref="H8496"/>
    <hyperlink r:id="rId8507" ref="H8497"/>
    <hyperlink r:id="rId8508" ref="H8498"/>
    <hyperlink r:id="rId8509" ref="H8499"/>
    <hyperlink r:id="rId8510" ref="H8500"/>
    <hyperlink r:id="rId8511" ref="H8501"/>
    <hyperlink r:id="rId8512" ref="H8502"/>
    <hyperlink r:id="rId8513" ref="H8503"/>
    <hyperlink r:id="rId8514" ref="H8504"/>
    <hyperlink r:id="rId8515" ref="H8505"/>
    <hyperlink r:id="rId8516" ref="H8506"/>
    <hyperlink r:id="rId8517" ref="H8507"/>
    <hyperlink r:id="rId8518" ref="H8508"/>
    <hyperlink r:id="rId8519" ref="H8509"/>
    <hyperlink r:id="rId8520" ref="H8510"/>
    <hyperlink r:id="rId8521" ref="H8511"/>
    <hyperlink r:id="rId8522" ref="H8512"/>
    <hyperlink r:id="rId8523" ref="H8513"/>
    <hyperlink r:id="rId8524" ref="H8514"/>
    <hyperlink r:id="rId8525" ref="H8515"/>
    <hyperlink r:id="rId8526" ref="H8516"/>
    <hyperlink r:id="rId8527" ref="H8517"/>
    <hyperlink r:id="rId8528" ref="H8518"/>
    <hyperlink r:id="rId8529" ref="H8519"/>
    <hyperlink r:id="rId8530" ref="H8520"/>
    <hyperlink r:id="rId8531" ref="H8521"/>
    <hyperlink r:id="rId8532" ref="H8522"/>
    <hyperlink r:id="rId8533" ref="H8523"/>
    <hyperlink r:id="rId8534" ref="H8524"/>
    <hyperlink r:id="rId8535" ref="H8525"/>
    <hyperlink r:id="rId8536" ref="H8526"/>
    <hyperlink r:id="rId8537" ref="H8527"/>
    <hyperlink r:id="rId8538" ref="H8528"/>
    <hyperlink r:id="rId8539" ref="H8529"/>
    <hyperlink r:id="rId8540" ref="H8530"/>
    <hyperlink r:id="rId8541" ref="H8531"/>
    <hyperlink r:id="rId8542" ref="H8532"/>
    <hyperlink r:id="rId8543" ref="H8533"/>
    <hyperlink r:id="rId8544" ref="H8534"/>
    <hyperlink r:id="rId8545" ref="H8535"/>
    <hyperlink r:id="rId8546" ref="H8536"/>
    <hyperlink r:id="rId8547" ref="H8537"/>
    <hyperlink r:id="rId8548" ref="H8538"/>
    <hyperlink r:id="rId8549" ref="H8539"/>
    <hyperlink r:id="rId8550" ref="H8540"/>
    <hyperlink r:id="rId8551" ref="H8541"/>
    <hyperlink r:id="rId8552" ref="H8542"/>
    <hyperlink r:id="rId8553" ref="H8543"/>
    <hyperlink r:id="rId8554" ref="H8544"/>
    <hyperlink r:id="rId8555" ref="H8545"/>
    <hyperlink r:id="rId8556" ref="H8546"/>
    <hyperlink r:id="rId8557" ref="H8547"/>
    <hyperlink r:id="rId8558" ref="H8548"/>
    <hyperlink r:id="rId8559" ref="H8549"/>
    <hyperlink r:id="rId8560" ref="H8550"/>
    <hyperlink r:id="rId8561" ref="H8551"/>
    <hyperlink r:id="rId8562" ref="H8552"/>
    <hyperlink r:id="rId8563" ref="H8553"/>
    <hyperlink r:id="rId8564" ref="H8554"/>
    <hyperlink r:id="rId8565" ref="H8555"/>
    <hyperlink r:id="rId8566" ref="H8556"/>
    <hyperlink r:id="rId8567" ref="H8557"/>
    <hyperlink r:id="rId8568" ref="H8558"/>
    <hyperlink r:id="rId8569" ref="H8559"/>
    <hyperlink r:id="rId8570" ref="H8560"/>
    <hyperlink r:id="rId8571" ref="H8561"/>
    <hyperlink r:id="rId8572" ref="H8562"/>
    <hyperlink r:id="rId8573" ref="H8563"/>
    <hyperlink r:id="rId8574" ref="H8564"/>
    <hyperlink r:id="rId8575" ref="H8565"/>
    <hyperlink r:id="rId8576" ref="H8566"/>
    <hyperlink r:id="rId8577" ref="H8567"/>
    <hyperlink r:id="rId8578" ref="H8568"/>
    <hyperlink r:id="rId8579" ref="H8569"/>
    <hyperlink r:id="rId8580" ref="H8570"/>
    <hyperlink r:id="rId8581" ref="H8571"/>
    <hyperlink r:id="rId8582" ref="H8572"/>
    <hyperlink r:id="rId8583" ref="H8573"/>
    <hyperlink r:id="rId8584" ref="H8574"/>
    <hyperlink r:id="rId8585" ref="H8575"/>
    <hyperlink r:id="rId8586" ref="H8576"/>
    <hyperlink r:id="rId8587" ref="H8577"/>
    <hyperlink r:id="rId8588" ref="H8578"/>
    <hyperlink r:id="rId8589" ref="H8579"/>
    <hyperlink r:id="rId8590" ref="H8580"/>
    <hyperlink r:id="rId8591" ref="H8581"/>
    <hyperlink r:id="rId8592" ref="H8582"/>
    <hyperlink r:id="rId8593" ref="H8583"/>
    <hyperlink r:id="rId8594" ref="H8584"/>
    <hyperlink r:id="rId8595" ref="H8585"/>
    <hyperlink r:id="rId8596" ref="H8586"/>
    <hyperlink r:id="rId8597" ref="H8587"/>
    <hyperlink r:id="rId8598" ref="H8588"/>
    <hyperlink r:id="rId8599" ref="H8589"/>
    <hyperlink r:id="rId8600" ref="H8590"/>
    <hyperlink r:id="rId8601" ref="H8591"/>
    <hyperlink r:id="rId8602" ref="H8592"/>
    <hyperlink r:id="rId8603" ref="H8593"/>
    <hyperlink r:id="rId8604" ref="H8594"/>
    <hyperlink r:id="rId8605" ref="H8595"/>
    <hyperlink r:id="rId8606" ref="H8596"/>
    <hyperlink r:id="rId8607" ref="H8597"/>
    <hyperlink r:id="rId8608" ref="H8598"/>
    <hyperlink r:id="rId8609" ref="H8599"/>
    <hyperlink r:id="rId8610" ref="H8600"/>
    <hyperlink r:id="rId8611" ref="H8601"/>
    <hyperlink r:id="rId8612" ref="H8602"/>
    <hyperlink r:id="rId8613" ref="H8603"/>
    <hyperlink r:id="rId8614" ref="H8604"/>
    <hyperlink r:id="rId8615" ref="H8605"/>
    <hyperlink r:id="rId8616" ref="H8606"/>
    <hyperlink r:id="rId8617" ref="H8607"/>
    <hyperlink r:id="rId8618" ref="H8608"/>
    <hyperlink r:id="rId8619" ref="H8609"/>
    <hyperlink r:id="rId8620" ref="H8610"/>
    <hyperlink r:id="rId8621" ref="H8611"/>
    <hyperlink r:id="rId8622" ref="H8612"/>
    <hyperlink r:id="rId8623" ref="H8613"/>
    <hyperlink r:id="rId8624" ref="H8614"/>
    <hyperlink r:id="rId8625" ref="H8615"/>
    <hyperlink r:id="rId8626" ref="H8616"/>
    <hyperlink r:id="rId8627" ref="H8617"/>
    <hyperlink r:id="rId8628" ref="H8618"/>
    <hyperlink r:id="rId8629" ref="H8619"/>
    <hyperlink r:id="rId8630" ref="H8620"/>
    <hyperlink r:id="rId8631" ref="H8621"/>
    <hyperlink r:id="rId8632" ref="H8622"/>
    <hyperlink r:id="rId8633" ref="H8623"/>
    <hyperlink r:id="rId8634" ref="H8624"/>
    <hyperlink r:id="rId8635" ref="H8625"/>
    <hyperlink r:id="rId8636" ref="H8626"/>
    <hyperlink r:id="rId8637" ref="H8627"/>
    <hyperlink r:id="rId8638" ref="H8628"/>
    <hyperlink r:id="rId8639" ref="H8629"/>
    <hyperlink r:id="rId8640" ref="H8630"/>
    <hyperlink r:id="rId8641" ref="H8631"/>
    <hyperlink r:id="rId8642" ref="H8632"/>
    <hyperlink r:id="rId8643" ref="H8633"/>
    <hyperlink r:id="rId8644" ref="H8635"/>
    <hyperlink r:id="rId8645" ref="H8636"/>
    <hyperlink r:id="rId8646" ref="H8637"/>
    <hyperlink r:id="rId8647" ref="H8638"/>
    <hyperlink r:id="rId8648" ref="H8639"/>
    <hyperlink r:id="rId8649" ref="H8640"/>
    <hyperlink r:id="rId8650" ref="H8641"/>
    <hyperlink r:id="rId8651" ref="H8642"/>
    <hyperlink r:id="rId8652" ref="H8643"/>
    <hyperlink r:id="rId8653" ref="H8644"/>
    <hyperlink r:id="rId8654" ref="H8645"/>
    <hyperlink r:id="rId8655" ref="H8646"/>
    <hyperlink r:id="rId8656" ref="H8647"/>
    <hyperlink r:id="rId8657" ref="H8648"/>
    <hyperlink r:id="rId8658" ref="H8649"/>
    <hyperlink r:id="rId8659" ref="H8650"/>
    <hyperlink r:id="rId8660" ref="H8651"/>
    <hyperlink r:id="rId8661" ref="H8652"/>
    <hyperlink r:id="rId8662" ref="H8653"/>
    <hyperlink r:id="rId8663" ref="H8654"/>
    <hyperlink r:id="rId8664" ref="H8655"/>
    <hyperlink r:id="rId8665" ref="H8656"/>
    <hyperlink r:id="rId8666" ref="H8657"/>
    <hyperlink r:id="rId8667" ref="H8658"/>
    <hyperlink r:id="rId8668" ref="H8659"/>
    <hyperlink r:id="rId8669" ref="H8660"/>
    <hyperlink r:id="rId8670" ref="H8661"/>
    <hyperlink r:id="rId8671" ref="H8662"/>
    <hyperlink r:id="rId8672" ref="H8663"/>
    <hyperlink r:id="rId8673" ref="H8664"/>
    <hyperlink r:id="rId8674" ref="H8665"/>
    <hyperlink r:id="rId8675" ref="H8666"/>
    <hyperlink r:id="rId8676" ref="H8667"/>
    <hyperlink r:id="rId8677" ref="H8668"/>
    <hyperlink r:id="rId8678" ref="H8669"/>
    <hyperlink r:id="rId8679" ref="H8670"/>
    <hyperlink r:id="rId8680" ref="H8671"/>
    <hyperlink r:id="rId8681" ref="H8672"/>
    <hyperlink r:id="rId8682" ref="H8673"/>
    <hyperlink r:id="rId8683" ref="H8674"/>
    <hyperlink r:id="rId8684" ref="H8675"/>
    <hyperlink r:id="rId8685" ref="H8676"/>
    <hyperlink r:id="rId8686" ref="H8677"/>
    <hyperlink r:id="rId8687" ref="H8678"/>
    <hyperlink r:id="rId8688" ref="H8679"/>
    <hyperlink r:id="rId8689" ref="H8680"/>
    <hyperlink r:id="rId8690" ref="H8681"/>
    <hyperlink r:id="rId8691" ref="H8682"/>
    <hyperlink r:id="rId8692" ref="H8683"/>
    <hyperlink r:id="rId8693" ref="H8684"/>
    <hyperlink r:id="rId8694" ref="H8685"/>
    <hyperlink r:id="rId8695" ref="H8686"/>
    <hyperlink r:id="rId8696" ref="H8687"/>
    <hyperlink r:id="rId8697" ref="H8688"/>
    <hyperlink r:id="rId8698" ref="H8689"/>
    <hyperlink r:id="rId8699" ref="H8690"/>
    <hyperlink r:id="rId8700" ref="H8691"/>
    <hyperlink r:id="rId8701" ref="H8692"/>
    <hyperlink r:id="rId8702" ref="H8693"/>
    <hyperlink r:id="rId8703" ref="H8694"/>
    <hyperlink r:id="rId8704" ref="H8695"/>
    <hyperlink r:id="rId8705" ref="H8696"/>
    <hyperlink r:id="rId8706" ref="H8697"/>
    <hyperlink r:id="rId8707" ref="H8698"/>
    <hyperlink r:id="rId8708" ref="H8699"/>
    <hyperlink r:id="rId8709" ref="H8700"/>
    <hyperlink r:id="rId8710" ref="H8701"/>
    <hyperlink r:id="rId8711" ref="H8702"/>
    <hyperlink r:id="rId8712" ref="H8703"/>
    <hyperlink r:id="rId8713" ref="H8704"/>
    <hyperlink r:id="rId8714" ref="H8705"/>
    <hyperlink r:id="rId8715" ref="H8706"/>
    <hyperlink r:id="rId8716" ref="H8707"/>
    <hyperlink r:id="rId8717" ref="H8708"/>
    <hyperlink r:id="rId8718" ref="H8709"/>
    <hyperlink r:id="rId8719" ref="H8710"/>
    <hyperlink r:id="rId8720" ref="H8711"/>
    <hyperlink r:id="rId8721" ref="H8712"/>
    <hyperlink r:id="rId8722" ref="H8713"/>
    <hyperlink r:id="rId8723" ref="H8714"/>
    <hyperlink r:id="rId8724" ref="H8715"/>
    <hyperlink r:id="rId8725" ref="H8716"/>
    <hyperlink r:id="rId8726" ref="H8717"/>
    <hyperlink r:id="rId8727" ref="H8718"/>
    <hyperlink r:id="rId8728" ref="H8719"/>
    <hyperlink r:id="rId8729" ref="H8720"/>
    <hyperlink r:id="rId8730" ref="H8721"/>
    <hyperlink r:id="rId8731" ref="H8722"/>
    <hyperlink r:id="rId8732" ref="H8723"/>
    <hyperlink r:id="rId8733" ref="H8724"/>
    <hyperlink r:id="rId8734" ref="H8725"/>
    <hyperlink r:id="rId8735" ref="H8726"/>
    <hyperlink r:id="rId8736" ref="H8727"/>
    <hyperlink r:id="rId8737" ref="H8728"/>
    <hyperlink r:id="rId8738" ref="H8729"/>
    <hyperlink r:id="rId8739" ref="H8730"/>
    <hyperlink r:id="rId8740" ref="H8731"/>
    <hyperlink r:id="rId8741" ref="H8732"/>
    <hyperlink r:id="rId8742" ref="H8733"/>
    <hyperlink r:id="rId8743" ref="H8734"/>
    <hyperlink r:id="rId8744" ref="H8735"/>
    <hyperlink r:id="rId8745" ref="H8736"/>
    <hyperlink r:id="rId8746" ref="H8737"/>
    <hyperlink r:id="rId8747" ref="H8738"/>
    <hyperlink r:id="rId8748" ref="H8739"/>
    <hyperlink r:id="rId8749" ref="H8740"/>
    <hyperlink r:id="rId8750" ref="H8741"/>
    <hyperlink r:id="rId8751" ref="H8742"/>
    <hyperlink r:id="rId8752" ref="H8743"/>
    <hyperlink r:id="rId8753" ref="H8744"/>
    <hyperlink r:id="rId8754" ref="H8745"/>
    <hyperlink r:id="rId8755" ref="H8746"/>
    <hyperlink r:id="rId8756" ref="H8747"/>
    <hyperlink r:id="rId8757" ref="H8748"/>
    <hyperlink r:id="rId8758" ref="H8749"/>
    <hyperlink r:id="rId8759" ref="H8750"/>
    <hyperlink r:id="rId8760" ref="H8751"/>
    <hyperlink r:id="rId8761" ref="H8752"/>
    <hyperlink r:id="rId8762" ref="H8753"/>
    <hyperlink r:id="rId8763" ref="H8754"/>
    <hyperlink r:id="rId8764" ref="H8755"/>
    <hyperlink r:id="rId8765" ref="H8756"/>
    <hyperlink r:id="rId8766" ref="H8757"/>
    <hyperlink r:id="rId8767" ref="H8758"/>
    <hyperlink r:id="rId8768" ref="H8759"/>
    <hyperlink r:id="rId8769" ref="H8760"/>
    <hyperlink r:id="rId8770" ref="H8761"/>
    <hyperlink r:id="rId8771" ref="H8762"/>
    <hyperlink r:id="rId8772" ref="H8763"/>
    <hyperlink r:id="rId8773" ref="H8764"/>
    <hyperlink r:id="rId8774" ref="H8765"/>
    <hyperlink r:id="rId8775" ref="H8766"/>
    <hyperlink r:id="rId8776" ref="H8767"/>
    <hyperlink r:id="rId8777" ref="H8768"/>
    <hyperlink r:id="rId8778" ref="H8769"/>
    <hyperlink r:id="rId8779" ref="H8770"/>
    <hyperlink r:id="rId8780" ref="H8771"/>
    <hyperlink r:id="rId8781" ref="H8772"/>
    <hyperlink r:id="rId8782" ref="H8773"/>
    <hyperlink r:id="rId8783" ref="H8774"/>
    <hyperlink r:id="rId8784" ref="H8775"/>
    <hyperlink r:id="rId8785" ref="H8776"/>
    <hyperlink r:id="rId8786" ref="H8777"/>
    <hyperlink r:id="rId8787" ref="H8778"/>
    <hyperlink r:id="rId8788" ref="H8779"/>
    <hyperlink r:id="rId8789" ref="H8780"/>
    <hyperlink r:id="rId8790" ref="H8781"/>
    <hyperlink r:id="rId8791" ref="H8782"/>
    <hyperlink r:id="rId8792" ref="H8783"/>
    <hyperlink r:id="rId8793" ref="H8784"/>
    <hyperlink r:id="rId8794" ref="H8785"/>
    <hyperlink r:id="rId8795" ref="H8786"/>
    <hyperlink r:id="rId8796" ref="H8787"/>
    <hyperlink r:id="rId8797" ref="H8788"/>
    <hyperlink r:id="rId8798" ref="H8789"/>
    <hyperlink r:id="rId8799" ref="H8790"/>
    <hyperlink r:id="rId8800" ref="H8791"/>
    <hyperlink r:id="rId8801" ref="H8792"/>
    <hyperlink r:id="rId8802" ref="H8793"/>
    <hyperlink r:id="rId8803" ref="H8794"/>
    <hyperlink r:id="rId8804" ref="H8795"/>
    <hyperlink r:id="rId8805" ref="H8796"/>
    <hyperlink r:id="rId8806" ref="H8797"/>
    <hyperlink r:id="rId8807" ref="H8798"/>
    <hyperlink r:id="rId8808" ref="H8799"/>
    <hyperlink r:id="rId8809" ref="H8800"/>
    <hyperlink r:id="rId8810" ref="H8801"/>
    <hyperlink r:id="rId8811" ref="H8802"/>
    <hyperlink r:id="rId8812" ref="H8803"/>
    <hyperlink r:id="rId8813" ref="H8804"/>
    <hyperlink r:id="rId8814" ref="H8805"/>
    <hyperlink r:id="rId8815" ref="H8806"/>
    <hyperlink r:id="rId8816" ref="H8807"/>
    <hyperlink r:id="rId8817" ref="H8808"/>
    <hyperlink r:id="rId8818" ref="H8809"/>
    <hyperlink r:id="rId8819" ref="H8810"/>
    <hyperlink r:id="rId8820" ref="H8811"/>
    <hyperlink r:id="rId8821" ref="H8812"/>
    <hyperlink r:id="rId8822" ref="H8813"/>
    <hyperlink r:id="rId8823" ref="H8814"/>
    <hyperlink r:id="rId8824" ref="H8815"/>
    <hyperlink r:id="rId8825" ref="H8816"/>
    <hyperlink r:id="rId8826" ref="H8817"/>
    <hyperlink r:id="rId8827" ref="H8818"/>
    <hyperlink r:id="rId8828" ref="H8819"/>
    <hyperlink r:id="rId8829" ref="H8820"/>
    <hyperlink r:id="rId8830" ref="H8821"/>
    <hyperlink r:id="rId8831" ref="H8822"/>
    <hyperlink r:id="rId8832" ref="H8823"/>
    <hyperlink r:id="rId8833" ref="H8824"/>
    <hyperlink r:id="rId8834" ref="H8825"/>
    <hyperlink r:id="rId8835" ref="H8826"/>
    <hyperlink r:id="rId8836" ref="H8827"/>
    <hyperlink r:id="rId8837" ref="H8828"/>
    <hyperlink r:id="rId8838" ref="H8829"/>
    <hyperlink r:id="rId8839" ref="H8830"/>
    <hyperlink r:id="rId8840" ref="H8831"/>
    <hyperlink r:id="rId8841" ref="H8832"/>
    <hyperlink r:id="rId8842" ref="H8833"/>
    <hyperlink r:id="rId8843" ref="H8834"/>
    <hyperlink r:id="rId8844" ref="H8835"/>
    <hyperlink r:id="rId8845" ref="H8836"/>
    <hyperlink r:id="rId8846" ref="H8837"/>
    <hyperlink r:id="rId8847" ref="H8838"/>
    <hyperlink r:id="rId8848" ref="H8839"/>
    <hyperlink r:id="rId8849" ref="H8840"/>
    <hyperlink r:id="rId8850" ref="H8841"/>
    <hyperlink r:id="rId8851" ref="H8842"/>
    <hyperlink r:id="rId8852" ref="H8843"/>
    <hyperlink r:id="rId8853" ref="H8844"/>
    <hyperlink r:id="rId8854" ref="H8845"/>
    <hyperlink r:id="rId8855" ref="H8846"/>
    <hyperlink r:id="rId8856" ref="H8847"/>
    <hyperlink r:id="rId8857" ref="H8848"/>
    <hyperlink r:id="rId8858" ref="H8849"/>
    <hyperlink r:id="rId8859" ref="H8850"/>
    <hyperlink r:id="rId8860" ref="H8851"/>
    <hyperlink r:id="rId8861" ref="H8852"/>
    <hyperlink r:id="rId8862" ref="H8853"/>
    <hyperlink r:id="rId8863" ref="H8854"/>
    <hyperlink r:id="rId8864" ref="H8855"/>
    <hyperlink r:id="rId8865" ref="H8856"/>
    <hyperlink r:id="rId8866" ref="H8857"/>
    <hyperlink r:id="rId8867" ref="H8858"/>
    <hyperlink r:id="rId8868" ref="H8859"/>
    <hyperlink r:id="rId8869" ref="H8860"/>
    <hyperlink r:id="rId8870" ref="H8861"/>
    <hyperlink r:id="rId8871" ref="H8862"/>
    <hyperlink r:id="rId8872" ref="H8863"/>
    <hyperlink r:id="rId8873" ref="H8864"/>
    <hyperlink r:id="rId8874" ref="H8865"/>
    <hyperlink r:id="rId8875" ref="H8866"/>
    <hyperlink r:id="rId8876" ref="H8867"/>
    <hyperlink r:id="rId8877" ref="H8868"/>
    <hyperlink r:id="rId8878" ref="H8869"/>
    <hyperlink r:id="rId8879" ref="H8870"/>
    <hyperlink r:id="rId8880" ref="H8871"/>
    <hyperlink r:id="rId8881" ref="H8872"/>
    <hyperlink r:id="rId8882" ref="H8873"/>
    <hyperlink r:id="rId8883" ref="H8874"/>
    <hyperlink r:id="rId8884" ref="H8875"/>
    <hyperlink r:id="rId8885" ref="H8876"/>
    <hyperlink r:id="rId8886" ref="H8877"/>
    <hyperlink r:id="rId8887" ref="H8878"/>
    <hyperlink r:id="rId8888" ref="H8879"/>
    <hyperlink r:id="rId8889" ref="H8880"/>
    <hyperlink r:id="rId8890" ref="H8881"/>
    <hyperlink r:id="rId8891" ref="H8882"/>
    <hyperlink r:id="rId8892" ref="H8883"/>
    <hyperlink r:id="rId8893" ref="H8884"/>
    <hyperlink r:id="rId8894" ref="H8885"/>
    <hyperlink r:id="rId8895" ref="H8886"/>
    <hyperlink r:id="rId8896" ref="H8887"/>
    <hyperlink r:id="rId8897" ref="H8888"/>
    <hyperlink r:id="rId8898" ref="H8889"/>
    <hyperlink r:id="rId8899" ref="H8890"/>
    <hyperlink r:id="rId8900" ref="H8891"/>
    <hyperlink r:id="rId8901" ref="H8892"/>
    <hyperlink r:id="rId8902" ref="H8893"/>
    <hyperlink r:id="rId8903" ref="H8894"/>
    <hyperlink r:id="rId8904" ref="H8895"/>
    <hyperlink r:id="rId8905" ref="H8896"/>
    <hyperlink r:id="rId8906" ref="H8897"/>
    <hyperlink r:id="rId8907" ref="H8898"/>
    <hyperlink r:id="rId8908" ref="H8899"/>
    <hyperlink r:id="rId8909" ref="H8900"/>
    <hyperlink r:id="rId8910" ref="H8901"/>
    <hyperlink r:id="rId8911" ref="H8902"/>
    <hyperlink r:id="rId8912" ref="H8903"/>
    <hyperlink r:id="rId8913" ref="H8904"/>
    <hyperlink r:id="rId8914" ref="H8905"/>
    <hyperlink r:id="rId8915" ref="H8906"/>
    <hyperlink r:id="rId8916" ref="H8907"/>
    <hyperlink r:id="rId8917" ref="H8908"/>
    <hyperlink r:id="rId8918" ref="H8909"/>
    <hyperlink r:id="rId8919" ref="H8910"/>
    <hyperlink r:id="rId8920" ref="H8911"/>
    <hyperlink r:id="rId8921" ref="H8912"/>
    <hyperlink r:id="rId8922" ref="H8913"/>
    <hyperlink r:id="rId8923" ref="H8914"/>
    <hyperlink r:id="rId8924" ref="H8915"/>
    <hyperlink r:id="rId8925" ref="H8916"/>
    <hyperlink r:id="rId8926" ref="H8917"/>
    <hyperlink r:id="rId8927" ref="H8918"/>
    <hyperlink r:id="rId8928" ref="H8919"/>
    <hyperlink r:id="rId8929" ref="H8920"/>
    <hyperlink r:id="rId8930" ref="H8921"/>
    <hyperlink r:id="rId8931" ref="H8922"/>
    <hyperlink r:id="rId8932" ref="H8923"/>
    <hyperlink r:id="rId8933" ref="H8924"/>
    <hyperlink r:id="rId8934" ref="H8925"/>
    <hyperlink r:id="rId8935" ref="H8926"/>
    <hyperlink r:id="rId8936" ref="H8927"/>
    <hyperlink r:id="rId8937" ref="H8928"/>
    <hyperlink r:id="rId8938" ref="H8929"/>
    <hyperlink r:id="rId8939" ref="H8930"/>
    <hyperlink r:id="rId8940" ref="H8931"/>
    <hyperlink r:id="rId8941" ref="H8932"/>
    <hyperlink r:id="rId8942" ref="H8933"/>
    <hyperlink r:id="rId8943" ref="H8934"/>
    <hyperlink r:id="rId8944" ref="H8935"/>
    <hyperlink r:id="rId8945" ref="H8936"/>
    <hyperlink r:id="rId8946" ref="H8937"/>
    <hyperlink r:id="rId8947" ref="H8938"/>
    <hyperlink r:id="rId8948" ref="H8939"/>
    <hyperlink r:id="rId8949" ref="H8940"/>
    <hyperlink r:id="rId8950" ref="H8941"/>
    <hyperlink r:id="rId8951" ref="H8942"/>
    <hyperlink r:id="rId8952" ref="H8943"/>
    <hyperlink r:id="rId8953" ref="H8944"/>
    <hyperlink r:id="rId8954" ref="H8945"/>
    <hyperlink r:id="rId8955" ref="H8946"/>
    <hyperlink r:id="rId8956" ref="H8947"/>
    <hyperlink r:id="rId8957" ref="H8948"/>
    <hyperlink r:id="rId8958" ref="H8949"/>
    <hyperlink r:id="rId8959" ref="H8950"/>
    <hyperlink r:id="rId8960" ref="H8951"/>
    <hyperlink r:id="rId8961" ref="H8952"/>
    <hyperlink r:id="rId8962" ref="H8953"/>
    <hyperlink r:id="rId8963" ref="H8954"/>
    <hyperlink r:id="rId8964" ref="H8955"/>
    <hyperlink r:id="rId8965" ref="H8956"/>
    <hyperlink r:id="rId8966" ref="H8957"/>
    <hyperlink r:id="rId8967" ref="H8958"/>
    <hyperlink r:id="rId8968" ref="H8959"/>
    <hyperlink r:id="rId8969" ref="H8960"/>
    <hyperlink r:id="rId8970" ref="H8961"/>
    <hyperlink r:id="rId8971" ref="H8962"/>
    <hyperlink r:id="rId8972" ref="H8963"/>
    <hyperlink r:id="rId8973" ref="H8964"/>
    <hyperlink r:id="rId8974" ref="H8965"/>
    <hyperlink r:id="rId8975" ref="H8966"/>
    <hyperlink r:id="rId8976" ref="H8967"/>
    <hyperlink r:id="rId8977" ref="H8968"/>
    <hyperlink r:id="rId8978" ref="H8969"/>
    <hyperlink r:id="rId8979" ref="H8970"/>
    <hyperlink r:id="rId8980" ref="H8971"/>
    <hyperlink r:id="rId8981" ref="H8972"/>
    <hyperlink r:id="rId8982" ref="H8973"/>
    <hyperlink r:id="rId8983" ref="H8974"/>
    <hyperlink r:id="rId8984" ref="H8975"/>
    <hyperlink r:id="rId8985" ref="H8976"/>
    <hyperlink r:id="rId8986" ref="H8977"/>
    <hyperlink r:id="rId8987" ref="H8978"/>
    <hyperlink r:id="rId8988" ref="H8979"/>
    <hyperlink r:id="rId8989" ref="H8980"/>
    <hyperlink r:id="rId8990" ref="H8981"/>
    <hyperlink r:id="rId8991" ref="H8982"/>
    <hyperlink r:id="rId8992" ref="H8983"/>
    <hyperlink r:id="rId8993" ref="H8984"/>
    <hyperlink r:id="rId8994" ref="H8985"/>
    <hyperlink r:id="rId8995" ref="H8986"/>
    <hyperlink r:id="rId8996" ref="H8987"/>
    <hyperlink r:id="rId8997" ref="H8988"/>
    <hyperlink r:id="rId8998" ref="H8989"/>
    <hyperlink r:id="rId8999" ref="H8990"/>
    <hyperlink r:id="rId9000" ref="H8991"/>
    <hyperlink r:id="rId9001" ref="H8992"/>
    <hyperlink r:id="rId9002" ref="H8993"/>
    <hyperlink r:id="rId9003" ref="H8994"/>
    <hyperlink r:id="rId9004" ref="H8995"/>
    <hyperlink r:id="rId9005" ref="H8996"/>
    <hyperlink r:id="rId9006" ref="H8997"/>
    <hyperlink r:id="rId9007" ref="H8998"/>
    <hyperlink r:id="rId9008" ref="H8999"/>
    <hyperlink r:id="rId9009" ref="H9000"/>
    <hyperlink r:id="rId9010" ref="H9001"/>
    <hyperlink r:id="rId9011" ref="H9002"/>
    <hyperlink r:id="rId9012" ref="H9003"/>
    <hyperlink r:id="rId9013" ref="H9004"/>
    <hyperlink r:id="rId9014" ref="H9005"/>
    <hyperlink r:id="rId9015" ref="H9006"/>
    <hyperlink r:id="rId9016" ref="H9007"/>
    <hyperlink r:id="rId9017" ref="H9008"/>
    <hyperlink r:id="rId9018" ref="H9009"/>
    <hyperlink r:id="rId9019" ref="H9010"/>
    <hyperlink r:id="rId9020" ref="H9011"/>
    <hyperlink r:id="rId9021" ref="H9012"/>
    <hyperlink r:id="rId9022" ref="H9013"/>
    <hyperlink r:id="rId9023" ref="H9014"/>
    <hyperlink r:id="rId9024" ref="H9015"/>
    <hyperlink r:id="rId9025" ref="H9016"/>
    <hyperlink r:id="rId9026" ref="H9017"/>
    <hyperlink r:id="rId9027" ref="H9018"/>
    <hyperlink r:id="rId9028" ref="H9019"/>
    <hyperlink r:id="rId9029" ref="H9020"/>
    <hyperlink r:id="rId9030" ref="H9021"/>
    <hyperlink r:id="rId9031" ref="H9022"/>
    <hyperlink r:id="rId9032" ref="H9023"/>
    <hyperlink r:id="rId9033" ref="H9024"/>
    <hyperlink r:id="rId9034" ref="H9025"/>
    <hyperlink r:id="rId9035" ref="H9026"/>
    <hyperlink r:id="rId9036" ref="H9027"/>
    <hyperlink r:id="rId9037" ref="H9028"/>
    <hyperlink r:id="rId9038" ref="H9029"/>
    <hyperlink r:id="rId9039" ref="H9030"/>
    <hyperlink r:id="rId9040" ref="H9031"/>
    <hyperlink r:id="rId9041" ref="H9032"/>
    <hyperlink r:id="rId9042" ref="H9033"/>
    <hyperlink r:id="rId9043" ref="H9034"/>
    <hyperlink r:id="rId9044" ref="H9035"/>
    <hyperlink r:id="rId9045" ref="H9036"/>
    <hyperlink r:id="rId9046" ref="H9037"/>
    <hyperlink r:id="rId9047" ref="H9038"/>
    <hyperlink r:id="rId9048" ref="H9039"/>
    <hyperlink r:id="rId9049" ref="H9040"/>
    <hyperlink r:id="rId9050" ref="H9041"/>
    <hyperlink r:id="rId9051" ref="H9042"/>
    <hyperlink r:id="rId9052" ref="H9043"/>
    <hyperlink r:id="rId9053" ref="H9044"/>
    <hyperlink r:id="rId9054" ref="H9045"/>
    <hyperlink r:id="rId9055" ref="H9046"/>
    <hyperlink r:id="rId9056" ref="H9047"/>
    <hyperlink r:id="rId9057" ref="H9048"/>
    <hyperlink r:id="rId9058" ref="H9049"/>
    <hyperlink r:id="rId9059" ref="H9050"/>
    <hyperlink r:id="rId9060" ref="H9051"/>
    <hyperlink r:id="rId9061" ref="H9052"/>
    <hyperlink r:id="rId9062" ref="H9053"/>
    <hyperlink r:id="rId9063" ref="H9054"/>
    <hyperlink r:id="rId9064" ref="H9055"/>
    <hyperlink r:id="rId9065" ref="H9056"/>
    <hyperlink r:id="rId9066" ref="H9057"/>
    <hyperlink r:id="rId9067" ref="H9058"/>
    <hyperlink r:id="rId9068" ref="H9059"/>
    <hyperlink r:id="rId9069" ref="H9060"/>
    <hyperlink r:id="rId9070" ref="H9061"/>
    <hyperlink r:id="rId9071" ref="H9062"/>
    <hyperlink r:id="rId9072" ref="H9063"/>
    <hyperlink r:id="rId9073" ref="H9064"/>
    <hyperlink r:id="rId9074" ref="H9065"/>
    <hyperlink r:id="rId9075" ref="H9066"/>
    <hyperlink r:id="rId9076" ref="H9067"/>
    <hyperlink r:id="rId9077" ref="H9068"/>
    <hyperlink r:id="rId9078" ref="H9069"/>
    <hyperlink r:id="rId9079" ref="H9070"/>
    <hyperlink r:id="rId9080" ref="H9071"/>
    <hyperlink r:id="rId9081" ref="H9072"/>
    <hyperlink r:id="rId9082" ref="H9073"/>
    <hyperlink r:id="rId9083" ref="H9074"/>
    <hyperlink r:id="rId9084" ref="H9075"/>
    <hyperlink r:id="rId9085" ref="H9076"/>
    <hyperlink r:id="rId9086" ref="H9077"/>
    <hyperlink r:id="rId9087" ref="H9078"/>
    <hyperlink r:id="rId9088" ref="H9079"/>
    <hyperlink r:id="rId9089" ref="H9080"/>
    <hyperlink r:id="rId9090" ref="H9081"/>
    <hyperlink r:id="rId9091" ref="H9082"/>
    <hyperlink r:id="rId9092" ref="H9083"/>
    <hyperlink r:id="rId9093" ref="H9084"/>
    <hyperlink r:id="rId9094" ref="H9085"/>
    <hyperlink r:id="rId9095" ref="H9086"/>
    <hyperlink r:id="rId9096" ref="H9087"/>
    <hyperlink r:id="rId9097" ref="H9088"/>
    <hyperlink r:id="rId9098" ref="H9089"/>
    <hyperlink r:id="rId9099" ref="H9090"/>
    <hyperlink r:id="rId9100" ref="H9091"/>
    <hyperlink r:id="rId9101" ref="H9092"/>
    <hyperlink r:id="rId9102" ref="H9093"/>
    <hyperlink r:id="rId9103" ref="H9094"/>
    <hyperlink r:id="rId9104" ref="H9095"/>
    <hyperlink r:id="rId9105" ref="H9096"/>
    <hyperlink r:id="rId9106" ref="H9097"/>
    <hyperlink r:id="rId9107" ref="H9098"/>
    <hyperlink r:id="rId9108" ref="H9099"/>
    <hyperlink r:id="rId9109" ref="H9100"/>
    <hyperlink r:id="rId9110" ref="H9101"/>
    <hyperlink r:id="rId9111" ref="H9102"/>
    <hyperlink r:id="rId9112" ref="H9103"/>
    <hyperlink r:id="rId9113" ref="H9104"/>
    <hyperlink r:id="rId9114" ref="H9105"/>
    <hyperlink r:id="rId9115" ref="H9106"/>
    <hyperlink r:id="rId9116" ref="H9107"/>
    <hyperlink r:id="rId9117" ref="H9108"/>
    <hyperlink r:id="rId9118" ref="H9109"/>
    <hyperlink r:id="rId9119" ref="H9110"/>
    <hyperlink r:id="rId9120" ref="H9111"/>
    <hyperlink r:id="rId9121" ref="H9112"/>
    <hyperlink r:id="rId9122" ref="H9113"/>
    <hyperlink r:id="rId9123" ref="H9114"/>
    <hyperlink r:id="rId9124" ref="H9115"/>
    <hyperlink r:id="rId9125" ref="H9116"/>
    <hyperlink r:id="rId9126" ref="H9117"/>
    <hyperlink r:id="rId9127" ref="H9118"/>
    <hyperlink r:id="rId9128" ref="H9119"/>
    <hyperlink r:id="rId9129" ref="H9120"/>
    <hyperlink r:id="rId9130" ref="H9121"/>
    <hyperlink r:id="rId9131" ref="H9122"/>
    <hyperlink r:id="rId9132" ref="H9123"/>
    <hyperlink r:id="rId9133" ref="H9124"/>
    <hyperlink r:id="rId9134" ref="H9125"/>
    <hyperlink r:id="rId9135" ref="H9126"/>
    <hyperlink r:id="rId9136" ref="H9127"/>
    <hyperlink r:id="rId9137" ref="H9128"/>
    <hyperlink r:id="rId9138" ref="H9129"/>
    <hyperlink r:id="rId9139" ref="H9130"/>
    <hyperlink r:id="rId9140" ref="H9131"/>
    <hyperlink r:id="rId9141" ref="H9132"/>
    <hyperlink r:id="rId9142" ref="H9133"/>
    <hyperlink r:id="rId9143" ref="H9134"/>
    <hyperlink r:id="rId9144" ref="H9135"/>
    <hyperlink r:id="rId9145" ref="H9136"/>
    <hyperlink r:id="rId9146" ref="H9137"/>
    <hyperlink r:id="rId9147" ref="H9138"/>
    <hyperlink r:id="rId9148" ref="H9139"/>
    <hyperlink r:id="rId9149" ref="H9140"/>
    <hyperlink r:id="rId9150" ref="H9141"/>
    <hyperlink r:id="rId9151" ref="H9142"/>
    <hyperlink r:id="rId9152" ref="H9143"/>
    <hyperlink r:id="rId9153" ref="H9144"/>
    <hyperlink r:id="rId9154" ref="H9145"/>
    <hyperlink r:id="rId9155" ref="H9146"/>
    <hyperlink r:id="rId9156" ref="H9147"/>
    <hyperlink r:id="rId9157" ref="H9148"/>
    <hyperlink r:id="rId9158" ref="H9149"/>
    <hyperlink r:id="rId9159" ref="H9150"/>
    <hyperlink r:id="rId9160" ref="H9151"/>
    <hyperlink r:id="rId9161" ref="H9152"/>
    <hyperlink r:id="rId9162" ref="H9153"/>
    <hyperlink r:id="rId9163" ref="H9154"/>
    <hyperlink r:id="rId9164" ref="H9155"/>
    <hyperlink r:id="rId9165" ref="H9156"/>
    <hyperlink r:id="rId9166" ref="H9157"/>
    <hyperlink r:id="rId9167" ref="H9158"/>
    <hyperlink r:id="rId9168" ref="H9159"/>
    <hyperlink r:id="rId9169" ref="H9160"/>
    <hyperlink r:id="rId9170" ref="H9161"/>
    <hyperlink r:id="rId9171" ref="H9162"/>
    <hyperlink r:id="rId9172" ref="H9163"/>
    <hyperlink r:id="rId9173" ref="H9164"/>
    <hyperlink r:id="rId9174" ref="H9165"/>
    <hyperlink r:id="rId9175" ref="H9166"/>
    <hyperlink r:id="rId9176" ref="H9167"/>
    <hyperlink r:id="rId9177" ref="H9168"/>
    <hyperlink r:id="rId9178" ref="H9169"/>
    <hyperlink r:id="rId9179" ref="H9170"/>
    <hyperlink r:id="rId9180" ref="H9171"/>
    <hyperlink r:id="rId9181" ref="H9172"/>
    <hyperlink r:id="rId9182" ref="H9173"/>
    <hyperlink r:id="rId9183" ref="H9174"/>
    <hyperlink r:id="rId9184" ref="H9175"/>
    <hyperlink r:id="rId9185" ref="H9176"/>
    <hyperlink r:id="rId9186" ref="H9177"/>
    <hyperlink r:id="rId9187" ref="H9178"/>
    <hyperlink r:id="rId9188" ref="H9179"/>
    <hyperlink r:id="rId9189" ref="H9180"/>
    <hyperlink r:id="rId9190" ref="H9181"/>
    <hyperlink r:id="rId9191" ref="H9182"/>
    <hyperlink r:id="rId9192" ref="H9183"/>
    <hyperlink r:id="rId9193" ref="H9184"/>
    <hyperlink r:id="rId9194" ref="H9185"/>
    <hyperlink r:id="rId9195" ref="H9186"/>
    <hyperlink r:id="rId9196" ref="H9187"/>
    <hyperlink r:id="rId9197" ref="H9188"/>
    <hyperlink r:id="rId9198" ref="H9189"/>
    <hyperlink r:id="rId9199" ref="H9190"/>
    <hyperlink r:id="rId9200" ref="H9191"/>
    <hyperlink r:id="rId9201" ref="H9192"/>
    <hyperlink r:id="rId9202" ref="H9193"/>
    <hyperlink r:id="rId9203" ref="H9194"/>
    <hyperlink r:id="rId9204" ref="H9195"/>
    <hyperlink r:id="rId9205" ref="H9196"/>
    <hyperlink r:id="rId9206" ref="H9197"/>
    <hyperlink r:id="rId9207" ref="H9198"/>
    <hyperlink r:id="rId9208" ref="H9199"/>
    <hyperlink r:id="rId9209" ref="H9200"/>
    <hyperlink r:id="rId9210" ref="H9201"/>
    <hyperlink r:id="rId9211" ref="H9202"/>
    <hyperlink r:id="rId9212" ref="H9203"/>
    <hyperlink r:id="rId9213" ref="H9204"/>
    <hyperlink r:id="rId9214" ref="H9205"/>
    <hyperlink r:id="rId9215" ref="H9206"/>
    <hyperlink r:id="rId9216" ref="H9207"/>
    <hyperlink r:id="rId9217" ref="H9208"/>
    <hyperlink r:id="rId9218" ref="H9209"/>
    <hyperlink r:id="rId9219" ref="H9210"/>
    <hyperlink r:id="rId9220" ref="H9211"/>
    <hyperlink r:id="rId9221" ref="H9212"/>
    <hyperlink r:id="rId9222" ref="H9213"/>
    <hyperlink r:id="rId9223" ref="H9214"/>
    <hyperlink r:id="rId9224" ref="H9215"/>
    <hyperlink r:id="rId9225" ref="H9216"/>
    <hyperlink r:id="rId9226" ref="H9217"/>
    <hyperlink r:id="rId9227" ref="H9218"/>
    <hyperlink r:id="rId9228" ref="H9219"/>
    <hyperlink r:id="rId9229" ref="H9220"/>
    <hyperlink r:id="rId9230" ref="H9221"/>
    <hyperlink r:id="rId9231" ref="H9222"/>
    <hyperlink r:id="rId9232" ref="H9223"/>
    <hyperlink r:id="rId9233" ref="H9224"/>
    <hyperlink r:id="rId9234" ref="H9225"/>
    <hyperlink r:id="rId9235" ref="H9226"/>
    <hyperlink r:id="rId9236" ref="H9227"/>
    <hyperlink r:id="rId9237" ref="H9228"/>
    <hyperlink r:id="rId9238" ref="H9229"/>
    <hyperlink r:id="rId9239" ref="H9230"/>
    <hyperlink r:id="rId9240" ref="H9231"/>
    <hyperlink r:id="rId9241" ref="H9232"/>
    <hyperlink r:id="rId9242" ref="H9233"/>
    <hyperlink r:id="rId9243" ref="H9234"/>
    <hyperlink r:id="rId9244" ref="H9235"/>
    <hyperlink r:id="rId9245" ref="H9236"/>
    <hyperlink r:id="rId9246" ref="H9237"/>
    <hyperlink r:id="rId9247" ref="H9238"/>
    <hyperlink r:id="rId9248" ref="H9239"/>
    <hyperlink r:id="rId9249" ref="H9240"/>
    <hyperlink r:id="rId9250" ref="H9241"/>
    <hyperlink r:id="rId9251" ref="H9242"/>
    <hyperlink r:id="rId9252" ref="H9243"/>
    <hyperlink r:id="rId9253" ref="H9244"/>
    <hyperlink r:id="rId9254" ref="H9245"/>
    <hyperlink r:id="rId9255" ref="H9246"/>
    <hyperlink r:id="rId9256" ref="H9247"/>
    <hyperlink r:id="rId9257" ref="H9248"/>
    <hyperlink r:id="rId9258" ref="H9249"/>
    <hyperlink r:id="rId9259" ref="H9250"/>
    <hyperlink r:id="rId9260" ref="H9251"/>
    <hyperlink r:id="rId9261" ref="H9252"/>
    <hyperlink r:id="rId9262" ref="H9253"/>
    <hyperlink r:id="rId9263" ref="H9254"/>
    <hyperlink r:id="rId9264" ref="H9255"/>
    <hyperlink r:id="rId9265" ref="H9256"/>
    <hyperlink r:id="rId9266" ref="H9257"/>
    <hyperlink r:id="rId9267" ref="H9258"/>
    <hyperlink r:id="rId9268" ref="H9259"/>
    <hyperlink r:id="rId9269" ref="H9260"/>
    <hyperlink r:id="rId9270" ref="H9261"/>
    <hyperlink r:id="rId9271" ref="H9262"/>
    <hyperlink r:id="rId9272" ref="H9263"/>
    <hyperlink r:id="rId9273" ref="H9264"/>
    <hyperlink r:id="rId9274" ref="H9265"/>
    <hyperlink r:id="rId9275" ref="H9266"/>
    <hyperlink r:id="rId9276" ref="H9267"/>
    <hyperlink r:id="rId9277" ref="H9268"/>
    <hyperlink r:id="rId9278" ref="H9269"/>
    <hyperlink r:id="rId9279" ref="H9270"/>
    <hyperlink r:id="rId9280" ref="H9271"/>
    <hyperlink r:id="rId9281" ref="H9272"/>
    <hyperlink r:id="rId9282" ref="H9273"/>
    <hyperlink r:id="rId9283" ref="H9274"/>
    <hyperlink r:id="rId9284" ref="H9275"/>
    <hyperlink r:id="rId9285" ref="H9276"/>
    <hyperlink r:id="rId9286" ref="H9277"/>
    <hyperlink r:id="rId9287" ref="H9278"/>
    <hyperlink r:id="rId9288" ref="H9279"/>
    <hyperlink r:id="rId9289" ref="H9280"/>
    <hyperlink r:id="rId9290" ref="H9281"/>
    <hyperlink r:id="rId9291" ref="H9282"/>
    <hyperlink r:id="rId9292" ref="H9283"/>
    <hyperlink r:id="rId9293" ref="H9284"/>
    <hyperlink r:id="rId9294" ref="H9285"/>
    <hyperlink r:id="rId9295" ref="H9286"/>
    <hyperlink r:id="rId9296" ref="H9287"/>
    <hyperlink r:id="rId9297" ref="H9288"/>
    <hyperlink r:id="rId9298" ref="H9289"/>
    <hyperlink r:id="rId9299" ref="H9290"/>
    <hyperlink r:id="rId9300" ref="H9291"/>
    <hyperlink r:id="rId9301" ref="H9292"/>
    <hyperlink r:id="rId9302" ref="H9293"/>
    <hyperlink r:id="rId9303" ref="H9294"/>
    <hyperlink r:id="rId9304" ref="H9295"/>
    <hyperlink r:id="rId9305" ref="H9296"/>
    <hyperlink r:id="rId9306" ref="H9297"/>
    <hyperlink r:id="rId9307" ref="H9298"/>
    <hyperlink r:id="rId9308" ref="H9299"/>
    <hyperlink r:id="rId9309" ref="H9300"/>
    <hyperlink r:id="rId9310" ref="H9301"/>
    <hyperlink r:id="rId9311" ref="H9302"/>
    <hyperlink r:id="rId9312" ref="H9303"/>
    <hyperlink r:id="rId9313" ref="H9304"/>
    <hyperlink r:id="rId9314" ref="H9305"/>
    <hyperlink r:id="rId9315" ref="H9306"/>
    <hyperlink r:id="rId9316" ref="H9307"/>
    <hyperlink r:id="rId9317" ref="H9308"/>
    <hyperlink r:id="rId9318" ref="H9309"/>
    <hyperlink r:id="rId9319" ref="H9310"/>
    <hyperlink r:id="rId9320" ref="H9311"/>
    <hyperlink r:id="rId9321" ref="H9312"/>
    <hyperlink r:id="rId9322" ref="H9313"/>
    <hyperlink r:id="rId9323" ref="H9314"/>
    <hyperlink r:id="rId9324" ref="H9315"/>
    <hyperlink r:id="rId9325" ref="H9316"/>
    <hyperlink r:id="rId9326" ref="H9317"/>
    <hyperlink r:id="rId9327" ref="H9318"/>
    <hyperlink r:id="rId9328" ref="H9319"/>
    <hyperlink r:id="rId9329" ref="H9320"/>
    <hyperlink r:id="rId9330" ref="H9321"/>
    <hyperlink r:id="rId9331" ref="H9322"/>
    <hyperlink r:id="rId9332" ref="H9323"/>
    <hyperlink r:id="rId9333" ref="H9324"/>
    <hyperlink r:id="rId9334" ref="H9325"/>
    <hyperlink r:id="rId9335" ref="H9326"/>
    <hyperlink r:id="rId9336" ref="H9327"/>
    <hyperlink r:id="rId9337" ref="H9328"/>
    <hyperlink r:id="rId9338" ref="H9329"/>
    <hyperlink r:id="rId9339" ref="H9330"/>
    <hyperlink r:id="rId9340" ref="H9331"/>
    <hyperlink r:id="rId9341" ref="H9332"/>
    <hyperlink r:id="rId9342" ref="H9333"/>
    <hyperlink r:id="rId9343" ref="H9334"/>
    <hyperlink r:id="rId9344" ref="H9335"/>
    <hyperlink r:id="rId9345" ref="H9336"/>
    <hyperlink r:id="rId9346" ref="H9337"/>
    <hyperlink r:id="rId9347" ref="H9338"/>
    <hyperlink r:id="rId9348" ref="H9339"/>
    <hyperlink r:id="rId9349" ref="H9340"/>
    <hyperlink r:id="rId9350" ref="H9341"/>
    <hyperlink r:id="rId9351" ref="H9342"/>
    <hyperlink r:id="rId9352" ref="H9343"/>
    <hyperlink r:id="rId9353" ref="H9344"/>
    <hyperlink r:id="rId9354" ref="H9345"/>
    <hyperlink r:id="rId9355" ref="H9346"/>
    <hyperlink r:id="rId9356" ref="H9347"/>
    <hyperlink r:id="rId9357" ref="H9348"/>
    <hyperlink r:id="rId9358" ref="H9349"/>
    <hyperlink r:id="rId9359" ref="H9350"/>
    <hyperlink r:id="rId9360" ref="H9351"/>
    <hyperlink r:id="rId9361" ref="H9352"/>
    <hyperlink r:id="rId9362" ref="H9353"/>
    <hyperlink r:id="rId9363" ref="H9354"/>
    <hyperlink r:id="rId9364" ref="H9355"/>
    <hyperlink r:id="rId9365" ref="H9356"/>
    <hyperlink r:id="rId9366" ref="H9357"/>
    <hyperlink r:id="rId9367" ref="H9358"/>
    <hyperlink r:id="rId9368" ref="H9359"/>
    <hyperlink r:id="rId9369" ref="H9360"/>
    <hyperlink r:id="rId9370" ref="H9361"/>
    <hyperlink r:id="rId9371" ref="H9362"/>
    <hyperlink r:id="rId9372" ref="H9363"/>
    <hyperlink r:id="rId9373" ref="H9364"/>
    <hyperlink r:id="rId9374" ref="H9365"/>
    <hyperlink r:id="rId9375" ref="H9366"/>
    <hyperlink r:id="rId9376" ref="H9367"/>
    <hyperlink r:id="rId9377" ref="H9368"/>
    <hyperlink r:id="rId9378" ref="H9369"/>
    <hyperlink r:id="rId9379" ref="H9370"/>
    <hyperlink r:id="rId9380" ref="H9371"/>
    <hyperlink r:id="rId9381" ref="H9372"/>
    <hyperlink r:id="rId9382" ref="H9373"/>
    <hyperlink r:id="rId9383" ref="H9374"/>
    <hyperlink r:id="rId9384" ref="H9375"/>
    <hyperlink r:id="rId9385" ref="H9376"/>
    <hyperlink r:id="rId9386" ref="H9377"/>
    <hyperlink r:id="rId9387" ref="H9378"/>
    <hyperlink r:id="rId9388" ref="H9379"/>
    <hyperlink r:id="rId9389" ref="H9380"/>
    <hyperlink r:id="rId9390" ref="H9381"/>
    <hyperlink r:id="rId9391" ref="H9382"/>
    <hyperlink r:id="rId9392" ref="H9383"/>
    <hyperlink r:id="rId9393" ref="H9384"/>
    <hyperlink r:id="rId9394" ref="H9385"/>
    <hyperlink r:id="rId9395" ref="H9386"/>
    <hyperlink r:id="rId9396" ref="H9387"/>
    <hyperlink r:id="rId9397" ref="H9388"/>
    <hyperlink r:id="rId9398" ref="H9389"/>
    <hyperlink r:id="rId9399" ref="H9390"/>
    <hyperlink r:id="rId9400" ref="H9391"/>
    <hyperlink r:id="rId9401" ref="H9392"/>
    <hyperlink r:id="rId9402" ref="H9393"/>
    <hyperlink r:id="rId9403" ref="H9394"/>
    <hyperlink r:id="rId9404" ref="H9395"/>
    <hyperlink r:id="rId9405" ref="H9396"/>
    <hyperlink r:id="rId9406" ref="H9397"/>
    <hyperlink r:id="rId9407" ref="H9398"/>
    <hyperlink r:id="rId9408" ref="H9399"/>
    <hyperlink r:id="rId9409" ref="H9400"/>
    <hyperlink r:id="rId9410" ref="H9401"/>
    <hyperlink r:id="rId9411" ref="H9402"/>
    <hyperlink r:id="rId9412" ref="H9403"/>
    <hyperlink r:id="rId9413" ref="H9404"/>
    <hyperlink r:id="rId9414" ref="H9405"/>
    <hyperlink r:id="rId9415" ref="H9406"/>
    <hyperlink r:id="rId9416" ref="H9407"/>
    <hyperlink r:id="rId9417" ref="H9408"/>
    <hyperlink r:id="rId9418" ref="H9409"/>
    <hyperlink r:id="rId9419" ref="H9410"/>
    <hyperlink r:id="rId9420" ref="H9411"/>
    <hyperlink r:id="rId9421" ref="H9412"/>
    <hyperlink r:id="rId9422" ref="H9413"/>
    <hyperlink r:id="rId9423" ref="H9414"/>
    <hyperlink r:id="rId9424" ref="H9415"/>
    <hyperlink r:id="rId9425" ref="H9416"/>
    <hyperlink r:id="rId9426" ref="H9417"/>
    <hyperlink r:id="rId9427" ref="H9418"/>
    <hyperlink r:id="rId9428" ref="H9419"/>
    <hyperlink r:id="rId9429" ref="H9420"/>
    <hyperlink r:id="rId9430" ref="H9421"/>
    <hyperlink r:id="rId9431" ref="H9422"/>
    <hyperlink r:id="rId9432" ref="H9423"/>
    <hyperlink r:id="rId9433" ref="H9424"/>
    <hyperlink r:id="rId9434" ref="H9425"/>
    <hyperlink r:id="rId9435" ref="H9426"/>
    <hyperlink r:id="rId9436" ref="H9427"/>
    <hyperlink r:id="rId9437" ref="H9428"/>
    <hyperlink r:id="rId9438" ref="H9429"/>
    <hyperlink r:id="rId9439" ref="H9430"/>
    <hyperlink r:id="rId9440" ref="H9431"/>
    <hyperlink r:id="rId9441" ref="H9432"/>
    <hyperlink r:id="rId9442" ref="H9433"/>
    <hyperlink r:id="rId9443" ref="H9434"/>
    <hyperlink r:id="rId9444" ref="H9435"/>
    <hyperlink r:id="rId9445" ref="H9436"/>
    <hyperlink r:id="rId9446" ref="H9437"/>
    <hyperlink r:id="rId9447" ref="H9438"/>
    <hyperlink r:id="rId9448" ref="H9439"/>
    <hyperlink r:id="rId9449" ref="H9440"/>
    <hyperlink r:id="rId9450" ref="H9441"/>
    <hyperlink r:id="rId9451" ref="H9442"/>
    <hyperlink r:id="rId9452" ref="H9443"/>
    <hyperlink r:id="rId9453" ref="H9444"/>
    <hyperlink r:id="rId9454" ref="H9445"/>
    <hyperlink r:id="rId9455" ref="H9446"/>
    <hyperlink r:id="rId9456" ref="H9447"/>
    <hyperlink r:id="rId9457" ref="H9448"/>
    <hyperlink r:id="rId9458" ref="H9449"/>
    <hyperlink r:id="rId9459" ref="H9450"/>
    <hyperlink r:id="rId9460" ref="H9451"/>
    <hyperlink r:id="rId9461" ref="H9452"/>
    <hyperlink r:id="rId9462" ref="H9453"/>
    <hyperlink r:id="rId9463" ref="H9454"/>
    <hyperlink r:id="rId9464" ref="H9455"/>
    <hyperlink r:id="rId9465" ref="H9456"/>
    <hyperlink r:id="rId9466" ref="H9457"/>
    <hyperlink r:id="rId9467" ref="H9458"/>
    <hyperlink r:id="rId9468" ref="H9459"/>
    <hyperlink r:id="rId9469" ref="H9460"/>
    <hyperlink r:id="rId9470" ref="H9461"/>
    <hyperlink r:id="rId9471" ref="H9462"/>
    <hyperlink r:id="rId9472" ref="H9463"/>
    <hyperlink r:id="rId9473" ref="H9464"/>
    <hyperlink r:id="rId9474" ref="H9465"/>
    <hyperlink r:id="rId9475" ref="H9466"/>
    <hyperlink r:id="rId9476" ref="H9467"/>
    <hyperlink r:id="rId9477" ref="H9468"/>
    <hyperlink r:id="rId9478" ref="H9469"/>
    <hyperlink r:id="rId9479" ref="H9470"/>
    <hyperlink r:id="rId9480" ref="H9471"/>
    <hyperlink r:id="rId9481" ref="H9472"/>
    <hyperlink r:id="rId9482" ref="H9473"/>
    <hyperlink r:id="rId9483" ref="H9474"/>
    <hyperlink r:id="rId9484" ref="H9475"/>
    <hyperlink r:id="rId9485" ref="H9476"/>
    <hyperlink r:id="rId9486" ref="H9477"/>
    <hyperlink r:id="rId9487" ref="H9478"/>
    <hyperlink r:id="rId9488" ref="H9479"/>
    <hyperlink r:id="rId9489" ref="H9480"/>
    <hyperlink r:id="rId9490" ref="H9481"/>
    <hyperlink r:id="rId9491" ref="H9482"/>
    <hyperlink r:id="rId9492" ref="H9483"/>
    <hyperlink r:id="rId9493" ref="H9484"/>
    <hyperlink r:id="rId9494" ref="H9485"/>
    <hyperlink r:id="rId9495" ref="H9486"/>
    <hyperlink r:id="rId9496" ref="H9487"/>
    <hyperlink r:id="rId9497" ref="H9488"/>
    <hyperlink r:id="rId9498" ref="H9489"/>
    <hyperlink r:id="rId9499" ref="H9490"/>
    <hyperlink r:id="rId9500" ref="H9491"/>
    <hyperlink r:id="rId9501" ref="H9492"/>
    <hyperlink r:id="rId9502" ref="H9493"/>
    <hyperlink r:id="rId9503" ref="H9494"/>
    <hyperlink r:id="rId9504" ref="H9495"/>
    <hyperlink r:id="rId9505" ref="H9496"/>
    <hyperlink r:id="rId9506" ref="H9497"/>
    <hyperlink r:id="rId9507" ref="H9498"/>
    <hyperlink r:id="rId9508" ref="H9499"/>
    <hyperlink r:id="rId9509" ref="H9500"/>
    <hyperlink r:id="rId9510" ref="H9501"/>
    <hyperlink r:id="rId9511" ref="H9502"/>
    <hyperlink r:id="rId9512" ref="H9503"/>
    <hyperlink r:id="rId9513" ref="H9504"/>
    <hyperlink r:id="rId9514" ref="H9505"/>
    <hyperlink r:id="rId9515" ref="H9506"/>
    <hyperlink r:id="rId9516" ref="H9507"/>
    <hyperlink r:id="rId9517" ref="H9508"/>
    <hyperlink r:id="rId9518" ref="H9509"/>
    <hyperlink r:id="rId9519" ref="H9510"/>
    <hyperlink r:id="rId9520" ref="H9511"/>
    <hyperlink r:id="rId9521" ref="H9512"/>
    <hyperlink r:id="rId9522" ref="H9513"/>
    <hyperlink r:id="rId9523" ref="H9514"/>
    <hyperlink r:id="rId9524" ref="H9515"/>
    <hyperlink r:id="rId9525" ref="H9516"/>
    <hyperlink r:id="rId9526" ref="H9517"/>
    <hyperlink r:id="rId9527" ref="H9518"/>
    <hyperlink r:id="rId9528" ref="H9519"/>
    <hyperlink r:id="rId9529" ref="H9520"/>
    <hyperlink r:id="rId9530" ref="H9521"/>
    <hyperlink r:id="rId9531" ref="H9522"/>
    <hyperlink r:id="rId9532" ref="H9523"/>
    <hyperlink r:id="rId9533" ref="H9524"/>
    <hyperlink r:id="rId9534" ref="H9525"/>
    <hyperlink r:id="rId9535" ref="H9526"/>
    <hyperlink r:id="rId9536" ref="H9527"/>
    <hyperlink r:id="rId9537" ref="H9528"/>
    <hyperlink r:id="rId9538" ref="H9529"/>
    <hyperlink r:id="rId9539" ref="H9530"/>
    <hyperlink r:id="rId9540" ref="H9531"/>
    <hyperlink r:id="rId9541" ref="H9532"/>
    <hyperlink r:id="rId9542" ref="H9533"/>
    <hyperlink r:id="rId9543" ref="H9534"/>
    <hyperlink r:id="rId9544" ref="H9535"/>
    <hyperlink r:id="rId9545" ref="H9536"/>
    <hyperlink r:id="rId9546" ref="H9537"/>
    <hyperlink r:id="rId9547" ref="H9538"/>
    <hyperlink r:id="rId9548" ref="H9539"/>
    <hyperlink r:id="rId9549" ref="H9540"/>
    <hyperlink r:id="rId9550" ref="H9541"/>
    <hyperlink r:id="rId9551" ref="H9542"/>
    <hyperlink r:id="rId9552" ref="H9543"/>
    <hyperlink r:id="rId9553" ref="H9544"/>
    <hyperlink r:id="rId9554" ref="H9545"/>
    <hyperlink r:id="rId9555" ref="H9546"/>
    <hyperlink r:id="rId9556" ref="H9547"/>
    <hyperlink r:id="rId9557" ref="H9548"/>
    <hyperlink r:id="rId9558" ref="H9549"/>
    <hyperlink r:id="rId9559" ref="H9550"/>
    <hyperlink r:id="rId9560" ref="H9551"/>
    <hyperlink r:id="rId9561" ref="H9552"/>
    <hyperlink r:id="rId9562" ref="H9553"/>
    <hyperlink r:id="rId9563" ref="H9554"/>
    <hyperlink r:id="rId9564" ref="H9555"/>
    <hyperlink r:id="rId9565" ref="H9556"/>
    <hyperlink r:id="rId9566" ref="H9557"/>
    <hyperlink r:id="rId9567" ref="H9558"/>
    <hyperlink r:id="rId9568" ref="H9559"/>
    <hyperlink r:id="rId9569" ref="H9560"/>
    <hyperlink r:id="rId9570" ref="H9561"/>
    <hyperlink r:id="rId9571" ref="H9562"/>
    <hyperlink r:id="rId9572" ref="H9563"/>
    <hyperlink r:id="rId9573" ref="H9564"/>
    <hyperlink r:id="rId9574" ref="H9565"/>
    <hyperlink r:id="rId9575" ref="H9566"/>
    <hyperlink r:id="rId9576" ref="H9567"/>
    <hyperlink r:id="rId9577" ref="H9568"/>
    <hyperlink r:id="rId9578" ref="H9569"/>
    <hyperlink r:id="rId9579" ref="H9570"/>
    <hyperlink r:id="rId9580" ref="H9571"/>
    <hyperlink r:id="rId9581" ref="H9572"/>
    <hyperlink r:id="rId9582" ref="H9573"/>
    <hyperlink r:id="rId9583" ref="H9574"/>
    <hyperlink r:id="rId9584" ref="H9575"/>
    <hyperlink r:id="rId9585" ref="H9576"/>
    <hyperlink r:id="rId9586" ref="H9577"/>
    <hyperlink r:id="rId9587" ref="H9578"/>
    <hyperlink r:id="rId9588" ref="H9579"/>
    <hyperlink r:id="rId9589" ref="H9580"/>
    <hyperlink r:id="rId9590" ref="H9581"/>
    <hyperlink r:id="rId9591" ref="H9582"/>
    <hyperlink r:id="rId9592" ref="H9583"/>
    <hyperlink r:id="rId9593" ref="H9584"/>
    <hyperlink r:id="rId9594" ref="H9585"/>
    <hyperlink r:id="rId9595" ref="H9586"/>
    <hyperlink r:id="rId9596" ref="H9587"/>
    <hyperlink r:id="rId9597" ref="H9588"/>
    <hyperlink r:id="rId9598" ref="H9589"/>
    <hyperlink r:id="rId9599" ref="H9590"/>
    <hyperlink r:id="rId9600" ref="H9591"/>
    <hyperlink r:id="rId9601" ref="H9592"/>
    <hyperlink r:id="rId9602" ref="H9593"/>
    <hyperlink r:id="rId9603" ref="H9594"/>
    <hyperlink r:id="rId9604" ref="H9595"/>
    <hyperlink r:id="rId9605" ref="H9596"/>
    <hyperlink r:id="rId9606" ref="H9597"/>
    <hyperlink r:id="rId9607" ref="H9598"/>
    <hyperlink r:id="rId9608" ref="H9599"/>
    <hyperlink r:id="rId9609" ref="H9600"/>
    <hyperlink r:id="rId9610" ref="H9601"/>
    <hyperlink r:id="rId9611" ref="H9602"/>
    <hyperlink r:id="rId9612" ref="H9603"/>
    <hyperlink r:id="rId9613" ref="H9604"/>
    <hyperlink r:id="rId9614" ref="H9605"/>
    <hyperlink r:id="rId9615" ref="H9606"/>
    <hyperlink r:id="rId9616" ref="H9607"/>
    <hyperlink r:id="rId9617" ref="H9608"/>
    <hyperlink r:id="rId9618" ref="H9609"/>
    <hyperlink r:id="rId9619" ref="H9610"/>
    <hyperlink r:id="rId9620" ref="H9611"/>
    <hyperlink r:id="rId9621" ref="H9612"/>
    <hyperlink r:id="rId9622" ref="H9613"/>
    <hyperlink r:id="rId9623" ref="H9615"/>
    <hyperlink r:id="rId9624" ref="H9616"/>
    <hyperlink r:id="rId9625" ref="H9617"/>
    <hyperlink r:id="rId9626" ref="H9618"/>
    <hyperlink r:id="rId9627" ref="H9619"/>
    <hyperlink r:id="rId9628" ref="H9620"/>
    <hyperlink r:id="rId9629" ref="H9621"/>
    <hyperlink r:id="rId9630" ref="H9622"/>
    <hyperlink r:id="rId9631" ref="H9623"/>
    <hyperlink r:id="rId9632" ref="H9624"/>
    <hyperlink r:id="rId9633" ref="H9625"/>
    <hyperlink r:id="rId9634" ref="H9626"/>
    <hyperlink r:id="rId9635" ref="H9627"/>
    <hyperlink r:id="rId9636" ref="H9628"/>
    <hyperlink r:id="rId9637" ref="H9629"/>
    <hyperlink r:id="rId9638" ref="H9630"/>
    <hyperlink r:id="rId9639" ref="H9631"/>
    <hyperlink r:id="rId9640" ref="H9632"/>
    <hyperlink r:id="rId9641" ref="H9633"/>
    <hyperlink r:id="rId9642" ref="H9634"/>
    <hyperlink r:id="rId9643" ref="H9635"/>
    <hyperlink r:id="rId9644" ref="H9636"/>
    <hyperlink r:id="rId9645" ref="H9637"/>
    <hyperlink r:id="rId9646" ref="H9638"/>
    <hyperlink r:id="rId9647" ref="H9639"/>
    <hyperlink r:id="rId9648" ref="H9640"/>
    <hyperlink r:id="rId9649" ref="H9641"/>
    <hyperlink r:id="rId9650" ref="H9642"/>
    <hyperlink r:id="rId9651" ref="H9643"/>
    <hyperlink r:id="rId9652" ref="H9644"/>
    <hyperlink r:id="rId9653" ref="H9645"/>
    <hyperlink r:id="rId9654" ref="H9646"/>
    <hyperlink r:id="rId9655" ref="H9647"/>
    <hyperlink r:id="rId9656" ref="H9648"/>
    <hyperlink r:id="rId9657" ref="H9649"/>
    <hyperlink r:id="rId9658" ref="H9650"/>
    <hyperlink r:id="rId9659" ref="H9651"/>
    <hyperlink r:id="rId9660" ref="H9652"/>
    <hyperlink r:id="rId9661" ref="H9653"/>
    <hyperlink r:id="rId9662" ref="H9654"/>
    <hyperlink r:id="rId9663" ref="H9655"/>
    <hyperlink r:id="rId9664" ref="H9656"/>
    <hyperlink r:id="rId9665" ref="H9657"/>
    <hyperlink r:id="rId9666" ref="H9658"/>
    <hyperlink r:id="rId9667" ref="H9659"/>
    <hyperlink r:id="rId9668" ref="H9660"/>
    <hyperlink r:id="rId9669" ref="H9661"/>
    <hyperlink r:id="rId9670" ref="H9662"/>
    <hyperlink r:id="rId9671" ref="H9663"/>
    <hyperlink r:id="rId9672" ref="H9664"/>
    <hyperlink r:id="rId9673" ref="H9665"/>
    <hyperlink r:id="rId9674" ref="H9666"/>
    <hyperlink r:id="rId9675" ref="H9667"/>
    <hyperlink r:id="rId9676" ref="H9668"/>
    <hyperlink r:id="rId9677" ref="H9669"/>
    <hyperlink r:id="rId9678" ref="H9670"/>
    <hyperlink r:id="rId9679" ref="H9671"/>
    <hyperlink r:id="rId9680" ref="H9672"/>
    <hyperlink r:id="rId9681" ref="H9673"/>
    <hyperlink r:id="rId9682" ref="H9674"/>
    <hyperlink r:id="rId9683" ref="H9675"/>
    <hyperlink r:id="rId9684" ref="H9676"/>
    <hyperlink r:id="rId9685" ref="H9677"/>
    <hyperlink r:id="rId9686" ref="H9678"/>
    <hyperlink r:id="rId9687" ref="H9679"/>
    <hyperlink r:id="rId9688" ref="H9680"/>
    <hyperlink r:id="rId9689" ref="H9681"/>
    <hyperlink r:id="rId9690" ref="H9682"/>
    <hyperlink r:id="rId9691" ref="H9683"/>
    <hyperlink r:id="rId9692" ref="H9684"/>
    <hyperlink r:id="rId9693" ref="H9685"/>
    <hyperlink r:id="rId9694" ref="H9686"/>
    <hyperlink r:id="rId9695" ref="H9687"/>
    <hyperlink r:id="rId9696" ref="H9688"/>
    <hyperlink r:id="rId9697" ref="H9689"/>
    <hyperlink r:id="rId9698" ref="H9690"/>
    <hyperlink r:id="rId9699" ref="H9691"/>
    <hyperlink r:id="rId9700" ref="H9692"/>
    <hyperlink r:id="rId9701" ref="H9693"/>
    <hyperlink r:id="rId9702" ref="H9694"/>
    <hyperlink r:id="rId9703" ref="H9695"/>
    <hyperlink r:id="rId9704" ref="H9696"/>
    <hyperlink r:id="rId9705" ref="H9697"/>
    <hyperlink r:id="rId9706" ref="H9698"/>
    <hyperlink r:id="rId9707" ref="H9699"/>
    <hyperlink r:id="rId9708" ref="H9700"/>
    <hyperlink r:id="rId9709" ref="H9701"/>
    <hyperlink r:id="rId9710" ref="H9702"/>
    <hyperlink r:id="rId9711" ref="H9703"/>
    <hyperlink r:id="rId9712" ref="H9704"/>
    <hyperlink r:id="rId9713" ref="H9705"/>
    <hyperlink r:id="rId9714" ref="H9706"/>
    <hyperlink r:id="rId9715" ref="H9707"/>
    <hyperlink r:id="rId9716" ref="H9708"/>
    <hyperlink r:id="rId9717" ref="H9709"/>
    <hyperlink r:id="rId9718" ref="H9710"/>
    <hyperlink r:id="rId9719" ref="H9711"/>
    <hyperlink r:id="rId9720" ref="H9712"/>
    <hyperlink r:id="rId9721" ref="H9713"/>
    <hyperlink r:id="rId9722" ref="H9714"/>
    <hyperlink r:id="rId9723" ref="H9715"/>
    <hyperlink r:id="rId9724" ref="H9716"/>
    <hyperlink r:id="rId9725" ref="H9717"/>
    <hyperlink r:id="rId9726" ref="H9718"/>
    <hyperlink r:id="rId9727" ref="H9719"/>
    <hyperlink r:id="rId9728" ref="H9720"/>
    <hyperlink r:id="rId9729" ref="H9721"/>
    <hyperlink r:id="rId9730" ref="H9722"/>
    <hyperlink r:id="rId9731" ref="H9723"/>
    <hyperlink r:id="rId9732" ref="H9724"/>
    <hyperlink r:id="rId9733" ref="H9725"/>
    <hyperlink r:id="rId9734" ref="H9726"/>
    <hyperlink r:id="rId9735" ref="H9727"/>
    <hyperlink r:id="rId9736" ref="H9728"/>
    <hyperlink r:id="rId9737" ref="H9729"/>
    <hyperlink r:id="rId9738" ref="H9730"/>
    <hyperlink r:id="rId9739" ref="H9731"/>
    <hyperlink r:id="rId9740" ref="H9732"/>
    <hyperlink r:id="rId9741" ref="H9733"/>
    <hyperlink r:id="rId9742" ref="H9734"/>
    <hyperlink r:id="rId9743" ref="H9735"/>
    <hyperlink r:id="rId9744" ref="H9736"/>
    <hyperlink r:id="rId9745" ref="H9737"/>
    <hyperlink r:id="rId9746" ref="H9738"/>
    <hyperlink r:id="rId9747" ref="H9739"/>
    <hyperlink r:id="rId9748" ref="H9740"/>
    <hyperlink r:id="rId9749" ref="H9741"/>
    <hyperlink r:id="rId9750" ref="H9742"/>
    <hyperlink r:id="rId9751" ref="H9743"/>
    <hyperlink r:id="rId9752" ref="H9744"/>
    <hyperlink r:id="rId9753" ref="H9745"/>
    <hyperlink r:id="rId9754" ref="H9746"/>
    <hyperlink r:id="rId9755" ref="H9747"/>
    <hyperlink r:id="rId9756" ref="H9748"/>
    <hyperlink r:id="rId9757" ref="H9749"/>
    <hyperlink r:id="rId9758" ref="H9750"/>
    <hyperlink r:id="rId9759" ref="H9751"/>
    <hyperlink r:id="rId9760" ref="H9752"/>
    <hyperlink r:id="rId9761" ref="H9753"/>
    <hyperlink r:id="rId9762" ref="H9754"/>
    <hyperlink r:id="rId9763" ref="H9755"/>
    <hyperlink r:id="rId9764" ref="H9756"/>
    <hyperlink r:id="rId9765" ref="H9757"/>
    <hyperlink r:id="rId9766" ref="H9758"/>
    <hyperlink r:id="rId9767" ref="H9759"/>
    <hyperlink r:id="rId9768" ref="H9760"/>
    <hyperlink r:id="rId9769" ref="H9761"/>
    <hyperlink r:id="rId9770" ref="H9762"/>
    <hyperlink r:id="rId9771" ref="H9763"/>
    <hyperlink r:id="rId9772" ref="H9764"/>
    <hyperlink r:id="rId9773" ref="H9765"/>
    <hyperlink r:id="rId9774" ref="H9766"/>
    <hyperlink r:id="rId9775" ref="H9767"/>
    <hyperlink r:id="rId9776" ref="H9768"/>
    <hyperlink r:id="rId9777" ref="H9769"/>
    <hyperlink r:id="rId9778" ref="H9770"/>
    <hyperlink r:id="rId9779" ref="H9771"/>
    <hyperlink r:id="rId9780" ref="H9772"/>
    <hyperlink r:id="rId9781" ref="H9773"/>
    <hyperlink r:id="rId9782" ref="H9774"/>
    <hyperlink r:id="rId9783" ref="H9775"/>
    <hyperlink r:id="rId9784" ref="H9776"/>
    <hyperlink r:id="rId9785" ref="H9777"/>
    <hyperlink r:id="rId9786" ref="H9778"/>
    <hyperlink r:id="rId9787" ref="H9779"/>
    <hyperlink r:id="rId9788" ref="H9780"/>
    <hyperlink r:id="rId9789" ref="H9781"/>
    <hyperlink r:id="rId9790" ref="H9782"/>
    <hyperlink r:id="rId9791" ref="H9783"/>
    <hyperlink r:id="rId9792" ref="H9784"/>
    <hyperlink r:id="rId9793" ref="H9785"/>
    <hyperlink r:id="rId9794" ref="H9786"/>
    <hyperlink r:id="rId9795" ref="H9787"/>
    <hyperlink r:id="rId9796" ref="H9788"/>
    <hyperlink r:id="rId9797" ref="H9789"/>
    <hyperlink r:id="rId9798" ref="H9790"/>
    <hyperlink r:id="rId9799" ref="H9791"/>
    <hyperlink r:id="rId9800" ref="H9792"/>
    <hyperlink r:id="rId9801" ref="H9793"/>
    <hyperlink r:id="rId9802" ref="H9794"/>
    <hyperlink r:id="rId9803" ref="H9795"/>
    <hyperlink r:id="rId9804" ref="H9796"/>
    <hyperlink r:id="rId9805" ref="H9797"/>
    <hyperlink r:id="rId9806" ref="H9798"/>
    <hyperlink r:id="rId9807" ref="H9799"/>
    <hyperlink r:id="rId9808" ref="H9800"/>
    <hyperlink r:id="rId9809" ref="H9801"/>
    <hyperlink r:id="rId9810" ref="H9802"/>
    <hyperlink r:id="rId9811" ref="H9803"/>
    <hyperlink r:id="rId9812" ref="H9804"/>
    <hyperlink r:id="rId9813" ref="H9805"/>
    <hyperlink r:id="rId9814" ref="H9806"/>
    <hyperlink r:id="rId9815" ref="H9807"/>
    <hyperlink r:id="rId9816" ref="H9808"/>
    <hyperlink r:id="rId9817" ref="H9809"/>
    <hyperlink r:id="rId9818" ref="H9810"/>
    <hyperlink r:id="rId9819" ref="H9811"/>
    <hyperlink r:id="rId9820" ref="H9812"/>
    <hyperlink r:id="rId9821" ref="H9813"/>
    <hyperlink r:id="rId9822" ref="H9814"/>
    <hyperlink r:id="rId9823" ref="H9815"/>
    <hyperlink r:id="rId9824" ref="H9816"/>
    <hyperlink r:id="rId9825" ref="H9817"/>
    <hyperlink r:id="rId9826" ref="H9818"/>
    <hyperlink r:id="rId9827" ref="H9819"/>
    <hyperlink r:id="rId9828" ref="H9820"/>
    <hyperlink r:id="rId9829" ref="H9821"/>
    <hyperlink r:id="rId9830" ref="H9822"/>
    <hyperlink r:id="rId9831" ref="H9823"/>
    <hyperlink r:id="rId9832" ref="H9824"/>
    <hyperlink r:id="rId9833" ref="H9825"/>
    <hyperlink r:id="rId9834" ref="H9826"/>
    <hyperlink r:id="rId9835" ref="H9827"/>
    <hyperlink r:id="rId9836" ref="H9828"/>
    <hyperlink r:id="rId9837" ref="H9829"/>
    <hyperlink r:id="rId9838" ref="H9830"/>
    <hyperlink r:id="rId9839" ref="H9831"/>
    <hyperlink r:id="rId9840" ref="H9832"/>
    <hyperlink r:id="rId9841" ref="H9833"/>
    <hyperlink r:id="rId9842" ref="H9834"/>
    <hyperlink r:id="rId9843" ref="H9835"/>
    <hyperlink r:id="rId9844" ref="H9836"/>
    <hyperlink r:id="rId9845" ref="H9837"/>
    <hyperlink r:id="rId9846" ref="H9838"/>
    <hyperlink r:id="rId9847" ref="H9839"/>
    <hyperlink r:id="rId9848" ref="H9840"/>
    <hyperlink r:id="rId9849" ref="H9841"/>
    <hyperlink r:id="rId9850" ref="H9842"/>
    <hyperlink r:id="rId9851" ref="H9843"/>
    <hyperlink r:id="rId9852" ref="H9844"/>
    <hyperlink r:id="rId9853" ref="H9845"/>
    <hyperlink r:id="rId9854" ref="H9846"/>
    <hyperlink r:id="rId9855" ref="H9847"/>
    <hyperlink r:id="rId9856" ref="H9848"/>
    <hyperlink r:id="rId9857" ref="H9849"/>
    <hyperlink r:id="rId9858" ref="H9850"/>
    <hyperlink r:id="rId9859" ref="H9851"/>
    <hyperlink r:id="rId9860" ref="H9852"/>
    <hyperlink r:id="rId9861" ref="H9853"/>
    <hyperlink r:id="rId9862" ref="H9854"/>
    <hyperlink r:id="rId9863" ref="H9855"/>
    <hyperlink r:id="rId9864" ref="H9856"/>
    <hyperlink r:id="rId9865" ref="H9857"/>
    <hyperlink r:id="rId9866" ref="H9858"/>
    <hyperlink r:id="rId9867" ref="H9859"/>
    <hyperlink r:id="rId9868" ref="H9860"/>
    <hyperlink r:id="rId9869" ref="H9861"/>
    <hyperlink r:id="rId9870" ref="H9862"/>
    <hyperlink r:id="rId9871" ref="H9863"/>
    <hyperlink r:id="rId9872" ref="H9864"/>
    <hyperlink r:id="rId9873" ref="H9865"/>
    <hyperlink r:id="rId9874" ref="H9866"/>
    <hyperlink r:id="rId9875" ref="H9867"/>
    <hyperlink r:id="rId9876" ref="H9868"/>
    <hyperlink r:id="rId9877" ref="H9869"/>
    <hyperlink r:id="rId9878" ref="H9870"/>
    <hyperlink r:id="rId9879" ref="H9871"/>
    <hyperlink r:id="rId9880" ref="H9872"/>
    <hyperlink r:id="rId9881" ref="H9873"/>
    <hyperlink r:id="rId9882" ref="H9874"/>
    <hyperlink r:id="rId9883" ref="H9875"/>
    <hyperlink r:id="rId9884" ref="H9876"/>
    <hyperlink r:id="rId9885" ref="H9877"/>
    <hyperlink r:id="rId9886" ref="H9878"/>
    <hyperlink r:id="rId9887" ref="H9879"/>
    <hyperlink r:id="rId9888" ref="H9880"/>
    <hyperlink r:id="rId9889" ref="H9881"/>
    <hyperlink r:id="rId9890" ref="H9882"/>
    <hyperlink r:id="rId9891" ref="H9883"/>
    <hyperlink r:id="rId9892" ref="H9884"/>
    <hyperlink r:id="rId9893" ref="H9885"/>
    <hyperlink r:id="rId9894" ref="H9886"/>
    <hyperlink r:id="rId9895" ref="H9887"/>
    <hyperlink r:id="rId9896" ref="H9888"/>
    <hyperlink r:id="rId9897" ref="H9889"/>
    <hyperlink r:id="rId9898" ref="H9890"/>
    <hyperlink r:id="rId9899" ref="H9891"/>
    <hyperlink r:id="rId9900" ref="H9892"/>
    <hyperlink r:id="rId9901" ref="H9893"/>
    <hyperlink r:id="rId9902" ref="H9894"/>
    <hyperlink r:id="rId9903" ref="H9895"/>
    <hyperlink r:id="rId9904" ref="H9896"/>
    <hyperlink r:id="rId9905" ref="H9897"/>
    <hyperlink r:id="rId9906" ref="H9898"/>
    <hyperlink r:id="rId9907" ref="H9899"/>
    <hyperlink r:id="rId9908" ref="H9900"/>
    <hyperlink r:id="rId9909" ref="H9901"/>
    <hyperlink r:id="rId9910" ref="H9902"/>
    <hyperlink r:id="rId9911" ref="H9903"/>
    <hyperlink r:id="rId9912" ref="H9904"/>
    <hyperlink r:id="rId9913" ref="H9905"/>
    <hyperlink r:id="rId9914" ref="H9906"/>
    <hyperlink r:id="rId9915" ref="H9907"/>
    <hyperlink r:id="rId9916" ref="H9908"/>
    <hyperlink r:id="rId9917" ref="H9909"/>
    <hyperlink r:id="rId9918" ref="H9910"/>
    <hyperlink r:id="rId9919" ref="H9911"/>
    <hyperlink r:id="rId9920" ref="H9912"/>
    <hyperlink r:id="rId9921" ref="H9913"/>
    <hyperlink r:id="rId9922" ref="H9914"/>
    <hyperlink r:id="rId9923" ref="H9915"/>
    <hyperlink r:id="rId9924" ref="H9916"/>
    <hyperlink r:id="rId9925" ref="H9917"/>
    <hyperlink r:id="rId9926" ref="H9918"/>
    <hyperlink r:id="rId9927" ref="H9919"/>
    <hyperlink r:id="rId9928" ref="H9920"/>
    <hyperlink r:id="rId9929" ref="H9921"/>
    <hyperlink r:id="rId9930" ref="H9922"/>
    <hyperlink r:id="rId9931" ref="H9923"/>
    <hyperlink r:id="rId9932" ref="H9924"/>
    <hyperlink r:id="rId9933" ref="H9925"/>
    <hyperlink r:id="rId9934" ref="H9926"/>
    <hyperlink r:id="rId9935" ref="H9927"/>
    <hyperlink r:id="rId9936" ref="H9928"/>
    <hyperlink r:id="rId9937" ref="H9929"/>
    <hyperlink r:id="rId9938" ref="H9930"/>
    <hyperlink r:id="rId9939" ref="H9931"/>
    <hyperlink r:id="rId9940" ref="H9932"/>
    <hyperlink r:id="rId9941" ref="H9933"/>
    <hyperlink r:id="rId9942" ref="H9934"/>
    <hyperlink r:id="rId9943" ref="H9935"/>
    <hyperlink r:id="rId9944" ref="H9936"/>
    <hyperlink r:id="rId9945" ref="H9937"/>
    <hyperlink r:id="rId9946" ref="H9938"/>
    <hyperlink r:id="rId9947" ref="H9939"/>
    <hyperlink r:id="rId9948" ref="H9940"/>
    <hyperlink r:id="rId9949" ref="H9941"/>
    <hyperlink r:id="rId9950" ref="H9942"/>
    <hyperlink r:id="rId9951" ref="H9943"/>
    <hyperlink r:id="rId9952" ref="H9944"/>
    <hyperlink r:id="rId9953" ref="H9945"/>
    <hyperlink r:id="rId9954" ref="H9946"/>
    <hyperlink r:id="rId9955" ref="H9947"/>
    <hyperlink r:id="rId9956" ref="H9948"/>
    <hyperlink r:id="rId9957" ref="H9949"/>
    <hyperlink r:id="rId9958" ref="H9950"/>
    <hyperlink r:id="rId9959" ref="H9951"/>
    <hyperlink r:id="rId9960" ref="H9952"/>
    <hyperlink r:id="rId9961" ref="H9953"/>
    <hyperlink r:id="rId9962" ref="H9954"/>
    <hyperlink r:id="rId9963" ref="H9955"/>
    <hyperlink r:id="rId9964" ref="H9956"/>
    <hyperlink r:id="rId9965" ref="H9957"/>
    <hyperlink r:id="rId9966" ref="H9958"/>
    <hyperlink r:id="rId9967" ref="H9959"/>
    <hyperlink r:id="rId9968" ref="H9960"/>
    <hyperlink r:id="rId9969" ref="H9961"/>
    <hyperlink r:id="rId9970" ref="H9962"/>
    <hyperlink r:id="rId9971" ref="H9963"/>
    <hyperlink r:id="rId9972" ref="H9964"/>
    <hyperlink r:id="rId9973" ref="H9965"/>
    <hyperlink r:id="rId9974" ref="H9966"/>
    <hyperlink r:id="rId9975" ref="H9967"/>
    <hyperlink r:id="rId9976" ref="H9968"/>
    <hyperlink r:id="rId9977" ref="H9969"/>
    <hyperlink r:id="rId9978" ref="H9970"/>
    <hyperlink r:id="rId9979" ref="H9971"/>
    <hyperlink r:id="rId9980" ref="H9972"/>
    <hyperlink r:id="rId9981" ref="H9973"/>
    <hyperlink r:id="rId9982" ref="H9974"/>
    <hyperlink r:id="rId9983" ref="H9975"/>
    <hyperlink r:id="rId9984" ref="H9976"/>
    <hyperlink r:id="rId9985" ref="H9977"/>
    <hyperlink r:id="rId9986" ref="H9978"/>
    <hyperlink r:id="rId9987" ref="H9979"/>
    <hyperlink r:id="rId9988" ref="H9980"/>
    <hyperlink r:id="rId9989" ref="H9981"/>
    <hyperlink r:id="rId9990" ref="H9982"/>
    <hyperlink r:id="rId9991" ref="H9983"/>
    <hyperlink r:id="rId9992" ref="H9984"/>
    <hyperlink r:id="rId9993" ref="H9985"/>
    <hyperlink r:id="rId9994" ref="H9986"/>
    <hyperlink r:id="rId9995" ref="H9987"/>
    <hyperlink r:id="rId9996" ref="H9988"/>
    <hyperlink r:id="rId9997" ref="H9989"/>
    <hyperlink r:id="rId9998" ref="H9990"/>
    <hyperlink r:id="rId9999" ref="H9991"/>
    <hyperlink r:id="rId10000" ref="H9992"/>
    <hyperlink r:id="rId10001" ref="H9993"/>
    <hyperlink r:id="rId10002" ref="H9994"/>
    <hyperlink r:id="rId10003" ref="H9995"/>
    <hyperlink r:id="rId10004" ref="H9996"/>
    <hyperlink r:id="rId10005" ref="H9997"/>
    <hyperlink r:id="rId10006" ref="H9998"/>
    <hyperlink r:id="rId10007" ref="H9999"/>
    <hyperlink r:id="rId10008" ref="H10000"/>
  </hyperlinks>
  <drawing r:id="rId10009"/>
</worksheet>
</file>